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defaultThemeVersion="166925"/>
  <mc:AlternateContent xmlns:mc="http://schemas.openxmlformats.org/markup-compatibility/2006">
    <mc:Choice Requires="x15">
      <x15ac:absPath xmlns:x15ac="http://schemas.microsoft.com/office/spreadsheetml/2010/11/ac" url="C:\Users\Dushyant Sharma\OneDrive\Desktop\"/>
    </mc:Choice>
  </mc:AlternateContent>
  <xr:revisionPtr revIDLastSave="0" documentId="13_ncr:1_{F5C47D0E-7487-41AA-8BE3-26A01097F4DF}" xr6:coauthVersionLast="47" xr6:coauthVersionMax="47" xr10:uidLastSave="{00000000-0000-0000-0000-000000000000}"/>
  <bookViews>
    <workbookView xWindow="-110" yWindow="-110" windowWidth="19420" windowHeight="10300" xr2:uid="{00000000-000D-0000-FFFF-FFFF00000000}"/>
  </bookViews>
  <sheets>
    <sheet name="Global TARF" sheetId="7" r:id="rId1"/>
    <sheet name="FX" sheetId="50" state="hidden" r:id="rId2"/>
    <sheet name="Sheet3" sheetId="52" state="hidden" r:id="rId3"/>
    <sheet name="FX Table" sheetId="51" state="hidden" r:id="rId4"/>
    <sheet name="BS_Q2 24" sheetId="3" r:id="rId5"/>
    <sheet name="IS_Q2 24" sheetId="4" r:id="rId6"/>
    <sheet name="Discrete (Q3)" sheetId="42" state="hidden" r:id="rId7"/>
    <sheet name="FR 2022 Payable" sheetId="49" state="hidden" r:id="rId8"/>
    <sheet name="Tax Payable Proof" sheetId="12" state="hidden" r:id="rId9"/>
    <sheet name="Q1&gt;" sheetId="45" state="hidden" r:id="rId10"/>
    <sheet name="GL_BS" sheetId="2" r:id="rId11"/>
    <sheet name="GL_PL" sheetId="1" r:id="rId12"/>
    <sheet name="Sweden" sheetId="55" state="hidden" r:id="rId13"/>
    <sheet name="CIR" sheetId="54" state="hidden" r:id="rId14"/>
    <sheet name="FR_TB" sheetId="56" state="hidden" r:id="rId15"/>
    <sheet name="US WHT (Q3)" sheetId="43" state="hidden" r:id="rId16"/>
    <sheet name="Italy PE (Q3)" sheetId="44" state="hidden" r:id="rId17"/>
    <sheet name="GR Q3" sheetId="40" state="hidden" r:id="rId18"/>
    <sheet name="Singapore RTP" sheetId="41" state="hidden" r:id="rId19"/>
    <sheet name="Canada Tax Payable" sheetId="48" state="hidden" r:id="rId20"/>
    <sheet name="Q2&gt;" sheetId="46" state="hidden" r:id="rId21"/>
    <sheet name="2021" sheetId="38" state="hidden" r:id="rId22"/>
    <sheet name="Q2 Discrete Items" sheetId="32" state="hidden" r:id="rId23"/>
    <sheet name="Proposed AJEs" sheetId="27" state="hidden" r:id="rId24"/>
    <sheet name="Canada RTP" sheetId="33" state="hidden" r:id="rId25"/>
    <sheet name="Sweden RTP" sheetId="34" state="hidden" r:id="rId26"/>
    <sheet name="Germany RTP_1" sheetId="22" state="hidden" r:id="rId27"/>
    <sheet name="India" sheetId="36" state="hidden" r:id="rId28"/>
    <sheet name="220800 Analysis" sheetId="30" state="hidden" r:id="rId29"/>
    <sheet name="220800_2021" sheetId="31" state="hidden" r:id="rId30"/>
    <sheet name="France RTP" sheetId="26" state="hidden" r:id="rId31"/>
    <sheet name="18-22" sheetId="24" state="hidden" r:id="rId32"/>
    <sheet name="220800" sheetId="29" state="hidden" r:id="rId33"/>
    <sheet name="BS_2023" sheetId="5" r:id="rId34"/>
    <sheet name="CurrencyExchangeRates" sheetId="59" r:id="rId35"/>
    <sheet name="Business Tax" sheetId="63" state="hidden" r:id="rId36"/>
    <sheet name="CIR." sheetId="58" state="hidden" r:id="rId37"/>
    <sheet name="SG" sheetId="16" state="hidden" r:id="rId38"/>
    <sheet name="AUS" sheetId="18" state="hidden" r:id="rId39"/>
    <sheet name="201_FX" sheetId="13" state="hidden" r:id="rId40"/>
    <sheet name="IN" sheetId="19" state="hidden" r:id="rId41"/>
    <sheet name="Sheet2" sheetId="14" state="hidden" r:id="rId42"/>
    <sheet name="Sheet9" sheetId="9" state="hidden" r:id="rId43"/>
    <sheet name="Sheet8" sheetId="8" state="hidden" r:id="rId44"/>
    <sheet name="Sheet10" sheetId="10" state="hidden" r:id="rId45"/>
  </sheets>
  <definedNames>
    <definedName name="__123Graph_A" localSheetId="36" hidden="1">#REF!</definedName>
    <definedName name="__123Graph_A" hidden="1">#REF!</definedName>
    <definedName name="__123Graph_ACurrent" localSheetId="36" hidden="1">#REF!</definedName>
    <definedName name="__123Graph_ACurrent" hidden="1">#REF!</definedName>
    <definedName name="__123Graph_B" localSheetId="36" hidden="1">#REF!</definedName>
    <definedName name="__123Graph_B" hidden="1">#REF!</definedName>
    <definedName name="__123Graph_C" localSheetId="36" hidden="1">#REF!</definedName>
    <definedName name="__123Graph_C" hidden="1">#REF!</definedName>
    <definedName name="__123Graph_D" localSheetId="36" hidden="1">#REF!</definedName>
    <definedName name="__123Graph_D" hidden="1">#REF!</definedName>
    <definedName name="__123Graph_X" localSheetId="36" hidden="1">#REF!</definedName>
    <definedName name="__123Graph_X" hidden="1">#REF!</definedName>
    <definedName name="__FDS_HYPERLINK_TOGGLE_STATE__" hidden="1">"ON"</definedName>
    <definedName name="_10__123Graph_ACHART_1" hidden="1">#REF!</definedName>
    <definedName name="_11__123Graph_ACHART_1" localSheetId="36" hidden="1">#REF!</definedName>
    <definedName name="_11__123Graph_ACHART_1" hidden="1">#REF!</definedName>
    <definedName name="_11__123Graph_ACHART_2" localSheetId="36" hidden="1">#REF!</definedName>
    <definedName name="_11__123Graph_ACHART_2" hidden="1">#REF!</definedName>
    <definedName name="_12__123Graph_ACHART_3" localSheetId="36" hidden="1">#REF!</definedName>
    <definedName name="_12__123Graph_ACHART_3" hidden="1">#REF!</definedName>
    <definedName name="_13__123Graph_ACHART_2" localSheetId="36" hidden="1">#REF!</definedName>
    <definedName name="_13__123Graph_ACHART_2" hidden="1">#REF!</definedName>
    <definedName name="_13__123Graph_BCHART_1" localSheetId="36" hidden="1">#REF!</definedName>
    <definedName name="_13__123Graph_BCHART_1" hidden="1">#REF!</definedName>
    <definedName name="_14__123Graph_BCHART_2" localSheetId="36" hidden="1">#REF!</definedName>
    <definedName name="_14__123Graph_BCHART_2" hidden="1">#REF!</definedName>
    <definedName name="_15__123Graph_ACHART_3" localSheetId="36" hidden="1">#REF!</definedName>
    <definedName name="_15__123Graph_ACHART_3" hidden="1">#REF!</definedName>
    <definedName name="_15__123Graph_BCHART_3" localSheetId="36" hidden="1">#REF!</definedName>
    <definedName name="_15__123Graph_BCHART_3" hidden="1">#REF!</definedName>
    <definedName name="_16__123Graph_DCHART_1" localSheetId="36" hidden="1">#REF!</definedName>
    <definedName name="_16__123Graph_DCHART_1" hidden="1">#REF!</definedName>
    <definedName name="_17__123Graph_BCHART_1" localSheetId="36" hidden="1">#REF!</definedName>
    <definedName name="_17__123Graph_BCHART_1" hidden="1">#REF!</definedName>
    <definedName name="_17__123Graph_DCHART_2" localSheetId="36" hidden="1">#REF!</definedName>
    <definedName name="_17__123Graph_DCHART_2" hidden="1">#REF!</definedName>
    <definedName name="_18__123Graph_LBL_ACHART_1" localSheetId="36" hidden="1">#REF!</definedName>
    <definedName name="_18__123Graph_LBL_ACHART_1" hidden="1">#REF!</definedName>
    <definedName name="_19__123Graph_BCHART_2" localSheetId="36" hidden="1">#REF!</definedName>
    <definedName name="_19__123Graph_BCHART_2" hidden="1">#REF!</definedName>
    <definedName name="_19__123Graph_LBL_ACHART_2" localSheetId="36" hidden="1">#REF!</definedName>
    <definedName name="_19__123Graph_LBL_ACHART_2" hidden="1">#REF!</definedName>
    <definedName name="_20__123Graph_ACHART_1" localSheetId="36" hidden="1">#REF!</definedName>
    <definedName name="_20__123Graph_ACHART_1" hidden="1">#REF!</definedName>
    <definedName name="_20__123Graph_ACHART_2" localSheetId="36" hidden="1">#REF!</definedName>
    <definedName name="_20__123Graph_ACHART_2" hidden="1">#REF!</definedName>
    <definedName name="_20__123Graph_LBL_ACHART_3" localSheetId="36" hidden="1">#REF!</definedName>
    <definedName name="_20__123Graph_LBL_ACHART_3" hidden="1">#REF!</definedName>
    <definedName name="_21__123Graph_BCHART_3" localSheetId="36" hidden="1">#REF!</definedName>
    <definedName name="_21__123Graph_BCHART_3" hidden="1">#REF!</definedName>
    <definedName name="_21__123Graph_LBL_DCHART_1" localSheetId="36" hidden="1">#REF!</definedName>
    <definedName name="_21__123Graph_LBL_DCHART_1" hidden="1">#REF!</definedName>
    <definedName name="_22__123Graph_ACHART_2" localSheetId="36" hidden="1">#REF!</definedName>
    <definedName name="_22__123Graph_ACHART_2" hidden="1">#REF!</definedName>
    <definedName name="_22__123Graph_BCHART_1" localSheetId="36" hidden="1">#REF!</definedName>
    <definedName name="_22__123Graph_BCHART_1" hidden="1">#REF!</definedName>
    <definedName name="_22__123Graph_LBL_DCHART_2" localSheetId="36" hidden="1">#REF!</definedName>
    <definedName name="_22__123Graph_LBL_DCHART_2" hidden="1">#REF!</definedName>
    <definedName name="_23__123Graph_DCHART_1" localSheetId="36" hidden="1">#REF!</definedName>
    <definedName name="_23__123Graph_DCHART_1" hidden="1">#REF!</definedName>
    <definedName name="_23__123Graph_XCHART_2" localSheetId="36" hidden="1">#REF!</definedName>
    <definedName name="_23__123Graph_XCHART_2" hidden="1">#REF!</definedName>
    <definedName name="_24__123Graph_ACHART_3" localSheetId="36" hidden="1">#REF!</definedName>
    <definedName name="_24__123Graph_ACHART_3" hidden="1">#REF!</definedName>
    <definedName name="_24__123Graph_BCHART_3" localSheetId="36" hidden="1">#REF!</definedName>
    <definedName name="_24__123Graph_BCHART_3" hidden="1">#REF!</definedName>
    <definedName name="_25__123Graph_DCHART_2" localSheetId="36" hidden="1">#REF!</definedName>
    <definedName name="_25__123Graph_DCHART_2" hidden="1">#REF!</definedName>
    <definedName name="_26__123Graph_BCHART_1" localSheetId="36" hidden="1">#REF!</definedName>
    <definedName name="_26__123Graph_BCHART_1" hidden="1">#REF!</definedName>
    <definedName name="_26__123Graph_DCHART_2" localSheetId="36" hidden="1">#REF!</definedName>
    <definedName name="_26__123Graph_DCHART_2" hidden="1">#REF!</definedName>
    <definedName name="_27__123Graph_LBL_ACHART_1" localSheetId="36" hidden="1">#REF!</definedName>
    <definedName name="_27__123Graph_LBL_ACHART_1" hidden="1">#REF!</definedName>
    <definedName name="_28__123Graph_BCHART_2" localSheetId="36" hidden="1">#REF!</definedName>
    <definedName name="_28__123Graph_BCHART_2" hidden="1">#REF!</definedName>
    <definedName name="_28__123Graph_LBL_ACHART_2" localSheetId="36" hidden="1">#REF!</definedName>
    <definedName name="_28__123Graph_LBL_ACHART_2" hidden="1">#REF!</definedName>
    <definedName name="_29__123Graph_LBL_ACHART_2" localSheetId="36" hidden="1">#REF!</definedName>
    <definedName name="_29__123Graph_LBL_ACHART_2" hidden="1">#REF!</definedName>
    <definedName name="_30__123Graph_BCHART_3" localSheetId="36" hidden="1">#REF!</definedName>
    <definedName name="_30__123Graph_BCHART_3" hidden="1">#REF!</definedName>
    <definedName name="_30__123Graph_LBL_DCHART_1" localSheetId="36" hidden="1">#REF!</definedName>
    <definedName name="_30__123Graph_LBL_DCHART_1" hidden="1">#REF!</definedName>
    <definedName name="_31__123Graph_LBL_ACHART_3" localSheetId="36" hidden="1">#REF!</definedName>
    <definedName name="_31__123Graph_LBL_ACHART_3" hidden="1">#REF!</definedName>
    <definedName name="_32__123Graph_DCHART_1" localSheetId="36" hidden="1">#REF!</definedName>
    <definedName name="_32__123Graph_DCHART_1" hidden="1">#REF!</definedName>
    <definedName name="_32__123Graph_XCHART_2" localSheetId="36" hidden="1">#REF!</definedName>
    <definedName name="_32__123Graph_XCHART_2" hidden="1">#REF!</definedName>
    <definedName name="_33__123Graph_LBL_DCHART_1" localSheetId="36" hidden="1">#REF!</definedName>
    <definedName name="_33__123Graph_LBL_DCHART_1" hidden="1">#REF!</definedName>
    <definedName name="_34__123Graph_DCHART_2" localSheetId="36" hidden="1">#REF!</definedName>
    <definedName name="_34__123Graph_DCHART_2" hidden="1">#REF!</definedName>
    <definedName name="_35__123Graph_LBL_DCHART_2" localSheetId="36" hidden="1">#REF!</definedName>
    <definedName name="_35__123Graph_LBL_DCHART_2" hidden="1">#REF!</definedName>
    <definedName name="_36__123Graph_LBL_ACHART_1" localSheetId="36" hidden="1">#REF!</definedName>
    <definedName name="_36__123Graph_LBL_ACHART_1" hidden="1">#REF!</definedName>
    <definedName name="_37__123Graph_XCHART_2" localSheetId="36" hidden="1">#REF!</definedName>
    <definedName name="_37__123Graph_XCHART_2" hidden="1">#REF!</definedName>
    <definedName name="_38__123Graph_LBL_ACHART_2" localSheetId="36" hidden="1">#REF!</definedName>
    <definedName name="_38__123Graph_LBL_ACHART_2" hidden="1">#REF!</definedName>
    <definedName name="_40__123Graph_LBL_ACHART_3" localSheetId="36" hidden="1">#REF!</definedName>
    <definedName name="_40__123Graph_LBL_ACHART_3" hidden="1">#REF!</definedName>
    <definedName name="_42__123Graph_LBL_DCHART_1" localSheetId="36" hidden="1">#REF!</definedName>
    <definedName name="_42__123Graph_LBL_DCHART_1" hidden="1">#REF!</definedName>
    <definedName name="_44__123Graph_LBL_DCHART_2" localSheetId="36" hidden="1">#REF!</definedName>
    <definedName name="_44__123Graph_LBL_DCHART_2" hidden="1">#REF!</definedName>
    <definedName name="_46__123Graph_XCHART_2" localSheetId="36" hidden="1">#REF!</definedName>
    <definedName name="_46__123Graph_XCHART_2" hidden="1">#REF!</definedName>
    <definedName name="_B2" localSheetId="36" hidden="1">{"SchG1",#N/A,FALSE,"Schedules";"SchG2",#N/A,FALSE,"Schedules"}</definedName>
    <definedName name="_B2" hidden="1">{"SchG1",#N/A,FALSE,"Schedules";"SchG2",#N/A,FALSE,"Schedules"}</definedName>
    <definedName name="_Fill" hidden="1">#REF!</definedName>
    <definedName name="_xlnm._FilterDatabase" localSheetId="31" hidden="1">'18-22'!$A$7:$Q$2359</definedName>
    <definedName name="_xlnm._FilterDatabase" localSheetId="21" hidden="1">'2021'!$A$7:$P$215</definedName>
    <definedName name="_xlnm._FilterDatabase" localSheetId="32" hidden="1">'220800'!$A$7:$P$337</definedName>
    <definedName name="_xlnm._FilterDatabase" localSheetId="33" hidden="1">BS_2023!$A$7:$O$7</definedName>
    <definedName name="_xlnm._FilterDatabase" localSheetId="4" hidden="1">'BS_Q2 24'!$A$8:$O$118</definedName>
    <definedName name="_xlnm._FilterDatabase" localSheetId="34" hidden="1">CurrencyExchangeRates!$A$1:$D$199</definedName>
    <definedName name="_xlnm._FilterDatabase" localSheetId="10" hidden="1">GL_BS!$A$5:$S$5</definedName>
    <definedName name="_xlnm._FilterDatabase" localSheetId="11" hidden="1">GL_PL!$A$5:$R$82</definedName>
    <definedName name="_xlnm._FilterDatabase" localSheetId="8" hidden="1">'Tax Payable Proof'!$C$51:$M$57</definedName>
    <definedName name="_Key1" localSheetId="36" hidden="1">#REF!</definedName>
    <definedName name="_Key1" hidden="1">#REF!</definedName>
    <definedName name="_Order1" hidden="1">0</definedName>
    <definedName name="_Order2" hidden="1">255</definedName>
    <definedName name="_Regression_Out" localSheetId="36" hidden="1">#REF!</definedName>
    <definedName name="_Regression_Out" hidden="1">#REF!</definedName>
    <definedName name="_Regression_X" localSheetId="36" hidden="1">#REF!</definedName>
    <definedName name="_Regression_X" hidden="1">#REF!</definedName>
    <definedName name="_Regression_Y" localSheetId="36" hidden="1">#REF!</definedName>
    <definedName name="_Regression_Y" hidden="1">#REF!</definedName>
    <definedName name="_Sort" localSheetId="36" hidden="1">#REF!</definedName>
    <definedName name="_Sort" hidden="1">#REF!</definedName>
    <definedName name="_Table1_Out" localSheetId="36" hidden="1">#REF!</definedName>
    <definedName name="_Table1_Out" hidden="1">#REF!</definedName>
    <definedName name="_Table2_In1" localSheetId="36" hidden="1">#REF!</definedName>
    <definedName name="_Table2_In1" hidden="1">#REF!</definedName>
    <definedName name="_Table2_In2" localSheetId="36" hidden="1">#REF!</definedName>
    <definedName name="_Table2_In2" hidden="1">#REF!</definedName>
    <definedName name="_Table2_Out" localSheetId="36" hidden="1">#REF!</definedName>
    <definedName name="_Table2_Out" hidden="1">#REF!</definedName>
    <definedName name="a" localSheetId="36" hidden="1">{"SchG1",#N/A,FALSE,"Schedules";"SchG2",#N/A,FALSE,"Schedules"}</definedName>
    <definedName name="a" hidden="1">{"SchG1",#N/A,FALSE,"Schedules";"SchG2",#N/A,FALSE,"Schedules"}</definedName>
    <definedName name="Abs" hidden="1">#REF!</definedName>
    <definedName name="anscount" hidden="1">1</definedName>
    <definedName name="AP" localSheetId="36">{" ","","","","",""}</definedName>
    <definedName name="AP">{" ","","","","",""}</definedName>
    <definedName name="as" localSheetId="36" hidden="1">{"SchL1",#N/A,FALSE,"Schedules";"SchL2",#N/A,FALSE,"Schedules"}</definedName>
    <definedName name="as" hidden="1">{"SchL1",#N/A,FALSE,"Schedules";"SchL2",#N/A,FALSE,"Schedules"}</definedName>
    <definedName name="AS2DocOpenMode" hidden="1">"AS2DocumentBrowse"</definedName>
    <definedName name="asd" localSheetId="36" hidden="1">{"SchF1",#N/A,FALSE,"Schedules";"SchF2",#N/A,FALSE,"Schedules"}</definedName>
    <definedName name="asd" hidden="1">{"SchF1",#N/A,FALSE,"Schedules";"SchF2",#N/A,FALSE,"Schedules"}</definedName>
    <definedName name="BLPH1" hidden="1">#REF!</definedName>
    <definedName name="BLPH2" localSheetId="36" hidden="1">#REF!</definedName>
    <definedName name="BLPH2" hidden="1">#REF!</definedName>
    <definedName name="buma" localSheetId="36" hidden="1">{"SchG1",#N/A,FALSE,"Schedules";"SchG2",#N/A,FALSE,"Schedules"}</definedName>
    <definedName name="buma" hidden="1">{"SchG1",#N/A,FALSE,"Schedules";"SchG2",#N/A,FALSE,"Schedules"}</definedName>
    <definedName name="BumaSena" localSheetId="36" hidden="1">{"SchL1",#N/A,FALSE,"Schedules";"SchL2",#N/A,FALSE,"Schedules"}</definedName>
    <definedName name="BumaSena" hidden="1">{"SchL1",#N/A,FALSE,"Schedules";"SchL2",#N/A,FALSE,"Schedules"}</definedName>
    <definedName name="CBSH" hidden="1">#REF!</definedName>
    <definedName name="CIQWBGuid" hidden="1">"874f6788-2f49-41b4-8959-db6dd8b05c66"</definedName>
    <definedName name="Comp_Description" hidden="1">39240.7063310185</definedName>
    <definedName name="eemn" localSheetId="36" hidden="1">{"SchF1",#N/A,FALSE,"Schedules";"SchF2",#N/A,FALSE,"Schedules"}</definedName>
    <definedName name="eemn" hidden="1">{"SchF1",#N/A,FALSE,"Schedules";"SchF2",#N/A,FALSE,"Schedules"}</definedName>
    <definedName name="EHSR" localSheetId="36">{" ","","","","",""}</definedName>
    <definedName name="EHSR">{" ","","","","",""}</definedName>
    <definedName name="ev.Calculation" hidden="1">-4135</definedName>
    <definedName name="ev.Initialized" hidden="1">FALSE</definedName>
    <definedName name="fsfa" localSheetId="36" hidden="1">{"SchL1",#N/A,FALSE,"Schedules";"SchL2",#N/A,FALSE,"Schedules"}</definedName>
    <definedName name="fsfa" hidden="1">{"SchL1",#N/A,FALSE,"Schedules";"SchL2",#N/A,FALSE,"Schedules"}</definedName>
    <definedName name="HTML_CodePage" hidden="1">1252</definedName>
    <definedName name="HTML_Description" hidden="1">""</definedName>
    <definedName name="HTML_Email" hidden="1">""</definedName>
    <definedName name="HTML_Header" hidden="1">"Data Summary"</definedName>
    <definedName name="HTML_LastUpdate" hidden="1">"12/7/99"</definedName>
    <definedName name="HTML_LineAfter" hidden="1">FALSE</definedName>
    <definedName name="HTML_LineBefore" hidden="1">FALSE</definedName>
    <definedName name="HTML_Name" hidden="1">"Bradford F. Rogers"</definedName>
    <definedName name="HTML_OBDlg2" hidden="1">TRUE</definedName>
    <definedName name="HTML_OBDlg4" hidden="1">TRUE</definedName>
    <definedName name="HTML_OS" hidden="1">0</definedName>
    <definedName name="HTML_PathFile" hidden="1">"D:\temp\MyHTML test.htm"</definedName>
    <definedName name="HTML_Title" hidden="1">"Ardent - Portfolio Summary &amp; Analysis"</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QUIRED_BY_REPORTING_BANK_FDIC" hidden="1">"c6535"</definedName>
    <definedName name="IQ_ADDIN" hidden="1">"AUTO"</definedName>
    <definedName name="IQ_ADDITIONAL_NON_INT_INC_FDIC" hidden="1">"c6574"</definedName>
    <definedName name="IQ_ADJUSTABLE_RATE_LOANS_FDIC" hidden="1">"c6375"</definedName>
    <definedName name="IQ_AE_BR" hidden="1">"c10"</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MENDED_BALANCE_PREVIOUS_YR_FDIC" hidden="1">"c6499"</definedName>
    <definedName name="IQ_AMORT_EXPENSE_FDIC" hidden="1">"c6677"</definedName>
    <definedName name="IQ_AMORTIZED_COST_FDIC" hidden="1">"c6426"</definedName>
    <definedName name="IQ_AP_BR" hidden="1">"c34"</definedName>
    <definedName name="IQ_AR_BR" hidden="1">"c41"</definedName>
    <definedName name="IQ_ASSET_BACKED_FDIC" hidden="1">"c6301"</definedName>
    <definedName name="IQ_ASSET_WRITEDOWN_BR" hidden="1">"c50"</definedName>
    <definedName name="IQ_ASSET_WRITEDOWN_CF_BR" hidden="1">"c53"</definedName>
    <definedName name="IQ_ASSETS_HELD_FDIC" hidden="1">"c6305"</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PRICE_TARGET" hidden="1">"c82"</definedName>
    <definedName name="IQ_BALANCE_GOODS_APR_FC_UNUSED_UNUSED_UNUSED" hidden="1">"c8353"</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ROKERED_DEPOSITS_FDIC" hidden="1">"c6486"</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BV_ACT_OR_EST_REUT" hidden="1">"c5471"</definedName>
    <definedName name="IQ_BV_ACT_OR_EST_THOM" hidden="1">"c5308"</definedName>
    <definedName name="IQ_BV_EST_REUT" hidden="1">"c5403"</definedName>
    <definedName name="IQ_BV_EST_THOM" hidden="1">"c5147"</definedName>
    <definedName name="IQ_BV_HIGH_EST_REUT" hidden="1">"c5405"</definedName>
    <definedName name="IQ_BV_HIGH_EST_THOM" hidden="1">"c5149"</definedName>
    <definedName name="IQ_BV_LOW_EST_REUT" hidden="1">"c5406"</definedName>
    <definedName name="IQ_BV_LOW_EST_THOM" hidden="1">"c5150"</definedName>
    <definedName name="IQ_BV_MEDIAN_EST_REUT" hidden="1">"c5404"</definedName>
    <definedName name="IQ_BV_MEDIAN_EST_THOM" hidden="1">"c5148"</definedName>
    <definedName name="IQ_BV_NUM_EST_REUT" hidden="1">"c5407"</definedName>
    <definedName name="IQ_BV_NUM_EST_THOM" hidden="1">"c5151"</definedName>
    <definedName name="IQ_BV_STDDEV_EST_REUT" hidden="1">"c5408"</definedName>
    <definedName name="IQ_BV_STDDEV_EST_THOM" hidden="1">"c5152"</definedName>
    <definedName name="IQ_CAPEX_BR" hidden="1">"c111"</definedName>
    <definedName name="IQ_CASH_DIVIDENDS_NET_INCOME_FDIC" hidden="1">"c6738"</definedName>
    <definedName name="IQ_CASH_IN_PROCESS_FDIC" hidden="1">"c6386"</definedName>
    <definedName name="IQ_CCE_FDIC" hidden="1">"c6296"</definedName>
    <definedName name="IQ_CH" hidden="1">110000</definedName>
    <definedName name="IQ_CHANGE_AP_BR" hidden="1">"c135"</definedName>
    <definedName name="IQ_CHANGE_AR_BR" hidden="1">"c142"</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OTHER_WORK_CAP_BR" hidden="1">"c154"</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MO_FDIC" hidden="1">"c6406"</definedName>
    <definedName name="IQ_COLLECTION_DOMESTIC_FDIC" hidden="1">"c6387"</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_APIC_BR" hidden="1">"c185"</definedName>
    <definedName name="IQ_COMMON_FDIC" hidden="1">"c6350"</definedName>
    <definedName name="IQ_COMMON_ISSUED_BR" hidden="1">"c199"</definedName>
    <definedName name="IQ_COMMON_REP_BR" hidden="1">"c208"</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TRACTS_OTHER_COMMODITIES_EQUITIES._FDIC" hidden="1">"c6522"</definedName>
    <definedName name="IQ_CONTRACTS_OTHER_COMMODITIES_EQUITIES_FDIC" hidden="1">"c6522"</definedName>
    <definedName name="IQ_CONV_RATE" hidden="1">"c2192"</definedName>
    <definedName name="IQ_CONVEYED_TO_OTHERS_FDIC" hidden="1">"c6534"</definedName>
    <definedName name="IQ_CORE_CAPITAL_RATIO_FDIC" hidden="1">"c6745"</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OF_FUNDING_ASSETS_FDIC" hidden="1">"c6725"</definedName>
    <definedName name="IQ_CQ" hidden="1">5000</definedName>
    <definedName name="IQ_CREDIT_CARD_CHARGE_OFFS_FDIC" hidden="1">"c6652"</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PROVISION_NET_CHARGE_OFFS_FDIC" hidden="1">"c6734"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ENCY_COIN_DOMESTIC_FDIC" hidden="1">"c6388"</definedName>
    <definedName name="IQ_CURRENCY_GAIN_BR" hidden="1">"c236"</definedName>
    <definedName name="IQ_CURRENT_PORT_DEBT_BR" hidden="1">"c1567"</definedName>
    <definedName name="IQ_CY" hidden="1">10000</definedName>
    <definedName name="IQ_DA_BR" hidden="1">"c248"</definedName>
    <definedName name="IQ_DA_CF_BR" hidden="1">"c251"</definedName>
    <definedName name="IQ_DA_SUPPL_BR" hidden="1">"c260"</definedName>
    <definedName name="IQ_DA_SUPPL_CF_BR" hidden="1">"c263"</definedName>
    <definedName name="IQ_DAILY" hidden="1">500000</definedName>
    <definedName name="IQ_DEF_AMORT_BR" hidden="1">"c278"</definedName>
    <definedName name="IQ_DEF_CHARGES_BR" hidden="1">"c288"</definedName>
    <definedName name="IQ_DEF_CHARGES_LT_BR" hidden="1">"c294"</definedName>
    <definedName name="IQ_DEF_TAX_ASSET_LT_BR" hidden="1">"c304"</definedName>
    <definedName name="IQ_DEF_TAX_LIAB_LT_BR" hidden="1">"c315"</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RIVATIVES_FDIC" hidden="1">"c6523"</definedName>
    <definedName name="IQ_DIVIDENDS_DECLARED_COMMON_FDIC" hidden="1">"c6659"</definedName>
    <definedName name="IQ_DIVIDENDS_DECLARED_PREFERRED_FDIC" hidden="1">"c6658"</definedName>
    <definedName name="IQ_DIVIDENDS_FDIC" hidden="1">"c6660"</definedName>
    <definedName name="IQ_DNTM" hidden="1">700000</definedName>
    <definedName name="IQ_EARNING_ASSETS_FDIC" hidden="1">"c6360"</definedName>
    <definedName name="IQ_EARNING_ASSETS_YIELD_FDIC" hidden="1">"c6724"</definedName>
    <definedName name="IQ_EARNINGS_COVERAGE_NET_CHARGE_OFFS_FDIC" hidden="1">"c6735"</definedName>
    <definedName name="IQ_EBT_BR" hidden="1">"c378"</definedName>
    <definedName name="IQ_EBT_EXCL_BR" hidden="1">"c381"</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FFICIENCY_RATIO_FDIC" hidden="1">"c6736"</definedName>
    <definedName name="IQ_EPS" hidden="1">"IQ_EPS"</definedName>
    <definedName name="IQ_EQUITY_CAPITAL_ASSETS_FDIC" hidden="1">"c6744"</definedName>
    <definedName name="IQ_EQUITY_FDIC" hidden="1">"c6353"</definedName>
    <definedName name="IQ_EQUITY_SECURITIES_FDIC" hidden="1">"c6304"</definedName>
    <definedName name="IQ_EQUITY_SECURITY_EXPOSURES_FDIC" hidden="1">"c6664"</definedName>
    <definedName name="IQ_EST_ACT_BV_REUT" hidden="1">"c5409"</definedName>
    <definedName name="IQ_EST_ACT_BV_THOM" hidden="1">"c5153"</definedName>
    <definedName name="IQ_EST_ACT_FFO_REUT" hidden="1">"c3843"</definedName>
    <definedName name="IQ_EST_ACT_FFO_SHARE_SHARE_REUT" hidden="1">"c3843"</definedName>
    <definedName name="IQ_EST_ACT_FFO_THOM" hidden="1">"c4005"</definedName>
    <definedName name="IQ_EST_BV_DIFF_REUT" hidden="1">"c5433"</definedName>
    <definedName name="IQ_EST_BV_DIFF_THOM" hidden="1">"c5204"</definedName>
    <definedName name="IQ_EST_BV_SURPRISE_PERCENT_REUT" hidden="1">"c5434"</definedName>
    <definedName name="IQ_EST_BV_SURPRISE_PERCENT_THOM" hidden="1">"c5205"</definedName>
    <definedName name="IQ_EST_EPS_SURPRISE" hidden="1">"c1635"</definedName>
    <definedName name="IQ_EST_FFO_DIFF_REUT" hidden="1">"c3890"</definedName>
    <definedName name="IQ_EST_FFO_DIFF_THOM" hidden="1">"c5186"</definedName>
    <definedName name="IQ_EST_FFO_SHARE_SHARE_DIFF_REUT" hidden="1">"c3890"</definedName>
    <definedName name="IQ_EST_FFO_SHARE_SHARE_SURPRISE_PERCENT_REUT" hidden="1">"c3891"</definedName>
    <definedName name="IQ_EST_FFO_SURPRISE_PERCENT_REUT" hidden="1">"c3891"</definedName>
    <definedName name="IQ_EST_FFO_SURPRISE_PERCENT_THOM" hidden="1">"c5187"</definedName>
    <definedName name="IQ_EST_NUM_BUY_REUT" hidden="1">"c3869"</definedName>
    <definedName name="IQ_EST_NUM_BUY_THOM" hidden="1">"c5165"</definedName>
    <definedName name="IQ_EST_NUM_HOLD_REUT" hidden="1">"c3871"</definedName>
    <definedName name="IQ_EST_NUM_HOLD_THOM" hidden="1">"c5167"</definedName>
    <definedName name="IQ_EST_NUM_OUTPERFORM_REUT" hidden="1">"c3870"</definedName>
    <definedName name="IQ_EST_NUM_OUTPERFORM_THOM" hidden="1">"c5166"</definedName>
    <definedName name="IQ_EST_NUM_SELL_REUT" hidden="1">"c3873"</definedName>
    <definedName name="IQ_EST_NUM_SELL_THOM" hidden="1">"c5169"</definedName>
    <definedName name="IQ_EST_NUM_UNDERPERFORM_REUT" hidden="1">"c3872"</definedName>
    <definedName name="IQ_EST_NUM_UNDERPERFORM_THOM" hidden="1">"c5168"</definedName>
    <definedName name="IQ_ESTIMATED_ASSESSABLE_DEPOSITS_FDIC" hidden="1">"c6490"</definedName>
    <definedName name="IQ_ESTIMATED_INSURED_DEPOSITS_FDIC" hidden="1">"c6491"</definedName>
    <definedName name="IQ_EXPENSE_CODE_" hidden="1">111</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_BR" hidden="1">"c412"</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ED_FUNDS_PURCHASED_FDIC" hidden="1">"c6343"</definedName>
    <definedName name="IQ_FED_FUNDS_SOLD_FDIC" hidden="1">"c6307"</definedName>
    <definedName name="IQ_FFO_EST_REUT" hidden="1">"c3837"</definedName>
    <definedName name="IQ_FFO_EST_THOM" hidden="1">"c3999"</definedName>
    <definedName name="IQ_FFO_HIGH_EST_REUT" hidden="1">"c3839"</definedName>
    <definedName name="IQ_FFO_HIGH_EST_THOM" hidden="1">"c4001"</definedName>
    <definedName name="IQ_FFO_LOW_EST_REUT" hidden="1">"c3840"</definedName>
    <definedName name="IQ_FFO_LOW_EST_THOM" hidden="1">"c4002"</definedName>
    <definedName name="IQ_FFO_MEDIAN_EST_REUT" hidden="1">"c3838"</definedName>
    <definedName name="IQ_FFO_MEDIAN_EST_THOM" hidden="1">"c4000"</definedName>
    <definedName name="IQ_FFO_NUM_EST_REUT" hidden="1">"c3841"</definedName>
    <definedName name="IQ_FFO_NUM_EST_THOM" hidden="1">"c4003"</definedName>
    <definedName name="IQ_FFO_SHARE_SHARE_EST_REUT" hidden="1">"c3837"</definedName>
    <definedName name="IQ_FFO_SHARE_SHARE_HIGH_EST_REUT" hidden="1">"c3839"</definedName>
    <definedName name="IQ_FFO_SHARE_SHARE_LOW_EST_REUT" hidden="1">"c3840"</definedName>
    <definedName name="IQ_FFO_SHARE_SHARE_MEDIAN_EST_REUT" hidden="1">"c3838"</definedName>
    <definedName name="IQ_FFO_SHARE_SHARE_NUM_EST_REUT" hidden="1">"c3841"</definedName>
    <definedName name="IQ_FFO_SHARE_SHARE_STDDEV_EST_REUT" hidden="1">"c3842"</definedName>
    <definedName name="IQ_FFO_STDDEV_EST_REUT" hidden="1">"c3842"</definedName>
    <definedName name="IQ_FFO_STDDEV_EST_THOM" hidden="1">"c4004"</definedName>
    <definedName name="IQ_FH" hidden="1">100000</definedName>
    <definedName name="IQ_FHLB_ADVANCES_FDIC" hidden="1">"c6366"</definedName>
    <definedName name="IQ_FIDUCIARY_ACTIVITIES_FDIC" hidden="1">"c6571"</definedName>
    <definedName name="IQ_FIFETEEN_YEAR_FIXED_AND_FLOATING_RATE_FDIC" hidden="1">"c6423"</definedName>
    <definedName name="IQ_FIFETEEN_YEAR_MORTGAGE_PASS_THROUGHS_FDIC" hidden="1">"c6415"</definedName>
    <definedName name="IQ_FIN_DIV_CURRENT_PORT_DEBT_TOTAL" hidden="1">"c5524"</definedName>
    <definedName name="IQ_FIN_DIV_CURRENT_PORT_LEASES_TOTAL" hidden="1">"c5523"</definedName>
    <definedName name="IQ_FIN_DIV_DEBT_LT_TOTAL" hidden="1">"c5526"</definedName>
    <definedName name="IQ_FIN_DIV_LEASES_LT_TOTAL" hidden="1">"c5525"</definedName>
    <definedName name="IQ_FIN_DIV_NOTES_PAY_TOTAL" hidden="1">"c5522"</definedName>
    <definedName name="IQ_FIVE_YEAR_FIXED_AND_FLOATING_RATE_FDIC" hidden="1">"c6422"</definedName>
    <definedName name="IQ_FIVE_YEAR_MORTGAGE_PASS_THROUGHS_FDIC" hidden="1">"c6414"</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LOANS_FDIC" hidden="1">"c6438"</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OSITS_NONTRANSACTION_ACCOUNTS_FDIC" hidden="1">"c6549"</definedName>
    <definedName name="IQ_FOREIGN_DEPOSITS_TRANSACTION_ACCOUNTS_FDIC" hidden="1">"c6541"</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Q" hidden="1">500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 hidden="1">"LTM"</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WD_Q3" hidden="1">"504"</definedName>
    <definedName name="IQ_FWD_Q4" hidden="1">"505"</definedName>
    <definedName name="IQ_FWD_Q5" hidden="1">"506"</definedName>
    <definedName name="IQ_FWD_Q6" hidden="1">"507"</definedName>
    <definedName name="IQ_FWD_Q7" hidden="1">"508"</definedName>
    <definedName name="IQ_FWD1" hidden="1">"LTM"</definedName>
    <definedName name="IQ_FX_CONTRACTS_FDIC" hidden="1">"c6517"</definedName>
    <definedName name="IQ_FX_CONTRACTS_SPOT_FDIC" hidden="1">"c6356"</definedName>
    <definedName name="IQ_FY" hidden="1">1000</definedName>
    <definedName name="IQ_FY_DATE" hidden="1">"IQ_FY_DATE"</definedName>
    <definedName name="IQ_GAIN_ASSETS_BR" hidden="1">"c454"</definedName>
    <definedName name="IQ_GAIN_ASSETS_CF_BR" hidden="1">"c457"</definedName>
    <definedName name="IQ_GAIN_ASSETS_REV_BR" hidden="1">"c474"</definedName>
    <definedName name="IQ_GAIN_INVEST_BR" hidden="1">"c1464"</definedName>
    <definedName name="IQ_GAIN_INVEST_CF_BR" hidden="1">"c482"</definedName>
    <definedName name="IQ_GAIN_INVEST_REV_BR" hidden="1">"c496"</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GW_AMORT_BR" hidden="1">"c532"</definedName>
    <definedName name="IQ_GW_INTAN_AMORT_BR" hidden="1">"c1470"</definedName>
    <definedName name="IQ_GW_INTAN_AMORT_CF_BR" hidden="1">"c1473"</definedName>
    <definedName name="IQ_HELD_MATURITY_FDIC" hidden="1">"c6408"</definedName>
    <definedName name="IQ_HOME_EQUITY_LOC_NET_CHARGE_OFFS_FDIC" hidden="1">"c6644"</definedName>
    <definedName name="IQ_HOME_EQUITY_LOC_TOTAL_CHARGE_OFFS_FDIC" hidden="1">"c6606"</definedName>
    <definedName name="IQ_HOME_EQUITY_LOC_TOTAL_RECOVERIES_FDIC" hidden="1">"c6625"</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NC_EQUITY_BR" hidden="1">"c550"</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S_SETTLE_BR" hidden="1">"c572"</definedName>
    <definedName name="IQ_INSIDER_LOANS_FDIC" hidden="1">"c6365"</definedName>
    <definedName name="IQ_INSTITUTIONS_EARNINGS_GAINS_FDIC" hidden="1">"c6723"</definedName>
    <definedName name="IQ_INSURANCE_COMMISSION_FEES_FDIC" hidden="1">"c6670"</definedName>
    <definedName name="IQ_INSURANCE_UNDERWRITING_INCOME_FDIC" hidden="1">"c6671"</definedName>
    <definedName name="IQ_INT_DEMAND_NOTES_FDIC" hidden="1">"c6567"</definedName>
    <definedName name="IQ_INT_DOMESTIC_DEPOSITS_FDIC" hidden="1">"c6564"</definedName>
    <definedName name="IQ_INT_EXP_BR" hidden="1">"c586"</definedName>
    <definedName name="IQ_INT_EXP_TOTAL_FDIC" hidden="1">"c6569"</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OREIGN_LOANS_FDIC" hidden="1">"c6556"</definedName>
    <definedName name="IQ_INT_INC_LEASE_RECEIVABLES_FDIC" hidden="1">"c6557"</definedName>
    <definedName name="IQ_INT_INC_OTHER_FDIC" hidden="1">"c6562"</definedName>
    <definedName name="IQ_INT_INC_SECURITIES_FDIC" hidden="1">"c6559"</definedName>
    <definedName name="IQ_INT_INC_TOTAL_FDIC" hidden="1">"c6563"</definedName>
    <definedName name="IQ_INT_INC_TRADING_ACCOUNTS_FDIC" hidden="1">"c6560"</definedName>
    <definedName name="IQ_INT_SUB_NOTES_FDIC" hidden="1">"c6568"</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RATE_CONTRACTS_FDIC" hidden="1">"c6512"</definedName>
    <definedName name="IQ_INTEREST_RATE_EXPOSURES_FDIC" hidden="1">"c6662"</definedName>
    <definedName name="IQ_INVEST_LOANS_CF_BR" hidden="1">"c630"</definedName>
    <definedName name="IQ_INVEST_SECURITY_CF_BR" hidden="1">"c639"</definedName>
    <definedName name="IQ_INVESTMENT_BANKING_OTHER_FEES_FDIC" hidden="1">"c6666"</definedName>
    <definedName name="IQ_IRA_KEOGH_ACCOUNTS_FDIC" hidden="1">"c6496"</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UED_GUARANTEED_US_FDIC" hidden="1">"c6404"</definedName>
    <definedName name="IQ_LATEST" hidden="1">"1"</definedName>
    <definedName name="IQ_LATESTK" hidden="1">1000</definedName>
    <definedName name="IQ_LATESTKFR" hidden="1">"100"</definedName>
    <definedName name="IQ_LATESTQ" hidden="1">500</definedName>
    <definedName name="IQ_LATESTQFR" hidden="1">"50"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_BR" hidden="1">"c649"</definedName>
    <definedName name="IQ_LIFE_INSURANCE_ASSETS_FDIC" hidden="1">"c6372"</definedName>
    <definedName name="IQ_LOAN_COMMITMENTS_REVOLVING_FDIC" hidden="1">"c6524"</definedName>
    <definedName name="IQ_LOAN_LOSS_ALLOW_FDIC" hidden="1">"c6326"</definedName>
    <definedName name="IQ_LOAN_LOSS_ALLOWANCE_NONCURRENT_LOANS_FDIC" hidden="1">"c6740"</definedName>
    <definedName name="IQ_LOAN_LOSSES_FDIC" hidden="1">"c6580"</definedName>
    <definedName name="IQ_LOANS_AND_LEASES_HELD_FDIC" hidden="1">"c6367"</definedName>
    <definedName name="IQ_LOANS_CF_BR" hidden="1">"c661"</definedName>
    <definedName name="IQ_LOANS_DEPOSITORY_INSTITUTIONS_FDIC" hidden="1">"c6382"</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SS_ALLOWANCE_LOANS_FDIC" hidden="1">"c6739"</definedName>
    <definedName name="IQ_LT_DEBT_BR" hidden="1">"c676"</definedName>
    <definedName name="IQ_LT_DEBT_ISSUED_BR" hidden="1">"c683"</definedName>
    <definedName name="IQ_LT_DEBT_REPAID_BR" hidden="1">"c691"</definedName>
    <definedName name="IQ_LT_INVEST_BR" hidden="1">"c698"</definedName>
    <definedName name="IQ_LTM" hidden="1">2000</definedName>
    <definedName name="IQ_LTM_DATE" hidden="1">"IQ_LTM_DATE"</definedName>
    <definedName name="IQ_LTMMONTH" hidden="1">120000</definedName>
    <definedName name="IQ_MATURITY_ONE_YEAR_LESS_FDIC" hidden="1">"c6425"</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RGER_BR" hidden="1">"c715"</definedName>
    <definedName name="IQ_MERGER_RESTRUCTURE_BR" hidden="1">"c721"</definedName>
    <definedName name="IQ_MINORITY_INTEREST_BR" hidden="1">"c729"</definedName>
    <definedName name="IQ_MONEY_MARKET_DEPOSIT_ACCOUNTS_FDIC" hidden="1">"c6553"</definedName>
    <definedName name="IQ_MONTH" hidden="1">15000</definedName>
    <definedName name="IQ_MORTGAGE_BACKED_SECURITIES_FDIC" hidden="1">"c6402"</definedName>
    <definedName name="IQ_MORTGAGE_SERVICING_FDIC" hidden="1">"c6335"</definedName>
    <definedName name="IQ_MTD" hidden="1">800000</definedName>
    <definedName name="IQ_MULTIFAMILY_RESIDENTIAL_LOANS_FDIC" hidden="1">"c6311"</definedName>
    <definedName name="IQ_NAMES_REVISION_DATE_" hidden="1">42817.6689351852</definedName>
    <definedName name="IQ_NAV_ACT_OR_EST" hidden="1">"c2225"</definedName>
    <definedName name="IQ_NET_CHARGE_OFFS_FDIC" hidden="1">"c6641"</definedName>
    <definedName name="IQ_NET_CHARGE_OFFS_LOANS_FDIC" hidden="1">"c6751"</definedName>
    <definedName name="IQ_NET_DEBT_ISSUED_BR" hidden="1">"c753"</definedName>
    <definedName name="IQ_NET_INCOME_FDIC" hidden="1">"c6587"</definedName>
    <definedName name="IQ_NET_INT_INC_BNK_FDIC" hidden="1">"c6570"</definedName>
    <definedName name="IQ_NET_INT_INC_BR" hidden="1">"c765"</definedName>
    <definedName name="IQ_NET_INTEREST_MARGIN_FDIC" hidden="1">"c6726"</definedName>
    <definedName name="IQ_NET_LOANS_LEASES_CORE_DEPOSITS_FDIC" hidden="1">"c6743"</definedName>
    <definedName name="IQ_NET_LOANS_LEASES_DEPOSITS_FDIC" hidden="1">"c6742"</definedName>
    <definedName name="IQ_NET_OPERATING_INCOME_ASSETS_FDIC" hidden="1">"c6729"</definedName>
    <definedName name="IQ_NET_SECURITIZATION_INCOME_FDIC" hidden="1">"c6669"</definedName>
    <definedName name="IQ_NET_SERVICING_FEES_FDIC" hidden="1">"c6668"</definedName>
    <definedName name="IQ_NON_INT_EXP_FDIC" hidden="1">"c6579"</definedName>
    <definedName name="IQ_NON_INT_INC_FDIC" hidden="1">"c6575"</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TRANSACTION_ACCOUNTS_FDIC" hidden="1">"c6552"</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TM" hidden="1">6000</definedName>
    <definedName name="IQ_NUMBER_DEPOSITS_LESS_THAN_100K_FDIC" hidden="1">"c6495"</definedName>
    <definedName name="IQ_NUMBER_DEPOSITS_MORE_THAN_100K_FDIC" hidden="1">"c6493"</definedName>
    <definedName name="IQ_OBLIGATIONS_OF_STATES_TOTAL_LOANS_FOREIGN_FDIC" hidden="1">"c6447"</definedName>
    <definedName name="IQ_OBLIGATIONS_STATES_FDIC" hidden="1">"c6431"</definedName>
    <definedName name="IQ_OG_TOTAL_OIL_PRODUCTON" hidden="1">"c2059"</definedName>
    <definedName name="IQ_OPENED55" hidden="1">1</definedName>
    <definedName name="IQ_OPER_INC_BR" hidden="1">"c850"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SSETS_BR" hidden="1">"c862"</definedName>
    <definedName name="IQ_OTHER_ASSETS_FDIC" hidden="1">"c6338"</definedName>
    <definedName name="IQ_OTHER_BORROWED_FUNDS_FDIC" hidden="1">"c6345"</definedName>
    <definedName name="IQ_OTHER_CA_SUPPL_BR" hidden="1">"c871"</definedName>
    <definedName name="IQ_OTHER_CL_SUPPL_BR" hidden="1">"c880"</definedName>
    <definedName name="IQ_OTHER_COMPREHENSIVE_INCOME_FDIC" hidden="1">"c6503"</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QUITY_BR" hidden="1">"c888"</definedName>
    <definedName name="IQ_OTHER_FINANCE_ACT_BR" hidden="1">"c895"</definedName>
    <definedName name="IQ_OTHER_FINANCE_ACT_SUPPL_BR" hidden="1">"c901"</definedName>
    <definedName name="IQ_OTHER_INSURANCE_FEES_FDIC" hidden="1">"c6672"</definedName>
    <definedName name="IQ_OTHER_INTAN_BR" hidden="1">"c909"</definedName>
    <definedName name="IQ_OTHER_INTANGIBLE_FDIC" hidden="1">"c6337"</definedName>
    <definedName name="IQ_OTHER_INVEST_ACT_BR" hidden="1">"c918"</definedName>
    <definedName name="IQ_OTHER_INVEST_ACT_SUPPL_BR" hidden="1">"c924"</definedName>
    <definedName name="IQ_OTHER_LIAB_BR" hidden="1">"c932"</definedName>
    <definedName name="IQ_OTHER_LIAB_LT_BR" hidden="1">"c937"</definedName>
    <definedName name="IQ_OTHER_LIABILITIES_FDIC" hidden="1">"c6347"</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T_ASSETS_BR" hidden="1">"c948"</definedName>
    <definedName name="IQ_OTHER_NON_INT_EXP_FDIC" hidden="1">"c6578"</definedName>
    <definedName name="IQ_OTHER_NON_INT_EXPENSE_FDIC" hidden="1">"c6679"</definedName>
    <definedName name="IQ_OTHER_NON_INT_INC_FDIC" hidden="1">"c6676"</definedName>
    <definedName name="IQ_OTHER_NON_OPER_EXP_BR" hidden="1">"c957"</definedName>
    <definedName name="IQ_OTHER_NON_OPER_EXP_SUPPL_BR" hidden="1">"c962"</definedName>
    <definedName name="IQ_OTHER_OFF_BS_LIAB_FDIC" hidden="1">"c6533"</definedName>
    <definedName name="IQ_OTHER_OPER_ACT_BR" hidden="1">"c985"</definedName>
    <definedName name="IQ_OTHER_OPER_BR" hidden="1">"c990"</definedName>
    <definedName name="IQ_OTHER_OPER_SUPPL_BR" hidden="1">"c994"</definedName>
    <definedName name="IQ_OTHER_OPER_TOT_BR" hidden="1">"c1000"</definedName>
    <definedName name="IQ_OTHER_RE_OWNED_FDIC" hidden="1">"c6330"</definedName>
    <definedName name="IQ_OTHER_REV_BR" hidden="1">"c1011"</definedName>
    <definedName name="IQ_OTHER_REV_SUPPL_BR" hidden="1">"c1016"</definedName>
    <definedName name="IQ_OTHER_SAVINGS_DEPOSITS_FDIC" hidden="1">"c6554"</definedName>
    <definedName name="IQ_OTHER_TRANSACTIONS_FDIC" hidden="1">"c6504"</definedName>
    <definedName name="IQ_OTHER_UNUSED_COMMITMENTS_FDIC" hidden="1">"c6530"</definedName>
    <definedName name="IQ_OTHER_UNUSUAL_BR" hidden="1">"c1561"</definedName>
    <definedName name="IQ_OTHER_UNUSUAL_SUPPL_BR" hidden="1">"c1496"</definedName>
    <definedName name="IQ_OVER_FIFETEEN_YEAR_MORTGAGE_PASS_THROUGHS_FDIC" hidden="1">"c6416"</definedName>
    <definedName name="IQ_OVER_FIFTEEN_YEAR_FIXED_AND_FLOATING_RATE_FDIC" hidden="1">"c6424"</definedName>
    <definedName name="IQ_OVER_THREE_YEARS_FDIC" hidden="1">"c6418"</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C_WRITTEN" hidden="1">"c1027"</definedName>
    <definedName name="IQ_PERCENT_CHANGE_EST_FFO_12MONTHS" hidden="1">"c1828"</definedName>
    <definedName name="IQ_PERCENT_CHANGE_EST_FFO_12MONTHS_CIQ" hidden="1">"c3769"</definedName>
    <definedName name="IQ_PERCENT_CHANGE_EST_FFO_12MONTHS_REUT" hidden="1">"c3938"</definedName>
    <definedName name="IQ_PERCENT_CHANGE_EST_FFO_12MONTHS_THOM" hidden="1">"c5248"</definedName>
    <definedName name="IQ_PERCENT_CHANGE_EST_FFO_18MONTHS" hidden="1">"c1829"</definedName>
    <definedName name="IQ_PERCENT_CHANGE_EST_FFO_18MONTHS_CIQ" hidden="1">"c3770"</definedName>
    <definedName name="IQ_PERCENT_CHANGE_EST_FFO_18MONTHS_REUT" hidden="1">"c3939"</definedName>
    <definedName name="IQ_PERCENT_CHANGE_EST_FFO_18MONTHS_THOM" hidden="1">"c5249"</definedName>
    <definedName name="IQ_PERCENT_CHANGE_EST_FFO_3MONTHS" hidden="1">"c1825"</definedName>
    <definedName name="IQ_PERCENT_CHANGE_EST_FFO_3MONTHS_CIQ" hidden="1">"c3766"</definedName>
    <definedName name="IQ_PERCENT_CHANGE_EST_FFO_3MONTHS_REUT" hidden="1">"c3935"</definedName>
    <definedName name="IQ_PERCENT_CHANGE_EST_FFO_3MONTHS_THOM" hidden="1">"c5245"</definedName>
    <definedName name="IQ_PERCENT_CHANGE_EST_FFO_6MONTHS" hidden="1">"c1826"</definedName>
    <definedName name="IQ_PERCENT_CHANGE_EST_FFO_6MONTHS_CIQ" hidden="1">"c3767"</definedName>
    <definedName name="IQ_PERCENT_CHANGE_EST_FFO_6MONTHS_REUT" hidden="1">"c3936"</definedName>
    <definedName name="IQ_PERCENT_CHANGE_EST_FFO_6MONTHS_THOM" hidden="1">"c5246"</definedName>
    <definedName name="IQ_PERCENT_CHANGE_EST_FFO_9MONTHS" hidden="1">"c1827"</definedName>
    <definedName name="IQ_PERCENT_CHANGE_EST_FFO_9MONTHS_CIQ" hidden="1">"c3768"</definedName>
    <definedName name="IQ_PERCENT_CHANGE_EST_FFO_9MONTHS_REUT" hidden="1">"c3937"</definedName>
    <definedName name="IQ_PERCENT_CHANGE_EST_FFO_9MONTHS_THOM" hidden="1">"c5247"</definedName>
    <definedName name="IQ_PERCENT_CHANGE_EST_FFO_DAY" hidden="1">"c1822"</definedName>
    <definedName name="IQ_PERCENT_CHANGE_EST_FFO_DAY_CIQ" hidden="1">"c3764"</definedName>
    <definedName name="IQ_PERCENT_CHANGE_EST_FFO_DAY_REUT" hidden="1">"c3933"</definedName>
    <definedName name="IQ_PERCENT_CHANGE_EST_FFO_DAY_THOM" hidden="1">"c5243"</definedName>
    <definedName name="IQ_PERCENT_CHANGE_EST_FFO_MONTH" hidden="1">"c1824"</definedName>
    <definedName name="IQ_PERCENT_CHANGE_EST_FFO_MONTH_CIQ" hidden="1">"c3765"</definedName>
    <definedName name="IQ_PERCENT_CHANGE_EST_FFO_MONTH_REUT" hidden="1">"c3934"</definedName>
    <definedName name="IQ_PERCENT_CHANGE_EST_FFO_MONTH_THOM" hidden="1">"c5244"</definedName>
    <definedName name="IQ_PERCENT_CHANGE_EST_FFO_SHARE_SHARE_12MONTHS" hidden="1">"c1828"</definedName>
    <definedName name="IQ_PERCENT_CHANGE_EST_FFO_SHARE_SHARE_12MONTHS_CIQ" hidden="1">"c3769"</definedName>
    <definedName name="IQ_PERCENT_CHANGE_EST_FFO_SHARE_SHARE_12MONTHS_REUT" hidden="1">"c3938"</definedName>
    <definedName name="IQ_PERCENT_CHANGE_EST_FFO_SHARE_SHARE_18MONTHS" hidden="1">"c1829"</definedName>
    <definedName name="IQ_PERCENT_CHANGE_EST_FFO_SHARE_SHARE_18MONTHS_CIQ" hidden="1">"c3770"</definedName>
    <definedName name="IQ_PERCENT_CHANGE_EST_FFO_SHARE_SHARE_18MONTHS_REUT" hidden="1">"c3939"</definedName>
    <definedName name="IQ_PERCENT_CHANGE_EST_FFO_SHARE_SHARE_3MONTHS" hidden="1">"c1825"</definedName>
    <definedName name="IQ_PERCENT_CHANGE_EST_FFO_SHARE_SHARE_3MONTHS_CIQ" hidden="1">"c3766"</definedName>
    <definedName name="IQ_PERCENT_CHANGE_EST_FFO_SHARE_SHARE_3MONTHS_REUT" hidden="1">"c3935"</definedName>
    <definedName name="IQ_PERCENT_CHANGE_EST_FFO_SHARE_SHARE_6MONTHS" hidden="1">"c1826"</definedName>
    <definedName name="IQ_PERCENT_CHANGE_EST_FFO_SHARE_SHARE_6MONTHS_CIQ" hidden="1">"c3767"</definedName>
    <definedName name="IQ_PERCENT_CHANGE_EST_FFO_SHARE_SHARE_6MONTHS_REUT" hidden="1">"c3936"</definedName>
    <definedName name="IQ_PERCENT_CHANGE_EST_FFO_SHARE_SHARE_9MONTHS" hidden="1">"c1827"</definedName>
    <definedName name="IQ_PERCENT_CHANGE_EST_FFO_SHARE_SHARE_9MONTHS_CIQ" hidden="1">"c3768"</definedName>
    <definedName name="IQ_PERCENT_CHANGE_EST_FFO_SHARE_SHARE_9MONTHS_REUT" hidden="1">"c3937"</definedName>
    <definedName name="IQ_PERCENT_CHANGE_EST_FFO_SHARE_SHARE_DAY" hidden="1">"c1822"</definedName>
    <definedName name="IQ_PERCENT_CHANGE_EST_FFO_SHARE_SHARE_DAY_CIQ" hidden="1">"c3764"</definedName>
    <definedName name="IQ_PERCENT_CHANGE_EST_FFO_SHARE_SHARE_DAY_REUT" hidden="1">"c3933"</definedName>
    <definedName name="IQ_PERCENT_CHANGE_EST_FFO_SHARE_SHARE_MONTH" hidden="1">"c1824"</definedName>
    <definedName name="IQ_PERCENT_CHANGE_EST_FFO_SHARE_SHARE_MONTH_CIQ" hidden="1">"c3765"</definedName>
    <definedName name="IQ_PERCENT_CHANGE_EST_FFO_SHARE_SHARE_MONTH_REUT" hidden="1">"c3934"</definedName>
    <definedName name="IQ_PERCENT_CHANGE_EST_FFO_SHARE_SHARE_WEEK" hidden="1">"c1823"</definedName>
    <definedName name="IQ_PERCENT_CHANGE_EST_FFO_SHARE_SHARE_WEEK_CIQ" hidden="1">"c3795"</definedName>
    <definedName name="IQ_PERCENT_CHANGE_EST_FFO_SHARE_SHARE_WEEK_REUT" hidden="1">"c3964"</definedName>
    <definedName name="IQ_PERCENT_CHANGE_EST_FFO_WEEK" hidden="1">"c1823"</definedName>
    <definedName name="IQ_PERCENT_CHANGE_EST_FFO_WEEK_CIQ" hidden="1">"c3795"</definedName>
    <definedName name="IQ_PERCENT_CHANGE_EST_FFO_WEEK_REUT" hidden="1">"c3964"</definedName>
    <definedName name="IQ_PERCENT_CHANGE_EST_FFO_WEEK_THOM" hidden="1">"c5274"</definedName>
    <definedName name="IQ_PERCENT_INSURED_FDIC" hidden="1">"c6374"</definedName>
    <definedName name="IQ_PERIODDATE_FDIC" hidden="1">"c13646"</definedName>
    <definedName name="IQ_PLEDGED_SECURITIES_FDIC" hidden="1">"c6401"</definedName>
    <definedName name="IQ_PRE_TAX_INCOME_FDIC" hidden="1">"c6581"</definedName>
    <definedName name="IQ_PREF_ISSUED_BR" hidden="1">"c1047"</definedName>
    <definedName name="IQ_PREF_OTHER_BR" hidden="1">"c1055"</definedName>
    <definedName name="IQ_PREF_REP_BR" hidden="1">"c1062"</definedName>
    <definedName name="IQ_PREFERRED_FDIC" hidden="1">"c6349"</definedName>
    <definedName name="IQ_PREMISES_EQUIPMENT_FDIC" hidden="1">"c6577"</definedName>
    <definedName name="IQ_PRETAX_RETURN_ASSETS_FDIC" hidden="1">"c6731"</definedName>
    <definedName name="IQ_PRICEDATETIME" hidden="1">"IQ_PRICEDATETIME"</definedName>
    <definedName name="IQ_PRIMARY_EPS_TYPE_THOM" hidden="1">"c5297"</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IVATELY_ISSUED_MORTGAGE_BACKED_SECURITIES_FDIC" hidden="1">"c6407"</definedName>
    <definedName name="IQ_PRIVATELY_ISSUED_MORTGAGE_PASS_THROUGHS_FDIC" hidden="1">"c6405"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QTD" hidden="1">750000</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LATED_PLANS_FDIC" hidden="1">"c6320"</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IDENTIAL_LOANS" hidden="1">"c1102"</definedName>
    <definedName name="IQ_RESTATEMENTS_NET_FDIC" hidden="1">"c6500"</definedName>
    <definedName name="IQ_RESTRUCTURE_BR" hidden="1">"c1106"</definedName>
    <definedName name="IQ_RESTRUCTURED_LOANS_1_4_RESIDENTIAL_FDIC" hidden="1">"c6378"</definedName>
    <definedName name="IQ_RESTRUCTURED_LOANS_LEASES_FDIC" hidden="1">"c6377"</definedName>
    <definedName name="IQ_RESTRUCTURED_LOANS_NON_1_4_FDIC" hidden="1">"c6379"</definedName>
    <definedName name="IQ_RETAIL_DEPOSITS_FDIC" hidden="1">"c6488"</definedName>
    <definedName name="IQ_RETAINED_EARNINGS_AVERAGE_EQUITY_FDIC" hidden="1">"c6733"</definedName>
    <definedName name="IQ_RETURN_ASSETS_BROK" hidden="1">"c1115"</definedName>
    <definedName name="IQ_RETURN_ASSETS_FDIC" hidden="1">"c6730"</definedName>
    <definedName name="IQ_RETURN_EQUITY_BROK" hidden="1">"c1120"</definedName>
    <definedName name="IQ_RETURN_EQUITY_FDIC" hidden="1">"c6732"</definedName>
    <definedName name="IQ_REVALUATION_GAINS_FDIC" hidden="1">"c6428"</definedName>
    <definedName name="IQ_REVALUATION_LOSSES_FDIC" hidden="1">"c6429"</definedName>
    <definedName name="IQ_REVISION_DATE__1" hidden="1">39850.5814814815</definedName>
    <definedName name="IQ_RISK_WEIGHTED_ASSETS_FDIC" hidden="1">"c6370"</definedName>
    <definedName name="IQ_SALARY_FDIC" hidden="1">"c6576"</definedName>
    <definedName name="IQ_SALE_CONVERSION_RETIREMENT_STOCK_FDIC" hidden="1">"c6661"</definedName>
    <definedName name="IQ_SALE_INTAN_CF_BR" hidden="1">"c1133"</definedName>
    <definedName name="IQ_SALE_PPE_CF_BR" hidden="1">"c1139"</definedName>
    <definedName name="IQ_SALE_REAL_ESTATE_CF_BR" hidden="1">"c1145"</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RVICE_CHARGES_FDIC" hidden="1">"c6572"</definedName>
    <definedName name="IQ_SHAREOUTSTANDING" hidden="1">"c1347"</definedName>
    <definedName name="IQ_SPECIAL_DIV_CF_BR" hidden="1">"c1171"</definedName>
    <definedName name="IQ_ST_DEBT_BR" hidden="1">"c1178"</definedName>
    <definedName name="IQ_ST_DEBT_ISSUED_BR" hidden="1">"c1183"</definedName>
    <definedName name="IQ_ST_DEBT_REPAID_BR" hidden="1">"c1191"</definedName>
    <definedName name="IQ_STATES_NONTRANSACTION_ACCOUNTS_FDIC" hidden="1">"c6547"</definedName>
    <definedName name="IQ_STATES_TOTAL_DEPOSITS_FDIC" hidden="1">"c6473"</definedName>
    <definedName name="IQ_STATES_TRANSACTION_ACCOUNTS_FDIC" hidden="1">"c6539"</definedName>
    <definedName name="IQ_SUB_DEBT_FDIC" hidden="1">"c6346"</definedName>
    <definedName name="IQ_SURPLUS_FDIC" hidden="1">"c6351"</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FDIC" hidden="1">"c6369"</definedName>
    <definedName name="IQ_TIME_DEPOSITS_LESS_THAN_100K_FDIC" hidden="1">"c6465"</definedName>
    <definedName name="IQ_TIME_DEPOSITS_MORE_THAN_100K_FDIC" hidden="1">"c6470"</definedName>
    <definedName name="IQ_TODAY" hidden="1">0</definedName>
    <definedName name="IQ_TOTAL_AR_BR" hidden="1">"c1231"</definedName>
    <definedName name="IQ_TOTAL_ASSETS_FDIC" hidden="1">"c6339"</definedName>
    <definedName name="IQ_TOTAL_CHARGE_OFFS_FDIC" hidden="1">"c6603"</definedName>
    <definedName name="IQ_TOTAL_DEBT_ISSUED_BR" hidden="1">"c1253"</definedName>
    <definedName name="IQ_TOTAL_DEBT_REPAID_BR" hidden="1">"c1260"</definedName>
    <definedName name="IQ_TOTAL_DEBT_SECURITIES_FDIC" hidden="1">"c6410"</definedName>
    <definedName name="IQ_TOTAL_DEPOSITS_FDIC" hidden="1">"c6342"</definedName>
    <definedName name="IQ_TOTAL_EMPLOYEES_FDIC" hidden="1">"c6355"</definedName>
    <definedName name="IQ_TOTAL_LIAB_BR" hidden="1">"c1278"</definedName>
    <definedName name="IQ_TOTAL_LIAB_EQUITY_FDIC" hidden="1">"c6354"</definedName>
    <definedName name="IQ_TOTAL_LIABILITIES_FDIC" hidden="1">"c6348"</definedName>
    <definedName name="IQ_TOTAL_OPER_EXP_BR" hidden="1">"c1284"</definedName>
    <definedName name="IQ_TOTAL_PENSION_OBLIGATION" hidden="1">"c1292"</definedName>
    <definedName name="IQ_TOTAL_RECOVERIES_FDIC" hidden="1">"c6622"</definedName>
    <definedName name="IQ_TOTAL_REV_BNK_FDIC" hidden="1">"c6786"</definedName>
    <definedName name="IQ_TOTAL_REV_BR" hidden="1">"c1303"</definedName>
    <definedName name="IQ_TOTAL_RISK_BASED_CAPITAL_RATIO_FDIC" hidden="1">"c6747"</definedName>
    <definedName name="IQ_TOTAL_SECURITIES_FDIC" hidden="1">"c6306"</definedName>
    <definedName name="IQ_TOTAL_TIME_DEPOSITS_FDIC" hidden="1">"c6497"</definedName>
    <definedName name="IQ_TOTAL_TIME_SAVINGS_DEPOSITS_FDIC" hidden="1">"c6498"</definedName>
    <definedName name="IQ_TOTAL_UNUSED_COMMITMENTS_FDIC" hidden="1">"c6536"</definedName>
    <definedName name="IQ_TRADING_ACCOUNT_GAINS_FEES_FDIC" hidden="1">"c6573"</definedName>
    <definedName name="IQ_TRADING_ASSETS_FDIC" hidden="1">"c6328"</definedName>
    <definedName name="IQ_TRADING_LIABILITIES_FDIC" hidden="1">"c6344"</definedName>
    <definedName name="IQ_TRANSACTION_ACCOUNTS_FDIC" hidden="1">"c6544"</definedName>
    <definedName name="IQ_TREASURY_OTHER_EQUITY_BR" hidden="1">"c1314"</definedName>
    <definedName name="IQ_TREASURY_STOCK_TRANSACTIONS_FDIC" hidden="1">"c6501"</definedName>
    <definedName name="IQ_TWELVE_MONTHS_FIXED_AND_FLOATING_FDIC" hidden="1">"c6420"</definedName>
    <definedName name="IQ_TWELVE_MONTHS_MORTGAGE_PASS_THROUGHS_FDIC" hidden="1">"c6412"</definedName>
    <definedName name="IQ_UNDIVIDED_PROFITS_FDIC" hidden="1">"c6352"</definedName>
    <definedName name="IQ_UNEARN_REV_CURRENT_BR" hidden="1">"c1324"</definedName>
    <definedName name="IQ_UNEARNED_INCOME_FDIC" hidden="1">"c6324"</definedName>
    <definedName name="IQ_UNEARNED_INCOME_FOREIGN_FDIC" hidden="1">"c6385"</definedName>
    <definedName name="IQ_UNPROFITABLE_INSTITUTIONS_FDIC" hidden="1">"c6722"</definedName>
    <definedName name="IQ_UNUSED_LOAN_COMMITMENTS_FDIC" hidden="1">"c6368"</definedName>
    <definedName name="IQ_US_BRANCHES_FOREIGN_BANK_LOANS_FDIC" hidden="1">"c6435"</definedName>
    <definedName name="IQ_US_BRANCHES_FOREIGN_BANKS_FDIC" hidden="1">"c6390"</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VALUATION_ALLOWANCES_FDIC" hidden="1">"c6400"</definedName>
    <definedName name="IQ_VC_REVENUE_FDIC" hidden="1">"c6667"</definedName>
    <definedName name="IQ_VOLATILE_LIABILITIES_FDIC" hidden="1">"c6364"</definedName>
    <definedName name="IQ_WEEK" hidden="1">50000</definedName>
    <definedName name="IQ_WRITTEN_OPTION_CONTRACTS_FDIC" hidden="1">"c6509"</definedName>
    <definedName name="IQ_WRITTEN_OPTION_CONTRACTS_FX_RISK_FDIC" hidden="1">"c6514"</definedName>
    <definedName name="IQ_WRITTEN_OPTION_CONTRACTS_NON_FX_IR_FDIC" hidden="1">"c6519"</definedName>
    <definedName name="IQ_YTD" hidden="1">3000</definedName>
    <definedName name="IQ_YTDMONTH" hidden="1">130000</definedName>
    <definedName name="IQB_BOOKMARK_COUNT" hidden="1">0</definedName>
    <definedName name="IQB_BOOKMARK_LOCATION_0" localSheetId="36" hidden="1">#REF!</definedName>
    <definedName name="IQB_BOOKMARK_LOCATION_0" hidden="1">#REF!</definedName>
    <definedName name="iQShowHideColumns" hidden="1">"iQShowAll"</definedName>
    <definedName name="LastQry">2</definedName>
    <definedName name="LastSource">"Oracle7"</definedName>
    <definedName name="LOCA_MYSQL_DATE_FORMAT_SAS3" localSheetId="3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_MYSQL_DATE_FORMAT_SAS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_INC" localSheetId="3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_INC"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_INC2" localSheetId="3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_INC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_INC3" localSheetId="3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_INC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_SAS" localSheetId="3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_SAS"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_SAS2" localSheetId="3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_SAS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_STAFF" localSheetId="3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_STAFF"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_STAFF2" localSheetId="3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_STAFF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_STAFF3" localSheetId="3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_STAFF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ak" localSheetId="36" hidden="1">#REF!</definedName>
    <definedName name="mak" hidden="1">#REF!</definedName>
    <definedName name="n" localSheetId="3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vsASD">"V2001-11-30"</definedName>
    <definedName name="NvsAutoDrillOk">"VN"</definedName>
    <definedName name="NvsElapsedTime">0.0000910879607545212</definedName>
    <definedName name="NvsEndTime">37235.5289350694</definedName>
    <definedName name="NvsInstSpec">"%"</definedName>
    <definedName name="NvsLayoutType">"M3"</definedName>
    <definedName name="NvsNplSpec">"%,X,RZF..,CZF.."</definedName>
    <definedName name="NvsPanelEffdt">"V1994-01-01"</definedName>
    <definedName name="NvsPanelSetid">"VALCOA"</definedName>
    <definedName name="NvsReqBU">"VCH"</definedName>
    <definedName name="NvsReqBUOnly">"VN"</definedName>
    <definedName name="NvsTransLed">"VN"</definedName>
    <definedName name="NvsTreeASD">"V2001-11-30"</definedName>
    <definedName name="NvsValTbl.A_DEPT_CD">"A_DEPT_COST_VW"</definedName>
    <definedName name="NvsValTbl.ACCOUNT">"GL_ACCOUNT_VW"</definedName>
    <definedName name="NvsValTbl.BUSINESS_UNIT">"BUS_UNIT_TBL_GL"</definedName>
    <definedName name="NvsValTbl.STATISTICS_CODE">"STAT_TBL"</definedName>
    <definedName name="o" localSheetId="36" hidden="1">{"SchN1",#N/A,FALSE,"Schedules"}</definedName>
    <definedName name="o" hidden="1">{"SchN1",#N/A,FALSE,"Schedules"}</definedName>
    <definedName name="oo" localSheetId="36">{" ","","","","",""}</definedName>
    <definedName name="oo">{" ","","","","",""}</definedName>
    <definedName name="ooo" localSheetId="36">{" ","","","","",""}</definedName>
    <definedName name="ooo">{" ","","","","",""}</definedName>
    <definedName name="p" localSheetId="36" hidden="1">{"Summ1",#N/A,FALSE,"Summary"}</definedName>
    <definedName name="p" hidden="1">{"Summ1",#N/A,FALSE,"Summary"}</definedName>
    <definedName name="per_trip" localSheetId="36">#REF!</definedName>
    <definedName name="per_trip">#REF!</definedName>
    <definedName name="qexlQryInfo" localSheetId="36">{" ","","","","",""}</definedName>
    <definedName name="qexlQryInfo">{" ","","","","",""}</definedName>
    <definedName name="qexlqryinfor" localSheetId="36">{" ","","","","",""}</definedName>
    <definedName name="qexlqryinfor">{" ","","","","",""}</definedName>
    <definedName name="redo" localSheetId="36" hidden="1">{#N/A,#N/A,FALSE,"ACQ_GRAPHS";#N/A,#N/A,FALSE,"T_1 GRAPHS";#N/A,#N/A,FALSE,"T_2 GRAPHS";#N/A,#N/A,FALSE,"COMB_GRAPHS"}</definedName>
    <definedName name="redo" hidden="1">{#N/A,#N/A,FALSE,"ACQ_GRAPHS";#N/A,#N/A,FALSE,"T_1 GRAPHS";#N/A,#N/A,FALSE,"T_2 GRAPHS";#N/A,#N/A,FALSE,"COMB_GRAPHS"}</definedName>
    <definedName name="SAPBEXrevision" hidden="1">1</definedName>
    <definedName name="SAPBEXsysID" hidden="1">"BA1"</definedName>
    <definedName name="SAPBEXwbID" hidden="1">"3HYJ9YR106QUR1XOFXST0YW4C"</definedName>
    <definedName name="sdas" localSheetId="36">{" ","","","","",""}</definedName>
    <definedName name="sdas">{" ","","","","",""}</definedName>
    <definedName name="sdfs" localSheetId="36" hidden="1">{"SchG1",#N/A,FALSE,"Schedules";"SchG2",#N/A,FALSE,"Schedules"}</definedName>
    <definedName name="sdfs" hidden="1">{"SchG1",#N/A,FALSE,"Schedules";"SchG2",#N/A,FALSE,"Schedules"}</definedName>
    <definedName name="SENA" localSheetId="36" hidden="1">{"SchH1",#N/A,FALSE,"Schedules";"SchH2",#N/A,FALSE,"Schedules"}</definedName>
    <definedName name="SENA" hidden="1">{"SchH1",#N/A,FALSE,"Schedules";"SchH2",#N/A,FALSE,"Schedules"}</definedName>
    <definedName name="TableName">"Dummy"</definedName>
    <definedName name="test" localSheetId="36" hidden="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test" hidden="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TITULEK">#N/A</definedName>
    <definedName name="travel_by_role" localSheetId="36">#REF!</definedName>
    <definedName name="travel_by_role">#REF!</definedName>
    <definedName name="w" localSheetId="36">{" ","","","","",""}</definedName>
    <definedName name="w">{" ","","","","",""}</definedName>
    <definedName name="werwe" localSheetId="36" hidden="1">{"SchF1",#N/A,FALSE,"Schedules";"SchF2",#N/A,FALSE,"Schedules"}</definedName>
    <definedName name="werwe" hidden="1">{"SchF1",#N/A,FALSE,"Schedules";"SchF2",#N/A,FALSE,"Schedules"}</definedName>
    <definedName name="wrn.ALL." localSheetId="36" hidden="1">{#N/A,#N/A,FALSE,"INPUTS";#N/A,#N/A,FALSE,"PROFORMA BSHEET";#N/A,#N/A,FALSE,"COMBINED";#N/A,#N/A,FALSE,"ACQUIROR";#N/A,#N/A,FALSE,"TARGET 1";#N/A,#N/A,FALSE,"TARGET 2";#N/A,#N/A,FALSE,"HIGH YIELD";#N/A,#N/A,FALSE,"OVERFUND"}</definedName>
    <definedName name="wrn.ALL." hidden="1">{#N/A,#N/A,FALSE,"INPUTS";#N/A,#N/A,FALSE,"PROFORMA BSHEET";#N/A,#N/A,FALSE,"COMBINED";#N/A,#N/A,FALSE,"ACQUIROR";#N/A,#N/A,FALSE,"TARGET 1";#N/A,#N/A,FALSE,"TARGET 2";#N/A,#N/A,FALSE,"HIGH YIELD";#N/A,#N/A,FALSE,"OVERFUND"}</definedName>
    <definedName name="wrn.All._.Locations." localSheetId="36" hidden="1">{#N/A,#N/A,FALSE,"Asia";#N/A,#N/A,FALSE,"Moralco";#N/A,#N/A,FALSE,"AKL";#N/A,#N/A,FALSE,"Australia";#N/A,#N/A,FALSE,"Qingdao";#N/A,#N/A,FALSE,"Falta"}</definedName>
    <definedName name="wrn.All._.Locations." hidden="1">{#N/A,#N/A,FALSE,"Asia";#N/A,#N/A,FALSE,"Moralco";#N/A,#N/A,FALSE,"AKL";#N/A,#N/A,FALSE,"Australia";#N/A,#N/A,FALSE,"Qingdao";#N/A,#N/A,FALSE,"Falta"}</definedName>
    <definedName name="wrn.COMBINED." localSheetId="36" hidden="1">{#N/A,#N/A,FALSE,"INPUTS";#N/A,#N/A,FALSE,"PROFORMA BSHEET";#N/A,#N/A,FALSE,"COMBINED";#N/A,#N/A,FALSE,"HIGH YIELD";#N/A,#N/A,FALSE,"COMB_GRAPHS"}</definedName>
    <definedName name="wrn.COMBINED." hidden="1">{#N/A,#N/A,FALSE,"INPUTS";#N/A,#N/A,FALSE,"PROFORMA BSHEET";#N/A,#N/A,FALSE,"COMBINED";#N/A,#N/A,FALSE,"HIGH YIELD";#N/A,#N/A,FALSE,"COMB_GRAPHS"}</definedName>
    <definedName name="wrn.GRAPHS." localSheetId="36" hidden="1">{#N/A,#N/A,FALSE,"ACQ_GRAPHS";#N/A,#N/A,FALSE,"T_1 GRAPHS";#N/A,#N/A,FALSE,"T_2 GRAPHS";#N/A,#N/A,FALSE,"COMB_GRAPHS"}</definedName>
    <definedName name="wrn.GRAPHS." hidden="1">{#N/A,#N/A,FALSE,"ACQ_GRAPHS";#N/A,#N/A,FALSE,"T_1 GRAPHS";#N/A,#N/A,FALSE,"T_2 GRAPHS";#N/A,#N/A,FALSE,"COMB_GRAPHS"}</definedName>
    <definedName name="wrn.KPIs." localSheetId="36" hidden="1">{#N/A,#N/A,TRUE,"Financial";#N/A,#N/A,TRUE,"Credit";#N/A,#N/A,TRUE,"Receivables Aging";#N/A,#N/A,TRUE,"Inventory Projections"}</definedName>
    <definedName name="wrn.KPIs." hidden="1">{#N/A,#N/A,TRUE,"Financial";#N/A,#N/A,TRUE,"Credit";#N/A,#N/A,TRUE,"Receivables Aging";#N/A,#N/A,TRUE,"Inventory Projections"}</definedName>
    <definedName name="WRN.ORINT._.SCHA" localSheetId="36" hidden="1">{"SchA1",#N/A,FALSE,"Schedules";"SchA2",#N/A,FALSE,"Schedules"}</definedName>
    <definedName name="WRN.ORINT._.SCHA" hidden="1">{"SchA1",#N/A,FALSE,"Schedules";"SchA2",#N/A,FALSE,"Schedules"}</definedName>
    <definedName name="wrn.orint._.schb." localSheetId="36" hidden="1">{"SchB1",#N/A,FALSE,"Schedules";"SchB2",#N/A,FALSE,"Schedules"}</definedName>
    <definedName name="wrn.orint._.schb." hidden="1">{"SchB1",#N/A,FALSE,"Schedules";"SchB2",#N/A,FALSE,"Schedules"}</definedName>
    <definedName name="wrn.Print._.All._.Schedules." localSheetId="36" hidden="1">{"SchA1",#N/A,FALSE,"Schedules";"SchA2",#N/A,FALSE,"Schedules";"SchB1",#N/A,FALSE,"Schedules";"SchB2",#N/A,FALSE,"Schedules";"SchC1",#N/A,FALSE,"Schedules";"SchC2",#N/A,FALSE,"Schedules";"SchD1",#N/A,FALSE,"Schedules";"SchD2",#N/A,FALSE,"Schedules";"SchE1",#N/A,FALSE,"Schedules";"SchE2",#N/A,FALSE,"Schedules";"SchF1",#N/A,FALSE,"Schedules";"SchF2",#N/A,FALSE,"Schedules";"SchG1",#N/A,FALSE,"Schedules";"SchG2",#N/A,FALSE,"Schedules";"SchH1",#N/A,FALSE,"Schedules";"SchH2",#N/A,FALSE,"Schedules";"SchI1",#N/A,FALSE,"Schedules";"SchI2",#N/A,FALSE,"Schedules";"SchJ1",#N/A,FALSE,"Schedules";"SchJ2",#N/A,FALSE,"Schedules";"SchK1",#N/A,FALSE,"Schedules";"SchK2",#N/A,FALSE,"Schedules";"SchL1",#N/A,FALSE,"Schedules";"SchL2",#N/A,FALSE,"Schedules";"SchM1",#N/A,FALSE,"Schedules";"SchM2",#N/A,FALSE,"Schedules";"SchN1",#N/A,FALSE,"Schedules"}</definedName>
    <definedName name="wrn.Print._.All._.Schedules." hidden="1">{"SchA1",#N/A,FALSE,"Schedules";"SchA2",#N/A,FALSE,"Schedules";"SchB1",#N/A,FALSE,"Schedules";"SchB2",#N/A,FALSE,"Schedules";"SchC1",#N/A,FALSE,"Schedules";"SchC2",#N/A,FALSE,"Schedules";"SchD1",#N/A,FALSE,"Schedules";"SchD2",#N/A,FALSE,"Schedules";"SchE1",#N/A,FALSE,"Schedules";"SchE2",#N/A,FALSE,"Schedules";"SchF1",#N/A,FALSE,"Schedules";"SchF2",#N/A,FALSE,"Schedules";"SchG1",#N/A,FALSE,"Schedules";"SchG2",#N/A,FALSE,"Schedules";"SchH1",#N/A,FALSE,"Schedules";"SchH2",#N/A,FALSE,"Schedules";"SchI1",#N/A,FALSE,"Schedules";"SchI2",#N/A,FALSE,"Schedules";"SchJ1",#N/A,FALSE,"Schedules";"SchJ2",#N/A,FALSE,"Schedules";"SchK1",#N/A,FALSE,"Schedules";"SchK2",#N/A,FALSE,"Schedules";"SchL1",#N/A,FALSE,"Schedules";"SchL2",#N/A,FALSE,"Schedules";"SchM1",#N/A,FALSE,"Schedules";"SchM2",#N/A,FALSE,"Schedules";"SchN1",#N/A,FALSE,"Schedules"}</definedName>
    <definedName name="wrn.Print._.SchA." localSheetId="36" hidden="1">{"SchA1",#N/A,FALSE,"Schedules";"SchA2",#N/A,FALSE,"Schedules"}</definedName>
    <definedName name="wrn.Print._.SchA." hidden="1">{"SchA1",#N/A,FALSE,"Schedules";"SchA2",#N/A,FALSE,"Schedules"}</definedName>
    <definedName name="wrn.Print._.SchB." localSheetId="36" hidden="1">{"SchB1",#N/A,FALSE,"Schedules";"SchB2",#N/A,FALSE,"Schedules"}</definedName>
    <definedName name="wrn.Print._.SchB." hidden="1">{"SchB1",#N/A,FALSE,"Schedules";"SchB2",#N/A,FALSE,"Schedules"}</definedName>
    <definedName name="WRN.PRINT._.SCHBB" localSheetId="36" hidden="1">{"SchB1",#N/A,FALSE,"Schedules";"SchB2",#N/A,FALSE,"Schedules"}</definedName>
    <definedName name="WRN.PRINT._.SCHBB" hidden="1">{"SchB1",#N/A,FALSE,"Schedules";"SchB2",#N/A,FALSE,"Schedules"}</definedName>
    <definedName name="wrn.Print._.SchC." localSheetId="36" hidden="1">{"SchC1",#N/A,FALSE,"Schedules";"SchC2",#N/A,FALSE,"Schedules"}</definedName>
    <definedName name="wrn.Print._.SchC." hidden="1">{"SchC1",#N/A,FALSE,"Schedules";"SchC2",#N/A,FALSE,"Schedules"}</definedName>
    <definedName name="wrn.Print._.SchD." localSheetId="36" hidden="1">{"SchD1",#N/A,FALSE,"Schedules";"SchD2",#N/A,FALSE,"Schedules"}</definedName>
    <definedName name="wrn.Print._.SchD." hidden="1">{"SchD1",#N/A,FALSE,"Schedules";"SchD2",#N/A,FALSE,"Schedules"}</definedName>
    <definedName name="wrn.Print._.SchE." localSheetId="36" hidden="1">{"SchE1",#N/A,FALSE,"Schedules";"SchE2",#N/A,FALSE,"Schedules"}</definedName>
    <definedName name="wrn.Print._.SchE." hidden="1">{"SchE1",#N/A,FALSE,"Schedules";"SchE2",#N/A,FALSE,"Schedules"}</definedName>
    <definedName name="wrn.Print._.SchF." localSheetId="36" hidden="1">{"SchF1",#N/A,FALSE,"Schedules";"SchF2",#N/A,FALSE,"Schedules"}</definedName>
    <definedName name="wrn.Print._.SchF." hidden="1">{"SchF1",#N/A,FALSE,"Schedules";"SchF2",#N/A,FALSE,"Schedules"}</definedName>
    <definedName name="wrn.Print._.SchG." localSheetId="36" hidden="1">{"SchG1",#N/A,FALSE,"Schedules";"SchG2",#N/A,FALSE,"Schedules"}</definedName>
    <definedName name="wrn.Print._.SchG." hidden="1">{"SchG1",#N/A,FALSE,"Schedules";"SchG2",#N/A,FALSE,"Schedules"}</definedName>
    <definedName name="wrn.Print._.SchH." localSheetId="36" hidden="1">{"SchH1",#N/A,FALSE,"Schedules";"SchH2",#N/A,FALSE,"Schedules"}</definedName>
    <definedName name="wrn.Print._.SchH." hidden="1">{"SchH1",#N/A,FALSE,"Schedules";"SchH2",#N/A,FALSE,"Schedules"}</definedName>
    <definedName name="wrn.Print._.SchI." localSheetId="36" hidden="1">{"SchI1",#N/A,FALSE,"Schedules";"SchI2",#N/A,FALSE,"Schedules"}</definedName>
    <definedName name="wrn.Print._.SchI." hidden="1">{"SchI1",#N/A,FALSE,"Schedules";"SchI2",#N/A,FALSE,"Schedules"}</definedName>
    <definedName name="wrn.Print._.SchJ." localSheetId="36" hidden="1">{"SchJ1",#N/A,FALSE,"Schedules";"SchJ2",#N/A,FALSE,"Schedules"}</definedName>
    <definedName name="wrn.Print._.SchJ." hidden="1">{"SchJ1",#N/A,FALSE,"Schedules";"SchJ2",#N/A,FALSE,"Schedules"}</definedName>
    <definedName name="wrn.Print._.SchK." localSheetId="36" hidden="1">{"SchK1",#N/A,FALSE,"Schedules";"SchK2",#N/A,FALSE,"Schedules"}</definedName>
    <definedName name="wrn.Print._.SchK." hidden="1">{"SchK1",#N/A,FALSE,"Schedules";"SchK2",#N/A,FALSE,"Schedules"}</definedName>
    <definedName name="wrn.Print._.SchL." localSheetId="36" hidden="1">{"SchL1",#N/A,FALSE,"Schedules";"SchL2",#N/A,FALSE,"Schedules"}</definedName>
    <definedName name="wrn.Print._.SchL." hidden="1">{"SchL1",#N/A,FALSE,"Schedules";"SchL2",#N/A,FALSE,"Schedules"}</definedName>
    <definedName name="wrn.print._.schm" localSheetId="36" hidden="1">{"SchL1",#N/A,FALSE,"Schedules";"SchL2",#N/A,FALSE,"Schedules"}</definedName>
    <definedName name="wrn.print._.schm" hidden="1">{"SchL1",#N/A,FALSE,"Schedules";"SchL2",#N/A,FALSE,"Schedules"}</definedName>
    <definedName name="wrn.Print._.SchM." localSheetId="36" hidden="1">{"SchM1",#N/A,FALSE,"Schedules";"SchM2",#N/A,FALSE,"Schedules"}</definedName>
    <definedName name="wrn.Print._.SchM." hidden="1">{"SchM1",#N/A,FALSE,"Schedules";"SchM2",#N/A,FALSE,"Schedules"}</definedName>
    <definedName name="wrn.Print._.SchN." localSheetId="36" hidden="1">{"SchN1",#N/A,FALSE,"Schedules"}</definedName>
    <definedName name="wrn.Print._.SchN." hidden="1">{"SchN1",#N/A,FALSE,"Schedules"}</definedName>
    <definedName name="wrn.print._.schp." localSheetId="36" hidden="1">{"SchD1",#N/A,FALSE,"Schedules";"SchD2",#N/A,FALSE,"Schedules"}</definedName>
    <definedName name="wrn.print._.schp." hidden="1">{"SchD1",#N/A,FALSE,"Schedules";"SchD2",#N/A,FALSE,"Schedules"}</definedName>
    <definedName name="wrn.print._.schz." localSheetId="36" hidden="1">{"SchH1",#N/A,FALSE,"Schedules";"SchH2",#N/A,FALSE,"Schedules"}</definedName>
    <definedName name="wrn.print._.schz." hidden="1">{"SchH1",#N/A,FALSE,"Schedules";"SchH2",#N/A,FALSE,"Schedules"}</definedName>
    <definedName name="wrn.Print._.SchZ.." localSheetId="36" hidden="1">{"SchE1",#N/A,FALSE,"Schedules";"SchE2",#N/A,FALSE,"Schedules"}</definedName>
    <definedName name="wrn.Print._.SchZ.." hidden="1">{"SchE1",#N/A,FALSE,"Schedules";"SchE2",#N/A,FALSE,"Schedules"}</definedName>
    <definedName name="wrn.Print._.summar" localSheetId="36" hidden="1">{"Summ1",#N/A,FALSE,"Summary"}</definedName>
    <definedName name="wrn.Print._.summar" hidden="1">{"Summ1",#N/A,FALSE,"Summary"}</definedName>
    <definedName name="wrn.Print._.Summary." localSheetId="36" hidden="1">{"Summ1",#N/A,FALSE,"Summary"}</definedName>
    <definedName name="wrn.Print._.Summary." hidden="1">{"Summ1",#N/A,FALSE,"Summary"}</definedName>
    <definedName name="wrn.Tout._.Sauf._.BG." localSheetId="36" hidden="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wrn.Tout._.Sauf._.BG." hidden="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wrn.VALUATION." localSheetId="36" hidden="1">{#N/A,#N/A,FALSE,"Valuation Assumptions";#N/A,#N/A,FALSE,"Summary";#N/A,#N/A,FALSE,"DCF";#N/A,#N/A,FALSE,"Valuation";#N/A,#N/A,FALSE,"WACC";#N/A,#N/A,FALSE,"UBVH";#N/A,#N/A,FALSE,"Free Cash Flow"}</definedName>
    <definedName name="wrn.VALUATION." hidden="1">{#N/A,#N/A,FALSE,"Valuation Assumptions";#N/A,#N/A,FALSE,"Summary";#N/A,#N/A,FALSE,"DCF";#N/A,#N/A,FALSE,"Valuation";#N/A,#N/A,FALSE,"WACC";#N/A,#N/A,FALSE,"UBVH";#N/A,#N/A,FALSE,"Free Cash Flow"}</definedName>
    <definedName name="xxx" localSheetId="36">{" ","","","","",""}</definedName>
    <definedName name="xxx">{" ","","","","",""}</definedName>
    <definedName name="xxxx" localSheetId="36">{" ","","","","",""}</definedName>
    <definedName name="xxxx">{" ","","","","",""}</definedName>
    <definedName name="yyy" localSheetId="36">{" ","","","","",""}</definedName>
    <definedName name="yyy">{" ","","","","",""}</definedName>
    <definedName name="Z_870DA93B_C7EC_11D1_935A_00A0C95F1362_.wvu.PrintArea" hidden="1">#REF!</definedName>
    <definedName name="zzz" localSheetId="36">{" ","","","","",""}</definedName>
    <definedName name="zzz">{" ","","","","",""}</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16" i="4" l="1"/>
  <c r="D616" i="4"/>
  <c r="M615" i="4"/>
  <c r="M616" i="4" s="1"/>
  <c r="L615" i="4"/>
  <c r="L616" i="4" s="1"/>
  <c r="I615" i="4"/>
  <c r="I616" i="4" s="1"/>
  <c r="F615" i="4"/>
  <c r="D615" i="4"/>
  <c r="C615" i="4"/>
  <c r="C616" i="4" s="1"/>
  <c r="B615" i="4"/>
  <c r="B616" i="4" s="1"/>
  <c r="N614" i="4"/>
  <c r="N615" i="4" s="1"/>
  <c r="N616" i="4" s="1"/>
  <c r="M614" i="4"/>
  <c r="L614" i="4"/>
  <c r="K614" i="4"/>
  <c r="K615" i="4" s="1"/>
  <c r="K616" i="4" s="1"/>
  <c r="J614" i="4"/>
  <c r="J615" i="4" s="1"/>
  <c r="J616" i="4" s="1"/>
  <c r="I614" i="4"/>
  <c r="H614" i="4"/>
  <c r="H615" i="4" s="1"/>
  <c r="H616" i="4" s="1"/>
  <c r="G614" i="4"/>
  <c r="G615" i="4" s="1"/>
  <c r="G616" i="4" s="1"/>
  <c r="F614" i="4"/>
  <c r="E614" i="4"/>
  <c r="E615" i="4" s="1"/>
  <c r="E616" i="4" s="1"/>
  <c r="D614" i="4"/>
  <c r="C614" i="4"/>
  <c r="B614" i="4"/>
  <c r="O613" i="4"/>
  <c r="O612" i="4"/>
  <c r="O611" i="4"/>
  <c r="O614" i="4" s="1"/>
  <c r="O615" i="4" s="1"/>
  <c r="O616" i="4" s="1"/>
  <c r="O604" i="4"/>
  <c r="O603" i="4"/>
  <c r="N602" i="4"/>
  <c r="N605" i="4" s="1"/>
  <c r="M602" i="4"/>
  <c r="M605" i="4" s="1"/>
  <c r="L602" i="4"/>
  <c r="L605" i="4" s="1"/>
  <c r="K602" i="4"/>
  <c r="K605" i="4" s="1"/>
  <c r="J602" i="4"/>
  <c r="J605" i="4" s="1"/>
  <c r="I602" i="4"/>
  <c r="I605" i="4" s="1"/>
  <c r="I606" i="4" s="1"/>
  <c r="H602" i="4"/>
  <c r="H605" i="4" s="1"/>
  <c r="G602" i="4"/>
  <c r="G605" i="4" s="1"/>
  <c r="F602" i="4"/>
  <c r="F605" i="4" s="1"/>
  <c r="F606" i="4" s="1"/>
  <c r="E602" i="4"/>
  <c r="E605" i="4" s="1"/>
  <c r="D602" i="4"/>
  <c r="D605" i="4" s="1"/>
  <c r="C602" i="4"/>
  <c r="C605" i="4" s="1"/>
  <c r="B602" i="4"/>
  <c r="B605" i="4" s="1"/>
  <c r="O601" i="4"/>
  <c r="O600" i="4"/>
  <c r="O599" i="4"/>
  <c r="O598" i="4"/>
  <c r="O597" i="4"/>
  <c r="O602" i="4" s="1"/>
  <c r="O605" i="4" s="1"/>
  <c r="O596" i="4"/>
  <c r="O595" i="4"/>
  <c r="M592" i="4"/>
  <c r="M606" i="4" s="1"/>
  <c r="L592" i="4"/>
  <c r="L606" i="4" s="1"/>
  <c r="I592" i="4"/>
  <c r="F592" i="4"/>
  <c r="D592" i="4"/>
  <c r="C592" i="4"/>
  <c r="C606" i="4" s="1"/>
  <c r="B592" i="4"/>
  <c r="B606" i="4" s="1"/>
  <c r="N591" i="4"/>
  <c r="N592" i="4" s="1"/>
  <c r="N606" i="4" s="1"/>
  <c r="M591" i="4"/>
  <c r="L591" i="4"/>
  <c r="K591" i="4"/>
  <c r="K592" i="4" s="1"/>
  <c r="K606" i="4" s="1"/>
  <c r="J591" i="4"/>
  <c r="J592" i="4" s="1"/>
  <c r="I591" i="4"/>
  <c r="H591" i="4"/>
  <c r="H592" i="4" s="1"/>
  <c r="G591" i="4"/>
  <c r="G592" i="4" s="1"/>
  <c r="F591" i="4"/>
  <c r="E591" i="4"/>
  <c r="E592" i="4" s="1"/>
  <c r="D591" i="4"/>
  <c r="C591" i="4"/>
  <c r="B591" i="4"/>
  <c r="O590" i="4"/>
  <c r="O589" i="4"/>
  <c r="O588" i="4"/>
  <c r="O591" i="4" s="1"/>
  <c r="O592" i="4" s="1"/>
  <c r="O606" i="4" s="1"/>
  <c r="O587" i="4"/>
  <c r="J582" i="4"/>
  <c r="G582" i="4"/>
  <c r="B582" i="4"/>
  <c r="N581" i="4"/>
  <c r="M581" i="4"/>
  <c r="L581" i="4"/>
  <c r="K581" i="4"/>
  <c r="J581" i="4"/>
  <c r="I581" i="4"/>
  <c r="H581" i="4"/>
  <c r="G581" i="4"/>
  <c r="F581" i="4"/>
  <c r="E581" i="4"/>
  <c r="D581" i="4"/>
  <c r="C581" i="4"/>
  <c r="B581" i="4"/>
  <c r="O580" i="4"/>
  <c r="O579" i="4"/>
  <c r="O578" i="4"/>
  <c r="O577" i="4"/>
  <c r="O576" i="4"/>
  <c r="O575" i="4"/>
  <c r="O574" i="4"/>
  <c r="O573" i="4"/>
  <c r="O572" i="4"/>
  <c r="O571" i="4"/>
  <c r="O570" i="4"/>
  <c r="O569" i="4"/>
  <c r="O568" i="4"/>
  <c r="O567" i="4"/>
  <c r="O566" i="4"/>
  <c r="O565" i="4"/>
  <c r="O564" i="4"/>
  <c r="O563" i="4"/>
  <c r="O562" i="4"/>
  <c r="O561" i="4"/>
  <c r="O560" i="4"/>
  <c r="O559" i="4"/>
  <c r="O558" i="4"/>
  <c r="O557" i="4"/>
  <c r="O556" i="4"/>
  <c r="O555" i="4"/>
  <c r="O554" i="4"/>
  <c r="O553" i="4"/>
  <c r="O552" i="4"/>
  <c r="O551" i="4"/>
  <c r="O550" i="4"/>
  <c r="O549" i="4"/>
  <c r="O548" i="4"/>
  <c r="O547" i="4"/>
  <c r="O546" i="4"/>
  <c r="O545" i="4"/>
  <c r="O544" i="4"/>
  <c r="O543" i="4"/>
  <c r="O542" i="4"/>
  <c r="O541" i="4"/>
  <c r="O540" i="4"/>
  <c r="O539" i="4"/>
  <c r="O538" i="4"/>
  <c r="O537" i="4"/>
  <c r="O536" i="4"/>
  <c r="O535" i="4"/>
  <c r="O534" i="4"/>
  <c r="O533" i="4"/>
  <c r="O532" i="4"/>
  <c r="O531" i="4"/>
  <c r="O530" i="4"/>
  <c r="O529" i="4"/>
  <c r="O528" i="4"/>
  <c r="O527" i="4"/>
  <c r="O526" i="4"/>
  <c r="O525" i="4"/>
  <c r="O524" i="4"/>
  <c r="O523" i="4"/>
  <c r="O522" i="4"/>
  <c r="O521" i="4"/>
  <c r="O520" i="4"/>
  <c r="O519" i="4"/>
  <c r="O518" i="4"/>
  <c r="O517" i="4"/>
  <c r="O516" i="4"/>
  <c r="O515" i="4"/>
  <c r="O514" i="4"/>
  <c r="O513" i="4"/>
  <c r="O512" i="4"/>
  <c r="O511" i="4"/>
  <c r="O510" i="4"/>
  <c r="O509" i="4"/>
  <c r="O508" i="4"/>
  <c r="O507" i="4"/>
  <c r="O506" i="4"/>
  <c r="O505" i="4"/>
  <c r="O504" i="4"/>
  <c r="O503" i="4"/>
  <c r="O502" i="4"/>
  <c r="O501" i="4"/>
  <c r="O500" i="4"/>
  <c r="O499" i="4"/>
  <c r="O498" i="4"/>
  <c r="O497" i="4"/>
  <c r="O496" i="4"/>
  <c r="O495" i="4"/>
  <c r="O494" i="4"/>
  <c r="O493" i="4"/>
  <c r="O492" i="4"/>
  <c r="O491" i="4"/>
  <c r="O490" i="4"/>
  <c r="O489" i="4"/>
  <c r="O488" i="4"/>
  <c r="O487" i="4"/>
  <c r="O486" i="4"/>
  <c r="O485" i="4"/>
  <c r="O484" i="4"/>
  <c r="O483" i="4"/>
  <c r="O482" i="4"/>
  <c r="O481" i="4"/>
  <c r="O480" i="4"/>
  <c r="O479" i="4"/>
  <c r="O478" i="4"/>
  <c r="O477" i="4"/>
  <c r="O476" i="4"/>
  <c r="O475" i="4"/>
  <c r="O474" i="4"/>
  <c r="O473" i="4"/>
  <c r="O472" i="4"/>
  <c r="O471" i="4"/>
  <c r="O470" i="4"/>
  <c r="O469" i="4"/>
  <c r="O468" i="4"/>
  <c r="O467" i="4"/>
  <c r="O466" i="4"/>
  <c r="O465" i="4"/>
  <c r="O464" i="4"/>
  <c r="O463" i="4"/>
  <c r="O462" i="4"/>
  <c r="O461" i="4"/>
  <c r="O460" i="4"/>
  <c r="O459" i="4"/>
  <c r="O581" i="4" s="1"/>
  <c r="O458" i="4"/>
  <c r="O457" i="4"/>
  <c r="O456" i="4"/>
  <c r="O455" i="4"/>
  <c r="O454" i="4"/>
  <c r="N452" i="4"/>
  <c r="M452" i="4"/>
  <c r="L452" i="4"/>
  <c r="K452" i="4"/>
  <c r="K582" i="4" s="1"/>
  <c r="J452" i="4"/>
  <c r="I452" i="4"/>
  <c r="H452" i="4"/>
  <c r="G452" i="4"/>
  <c r="F452" i="4"/>
  <c r="F582" i="4" s="1"/>
  <c r="E452" i="4"/>
  <c r="D452" i="4"/>
  <c r="C452" i="4"/>
  <c r="B452" i="4"/>
  <c r="O451" i="4"/>
  <c r="O450" i="4"/>
  <c r="O449" i="4"/>
  <c r="O448" i="4"/>
  <c r="O447" i="4"/>
  <c r="O446" i="4"/>
  <c r="O445" i="4"/>
  <c r="O444" i="4"/>
  <c r="O443" i="4"/>
  <c r="O442" i="4"/>
  <c r="O441" i="4"/>
  <c r="O440" i="4"/>
  <c r="O439" i="4"/>
  <c r="O438" i="4"/>
  <c r="O437" i="4"/>
  <c r="O436" i="4"/>
  <c r="O435" i="4"/>
  <c r="O434" i="4"/>
  <c r="O433" i="4"/>
  <c r="O432" i="4"/>
  <c r="O431" i="4"/>
  <c r="O430" i="4"/>
  <c r="O429" i="4"/>
  <c r="O428" i="4"/>
  <c r="O427" i="4"/>
  <c r="O426" i="4"/>
  <c r="O425" i="4"/>
  <c r="O424" i="4"/>
  <c r="O423" i="4"/>
  <c r="O422" i="4"/>
  <c r="O421" i="4"/>
  <c r="O420" i="4"/>
  <c r="O419" i="4"/>
  <c r="O418" i="4"/>
  <c r="O417" i="4"/>
  <c r="O416" i="4"/>
  <c r="O415" i="4"/>
  <c r="O414" i="4"/>
  <c r="O413" i="4"/>
  <c r="O412" i="4"/>
  <c r="O411" i="4"/>
  <c r="O410" i="4"/>
  <c r="O409" i="4"/>
  <c r="O408" i="4"/>
  <c r="O407" i="4"/>
  <c r="O406" i="4"/>
  <c r="O405" i="4"/>
  <c r="O404" i="4"/>
  <c r="O403" i="4"/>
  <c r="O402" i="4"/>
  <c r="O401" i="4"/>
  <c r="O400" i="4"/>
  <c r="O399" i="4"/>
  <c r="O398" i="4"/>
  <c r="O397" i="4"/>
  <c r="O396" i="4"/>
  <c r="O395" i="4"/>
  <c r="O394" i="4"/>
  <c r="O393" i="4"/>
  <c r="O392" i="4"/>
  <c r="O391" i="4"/>
  <c r="O390" i="4"/>
  <c r="O389" i="4"/>
  <c r="O388" i="4"/>
  <c r="O387" i="4"/>
  <c r="O386" i="4"/>
  <c r="O385" i="4"/>
  <c r="O384" i="4"/>
  <c r="O383" i="4"/>
  <c r="O382" i="4"/>
  <c r="O381" i="4"/>
  <c r="O380" i="4"/>
  <c r="O379" i="4"/>
  <c r="O378" i="4"/>
  <c r="O377" i="4"/>
  <c r="O376" i="4"/>
  <c r="O375" i="4"/>
  <c r="O374" i="4"/>
  <c r="O373" i="4"/>
  <c r="O372" i="4"/>
  <c r="O371" i="4"/>
  <c r="O370" i="4"/>
  <c r="O369" i="4"/>
  <c r="O368" i="4"/>
  <c r="O367" i="4"/>
  <c r="O366" i="4"/>
  <c r="O365" i="4"/>
  <c r="O364" i="4"/>
  <c r="O363" i="4"/>
  <c r="O362" i="4"/>
  <c r="O361" i="4"/>
  <c r="O360" i="4"/>
  <c r="O359" i="4"/>
  <c r="O358" i="4"/>
  <c r="O357" i="4"/>
  <c r="O356" i="4"/>
  <c r="O355" i="4"/>
  <c r="O354" i="4"/>
  <c r="O353" i="4"/>
  <c r="O352" i="4"/>
  <c r="O351" i="4"/>
  <c r="O350" i="4"/>
  <c r="O349" i="4"/>
  <c r="O348" i="4"/>
  <c r="O347" i="4"/>
  <c r="O346" i="4"/>
  <c r="O452" i="4" s="1"/>
  <c r="N344" i="4"/>
  <c r="N582" i="4" s="1"/>
  <c r="M344" i="4"/>
  <c r="M582" i="4" s="1"/>
  <c r="L344" i="4"/>
  <c r="L582" i="4" s="1"/>
  <c r="K344" i="4"/>
  <c r="J344" i="4"/>
  <c r="I344" i="4"/>
  <c r="I582" i="4" s="1"/>
  <c r="H344" i="4"/>
  <c r="H582" i="4" s="1"/>
  <c r="G344" i="4"/>
  <c r="F344" i="4"/>
  <c r="E344" i="4"/>
  <c r="E582" i="4" s="1"/>
  <c r="D344" i="4"/>
  <c r="D582" i="4" s="1"/>
  <c r="C344" i="4"/>
  <c r="C582" i="4" s="1"/>
  <c r="B344" i="4"/>
  <c r="O343" i="4"/>
  <c r="O342" i="4"/>
  <c r="O341" i="4"/>
  <c r="O340" i="4"/>
  <c r="O339" i="4"/>
  <c r="O338" i="4"/>
  <c r="O337" i="4"/>
  <c r="O336" i="4"/>
  <c r="O335" i="4"/>
  <c r="O334" i="4"/>
  <c r="O333" i="4"/>
  <c r="O332" i="4"/>
  <c r="O331" i="4"/>
  <c r="O330" i="4"/>
  <c r="O329" i="4"/>
  <c r="O328" i="4"/>
  <c r="O327" i="4"/>
  <c r="O326" i="4"/>
  <c r="O325" i="4"/>
  <c r="O324" i="4"/>
  <c r="O323" i="4"/>
  <c r="O322" i="4"/>
  <c r="O321" i="4"/>
  <c r="O320" i="4"/>
  <c r="O319" i="4"/>
  <c r="O318" i="4"/>
  <c r="O317" i="4"/>
  <c r="O316" i="4"/>
  <c r="O315" i="4"/>
  <c r="O314" i="4"/>
  <c r="O313" i="4"/>
  <c r="O312" i="4"/>
  <c r="O311" i="4"/>
  <c r="O310" i="4"/>
  <c r="O309" i="4"/>
  <c r="O308" i="4"/>
  <c r="O307" i="4"/>
  <c r="O306" i="4"/>
  <c r="O305" i="4"/>
  <c r="O304" i="4"/>
  <c r="O303" i="4"/>
  <c r="O302" i="4"/>
  <c r="O301" i="4"/>
  <c r="O300" i="4"/>
  <c r="O299" i="4"/>
  <c r="O298" i="4"/>
  <c r="O297" i="4"/>
  <c r="O296" i="4"/>
  <c r="O295" i="4"/>
  <c r="O294" i="4"/>
  <c r="O293" i="4"/>
  <c r="O292" i="4"/>
  <c r="O291" i="4"/>
  <c r="O290" i="4"/>
  <c r="O289" i="4"/>
  <c r="O288" i="4"/>
  <c r="O287" i="4"/>
  <c r="O286" i="4"/>
  <c r="O285" i="4"/>
  <c r="O284" i="4"/>
  <c r="O283" i="4"/>
  <c r="O282" i="4"/>
  <c r="O281" i="4"/>
  <c r="O280" i="4"/>
  <c r="O279" i="4"/>
  <c r="O278" i="4"/>
  <c r="O277" i="4"/>
  <c r="O276" i="4"/>
  <c r="O275" i="4"/>
  <c r="O274" i="4"/>
  <c r="O273" i="4"/>
  <c r="O272" i="4"/>
  <c r="O344" i="4" s="1"/>
  <c r="O582" i="4" s="1"/>
  <c r="N266" i="4"/>
  <c r="M266" i="4"/>
  <c r="J266" i="4"/>
  <c r="G266" i="4"/>
  <c r="E266" i="4"/>
  <c r="D266" i="4"/>
  <c r="C266" i="4"/>
  <c r="N265" i="4"/>
  <c r="M265" i="4"/>
  <c r="L265" i="4"/>
  <c r="L266" i="4" s="1"/>
  <c r="K265" i="4"/>
  <c r="K266" i="4" s="1"/>
  <c r="J265" i="4"/>
  <c r="I265" i="4"/>
  <c r="I266" i="4" s="1"/>
  <c r="H265" i="4"/>
  <c r="H266" i="4" s="1"/>
  <c r="G265" i="4"/>
  <c r="F265" i="4"/>
  <c r="F266" i="4" s="1"/>
  <c r="E265" i="4"/>
  <c r="D265" i="4"/>
  <c r="C265" i="4"/>
  <c r="B265" i="4"/>
  <c r="B266" i="4" s="1"/>
  <c r="O264" i="4"/>
  <c r="O263" i="4"/>
  <c r="O262" i="4"/>
  <c r="O261" i="4"/>
  <c r="O260" i="4"/>
  <c r="O265" i="4" s="1"/>
  <c r="O266" i="4" s="1"/>
  <c r="L256" i="4"/>
  <c r="D256" i="4"/>
  <c r="C256" i="4"/>
  <c r="B256" i="4"/>
  <c r="N255" i="4"/>
  <c r="M255" i="4"/>
  <c r="L255" i="4"/>
  <c r="K255" i="4"/>
  <c r="J255" i="4"/>
  <c r="I255" i="4"/>
  <c r="H255" i="4"/>
  <c r="G255" i="4"/>
  <c r="F255" i="4"/>
  <c r="E255" i="4"/>
  <c r="D255" i="4"/>
  <c r="C255" i="4"/>
  <c r="B255" i="4"/>
  <c r="O254" i="4"/>
  <c r="O255" i="4" s="1"/>
  <c r="O252" i="4"/>
  <c r="N252" i="4"/>
  <c r="M252" i="4"/>
  <c r="L252" i="4"/>
  <c r="K252" i="4"/>
  <c r="J252" i="4"/>
  <c r="I252" i="4"/>
  <c r="H252" i="4"/>
  <c r="G252" i="4"/>
  <c r="F252" i="4"/>
  <c r="E252" i="4"/>
  <c r="D252" i="4"/>
  <c r="C252" i="4"/>
  <c r="B252" i="4"/>
  <c r="O251" i="4"/>
  <c r="O249" i="4"/>
  <c r="N249" i="4"/>
  <c r="M249" i="4"/>
  <c r="L249" i="4"/>
  <c r="K249" i="4"/>
  <c r="J249" i="4"/>
  <c r="I249" i="4"/>
  <c r="H249" i="4"/>
  <c r="G249" i="4"/>
  <c r="F249" i="4"/>
  <c r="E249" i="4"/>
  <c r="D249" i="4"/>
  <c r="C249" i="4"/>
  <c r="B249" i="4"/>
  <c r="O248" i="4"/>
  <c r="O246" i="4"/>
  <c r="N246" i="4"/>
  <c r="M246" i="4"/>
  <c r="L246" i="4"/>
  <c r="K246" i="4"/>
  <c r="J246" i="4"/>
  <c r="J256" i="4" s="1"/>
  <c r="I246" i="4"/>
  <c r="H246" i="4"/>
  <c r="H256" i="4" s="1"/>
  <c r="G246" i="4"/>
  <c r="F246" i="4"/>
  <c r="E246" i="4"/>
  <c r="D246" i="4"/>
  <c r="C246" i="4"/>
  <c r="B246" i="4"/>
  <c r="O245" i="4"/>
  <c r="N243" i="4"/>
  <c r="N256" i="4" s="1"/>
  <c r="N257" i="4" s="1"/>
  <c r="M243" i="4"/>
  <c r="M256" i="4" s="1"/>
  <c r="L243" i="4"/>
  <c r="K243" i="4"/>
  <c r="K256" i="4" s="1"/>
  <c r="J243" i="4"/>
  <c r="I243" i="4"/>
  <c r="I256" i="4" s="1"/>
  <c r="H243" i="4"/>
  <c r="G243" i="4"/>
  <c r="G256" i="4" s="1"/>
  <c r="F243" i="4"/>
  <c r="F256" i="4" s="1"/>
  <c r="E243" i="4"/>
  <c r="E256" i="4" s="1"/>
  <c r="D243" i="4"/>
  <c r="C243" i="4"/>
  <c r="B243" i="4"/>
  <c r="O242" i="4"/>
  <c r="O241" i="4"/>
  <c r="O240" i="4"/>
  <c r="O243" i="4" s="1"/>
  <c r="O256" i="4" s="1"/>
  <c r="O237" i="4"/>
  <c r="N237" i="4"/>
  <c r="M237" i="4"/>
  <c r="L237" i="4"/>
  <c r="K237" i="4"/>
  <c r="J237" i="4"/>
  <c r="I237" i="4"/>
  <c r="H237" i="4"/>
  <c r="G237" i="4"/>
  <c r="F237" i="4"/>
  <c r="E237" i="4"/>
  <c r="D237" i="4"/>
  <c r="C237" i="4"/>
  <c r="B237" i="4"/>
  <c r="O236" i="4"/>
  <c r="N234" i="4"/>
  <c r="M234" i="4"/>
  <c r="L234" i="4"/>
  <c r="K234" i="4"/>
  <c r="J234" i="4"/>
  <c r="I234" i="4"/>
  <c r="H234" i="4"/>
  <c r="G234" i="4"/>
  <c r="F234" i="4"/>
  <c r="E234" i="4"/>
  <c r="D234" i="4"/>
  <c r="C234" i="4"/>
  <c r="B234" i="4"/>
  <c r="O233" i="4"/>
  <c r="O232" i="4"/>
  <c r="O231" i="4"/>
  <c r="O230" i="4"/>
  <c r="O229" i="4"/>
  <c r="O228" i="4"/>
  <c r="O234" i="4" s="1"/>
  <c r="N226" i="4"/>
  <c r="M226" i="4"/>
  <c r="L226" i="4"/>
  <c r="K226" i="4"/>
  <c r="J226" i="4"/>
  <c r="I226" i="4"/>
  <c r="H226" i="4"/>
  <c r="G226" i="4"/>
  <c r="F226" i="4"/>
  <c r="E226" i="4"/>
  <c r="D226" i="4"/>
  <c r="C226" i="4"/>
  <c r="B226" i="4"/>
  <c r="O225" i="4"/>
  <c r="O224" i="4"/>
  <c r="O223" i="4"/>
  <c r="O226" i="4" s="1"/>
  <c r="N221" i="4"/>
  <c r="L221" i="4"/>
  <c r="K221" i="4"/>
  <c r="H221" i="4"/>
  <c r="F221" i="4"/>
  <c r="C221" i="4"/>
  <c r="C257" i="4" s="1"/>
  <c r="B221" i="4"/>
  <c r="O220" i="4"/>
  <c r="N219" i="4"/>
  <c r="M219" i="4"/>
  <c r="M221" i="4" s="1"/>
  <c r="L219" i="4"/>
  <c r="K219" i="4"/>
  <c r="J219" i="4"/>
  <c r="J221" i="4" s="1"/>
  <c r="I219" i="4"/>
  <c r="I221" i="4" s="1"/>
  <c r="H219" i="4"/>
  <c r="G219" i="4"/>
  <c r="G221" i="4" s="1"/>
  <c r="F219" i="4"/>
  <c r="E219" i="4"/>
  <c r="E221" i="4" s="1"/>
  <c r="D219" i="4"/>
  <c r="D221" i="4" s="1"/>
  <c r="D257" i="4" s="1"/>
  <c r="C219" i="4"/>
  <c r="B219" i="4"/>
  <c r="O218" i="4"/>
  <c r="O217" i="4"/>
  <c r="O216" i="4"/>
  <c r="O215" i="4"/>
  <c r="O214" i="4"/>
  <c r="O219" i="4" s="1"/>
  <c r="O213" i="4"/>
  <c r="O211" i="4"/>
  <c r="O210" i="4"/>
  <c r="O209" i="4"/>
  <c r="O208" i="4"/>
  <c r="O207" i="4"/>
  <c r="O206" i="4"/>
  <c r="O205" i="4"/>
  <c r="O204" i="4"/>
  <c r="O203" i="4"/>
  <c r="O202" i="4"/>
  <c r="O200" i="4"/>
  <c r="N200" i="4"/>
  <c r="M200" i="4"/>
  <c r="L200" i="4"/>
  <c r="K200" i="4"/>
  <c r="K257" i="4" s="1"/>
  <c r="J200" i="4"/>
  <c r="I200" i="4"/>
  <c r="H200" i="4"/>
  <c r="G200" i="4"/>
  <c r="F200" i="4"/>
  <c r="E200" i="4"/>
  <c r="D200" i="4"/>
  <c r="C200" i="4"/>
  <c r="B200" i="4"/>
  <c r="O199" i="4"/>
  <c r="N197" i="4"/>
  <c r="M197" i="4"/>
  <c r="L197" i="4"/>
  <c r="K197" i="4"/>
  <c r="J197" i="4"/>
  <c r="I197" i="4"/>
  <c r="H197" i="4"/>
  <c r="G197" i="4"/>
  <c r="F197" i="4"/>
  <c r="E197" i="4"/>
  <c r="D197" i="4"/>
  <c r="C197" i="4"/>
  <c r="B197" i="4"/>
  <c r="O196" i="4"/>
  <c r="O195" i="4"/>
  <c r="O194" i="4"/>
  <c r="O193" i="4"/>
  <c r="O197" i="4" s="1"/>
  <c r="N191" i="4"/>
  <c r="M191" i="4"/>
  <c r="L191" i="4"/>
  <c r="K191" i="4"/>
  <c r="J191" i="4"/>
  <c r="I191" i="4"/>
  <c r="H191" i="4"/>
  <c r="G191" i="4"/>
  <c r="F191" i="4"/>
  <c r="E191" i="4"/>
  <c r="D191" i="4"/>
  <c r="C191" i="4"/>
  <c r="B191" i="4"/>
  <c r="O190" i="4"/>
  <c r="O189" i="4"/>
  <c r="O188" i="4"/>
  <c r="O187" i="4"/>
  <c r="O186" i="4"/>
  <c r="O185" i="4"/>
  <c r="O184" i="4"/>
  <c r="O183" i="4"/>
  <c r="O182" i="4"/>
  <c r="O191" i="4" s="1"/>
  <c r="O181" i="4"/>
  <c r="N179" i="4"/>
  <c r="M179" i="4"/>
  <c r="L179" i="4"/>
  <c r="K179" i="4"/>
  <c r="J179" i="4"/>
  <c r="I179" i="4"/>
  <c r="H179" i="4"/>
  <c r="G179" i="4"/>
  <c r="F179" i="4"/>
  <c r="E179" i="4"/>
  <c r="D179" i="4"/>
  <c r="C179" i="4"/>
  <c r="B179" i="4"/>
  <c r="O178" i="4"/>
  <c r="O177" i="4"/>
  <c r="O176" i="4"/>
  <c r="O175" i="4"/>
  <c r="O174" i="4"/>
  <c r="O173" i="4"/>
  <c r="O172" i="4"/>
  <c r="O171" i="4"/>
  <c r="O170" i="4"/>
  <c r="O169" i="4"/>
  <c r="O168" i="4"/>
  <c r="O167" i="4"/>
  <c r="O166" i="4"/>
  <c r="O165" i="4"/>
  <c r="O164" i="4"/>
  <c r="O163" i="4"/>
  <c r="O162" i="4"/>
  <c r="O161" i="4"/>
  <c r="O160" i="4"/>
  <c r="O159" i="4"/>
  <c r="O158" i="4"/>
  <c r="O157" i="4"/>
  <c r="O156" i="4"/>
  <c r="O155" i="4"/>
  <c r="O154" i="4"/>
  <c r="O153" i="4"/>
  <c r="O179" i="4" s="1"/>
  <c r="O151" i="4"/>
  <c r="N151" i="4"/>
  <c r="M151" i="4"/>
  <c r="L151" i="4"/>
  <c r="L257" i="4" s="1"/>
  <c r="K151" i="4"/>
  <c r="J151" i="4"/>
  <c r="J257" i="4" s="1"/>
  <c r="I151" i="4"/>
  <c r="I257" i="4" s="1"/>
  <c r="H151" i="4"/>
  <c r="G151" i="4"/>
  <c r="G257" i="4" s="1"/>
  <c r="F151" i="4"/>
  <c r="E151" i="4"/>
  <c r="D151" i="4"/>
  <c r="C151" i="4"/>
  <c r="B151" i="4"/>
  <c r="B257" i="4" s="1"/>
  <c r="O150" i="4"/>
  <c r="O149" i="4"/>
  <c r="N145" i="4"/>
  <c r="M145" i="4"/>
  <c r="G145" i="4"/>
  <c r="O144" i="4"/>
  <c r="N144" i="4"/>
  <c r="M144" i="4"/>
  <c r="L144" i="4"/>
  <c r="K144" i="4"/>
  <c r="J144" i="4"/>
  <c r="I144" i="4"/>
  <c r="H144" i="4"/>
  <c r="G144" i="4"/>
  <c r="F144" i="4"/>
  <c r="E144" i="4"/>
  <c r="D144" i="4"/>
  <c r="C144" i="4"/>
  <c r="B144" i="4"/>
  <c r="O143" i="4"/>
  <c r="N141" i="4"/>
  <c r="M141" i="4"/>
  <c r="L141" i="4"/>
  <c r="L145" i="4" s="1"/>
  <c r="K141" i="4"/>
  <c r="J141" i="4"/>
  <c r="I141" i="4"/>
  <c r="H141" i="4"/>
  <c r="G141" i="4"/>
  <c r="F141" i="4"/>
  <c r="E141" i="4"/>
  <c r="D141" i="4"/>
  <c r="C141" i="4"/>
  <c r="B141" i="4"/>
  <c r="O140" i="4"/>
  <c r="O141" i="4" s="1"/>
  <c r="N138" i="4"/>
  <c r="M138" i="4"/>
  <c r="L138" i="4"/>
  <c r="K138" i="4"/>
  <c r="J138" i="4"/>
  <c r="J145" i="4" s="1"/>
  <c r="I138" i="4"/>
  <c r="H138" i="4"/>
  <c r="G138" i="4"/>
  <c r="F138" i="4"/>
  <c r="E138" i="4"/>
  <c r="D138" i="4"/>
  <c r="C138" i="4"/>
  <c r="B138" i="4"/>
  <c r="O137" i="4"/>
  <c r="O138" i="4" s="1"/>
  <c r="O135" i="4"/>
  <c r="N135" i="4"/>
  <c r="M135" i="4"/>
  <c r="L135" i="4"/>
  <c r="K135" i="4"/>
  <c r="J135" i="4"/>
  <c r="I135" i="4"/>
  <c r="H135" i="4"/>
  <c r="G135" i="4"/>
  <c r="F135" i="4"/>
  <c r="E135" i="4"/>
  <c r="E145" i="4" s="1"/>
  <c r="D135" i="4"/>
  <c r="C135" i="4"/>
  <c r="C145" i="4" s="1"/>
  <c r="B135" i="4"/>
  <c r="O134" i="4"/>
  <c r="N132" i="4"/>
  <c r="M132" i="4"/>
  <c r="L132" i="4"/>
  <c r="K132" i="4"/>
  <c r="K145" i="4" s="1"/>
  <c r="J132" i="4"/>
  <c r="I132" i="4"/>
  <c r="I145" i="4" s="1"/>
  <c r="H132" i="4"/>
  <c r="H145" i="4" s="1"/>
  <c r="G132" i="4"/>
  <c r="F132" i="4"/>
  <c r="F145" i="4" s="1"/>
  <c r="E132" i="4"/>
  <c r="D132" i="4"/>
  <c r="D145" i="4" s="1"/>
  <c r="C132" i="4"/>
  <c r="B132" i="4"/>
  <c r="B145" i="4" s="1"/>
  <c r="O131" i="4"/>
  <c r="O130" i="4"/>
  <c r="O129" i="4"/>
  <c r="O132" i="4" s="1"/>
  <c r="N126" i="4"/>
  <c r="M126" i="4"/>
  <c r="L126" i="4"/>
  <c r="K126" i="4"/>
  <c r="J126" i="4"/>
  <c r="I126" i="4"/>
  <c r="H126" i="4"/>
  <c r="G126" i="4"/>
  <c r="F126" i="4"/>
  <c r="E126" i="4"/>
  <c r="D126" i="4"/>
  <c r="C126" i="4"/>
  <c r="B126" i="4"/>
  <c r="O125" i="4"/>
  <c r="O124" i="4"/>
  <c r="O123" i="4"/>
  <c r="O126" i="4" s="1"/>
  <c r="O122" i="4"/>
  <c r="N120" i="4"/>
  <c r="M120" i="4"/>
  <c r="L120" i="4"/>
  <c r="K120" i="4"/>
  <c r="J120" i="4"/>
  <c r="I120" i="4"/>
  <c r="H120" i="4"/>
  <c r="G120" i="4"/>
  <c r="F120" i="4"/>
  <c r="E120" i="4"/>
  <c r="D120" i="4"/>
  <c r="C120" i="4"/>
  <c r="B120" i="4"/>
  <c r="O119" i="4"/>
  <c r="O118" i="4"/>
  <c r="O117" i="4"/>
  <c r="O116" i="4"/>
  <c r="O115" i="4"/>
  <c r="O114" i="4"/>
  <c r="O113" i="4"/>
  <c r="O112" i="4"/>
  <c r="O120" i="4" s="1"/>
  <c r="N110" i="4"/>
  <c r="M110" i="4"/>
  <c r="L110" i="4"/>
  <c r="K110" i="4"/>
  <c r="J110" i="4"/>
  <c r="I110" i="4"/>
  <c r="H110" i="4"/>
  <c r="G110" i="4"/>
  <c r="F110" i="4"/>
  <c r="E110" i="4"/>
  <c r="D110" i="4"/>
  <c r="C110" i="4"/>
  <c r="B110" i="4"/>
  <c r="O109" i="4"/>
  <c r="O108" i="4"/>
  <c r="O107" i="4"/>
  <c r="O106" i="4"/>
  <c r="O105" i="4"/>
  <c r="O110" i="4" s="1"/>
  <c r="N103" i="4"/>
  <c r="M103" i="4"/>
  <c r="L103" i="4"/>
  <c r="K103" i="4"/>
  <c r="J103" i="4"/>
  <c r="I103" i="4"/>
  <c r="H103" i="4"/>
  <c r="G103" i="4"/>
  <c r="F103" i="4"/>
  <c r="E103" i="4"/>
  <c r="D103" i="4"/>
  <c r="C103" i="4"/>
  <c r="B103" i="4"/>
  <c r="O102" i="4"/>
  <c r="O101" i="4"/>
  <c r="O100" i="4"/>
  <c r="O99" i="4"/>
  <c r="O98" i="4"/>
  <c r="O97" i="4"/>
  <c r="O96" i="4"/>
  <c r="O95" i="4"/>
  <c r="O94" i="4"/>
  <c r="O93" i="4"/>
  <c r="O92" i="4"/>
  <c r="O91" i="4"/>
  <c r="O103" i="4" s="1"/>
  <c r="O89" i="4"/>
  <c r="N89" i="4"/>
  <c r="M89" i="4"/>
  <c r="L89" i="4"/>
  <c r="K89" i="4"/>
  <c r="J89" i="4"/>
  <c r="I89" i="4"/>
  <c r="H89" i="4"/>
  <c r="G89" i="4"/>
  <c r="F89" i="4"/>
  <c r="E89" i="4"/>
  <c r="D89" i="4"/>
  <c r="C89" i="4"/>
  <c r="B89" i="4"/>
  <c r="O88" i="4"/>
  <c r="O87" i="4"/>
  <c r="N85" i="4"/>
  <c r="M85" i="4"/>
  <c r="L85" i="4"/>
  <c r="K85" i="4"/>
  <c r="J85" i="4"/>
  <c r="I85" i="4"/>
  <c r="H85" i="4"/>
  <c r="G85" i="4"/>
  <c r="F85" i="4"/>
  <c r="E85" i="4"/>
  <c r="D85" i="4"/>
  <c r="C85" i="4"/>
  <c r="B85" i="4"/>
  <c r="O84" i="4"/>
  <c r="O83" i="4"/>
  <c r="O82" i="4"/>
  <c r="O81" i="4"/>
  <c r="O80" i="4"/>
  <c r="O79" i="4"/>
  <c r="O78" i="4"/>
  <c r="O77" i="4"/>
  <c r="O76" i="4"/>
  <c r="O75" i="4"/>
  <c r="O74" i="4"/>
  <c r="O85" i="4" s="1"/>
  <c r="O73" i="4"/>
  <c r="O72" i="4"/>
  <c r="O71" i="4"/>
  <c r="O70" i="4"/>
  <c r="N68" i="4"/>
  <c r="M68" i="4"/>
  <c r="L68" i="4"/>
  <c r="K68" i="4"/>
  <c r="J68" i="4"/>
  <c r="I68" i="4"/>
  <c r="H68" i="4"/>
  <c r="G68" i="4"/>
  <c r="F68" i="4"/>
  <c r="E68" i="4"/>
  <c r="D68" i="4"/>
  <c r="C68" i="4"/>
  <c r="B68" i="4"/>
  <c r="O67" i="4"/>
  <c r="O66" i="4"/>
  <c r="O65" i="4"/>
  <c r="O64" i="4"/>
  <c r="O63" i="4"/>
  <c r="O62" i="4"/>
  <c r="O61" i="4"/>
  <c r="O60" i="4"/>
  <c r="O59" i="4"/>
  <c r="O58" i="4"/>
  <c r="O57" i="4"/>
  <c r="O56" i="4"/>
  <c r="O55" i="4"/>
  <c r="O54" i="4"/>
  <c r="O53" i="4"/>
  <c r="O52" i="4"/>
  <c r="O51" i="4"/>
  <c r="O50" i="4"/>
  <c r="O49" i="4"/>
  <c r="O48" i="4"/>
  <c r="O47" i="4"/>
  <c r="O46" i="4"/>
  <c r="O45" i="4"/>
  <c r="O68" i="4" s="1"/>
  <c r="O43" i="4"/>
  <c r="N43" i="4"/>
  <c r="N146" i="4" s="1"/>
  <c r="N267" i="4" s="1"/>
  <c r="M43" i="4"/>
  <c r="M146" i="4" s="1"/>
  <c r="L43" i="4"/>
  <c r="K43" i="4"/>
  <c r="K146" i="4" s="1"/>
  <c r="J43" i="4"/>
  <c r="I43" i="4"/>
  <c r="I146" i="4" s="1"/>
  <c r="H43" i="4"/>
  <c r="H146" i="4" s="1"/>
  <c r="G43" i="4"/>
  <c r="G146" i="4" s="1"/>
  <c r="G267" i="4" s="1"/>
  <c r="F43" i="4"/>
  <c r="E43" i="4"/>
  <c r="E146" i="4" s="1"/>
  <c r="D43" i="4"/>
  <c r="C43" i="4"/>
  <c r="C146" i="4" s="1"/>
  <c r="C267" i="4" s="1"/>
  <c r="B43" i="4"/>
  <c r="O42" i="4"/>
  <c r="O41" i="4"/>
  <c r="N36" i="4"/>
  <c r="M36" i="4"/>
  <c r="J36" i="4"/>
  <c r="H36" i="4"/>
  <c r="G36" i="4"/>
  <c r="D36" i="4"/>
  <c r="N35" i="4"/>
  <c r="M35" i="4"/>
  <c r="L35" i="4"/>
  <c r="L36" i="4" s="1"/>
  <c r="K35" i="4"/>
  <c r="K36" i="4" s="1"/>
  <c r="J35" i="4"/>
  <c r="I35" i="4"/>
  <c r="I36" i="4" s="1"/>
  <c r="H35" i="4"/>
  <c r="G35" i="4"/>
  <c r="F35" i="4"/>
  <c r="F36" i="4" s="1"/>
  <c r="E35" i="4"/>
  <c r="E36" i="4" s="1"/>
  <c r="D35" i="4"/>
  <c r="C35" i="4"/>
  <c r="C36" i="4" s="1"/>
  <c r="B35" i="4"/>
  <c r="B36" i="4" s="1"/>
  <c r="O34" i="4"/>
  <c r="O33" i="4"/>
  <c r="O32" i="4"/>
  <c r="O31" i="4"/>
  <c r="O30" i="4"/>
  <c r="O29" i="4"/>
  <c r="O35" i="4" s="1"/>
  <c r="O36" i="4" s="1"/>
  <c r="L26" i="4"/>
  <c r="J26" i="4"/>
  <c r="I26" i="4"/>
  <c r="F26" i="4"/>
  <c r="C26" i="4"/>
  <c r="N25" i="4"/>
  <c r="N26" i="4" s="1"/>
  <c r="M25" i="4"/>
  <c r="M26" i="4" s="1"/>
  <c r="L25" i="4"/>
  <c r="K25" i="4"/>
  <c r="K26" i="4" s="1"/>
  <c r="J25" i="4"/>
  <c r="I25" i="4"/>
  <c r="H25" i="4"/>
  <c r="H26" i="4" s="1"/>
  <c r="G25" i="4"/>
  <c r="G26" i="4" s="1"/>
  <c r="F25" i="4"/>
  <c r="E25" i="4"/>
  <c r="E26" i="4" s="1"/>
  <c r="D25" i="4"/>
  <c r="D26" i="4" s="1"/>
  <c r="C25" i="4"/>
  <c r="B25" i="4"/>
  <c r="B26" i="4" s="1"/>
  <c r="O24" i="4"/>
  <c r="O23" i="4"/>
  <c r="O22" i="4"/>
  <c r="O21" i="4"/>
  <c r="O25" i="4" s="1"/>
  <c r="O26" i="4" s="1"/>
  <c r="L18" i="4"/>
  <c r="J18" i="4"/>
  <c r="J37" i="4" s="1"/>
  <c r="I18" i="4"/>
  <c r="F18" i="4"/>
  <c r="F37" i="4" s="1"/>
  <c r="C18" i="4"/>
  <c r="C37" i="4" s="1"/>
  <c r="N17" i="4"/>
  <c r="N18" i="4" s="1"/>
  <c r="N37" i="4" s="1"/>
  <c r="N268" i="4" s="1"/>
  <c r="M17" i="4"/>
  <c r="M18" i="4" s="1"/>
  <c r="M37" i="4" s="1"/>
  <c r="L17" i="4"/>
  <c r="K17" i="4"/>
  <c r="K18" i="4" s="1"/>
  <c r="K37" i="4" s="1"/>
  <c r="J17" i="4"/>
  <c r="I17" i="4"/>
  <c r="H17" i="4"/>
  <c r="H18" i="4" s="1"/>
  <c r="H37" i="4" s="1"/>
  <c r="G17" i="4"/>
  <c r="G18" i="4" s="1"/>
  <c r="F17" i="4"/>
  <c r="E17" i="4"/>
  <c r="E18" i="4" s="1"/>
  <c r="D17" i="4"/>
  <c r="D18" i="4" s="1"/>
  <c r="C17" i="4"/>
  <c r="B17" i="4"/>
  <c r="B18" i="4" s="1"/>
  <c r="O16" i="4"/>
  <c r="O15" i="4"/>
  <c r="O14" i="4"/>
  <c r="O13" i="4"/>
  <c r="O17" i="4" s="1"/>
  <c r="O18" i="4" s="1"/>
  <c r="O278" i="3"/>
  <c r="N278" i="3"/>
  <c r="M278" i="3"/>
  <c r="L278" i="3"/>
  <c r="K278" i="3"/>
  <c r="J278" i="3"/>
  <c r="I278" i="3"/>
  <c r="H278" i="3"/>
  <c r="G278" i="3"/>
  <c r="F278" i="3"/>
  <c r="E278" i="3"/>
  <c r="D278" i="3"/>
  <c r="C278" i="3"/>
  <c r="B278" i="3"/>
  <c r="O277" i="3"/>
  <c r="M275" i="3"/>
  <c r="M280" i="3" s="1"/>
  <c r="O274" i="3"/>
  <c r="O273" i="3"/>
  <c r="N272" i="3"/>
  <c r="N275" i="3" s="1"/>
  <c r="N280" i="3" s="1"/>
  <c r="M272" i="3"/>
  <c r="L272" i="3"/>
  <c r="L275" i="3" s="1"/>
  <c r="L280" i="3" s="1"/>
  <c r="K272" i="3"/>
  <c r="K275" i="3" s="1"/>
  <c r="J272" i="3"/>
  <c r="J275" i="3" s="1"/>
  <c r="I272" i="3"/>
  <c r="I275" i="3" s="1"/>
  <c r="I280" i="3" s="1"/>
  <c r="H272" i="3"/>
  <c r="H275" i="3" s="1"/>
  <c r="H280" i="3" s="1"/>
  <c r="G272" i="3"/>
  <c r="G275" i="3" s="1"/>
  <c r="F272" i="3"/>
  <c r="F275" i="3" s="1"/>
  <c r="E272" i="3"/>
  <c r="E275" i="3" s="1"/>
  <c r="D272" i="3"/>
  <c r="D275" i="3" s="1"/>
  <c r="D280" i="3" s="1"/>
  <c r="C272" i="3"/>
  <c r="C275" i="3" s="1"/>
  <c r="C280" i="3" s="1"/>
  <c r="B272" i="3"/>
  <c r="B275" i="3" s="1"/>
  <c r="B280" i="3" s="1"/>
  <c r="O271" i="3"/>
  <c r="O270" i="3"/>
  <c r="O269" i="3"/>
  <c r="O272" i="3" s="1"/>
  <c r="O275" i="3" s="1"/>
  <c r="N266" i="3"/>
  <c r="L266" i="3"/>
  <c r="K266" i="3"/>
  <c r="J266" i="3"/>
  <c r="C266" i="3"/>
  <c r="N265" i="3"/>
  <c r="N279" i="3" s="1"/>
  <c r="M265" i="3"/>
  <c r="M279" i="3" s="1"/>
  <c r="L265" i="3"/>
  <c r="L279" i="3" s="1"/>
  <c r="C265" i="3"/>
  <c r="O264" i="3"/>
  <c r="N264" i="3"/>
  <c r="M264" i="3"/>
  <c r="L264" i="3"/>
  <c r="K264" i="3"/>
  <c r="J264" i="3"/>
  <c r="I264" i="3"/>
  <c r="H264" i="3"/>
  <c r="G264" i="3"/>
  <c r="F264" i="3"/>
  <c r="E264" i="3"/>
  <c r="D264" i="3"/>
  <c r="C264" i="3"/>
  <c r="B264" i="3"/>
  <c r="N263" i="3"/>
  <c r="M263" i="3"/>
  <c r="M266" i="3" s="1"/>
  <c r="L263" i="3"/>
  <c r="K263" i="3"/>
  <c r="K265" i="3" s="1"/>
  <c r="J263" i="3"/>
  <c r="J265" i="3" s="1"/>
  <c r="I263" i="3"/>
  <c r="I265" i="3" s="1"/>
  <c r="H263" i="3"/>
  <c r="H265" i="3" s="1"/>
  <c r="G263" i="3"/>
  <c r="G266" i="3" s="1"/>
  <c r="F263" i="3"/>
  <c r="F266" i="3" s="1"/>
  <c r="E263" i="3"/>
  <c r="E265" i="3" s="1"/>
  <c r="D263" i="3"/>
  <c r="D265" i="3" s="1"/>
  <c r="C263" i="3"/>
  <c r="B263" i="3"/>
  <c r="B265" i="3" s="1"/>
  <c r="O262" i="3"/>
  <c r="O261" i="3"/>
  <c r="O260" i="3"/>
  <c r="O263" i="3" s="1"/>
  <c r="O259" i="3"/>
  <c r="O258" i="3"/>
  <c r="O255" i="3"/>
  <c r="N255" i="3"/>
  <c r="M255" i="3"/>
  <c r="L255" i="3"/>
  <c r="K255" i="3"/>
  <c r="J255" i="3"/>
  <c r="I255" i="3"/>
  <c r="H255" i="3"/>
  <c r="G255" i="3"/>
  <c r="F255" i="3"/>
  <c r="E255" i="3"/>
  <c r="D255" i="3"/>
  <c r="C255" i="3"/>
  <c r="B255" i="3"/>
  <c r="O254" i="3"/>
  <c r="N252" i="3"/>
  <c r="M252" i="3"/>
  <c r="L252" i="3"/>
  <c r="K252" i="3"/>
  <c r="K279" i="3" s="1"/>
  <c r="J252" i="3"/>
  <c r="I252" i="3"/>
  <c r="H252" i="3"/>
  <c r="G252" i="3"/>
  <c r="F252" i="3"/>
  <c r="E252" i="3"/>
  <c r="D252" i="3"/>
  <c r="C252" i="3"/>
  <c r="B252" i="3"/>
  <c r="O251" i="3"/>
  <c r="O252" i="3" s="1"/>
  <c r="O250" i="3"/>
  <c r="N246" i="3"/>
  <c r="L246" i="3"/>
  <c r="K246" i="3"/>
  <c r="J246" i="3"/>
  <c r="G246" i="3"/>
  <c r="F246" i="3"/>
  <c r="O245" i="3"/>
  <c r="O246" i="3" s="1"/>
  <c r="N245" i="3"/>
  <c r="M245" i="3"/>
  <c r="M246" i="3" s="1"/>
  <c r="L245" i="3"/>
  <c r="K245" i="3"/>
  <c r="J245" i="3"/>
  <c r="I245" i="3"/>
  <c r="I246" i="3" s="1"/>
  <c r="H245" i="3"/>
  <c r="H246" i="3" s="1"/>
  <c r="G245" i="3"/>
  <c r="F245" i="3"/>
  <c r="E245" i="3"/>
  <c r="E246" i="3" s="1"/>
  <c r="D245" i="3"/>
  <c r="D246" i="3" s="1"/>
  <c r="C245" i="3"/>
  <c r="C246" i="3" s="1"/>
  <c r="B245" i="3"/>
  <c r="B246" i="3" s="1"/>
  <c r="O244" i="3"/>
  <c r="N239" i="3"/>
  <c r="M239" i="3"/>
  <c r="L239" i="3"/>
  <c r="K239" i="3"/>
  <c r="J239" i="3"/>
  <c r="I239" i="3"/>
  <c r="H239" i="3"/>
  <c r="G239" i="3"/>
  <c r="F239" i="3"/>
  <c r="E239" i="3"/>
  <c r="D239" i="3"/>
  <c r="C239" i="3"/>
  <c r="B239" i="3"/>
  <c r="O238" i="3"/>
  <c r="O237" i="3"/>
  <c r="O236" i="3"/>
  <c r="O239" i="3" s="1"/>
  <c r="O235" i="3"/>
  <c r="O234" i="3"/>
  <c r="O233" i="3"/>
  <c r="O232" i="3"/>
  <c r="N230" i="3"/>
  <c r="M230" i="3"/>
  <c r="L230" i="3"/>
  <c r="K230" i="3"/>
  <c r="J230" i="3"/>
  <c r="I230" i="3"/>
  <c r="H230" i="3"/>
  <c r="G230" i="3"/>
  <c r="F230" i="3"/>
  <c r="E230" i="3"/>
  <c r="D230" i="3"/>
  <c r="C230" i="3"/>
  <c r="B230" i="3"/>
  <c r="O229" i="3"/>
  <c r="O230" i="3" s="1"/>
  <c r="I227" i="3"/>
  <c r="E227" i="3"/>
  <c r="E240" i="3" s="1"/>
  <c r="N226" i="3"/>
  <c r="M226" i="3"/>
  <c r="L226" i="3"/>
  <c r="K226" i="3"/>
  <c r="J226" i="3"/>
  <c r="I226" i="3"/>
  <c r="H226" i="3"/>
  <c r="G226" i="3"/>
  <c r="F226" i="3"/>
  <c r="E226" i="3"/>
  <c r="D226" i="3"/>
  <c r="C226" i="3"/>
  <c r="B226" i="3"/>
  <c r="O225" i="3"/>
  <c r="O224" i="3"/>
  <c r="O223" i="3"/>
  <c r="O222" i="3"/>
  <c r="O221" i="3"/>
  <c r="O220" i="3"/>
  <c r="O219" i="3"/>
  <c r="O218" i="3"/>
  <c r="O217" i="3"/>
  <c r="O216" i="3"/>
  <c r="O226" i="3" s="1"/>
  <c r="O214" i="3"/>
  <c r="N214" i="3"/>
  <c r="M214" i="3"/>
  <c r="L214" i="3"/>
  <c r="K214" i="3"/>
  <c r="J214" i="3"/>
  <c r="I214" i="3"/>
  <c r="H214" i="3"/>
  <c r="G214" i="3"/>
  <c r="F214" i="3"/>
  <c r="E214" i="3"/>
  <c r="D214" i="3"/>
  <c r="C214" i="3"/>
  <c r="B214" i="3"/>
  <c r="O213" i="3"/>
  <c r="N211" i="3"/>
  <c r="M211" i="3"/>
  <c r="L211" i="3"/>
  <c r="K211" i="3"/>
  <c r="J211" i="3"/>
  <c r="I211" i="3"/>
  <c r="H211" i="3"/>
  <c r="G211" i="3"/>
  <c r="F211" i="3"/>
  <c r="E211" i="3"/>
  <c r="D211" i="3"/>
  <c r="C211" i="3"/>
  <c r="B211" i="3"/>
  <c r="O210" i="3"/>
  <c r="O209" i="3"/>
  <c r="O208" i="3"/>
  <c r="O207" i="3"/>
  <c r="O206" i="3"/>
  <c r="O205" i="3"/>
  <c r="O204" i="3"/>
  <c r="O203" i="3"/>
  <c r="O211" i="3" s="1"/>
  <c r="O202" i="3"/>
  <c r="O201" i="3"/>
  <c r="O200" i="3"/>
  <c r="O199" i="3"/>
  <c r="O198" i="3"/>
  <c r="O197" i="3"/>
  <c r="O196" i="3"/>
  <c r="O195" i="3"/>
  <c r="O194" i="3"/>
  <c r="O193" i="3"/>
  <c r="N191" i="3"/>
  <c r="N227" i="3" s="1"/>
  <c r="M191" i="3"/>
  <c r="L191" i="3"/>
  <c r="K191" i="3"/>
  <c r="K227" i="3" s="1"/>
  <c r="J191" i="3"/>
  <c r="J227" i="3" s="1"/>
  <c r="I191" i="3"/>
  <c r="H191" i="3"/>
  <c r="G191" i="3"/>
  <c r="F191" i="3"/>
  <c r="E191" i="3"/>
  <c r="D191" i="3"/>
  <c r="C191" i="3"/>
  <c r="B191" i="3"/>
  <c r="O190" i="3"/>
  <c r="O189" i="3"/>
  <c r="O188" i="3"/>
  <c r="O187" i="3"/>
  <c r="O186" i="3"/>
  <c r="O185" i="3"/>
  <c r="O184" i="3"/>
  <c r="O183" i="3"/>
  <c r="O182" i="3"/>
  <c r="O181" i="3"/>
  <c r="O180" i="3"/>
  <c r="O179" i="3"/>
  <c r="O178" i="3"/>
  <c r="O177" i="3"/>
  <c r="O176" i="3"/>
  <c r="O175" i="3"/>
  <c r="O174" i="3"/>
  <c r="O173" i="3"/>
  <c r="O172" i="3"/>
  <c r="O171" i="3"/>
  <c r="O170" i="3"/>
  <c r="O169" i="3"/>
  <c r="O168" i="3"/>
  <c r="O167" i="3"/>
  <c r="O191" i="3" s="1"/>
  <c r="O166" i="3"/>
  <c r="O165" i="3"/>
  <c r="N163" i="3"/>
  <c r="M163" i="3"/>
  <c r="M227" i="3" s="1"/>
  <c r="L163" i="3"/>
  <c r="L227" i="3" s="1"/>
  <c r="K163" i="3"/>
  <c r="J163" i="3"/>
  <c r="I163" i="3"/>
  <c r="H163" i="3"/>
  <c r="H227" i="3" s="1"/>
  <c r="G163" i="3"/>
  <c r="G227" i="3" s="1"/>
  <c r="F163" i="3"/>
  <c r="F227" i="3" s="1"/>
  <c r="E163" i="3"/>
  <c r="D163" i="3"/>
  <c r="D227" i="3" s="1"/>
  <c r="C163" i="3"/>
  <c r="C227" i="3" s="1"/>
  <c r="B163" i="3"/>
  <c r="B227" i="3" s="1"/>
  <c r="O162" i="3"/>
  <c r="O161" i="3"/>
  <c r="O160" i="3"/>
  <c r="O159" i="3"/>
  <c r="O158" i="3"/>
  <c r="O163" i="3" s="1"/>
  <c r="N152" i="3"/>
  <c r="M152" i="3"/>
  <c r="L152" i="3"/>
  <c r="K152" i="3"/>
  <c r="J152" i="3"/>
  <c r="I152" i="3"/>
  <c r="H152" i="3"/>
  <c r="G152" i="3"/>
  <c r="F152" i="3"/>
  <c r="E152" i="3"/>
  <c r="D152" i="3"/>
  <c r="C152" i="3"/>
  <c r="B152" i="3"/>
  <c r="O151" i="3"/>
  <c r="O150" i="3"/>
  <c r="O149" i="3"/>
  <c r="O148" i="3"/>
  <c r="O147" i="3"/>
  <c r="O146" i="3"/>
  <c r="O145" i="3"/>
  <c r="O144" i="3"/>
  <c r="O143" i="3"/>
  <c r="O142" i="3"/>
  <c r="O141" i="3"/>
  <c r="O140" i="3"/>
  <c r="O139" i="3"/>
  <c r="O138" i="3"/>
  <c r="O137" i="3"/>
  <c r="O136" i="3"/>
  <c r="O135" i="3"/>
  <c r="O152" i="3" s="1"/>
  <c r="O134" i="3"/>
  <c r="N132" i="3"/>
  <c r="M132" i="3"/>
  <c r="L132" i="3"/>
  <c r="K132" i="3"/>
  <c r="J132" i="3"/>
  <c r="I132" i="3"/>
  <c r="H132" i="3"/>
  <c r="G132" i="3"/>
  <c r="F132" i="3"/>
  <c r="E132" i="3"/>
  <c r="D132" i="3"/>
  <c r="C132" i="3"/>
  <c r="B132" i="3"/>
  <c r="O131" i="3"/>
  <c r="O132" i="3" s="1"/>
  <c r="O130" i="3"/>
  <c r="N128" i="3"/>
  <c r="M128" i="3"/>
  <c r="L128" i="3"/>
  <c r="K128" i="3"/>
  <c r="J128" i="3"/>
  <c r="I128" i="3"/>
  <c r="H128" i="3"/>
  <c r="G128" i="3"/>
  <c r="F128" i="3"/>
  <c r="E128" i="3"/>
  <c r="D128" i="3"/>
  <c r="C128" i="3"/>
  <c r="B128" i="3"/>
  <c r="O127" i="3"/>
  <c r="O128" i="3" s="1"/>
  <c r="N125" i="3"/>
  <c r="M125" i="3"/>
  <c r="L125" i="3"/>
  <c r="K125" i="3"/>
  <c r="J125" i="3"/>
  <c r="I125" i="3"/>
  <c r="H125" i="3"/>
  <c r="G125" i="3"/>
  <c r="F125" i="3"/>
  <c r="E125" i="3"/>
  <c r="D125" i="3"/>
  <c r="C125" i="3"/>
  <c r="B125" i="3"/>
  <c r="O124" i="3"/>
  <c r="O123" i="3"/>
  <c r="O122" i="3"/>
  <c r="O121" i="3"/>
  <c r="O120" i="3"/>
  <c r="O119" i="3"/>
  <c r="O118" i="3"/>
  <c r="O117" i="3"/>
  <c r="O116" i="3"/>
  <c r="O115" i="3"/>
  <c r="O114" i="3"/>
  <c r="O113" i="3"/>
  <c r="O112" i="3"/>
  <c r="O111" i="3"/>
  <c r="O110" i="3"/>
  <c r="O109" i="3"/>
  <c r="O108" i="3"/>
  <c r="O107" i="3"/>
  <c r="O106" i="3"/>
  <c r="O105" i="3"/>
  <c r="O104" i="3"/>
  <c r="O103" i="3"/>
  <c r="O102" i="3"/>
  <c r="O125" i="3" s="1"/>
  <c r="O100" i="3"/>
  <c r="N100" i="3"/>
  <c r="M100" i="3"/>
  <c r="L100" i="3"/>
  <c r="K100" i="3"/>
  <c r="J100" i="3"/>
  <c r="I100" i="3"/>
  <c r="H100" i="3"/>
  <c r="G100" i="3"/>
  <c r="F100" i="3"/>
  <c r="E100" i="3"/>
  <c r="D100" i="3"/>
  <c r="C100" i="3"/>
  <c r="B100" i="3"/>
  <c r="O99" i="3"/>
  <c r="O98" i="3"/>
  <c r="N95" i="3"/>
  <c r="M95" i="3"/>
  <c r="L95" i="3"/>
  <c r="K95" i="3"/>
  <c r="J95" i="3"/>
  <c r="I95" i="3"/>
  <c r="H95" i="3"/>
  <c r="G95" i="3"/>
  <c r="F95" i="3"/>
  <c r="E95" i="3"/>
  <c r="D95" i="3"/>
  <c r="C95" i="3"/>
  <c r="B95" i="3"/>
  <c r="O94" i="3"/>
  <c r="O93" i="3"/>
  <c r="O92" i="3"/>
  <c r="O91" i="3"/>
  <c r="O90" i="3"/>
  <c r="O89" i="3"/>
  <c r="O88" i="3"/>
  <c r="O87" i="3"/>
  <c r="O86" i="3"/>
  <c r="O85" i="3"/>
  <c r="O84" i="3"/>
  <c r="O83" i="3"/>
  <c r="O82" i="3"/>
  <c r="O81" i="3"/>
  <c r="O80" i="3"/>
  <c r="O79" i="3"/>
  <c r="O78" i="3"/>
  <c r="O77" i="3"/>
  <c r="O76" i="3"/>
  <c r="O75" i="3"/>
  <c r="O74" i="3"/>
  <c r="O73" i="3"/>
  <c r="O72" i="3"/>
  <c r="O71" i="3"/>
  <c r="O70" i="3"/>
  <c r="O69" i="3"/>
  <c r="O68" i="3"/>
  <c r="O67" i="3"/>
  <c r="O66" i="3"/>
  <c r="O65" i="3"/>
  <c r="O64" i="3"/>
  <c r="O63" i="3"/>
  <c r="O62" i="3"/>
  <c r="O61" i="3"/>
  <c r="O60" i="3"/>
  <c r="O59" i="3"/>
  <c r="O95" i="3" s="1"/>
  <c r="O57" i="3"/>
  <c r="N57" i="3"/>
  <c r="M57" i="3"/>
  <c r="L57" i="3"/>
  <c r="K57" i="3"/>
  <c r="K96" i="3" s="1"/>
  <c r="K153" i="3" s="1"/>
  <c r="J57" i="3"/>
  <c r="I57" i="3"/>
  <c r="H57" i="3"/>
  <c r="H96" i="3" s="1"/>
  <c r="H153" i="3" s="1"/>
  <c r="G57" i="3"/>
  <c r="F57" i="3"/>
  <c r="E57" i="3"/>
  <c r="D57" i="3"/>
  <c r="C57" i="3"/>
  <c r="B57" i="3"/>
  <c r="O56" i="3"/>
  <c r="O55" i="3"/>
  <c r="O54" i="3"/>
  <c r="O53" i="3"/>
  <c r="N51" i="3"/>
  <c r="M51" i="3"/>
  <c r="L51" i="3"/>
  <c r="K51" i="3"/>
  <c r="J51" i="3"/>
  <c r="I51" i="3"/>
  <c r="H51" i="3"/>
  <c r="G51" i="3"/>
  <c r="F51" i="3"/>
  <c r="E51" i="3"/>
  <c r="D51" i="3"/>
  <c r="C51" i="3"/>
  <c r="B51" i="3"/>
  <c r="O50" i="3"/>
  <c r="O49" i="3"/>
  <c r="O48" i="3"/>
  <c r="O47" i="3"/>
  <c r="O46" i="3"/>
  <c r="O45" i="3"/>
  <c r="O44" i="3"/>
  <c r="O43" i="3"/>
  <c r="O42" i="3"/>
  <c r="O51" i="3" s="1"/>
  <c r="O41" i="3"/>
  <c r="N39" i="3"/>
  <c r="M39" i="3"/>
  <c r="L39" i="3"/>
  <c r="K39" i="3"/>
  <c r="J39" i="3"/>
  <c r="I39" i="3"/>
  <c r="H39" i="3"/>
  <c r="G39" i="3"/>
  <c r="F39" i="3"/>
  <c r="E39" i="3"/>
  <c r="D39" i="3"/>
  <c r="C39" i="3"/>
  <c r="B39" i="3"/>
  <c r="O38" i="3"/>
  <c r="O39" i="3" s="1"/>
  <c r="K36" i="3"/>
  <c r="J36" i="3"/>
  <c r="J96" i="3" s="1"/>
  <c r="J153" i="3" s="1"/>
  <c r="H36" i="3"/>
  <c r="F36" i="3"/>
  <c r="F96" i="3" s="1"/>
  <c r="F153" i="3" s="1"/>
  <c r="E36" i="3"/>
  <c r="E96" i="3" s="1"/>
  <c r="E153" i="3" s="1"/>
  <c r="D36" i="3"/>
  <c r="D96" i="3" s="1"/>
  <c r="D153" i="3" s="1"/>
  <c r="N35" i="3"/>
  <c r="N36" i="3" s="1"/>
  <c r="N96" i="3" s="1"/>
  <c r="N153" i="3" s="1"/>
  <c r="M35" i="3"/>
  <c r="M36" i="3" s="1"/>
  <c r="M96" i="3" s="1"/>
  <c r="M153" i="3" s="1"/>
  <c r="L35" i="3"/>
  <c r="L36" i="3" s="1"/>
  <c r="L96" i="3" s="1"/>
  <c r="L153" i="3" s="1"/>
  <c r="K35" i="3"/>
  <c r="J35" i="3"/>
  <c r="I35" i="3"/>
  <c r="I36" i="3" s="1"/>
  <c r="I96" i="3" s="1"/>
  <c r="I153" i="3" s="1"/>
  <c r="H35" i="3"/>
  <c r="G35" i="3"/>
  <c r="G36" i="3" s="1"/>
  <c r="G96" i="3" s="1"/>
  <c r="G153" i="3" s="1"/>
  <c r="F35" i="3"/>
  <c r="E35" i="3"/>
  <c r="D35" i="3"/>
  <c r="C35" i="3"/>
  <c r="C36" i="3" s="1"/>
  <c r="C96" i="3" s="1"/>
  <c r="C153" i="3" s="1"/>
  <c r="B35" i="3"/>
  <c r="B36" i="3" s="1"/>
  <c r="B96" i="3" s="1"/>
  <c r="B153" i="3" s="1"/>
  <c r="O34" i="3"/>
  <c r="O33" i="3"/>
  <c r="O32" i="3"/>
  <c r="O31" i="3"/>
  <c r="O30" i="3"/>
  <c r="O29" i="3"/>
  <c r="O28" i="3"/>
  <c r="O27" i="3"/>
  <c r="O26" i="3"/>
  <c r="O25" i="3"/>
  <c r="O24" i="3"/>
  <c r="O23" i="3"/>
  <c r="O22" i="3"/>
  <c r="O21" i="3"/>
  <c r="O20" i="3"/>
  <c r="O19" i="3"/>
  <c r="O18" i="3"/>
  <c r="O17" i="3"/>
  <c r="O16" i="3"/>
  <c r="O15" i="3"/>
  <c r="O35" i="3" s="1"/>
  <c r="O36" i="3" s="1"/>
  <c r="O14" i="3"/>
  <c r="O13" i="3"/>
  <c r="O267" i="5"/>
  <c r="N267" i="5"/>
  <c r="M267" i="5"/>
  <c r="L267" i="5"/>
  <c r="K267" i="5"/>
  <c r="J267" i="5"/>
  <c r="I267" i="5"/>
  <c r="H267" i="5"/>
  <c r="G267" i="5"/>
  <c r="F267" i="5"/>
  <c r="E267" i="5"/>
  <c r="D267" i="5"/>
  <c r="C267" i="5"/>
  <c r="B267" i="5"/>
  <c r="O266" i="5"/>
  <c r="N264" i="5"/>
  <c r="N269" i="5" s="1"/>
  <c r="O263" i="5"/>
  <c r="O262" i="5"/>
  <c r="N261" i="5"/>
  <c r="M261" i="5"/>
  <c r="M264" i="5" s="1"/>
  <c r="M269" i="5" s="1"/>
  <c r="L261" i="5"/>
  <c r="L264" i="5" s="1"/>
  <c r="L269" i="5" s="1"/>
  <c r="K261" i="5"/>
  <c r="K264" i="5" s="1"/>
  <c r="K269" i="5" s="1"/>
  <c r="J261" i="5"/>
  <c r="J264" i="5" s="1"/>
  <c r="J269" i="5" s="1"/>
  <c r="I261" i="5"/>
  <c r="I264" i="5" s="1"/>
  <c r="I269" i="5" s="1"/>
  <c r="H261" i="5"/>
  <c r="H264" i="5" s="1"/>
  <c r="H269" i="5" s="1"/>
  <c r="G261" i="5"/>
  <c r="G264" i="5" s="1"/>
  <c r="G269" i="5" s="1"/>
  <c r="F261" i="5"/>
  <c r="F264" i="5" s="1"/>
  <c r="E261" i="5"/>
  <c r="E264" i="5" s="1"/>
  <c r="E269" i="5" s="1"/>
  <c r="D261" i="5"/>
  <c r="D264" i="5" s="1"/>
  <c r="C261" i="5"/>
  <c r="C264" i="5" s="1"/>
  <c r="B261" i="5"/>
  <c r="B264" i="5" s="1"/>
  <c r="O260" i="5"/>
  <c r="O259" i="5"/>
  <c r="O258" i="5"/>
  <c r="O261" i="5" s="1"/>
  <c r="O264" i="5" s="1"/>
  <c r="N255" i="5"/>
  <c r="L255" i="5"/>
  <c r="K255" i="5"/>
  <c r="J255" i="5"/>
  <c r="G255" i="5"/>
  <c r="F255" i="5"/>
  <c r="C255" i="5"/>
  <c r="N254" i="5"/>
  <c r="M254" i="5"/>
  <c r="L254" i="5"/>
  <c r="E254" i="5"/>
  <c r="O253" i="5"/>
  <c r="N253" i="5"/>
  <c r="M253" i="5"/>
  <c r="L253" i="5"/>
  <c r="K253" i="5"/>
  <c r="J253" i="5"/>
  <c r="I253" i="5"/>
  <c r="H253" i="5"/>
  <c r="G253" i="5"/>
  <c r="F253" i="5"/>
  <c r="E253" i="5"/>
  <c r="D253" i="5"/>
  <c r="C253" i="5"/>
  <c r="C254" i="5" s="1"/>
  <c r="B253" i="5"/>
  <c r="N252" i="5"/>
  <c r="M252" i="5"/>
  <c r="M255" i="5" s="1"/>
  <c r="L252" i="5"/>
  <c r="K252" i="5"/>
  <c r="K254" i="5" s="1"/>
  <c r="J252" i="5"/>
  <c r="J254" i="5" s="1"/>
  <c r="I252" i="5"/>
  <c r="I254" i="5" s="1"/>
  <c r="H252" i="5"/>
  <c r="H254" i="5" s="1"/>
  <c r="G252" i="5"/>
  <c r="G254" i="5" s="1"/>
  <c r="F252" i="5"/>
  <c r="F254" i="5" s="1"/>
  <c r="E252" i="5"/>
  <c r="E255" i="5" s="1"/>
  <c r="D252" i="5"/>
  <c r="D254" i="5" s="1"/>
  <c r="C252" i="5"/>
  <c r="B252" i="5"/>
  <c r="B254" i="5" s="1"/>
  <c r="O251" i="5"/>
  <c r="O250" i="5"/>
  <c r="O249" i="5"/>
  <c r="O248" i="5"/>
  <c r="O247" i="5"/>
  <c r="O252" i="5" s="1"/>
  <c r="O244" i="5"/>
  <c r="N244" i="5"/>
  <c r="N268" i="5" s="1"/>
  <c r="M244" i="5"/>
  <c r="M268" i="5" s="1"/>
  <c r="L244" i="5"/>
  <c r="K244" i="5"/>
  <c r="J244" i="5"/>
  <c r="I244" i="5"/>
  <c r="H244" i="5"/>
  <c r="G244" i="5"/>
  <c r="F244" i="5"/>
  <c r="E244" i="5"/>
  <c r="E268" i="5" s="1"/>
  <c r="D244" i="5"/>
  <c r="C244" i="5"/>
  <c r="B244" i="5"/>
  <c r="O243" i="5"/>
  <c r="O241" i="5"/>
  <c r="N241" i="5"/>
  <c r="M241" i="5"/>
  <c r="L241" i="5"/>
  <c r="K241" i="5"/>
  <c r="J241" i="5"/>
  <c r="I241" i="5"/>
  <c r="H241" i="5"/>
  <c r="G241" i="5"/>
  <c r="F241" i="5"/>
  <c r="F268" i="5" s="1"/>
  <c r="E241" i="5"/>
  <c r="D241" i="5"/>
  <c r="C241" i="5"/>
  <c r="B241" i="5"/>
  <c r="O240" i="5"/>
  <c r="O239" i="5"/>
  <c r="N235" i="5"/>
  <c r="M235" i="5"/>
  <c r="L235" i="5"/>
  <c r="K235" i="5"/>
  <c r="J235" i="5"/>
  <c r="G235" i="5"/>
  <c r="F235" i="5"/>
  <c r="C235" i="5"/>
  <c r="B235" i="5"/>
  <c r="N234" i="5"/>
  <c r="M234" i="5"/>
  <c r="L234" i="5"/>
  <c r="K234" i="5"/>
  <c r="J234" i="5"/>
  <c r="I234" i="5"/>
  <c r="I235" i="5" s="1"/>
  <c r="H234" i="5"/>
  <c r="H235" i="5" s="1"/>
  <c r="G234" i="5"/>
  <c r="F234" i="5"/>
  <c r="E234" i="5"/>
  <c r="E235" i="5" s="1"/>
  <c r="D234" i="5"/>
  <c r="D235" i="5" s="1"/>
  <c r="C234" i="5"/>
  <c r="B234" i="5"/>
  <c r="O233" i="5"/>
  <c r="O234" i="5" s="1"/>
  <c r="O235" i="5" s="1"/>
  <c r="N228" i="5"/>
  <c r="M228" i="5"/>
  <c r="L228" i="5"/>
  <c r="K228" i="5"/>
  <c r="J228" i="5"/>
  <c r="I228" i="5"/>
  <c r="H228" i="5"/>
  <c r="G228" i="5"/>
  <c r="F228" i="5"/>
  <c r="E228" i="5"/>
  <c r="D228" i="5"/>
  <c r="C228" i="5"/>
  <c r="B228" i="5"/>
  <c r="O227" i="5"/>
  <c r="O226" i="5"/>
  <c r="O225" i="5"/>
  <c r="O224" i="5"/>
  <c r="O223" i="5"/>
  <c r="O228" i="5" s="1"/>
  <c r="O222" i="5"/>
  <c r="O221" i="5"/>
  <c r="O219" i="5"/>
  <c r="N219" i="5"/>
  <c r="M219" i="5"/>
  <c r="L219" i="5"/>
  <c r="K219" i="5"/>
  <c r="J219" i="5"/>
  <c r="I219" i="5"/>
  <c r="H219" i="5"/>
  <c r="G219" i="5"/>
  <c r="F219" i="5"/>
  <c r="E219" i="5"/>
  <c r="D219" i="5"/>
  <c r="C219" i="5"/>
  <c r="B219" i="5"/>
  <c r="O218" i="5"/>
  <c r="J216" i="5"/>
  <c r="I216" i="5"/>
  <c r="I270" i="5" s="1"/>
  <c r="B216" i="5"/>
  <c r="N215" i="5"/>
  <c r="M215" i="5"/>
  <c r="L215" i="5"/>
  <c r="K215" i="5"/>
  <c r="J215" i="5"/>
  <c r="I215" i="5"/>
  <c r="H215" i="5"/>
  <c r="G215" i="5"/>
  <c r="F215" i="5"/>
  <c r="E215" i="5"/>
  <c r="D215" i="5"/>
  <c r="C215" i="5"/>
  <c r="B215" i="5"/>
  <c r="O214" i="5"/>
  <c r="O213" i="5"/>
  <c r="O212" i="5"/>
  <c r="O211" i="5"/>
  <c r="O210" i="5"/>
  <c r="O209" i="5"/>
  <c r="O208" i="5"/>
  <c r="O207" i="5"/>
  <c r="O206" i="5"/>
  <c r="O205" i="5"/>
  <c r="O204" i="5"/>
  <c r="O215" i="5" s="1"/>
  <c r="N202" i="5"/>
  <c r="M202" i="5"/>
  <c r="L202" i="5"/>
  <c r="K202" i="5"/>
  <c r="J202" i="5"/>
  <c r="I202" i="5"/>
  <c r="H202" i="5"/>
  <c r="G202" i="5"/>
  <c r="F202" i="5"/>
  <c r="E202" i="5"/>
  <c r="D202" i="5"/>
  <c r="C202" i="5"/>
  <c r="B202" i="5"/>
  <c r="O201" i="5"/>
  <c r="O202" i="5" s="1"/>
  <c r="N199" i="5"/>
  <c r="M199" i="5"/>
  <c r="L199" i="5"/>
  <c r="L216" i="5" s="1"/>
  <c r="K199" i="5"/>
  <c r="K216" i="5" s="1"/>
  <c r="J199" i="5"/>
  <c r="I199" i="5"/>
  <c r="H199" i="5"/>
  <c r="G199" i="5"/>
  <c r="F199" i="5"/>
  <c r="E199" i="5"/>
  <c r="D199" i="5"/>
  <c r="C199" i="5"/>
  <c r="B199" i="5"/>
  <c r="O198" i="5"/>
  <c r="O197" i="5"/>
  <c r="O196" i="5"/>
  <c r="O199" i="5" s="1"/>
  <c r="O195" i="5"/>
  <c r="O194" i="5"/>
  <c r="O193" i="5"/>
  <c r="O192" i="5"/>
  <c r="O191" i="5"/>
  <c r="O190" i="5"/>
  <c r="O189" i="5"/>
  <c r="O188" i="5"/>
  <c r="O187" i="5"/>
  <c r="O186" i="5"/>
  <c r="O185" i="5"/>
  <c r="O184" i="5"/>
  <c r="O183" i="5"/>
  <c r="N181" i="5"/>
  <c r="M181" i="5"/>
  <c r="L181" i="5"/>
  <c r="K181" i="5"/>
  <c r="J181" i="5"/>
  <c r="I181" i="5"/>
  <c r="H181" i="5"/>
  <c r="G181" i="5"/>
  <c r="F181" i="5"/>
  <c r="E181" i="5"/>
  <c r="D181" i="5"/>
  <c r="C181" i="5"/>
  <c r="B181" i="5"/>
  <c r="O180" i="5"/>
  <c r="O179" i="5"/>
  <c r="O178" i="5"/>
  <c r="O177" i="5"/>
  <c r="O176" i="5"/>
  <c r="O175" i="5"/>
  <c r="O174" i="5"/>
  <c r="O173" i="5"/>
  <c r="O172" i="5"/>
  <c r="O171" i="5"/>
  <c r="O170" i="5"/>
  <c r="O169" i="5"/>
  <c r="O168" i="5"/>
  <c r="O167" i="5"/>
  <c r="O166" i="5"/>
  <c r="O165" i="5"/>
  <c r="O164" i="5"/>
  <c r="O163" i="5"/>
  <c r="O162" i="5"/>
  <c r="O161" i="5"/>
  <c r="O160" i="5"/>
  <c r="O159" i="5"/>
  <c r="O158" i="5"/>
  <c r="O157" i="5"/>
  <c r="O156" i="5"/>
  <c r="O181" i="5" s="1"/>
  <c r="O155" i="5"/>
  <c r="N153" i="5"/>
  <c r="N216" i="5" s="1"/>
  <c r="M153" i="5"/>
  <c r="M216" i="5" s="1"/>
  <c r="L153" i="5"/>
  <c r="K153" i="5"/>
  <c r="J153" i="5"/>
  <c r="I153" i="5"/>
  <c r="H153" i="5"/>
  <c r="H216" i="5" s="1"/>
  <c r="G153" i="5"/>
  <c r="G216" i="5" s="1"/>
  <c r="F153" i="5"/>
  <c r="F216" i="5" s="1"/>
  <c r="E153" i="5"/>
  <c r="E216" i="5" s="1"/>
  <c r="D153" i="5"/>
  <c r="D216" i="5" s="1"/>
  <c r="C153" i="5"/>
  <c r="C216" i="5" s="1"/>
  <c r="B153" i="5"/>
  <c r="O152" i="5"/>
  <c r="O151" i="5"/>
  <c r="O150" i="5"/>
  <c r="O149" i="5"/>
  <c r="O148" i="5"/>
  <c r="O153" i="5" s="1"/>
  <c r="O216" i="5" s="1"/>
  <c r="O147" i="5"/>
  <c r="N141" i="5"/>
  <c r="M141" i="5"/>
  <c r="L141" i="5"/>
  <c r="K141" i="5"/>
  <c r="J141" i="5"/>
  <c r="I141" i="5"/>
  <c r="H141" i="5"/>
  <c r="G141" i="5"/>
  <c r="F141" i="5"/>
  <c r="E141" i="5"/>
  <c r="D141" i="5"/>
  <c r="C141" i="5"/>
  <c r="B141" i="5"/>
  <c r="O140" i="5"/>
  <c r="O139" i="5"/>
  <c r="O138" i="5"/>
  <c r="O137" i="5"/>
  <c r="O136" i="5"/>
  <c r="O135" i="5"/>
  <c r="O134" i="5"/>
  <c r="O133" i="5"/>
  <c r="O132" i="5"/>
  <c r="O131" i="5"/>
  <c r="O130" i="5"/>
  <c r="O141" i="5" s="1"/>
  <c r="O129" i="5"/>
  <c r="O128" i="5"/>
  <c r="O127" i="5"/>
  <c r="O126" i="5"/>
  <c r="O125" i="5"/>
  <c r="O124" i="5"/>
  <c r="O123" i="5"/>
  <c r="O121" i="5"/>
  <c r="N121" i="5"/>
  <c r="M121" i="5"/>
  <c r="L121" i="5"/>
  <c r="K121" i="5"/>
  <c r="J121" i="5"/>
  <c r="I121" i="5"/>
  <c r="H121" i="5"/>
  <c r="G121" i="5"/>
  <c r="F121" i="5"/>
  <c r="E121" i="5"/>
  <c r="D121" i="5"/>
  <c r="C121" i="5"/>
  <c r="B121" i="5"/>
  <c r="O120" i="5"/>
  <c r="O119" i="5"/>
  <c r="O117" i="5"/>
  <c r="N117" i="5"/>
  <c r="M117" i="5"/>
  <c r="L117" i="5"/>
  <c r="K117" i="5"/>
  <c r="J117" i="5"/>
  <c r="I117" i="5"/>
  <c r="H117" i="5"/>
  <c r="G117" i="5"/>
  <c r="F117" i="5"/>
  <c r="E117" i="5"/>
  <c r="D117" i="5"/>
  <c r="C117" i="5"/>
  <c r="B117" i="5"/>
  <c r="O116" i="5"/>
  <c r="N114" i="5"/>
  <c r="M114" i="5"/>
  <c r="L114" i="5"/>
  <c r="K114" i="5"/>
  <c r="J114" i="5"/>
  <c r="I114" i="5"/>
  <c r="H114" i="5"/>
  <c r="G114" i="5"/>
  <c r="F114" i="5"/>
  <c r="E114" i="5"/>
  <c r="D114" i="5"/>
  <c r="C114" i="5"/>
  <c r="B114" i="5"/>
  <c r="O113" i="5"/>
  <c r="O112" i="5"/>
  <c r="O111" i="5"/>
  <c r="O110" i="5"/>
  <c r="O109" i="5"/>
  <c r="O108" i="5"/>
  <c r="O107" i="5"/>
  <c r="O106" i="5"/>
  <c r="O105" i="5"/>
  <c r="O104" i="5"/>
  <c r="O103" i="5"/>
  <c r="O102" i="5"/>
  <c r="O101" i="5"/>
  <c r="O100" i="5"/>
  <c r="O99" i="5"/>
  <c r="O98" i="5"/>
  <c r="O97" i="5"/>
  <c r="O96" i="5"/>
  <c r="O95" i="5"/>
  <c r="O94" i="5"/>
  <c r="O114" i="5" s="1"/>
  <c r="O93" i="5"/>
  <c r="N91" i="5"/>
  <c r="M91" i="5"/>
  <c r="L91" i="5"/>
  <c r="K91" i="5"/>
  <c r="J91" i="5"/>
  <c r="I91" i="5"/>
  <c r="H91" i="5"/>
  <c r="G91" i="5"/>
  <c r="F91" i="5"/>
  <c r="E91" i="5"/>
  <c r="D91" i="5"/>
  <c r="C91" i="5"/>
  <c r="B91" i="5"/>
  <c r="O90" i="5"/>
  <c r="O89" i="5"/>
  <c r="O91" i="5" s="1"/>
  <c r="J87" i="5"/>
  <c r="J142" i="5" s="1"/>
  <c r="N86" i="5"/>
  <c r="M86" i="5"/>
  <c r="L86" i="5"/>
  <c r="K86" i="5"/>
  <c r="J86" i="5"/>
  <c r="I86" i="5"/>
  <c r="H86" i="5"/>
  <c r="G86" i="5"/>
  <c r="F86" i="5"/>
  <c r="E86" i="5"/>
  <c r="D86" i="5"/>
  <c r="C86" i="5"/>
  <c r="B86" i="5"/>
  <c r="O85" i="5"/>
  <c r="O84" i="5"/>
  <c r="O83" i="5"/>
  <c r="O82" i="5"/>
  <c r="O81" i="5"/>
  <c r="O80" i="5"/>
  <c r="O79" i="5"/>
  <c r="O78" i="5"/>
  <c r="O77" i="5"/>
  <c r="O76" i="5"/>
  <c r="O75" i="5"/>
  <c r="O74" i="5"/>
  <c r="O73" i="5"/>
  <c r="O72" i="5"/>
  <c r="O71" i="5"/>
  <c r="O70" i="5"/>
  <c r="O69" i="5"/>
  <c r="O68" i="5"/>
  <c r="O67" i="5"/>
  <c r="O66" i="5"/>
  <c r="O65" i="5"/>
  <c r="O64" i="5"/>
  <c r="O63" i="5"/>
  <c r="O62" i="5"/>
  <c r="O61" i="5"/>
  <c r="O60" i="5"/>
  <c r="O59" i="5"/>
  <c r="O86" i="5" s="1"/>
  <c r="O58" i="5"/>
  <c r="O57" i="5"/>
  <c r="O56" i="5"/>
  <c r="O55" i="5"/>
  <c r="O54" i="5"/>
  <c r="O53" i="5"/>
  <c r="N51" i="5"/>
  <c r="M51" i="5"/>
  <c r="L51" i="5"/>
  <c r="K51" i="5"/>
  <c r="J51" i="5"/>
  <c r="I51" i="5"/>
  <c r="H51" i="5"/>
  <c r="G51" i="5"/>
  <c r="F51" i="5"/>
  <c r="E51" i="5"/>
  <c r="D51" i="5"/>
  <c r="C51" i="5"/>
  <c r="C87" i="5" s="1"/>
  <c r="C142" i="5" s="1"/>
  <c r="B51" i="5"/>
  <c r="B87" i="5" s="1"/>
  <c r="B142" i="5" s="1"/>
  <c r="O50" i="5"/>
  <c r="O49" i="5"/>
  <c r="O48" i="5"/>
  <c r="O47" i="5"/>
  <c r="O51" i="5" s="1"/>
  <c r="N45" i="5"/>
  <c r="M45" i="5"/>
  <c r="L45" i="5"/>
  <c r="K45" i="5"/>
  <c r="J45" i="5"/>
  <c r="I45" i="5"/>
  <c r="H45" i="5"/>
  <c r="G45" i="5"/>
  <c r="F45" i="5"/>
  <c r="E45" i="5"/>
  <c r="D45" i="5"/>
  <c r="C45" i="5"/>
  <c r="B45" i="5"/>
  <c r="O44" i="5"/>
  <c r="O43" i="5"/>
  <c r="O42" i="5"/>
  <c r="O41" i="5"/>
  <c r="O40" i="5"/>
  <c r="O39" i="5"/>
  <c r="O38" i="5"/>
  <c r="O37" i="5"/>
  <c r="O36" i="5"/>
  <c r="O45" i="5" s="1"/>
  <c r="O34" i="5"/>
  <c r="N34" i="5"/>
  <c r="M34" i="5"/>
  <c r="L34" i="5"/>
  <c r="K34" i="5"/>
  <c r="K87" i="5" s="1"/>
  <c r="K142" i="5" s="1"/>
  <c r="J34" i="5"/>
  <c r="I34" i="5"/>
  <c r="H34" i="5"/>
  <c r="G34" i="5"/>
  <c r="F34" i="5"/>
  <c r="E34" i="5"/>
  <c r="D34" i="5"/>
  <c r="C34" i="5"/>
  <c r="B34" i="5"/>
  <c r="O33" i="5"/>
  <c r="N31" i="5"/>
  <c r="N87" i="5" s="1"/>
  <c r="N142" i="5" s="1"/>
  <c r="K31" i="5"/>
  <c r="J31" i="5"/>
  <c r="G31" i="5"/>
  <c r="G87" i="5" s="1"/>
  <c r="G142" i="5" s="1"/>
  <c r="F31" i="5"/>
  <c r="F87" i="5" s="1"/>
  <c r="F142" i="5" s="1"/>
  <c r="C31" i="5"/>
  <c r="B31" i="5"/>
  <c r="N30" i="5"/>
  <c r="M30" i="5"/>
  <c r="M31" i="5" s="1"/>
  <c r="M87" i="5" s="1"/>
  <c r="M142" i="5" s="1"/>
  <c r="L30" i="5"/>
  <c r="L31" i="5" s="1"/>
  <c r="L87" i="5" s="1"/>
  <c r="L142" i="5" s="1"/>
  <c r="K30" i="5"/>
  <c r="J30" i="5"/>
  <c r="I30" i="5"/>
  <c r="I31" i="5" s="1"/>
  <c r="I87" i="5" s="1"/>
  <c r="I142" i="5" s="1"/>
  <c r="H30" i="5"/>
  <c r="H31" i="5" s="1"/>
  <c r="H87" i="5" s="1"/>
  <c r="H142" i="5" s="1"/>
  <c r="G30" i="5"/>
  <c r="F30" i="5"/>
  <c r="E30" i="5"/>
  <c r="E31" i="5" s="1"/>
  <c r="E87" i="5" s="1"/>
  <c r="E142" i="5" s="1"/>
  <c r="D30" i="5"/>
  <c r="D31" i="5" s="1"/>
  <c r="D87" i="5" s="1"/>
  <c r="D142" i="5" s="1"/>
  <c r="C30" i="5"/>
  <c r="B30" i="5"/>
  <c r="O29" i="5"/>
  <c r="O28" i="5"/>
  <c r="O27" i="5"/>
  <c r="O26" i="5"/>
  <c r="O25" i="5"/>
  <c r="O24" i="5"/>
  <c r="O23" i="5"/>
  <c r="O22" i="5"/>
  <c r="O21" i="5"/>
  <c r="O20" i="5"/>
  <c r="O19" i="5"/>
  <c r="O18" i="5"/>
  <c r="O17" i="5"/>
  <c r="O16" i="5"/>
  <c r="O30" i="5" s="1"/>
  <c r="O31" i="5" s="1"/>
  <c r="O15" i="5"/>
  <c r="O14" i="5"/>
  <c r="O13" i="5"/>
  <c r="O12" i="5"/>
  <c r="G60" i="2"/>
  <c r="E606" i="4" l="1"/>
  <c r="I37" i="4"/>
  <c r="I267" i="4"/>
  <c r="J146" i="4"/>
  <c r="J267" i="4" s="1"/>
  <c r="B37" i="4"/>
  <c r="B268" i="4" s="1"/>
  <c r="J268" i="4"/>
  <c r="E257" i="4"/>
  <c r="G606" i="4"/>
  <c r="D37" i="4"/>
  <c r="O145" i="4"/>
  <c r="O146" i="4" s="1"/>
  <c r="O267" i="4" s="1"/>
  <c r="L37" i="4"/>
  <c r="H606" i="4"/>
  <c r="E37" i="4"/>
  <c r="E268" i="4" s="1"/>
  <c r="B146" i="4"/>
  <c r="B267" i="4" s="1"/>
  <c r="J606" i="4"/>
  <c r="G37" i="4"/>
  <c r="G268" i="4" s="1"/>
  <c r="D146" i="4"/>
  <c r="D267" i="4" s="1"/>
  <c r="E267" i="4"/>
  <c r="F146" i="4"/>
  <c r="H257" i="4"/>
  <c r="H267" i="4" s="1"/>
  <c r="H268" i="4" s="1"/>
  <c r="D606" i="4"/>
  <c r="O37" i="4"/>
  <c r="N269" i="4"/>
  <c r="N583" i="4"/>
  <c r="K267" i="4"/>
  <c r="K268" i="4" s="1"/>
  <c r="M257" i="4"/>
  <c r="M267" i="4" s="1"/>
  <c r="M268" i="4" s="1"/>
  <c r="F257" i="4"/>
  <c r="C268" i="4"/>
  <c r="L146" i="4"/>
  <c r="L267" i="4" s="1"/>
  <c r="O221" i="4"/>
  <c r="O257" i="4" s="1"/>
  <c r="D240" i="3"/>
  <c r="D281" i="3"/>
  <c r="O227" i="3"/>
  <c r="M281" i="3"/>
  <c r="M282" i="3" s="1"/>
  <c r="M240" i="3"/>
  <c r="O96" i="3"/>
  <c r="O153" i="3" s="1"/>
  <c r="N282" i="3"/>
  <c r="J279" i="3"/>
  <c r="D282" i="3"/>
  <c r="J281" i="3"/>
  <c r="J240" i="3"/>
  <c r="E280" i="3"/>
  <c r="B282" i="3"/>
  <c r="B281" i="3"/>
  <c r="B240" i="3"/>
  <c r="K240" i="3"/>
  <c r="C279" i="3"/>
  <c r="J282" i="3"/>
  <c r="C281" i="3"/>
  <c r="C282" i="3" s="1"/>
  <c r="C240" i="3"/>
  <c r="H282" i="3"/>
  <c r="N240" i="3"/>
  <c r="N281" i="3"/>
  <c r="F240" i="3"/>
  <c r="J280" i="3"/>
  <c r="G240" i="3"/>
  <c r="E279" i="3"/>
  <c r="K280" i="3"/>
  <c r="K281" i="3" s="1"/>
  <c r="K282" i="3" s="1"/>
  <c r="H281" i="3"/>
  <c r="H240" i="3"/>
  <c r="O266" i="3"/>
  <c r="O265" i="3"/>
  <c r="O280" i="3" s="1"/>
  <c r="L281" i="3"/>
  <c r="L282" i="3" s="1"/>
  <c r="L240" i="3"/>
  <c r="I281" i="3"/>
  <c r="I282" i="3" s="1"/>
  <c r="H279" i="3"/>
  <c r="E281" i="3"/>
  <c r="E282" i="3" s="1"/>
  <c r="F265" i="3"/>
  <c r="F279" i="3" s="1"/>
  <c r="H266" i="3"/>
  <c r="G265" i="3"/>
  <c r="G279" i="3" s="1"/>
  <c r="I266" i="3"/>
  <c r="I279" i="3" s="1"/>
  <c r="I240" i="3"/>
  <c r="B266" i="3"/>
  <c r="B279" i="3" s="1"/>
  <c r="D266" i="3"/>
  <c r="D279" i="3" s="1"/>
  <c r="E266" i="3"/>
  <c r="K271" i="5"/>
  <c r="C270" i="5"/>
  <c r="C271" i="5" s="1"/>
  <c r="C229" i="5"/>
  <c r="B269" i="5"/>
  <c r="H270" i="5"/>
  <c r="H271" i="5" s="1"/>
  <c r="H229" i="5"/>
  <c r="B270" i="5"/>
  <c r="B271" i="5" s="1"/>
  <c r="C268" i="5"/>
  <c r="I271" i="5"/>
  <c r="G271" i="5"/>
  <c r="D270" i="5"/>
  <c r="D229" i="5"/>
  <c r="E270" i="5"/>
  <c r="E271" i="5" s="1"/>
  <c r="E229" i="5"/>
  <c r="O254" i="5"/>
  <c r="O268" i="5" s="1"/>
  <c r="O255" i="5"/>
  <c r="O87" i="5"/>
  <c r="O142" i="5" s="1"/>
  <c r="D271" i="5"/>
  <c r="F270" i="5"/>
  <c r="F271" i="5" s="1"/>
  <c r="F229" i="5"/>
  <c r="J271" i="5"/>
  <c r="C269" i="5"/>
  <c r="D269" i="5"/>
  <c r="N271" i="5"/>
  <c r="G270" i="5"/>
  <c r="G229" i="5"/>
  <c r="F269" i="5"/>
  <c r="L270" i="5"/>
  <c r="L229" i="5"/>
  <c r="J268" i="5"/>
  <c r="O269" i="5"/>
  <c r="B268" i="5"/>
  <c r="J270" i="5"/>
  <c r="O229" i="5"/>
  <c r="O270" i="5"/>
  <c r="M229" i="5"/>
  <c r="M270" i="5"/>
  <c r="G268" i="5"/>
  <c r="L271" i="5"/>
  <c r="N229" i="5"/>
  <c r="N270" i="5"/>
  <c r="M271" i="5"/>
  <c r="K270" i="5"/>
  <c r="K229" i="5"/>
  <c r="K268" i="5"/>
  <c r="L268" i="5"/>
  <c r="H255" i="5"/>
  <c r="H268" i="5" s="1"/>
  <c r="B229" i="5"/>
  <c r="I255" i="5"/>
  <c r="I268" i="5" s="1"/>
  <c r="J229" i="5"/>
  <c r="B255" i="5"/>
  <c r="I229" i="5"/>
  <c r="D255" i="5"/>
  <c r="D268" i="5" s="1"/>
  <c r="K583" i="4" l="1"/>
  <c r="K269" i="4"/>
  <c r="H583" i="4"/>
  <c r="H269" i="4"/>
  <c r="M269" i="4"/>
  <c r="M583" i="4"/>
  <c r="B269" i="4"/>
  <c r="B583" i="4"/>
  <c r="C583" i="4"/>
  <c r="C269" i="4"/>
  <c r="I268" i="4"/>
  <c r="O268" i="4"/>
  <c r="J583" i="4"/>
  <c r="J269" i="4"/>
  <c r="N617" i="4"/>
  <c r="N607" i="4"/>
  <c r="G583" i="4"/>
  <c r="G269" i="4"/>
  <c r="E583" i="4"/>
  <c r="E269" i="4"/>
  <c r="L268" i="4"/>
  <c r="D268" i="4"/>
  <c r="F267" i="4"/>
  <c r="F268" i="4" s="1"/>
  <c r="O279" i="3"/>
  <c r="G280" i="3"/>
  <c r="G281" i="3" s="1"/>
  <c r="G282" i="3" s="1"/>
  <c r="F280" i="3"/>
  <c r="F281" i="3" s="1"/>
  <c r="F282" i="3" s="1"/>
  <c r="O240" i="3"/>
  <c r="O281" i="3"/>
  <c r="O282" i="3"/>
  <c r="O271" i="5"/>
  <c r="E607" i="4" l="1"/>
  <c r="E617" i="4"/>
  <c r="K617" i="4"/>
  <c r="K607" i="4"/>
  <c r="B607" i="4"/>
  <c r="B617" i="4"/>
  <c r="M617" i="4"/>
  <c r="M607" i="4"/>
  <c r="J607" i="4"/>
  <c r="J617" i="4"/>
  <c r="O269" i="4"/>
  <c r="O583" i="4"/>
  <c r="F583" i="4"/>
  <c r="F269" i="4"/>
  <c r="D583" i="4"/>
  <c r="D269" i="4"/>
  <c r="L269" i="4"/>
  <c r="L583" i="4"/>
  <c r="H607" i="4"/>
  <c r="H617" i="4"/>
  <c r="G607" i="4"/>
  <c r="G617" i="4"/>
  <c r="I583" i="4"/>
  <c r="I269" i="4"/>
  <c r="C607" i="4"/>
  <c r="C617" i="4"/>
  <c r="D607" i="4" l="1"/>
  <c r="D617" i="4"/>
  <c r="I607" i="4"/>
  <c r="I617" i="4"/>
  <c r="L617" i="4"/>
  <c r="L607" i="4"/>
  <c r="F607" i="4"/>
  <c r="F617" i="4"/>
  <c r="O617" i="4"/>
  <c r="O607" i="4"/>
  <c r="R162" i="2" l="1"/>
  <c r="R161" i="2"/>
  <c r="R156" i="2"/>
  <c r="R59" i="2"/>
  <c r="R170" i="2"/>
  <c r="R174" i="2"/>
  <c r="R152" i="2"/>
  <c r="R151" i="2"/>
  <c r="R150" i="2"/>
  <c r="R149" i="2"/>
  <c r="R148" i="2"/>
  <c r="R178" i="2"/>
  <c r="H179" i="2"/>
  <c r="G179" i="2"/>
  <c r="H175" i="2"/>
  <c r="G175" i="2"/>
  <c r="H171" i="2"/>
  <c r="G171" i="2"/>
  <c r="H163" i="2"/>
  <c r="G163" i="2"/>
  <c r="H157" i="2"/>
  <c r="G157" i="2"/>
  <c r="H153" i="2"/>
  <c r="G153" i="2"/>
  <c r="Q81" i="1"/>
  <c r="H82" i="1"/>
  <c r="G82" i="1"/>
  <c r="R177" i="2" l="1"/>
  <c r="H177" i="2"/>
  <c r="R147" i="2" l="1"/>
  <c r="R146" i="2"/>
  <c r="R145" i="2"/>
  <c r="R144" i="2"/>
  <c r="R143" i="2"/>
  <c r="R142" i="2"/>
  <c r="R141" i="2"/>
  <c r="R140" i="2"/>
  <c r="R139" i="2"/>
  <c r="R138" i="2"/>
  <c r="R137" i="2"/>
  <c r="R136" i="2"/>
  <c r="R135" i="2"/>
  <c r="R134" i="2"/>
  <c r="R133" i="2"/>
  <c r="R132" i="2"/>
  <c r="R131" i="2"/>
  <c r="R130" i="2"/>
  <c r="R129" i="2"/>
  <c r="R128" i="2"/>
  <c r="R127" i="2"/>
  <c r="R126" i="2"/>
  <c r="R125" i="2"/>
  <c r="R124" i="2"/>
  <c r="R123" i="2"/>
  <c r="R122" i="2"/>
  <c r="R121" i="2"/>
  <c r="R120" i="2"/>
  <c r="R119" i="2"/>
  <c r="R118" i="2"/>
  <c r="R117" i="2"/>
  <c r="R116" i="2"/>
  <c r="R115" i="2"/>
  <c r="R114" i="2"/>
  <c r="R113" i="2"/>
  <c r="R112" i="2"/>
  <c r="R111" i="2"/>
  <c r="R110" i="2"/>
  <c r="R58" i="2"/>
  <c r="R57" i="2"/>
  <c r="R56" i="2"/>
  <c r="R55" i="2"/>
  <c r="R54" i="2"/>
  <c r="R53" i="2"/>
  <c r="R52" i="2"/>
  <c r="R51" i="2"/>
  <c r="R50" i="2"/>
  <c r="R49" i="2"/>
  <c r="R48" i="2"/>
  <c r="R47" i="2"/>
  <c r="R46" i="2"/>
  <c r="R45" i="2"/>
  <c r="R44" i="2"/>
  <c r="R43" i="2"/>
  <c r="R42" i="2"/>
  <c r="R41" i="2"/>
  <c r="R40" i="2"/>
  <c r="R39" i="2"/>
  <c r="R38" i="2"/>
  <c r="R37" i="2"/>
  <c r="R36" i="2"/>
  <c r="R35" i="2"/>
  <c r="R34" i="2"/>
  <c r="R33" i="2"/>
  <c r="R32" i="2"/>
  <c r="R31" i="2"/>
  <c r="H60" i="2"/>
  <c r="R18" i="2"/>
  <c r="R17" i="2"/>
  <c r="R16" i="2"/>
  <c r="R15" i="2"/>
  <c r="R14" i="2"/>
  <c r="R13" i="2"/>
  <c r="H19" i="2"/>
  <c r="G19" i="2"/>
  <c r="Q80" i="1"/>
  <c r="Q79" i="1"/>
  <c r="Q78" i="1"/>
  <c r="Q77" i="1"/>
  <c r="Q76" i="1"/>
  <c r="Q75" i="1"/>
  <c r="Q74" i="1"/>
  <c r="Q61" i="1"/>
  <c r="Q60" i="1"/>
  <c r="Q59" i="1"/>
  <c r="Q58" i="1"/>
  <c r="Q57" i="1"/>
  <c r="Q56" i="1"/>
  <c r="Q55" i="1"/>
  <c r="Q54" i="1"/>
  <c r="Q53" i="1"/>
  <c r="Q52" i="1"/>
  <c r="Q51" i="1"/>
  <c r="Q50" i="1"/>
  <c r="Q49" i="1"/>
  <c r="Q48" i="1"/>
  <c r="Q47" i="1"/>
  <c r="Q46" i="1"/>
  <c r="Q45" i="1"/>
  <c r="H62" i="1"/>
  <c r="G62" i="1"/>
  <c r="Q19" i="1"/>
  <c r="Q18" i="1"/>
  <c r="Q17" i="1"/>
  <c r="Q16" i="1"/>
  <c r="Q15" i="1"/>
  <c r="Q14" i="1"/>
  <c r="Q13" i="1"/>
  <c r="Q12" i="1"/>
  <c r="Q11" i="1"/>
  <c r="Q10" i="1"/>
  <c r="H20" i="1"/>
  <c r="G20" i="1"/>
  <c r="N25" i="7" l="1"/>
  <c r="W24" i="7"/>
  <c r="W32" i="7" l="1"/>
  <c r="W30" i="7"/>
  <c r="W27" i="7"/>
  <c r="W25" i="7"/>
  <c r="W23" i="7"/>
  <c r="W22" i="7"/>
  <c r="W19" i="7"/>
  <c r="W18" i="7"/>
  <c r="W17" i="7"/>
  <c r="W16" i="7"/>
  <c r="W15" i="7"/>
  <c r="W14" i="7"/>
  <c r="W13" i="7"/>
  <c r="W12" i="7"/>
  <c r="U33" i="7"/>
  <c r="U32" i="7"/>
  <c r="U31" i="7"/>
  <c r="U30" i="7"/>
  <c r="U29" i="7"/>
  <c r="U28" i="7"/>
  <c r="U27" i="7"/>
  <c r="U26" i="7"/>
  <c r="U25" i="7"/>
  <c r="U24" i="7"/>
  <c r="U23" i="7"/>
  <c r="U22" i="7"/>
  <c r="U21" i="7"/>
  <c r="U20" i="7"/>
  <c r="U19" i="7"/>
  <c r="U17" i="7"/>
  <c r="U15" i="7"/>
  <c r="U14" i="7"/>
  <c r="U13" i="7"/>
  <c r="U12" i="7"/>
  <c r="T28" i="7"/>
  <c r="T26" i="7"/>
  <c r="T25" i="7"/>
  <c r="T24" i="7"/>
  <c r="K416" i="7" l="1"/>
  <c r="J416" i="7"/>
  <c r="I416" i="7"/>
  <c r="K391" i="7"/>
  <c r="J391" i="7"/>
  <c r="I391" i="7"/>
  <c r="K384" i="7"/>
  <c r="J384" i="7"/>
  <c r="I384" i="7"/>
  <c r="K359" i="7"/>
  <c r="J359" i="7"/>
  <c r="I359" i="7"/>
  <c r="K352" i="7"/>
  <c r="J352" i="7"/>
  <c r="I352" i="7"/>
  <c r="K327" i="7"/>
  <c r="J327" i="7"/>
  <c r="I327" i="7"/>
  <c r="K320" i="7"/>
  <c r="J320" i="7"/>
  <c r="I320" i="7"/>
  <c r="K295" i="7"/>
  <c r="J295" i="7"/>
  <c r="I295" i="7"/>
  <c r="K288" i="7"/>
  <c r="J288" i="7"/>
  <c r="I288" i="7"/>
  <c r="K263" i="7"/>
  <c r="J263" i="7"/>
  <c r="I263" i="7"/>
  <c r="K256" i="7"/>
  <c r="J256" i="7"/>
  <c r="I256" i="7"/>
  <c r="K231" i="7"/>
  <c r="J231" i="7"/>
  <c r="I231" i="7"/>
  <c r="K224" i="7"/>
  <c r="J224" i="7"/>
  <c r="I224" i="7"/>
  <c r="K199" i="7"/>
  <c r="J199" i="7"/>
  <c r="I199" i="7"/>
  <c r="K192" i="7"/>
  <c r="J192" i="7"/>
  <c r="I192" i="7"/>
  <c r="K167" i="7"/>
  <c r="J167" i="7"/>
  <c r="I167" i="7"/>
  <c r="K160" i="7"/>
  <c r="J160" i="7"/>
  <c r="I160" i="7"/>
  <c r="H160" i="7"/>
  <c r="K135" i="7"/>
  <c r="J135" i="7"/>
  <c r="I135" i="7"/>
  <c r="K128" i="7"/>
  <c r="J128" i="7"/>
  <c r="I128" i="7"/>
  <c r="K103" i="7"/>
  <c r="J103" i="7"/>
  <c r="I103" i="7"/>
  <c r="K96" i="7"/>
  <c r="J96" i="7"/>
  <c r="I96" i="7"/>
  <c r="K71" i="7"/>
  <c r="J71" i="7"/>
  <c r="I71" i="7"/>
  <c r="K65" i="7"/>
  <c r="J65" i="7"/>
  <c r="I65" i="7"/>
  <c r="K40" i="7"/>
  <c r="J40" i="7"/>
  <c r="I40" i="7"/>
  <c r="K35" i="7"/>
  <c r="J35" i="7"/>
  <c r="I35" i="7"/>
  <c r="I10" i="7"/>
  <c r="R173" i="2" l="1"/>
  <c r="R169" i="2"/>
  <c r="H173" i="2"/>
  <c r="H169" i="2"/>
  <c r="V24" i="7"/>
  <c r="V23" i="7"/>
  <c r="R166" i="2"/>
  <c r="R165" i="2"/>
  <c r="R160" i="2"/>
  <c r="R159" i="2"/>
  <c r="R155" i="2"/>
  <c r="H159" i="2"/>
  <c r="H160" i="2" s="1"/>
  <c r="H155" i="2"/>
  <c r="R109" i="2"/>
  <c r="R108" i="2"/>
  <c r="R107" i="2"/>
  <c r="R106" i="2"/>
  <c r="R105" i="2"/>
  <c r="R104" i="2"/>
  <c r="R103" i="2"/>
  <c r="R102" i="2"/>
  <c r="R101" i="2"/>
  <c r="R100" i="2"/>
  <c r="R99" i="2"/>
  <c r="R98" i="2"/>
  <c r="R97" i="2"/>
  <c r="R96" i="2"/>
  <c r="R95" i="2"/>
  <c r="R94" i="2"/>
  <c r="R30" i="2"/>
  <c r="R29" i="2"/>
  <c r="R28" i="2"/>
  <c r="Q73" i="1" l="1"/>
  <c r="Q72" i="1"/>
  <c r="Q71" i="1"/>
  <c r="Q70" i="1"/>
  <c r="Q69" i="1"/>
  <c r="Q68" i="1"/>
  <c r="Q67" i="1"/>
  <c r="Q66" i="1"/>
  <c r="Q65" i="1"/>
  <c r="Q64" i="1"/>
  <c r="H64" i="1"/>
  <c r="H65" i="1" s="1"/>
  <c r="H66" i="1" s="1"/>
  <c r="H67" i="1" s="1"/>
  <c r="H68" i="1" s="1"/>
  <c r="H69" i="1" s="1"/>
  <c r="H70" i="1" s="1"/>
  <c r="H71" i="1" s="1"/>
  <c r="H72" i="1" s="1"/>
  <c r="H73" i="1" s="1"/>
  <c r="Q44" i="1"/>
  <c r="Q43" i="1"/>
  <c r="Q9" i="1"/>
  <c r="Q35" i="7"/>
  <c r="S35" i="7"/>
  <c r="R35" i="7"/>
  <c r="P35" i="7"/>
  <c r="M35" i="7"/>
  <c r="L35" i="7"/>
  <c r="H35" i="7"/>
  <c r="G35" i="7"/>
  <c r="F35" i="7"/>
  <c r="E35" i="7"/>
  <c r="D35" i="7"/>
  <c r="C35" i="7"/>
  <c r="B35" i="7"/>
  <c r="D10" i="7"/>
  <c r="G51" i="63"/>
  <c r="G52" i="63" s="1"/>
  <c r="G53" i="63" s="1"/>
  <c r="H31" i="63"/>
  <c r="H32" i="63" s="1"/>
  <c r="H33" i="63" s="1"/>
  <c r="H34" i="63" s="1"/>
  <c r="H35" i="63" s="1"/>
  <c r="H36" i="63" s="1"/>
  <c r="H37" i="63" s="1"/>
  <c r="H38" i="63" s="1"/>
  <c r="H39" i="63" s="1"/>
  <c r="H40" i="63" s="1"/>
  <c r="H41" i="63" s="1"/>
  <c r="H42" i="63" s="1"/>
  <c r="H43" i="63" s="1"/>
  <c r="H44" i="63" s="1"/>
  <c r="H45" i="63" s="1"/>
  <c r="H46" i="63" s="1"/>
  <c r="H47" i="63" s="1"/>
  <c r="H48" i="63" s="1"/>
  <c r="H49" i="63" s="1"/>
  <c r="H50" i="63" s="1"/>
  <c r="H51" i="63" s="1"/>
  <c r="G29" i="63"/>
  <c r="H10" i="63"/>
  <c r="H11" i="63" s="1"/>
  <c r="H12" i="63" s="1"/>
  <c r="H13" i="63" s="1"/>
  <c r="H14" i="63" s="1"/>
  <c r="H15" i="63" s="1"/>
  <c r="H16" i="63" s="1"/>
  <c r="H17" i="63" s="1"/>
  <c r="H18" i="63" s="1"/>
  <c r="H19" i="63" s="1"/>
  <c r="H20" i="63" s="1"/>
  <c r="H21" i="63" s="1"/>
  <c r="H22" i="63" s="1"/>
  <c r="H23" i="63" s="1"/>
  <c r="H24" i="63" s="1"/>
  <c r="H25" i="63" s="1"/>
  <c r="H26" i="63" s="1"/>
  <c r="H27" i="63" s="1"/>
  <c r="H28" i="63" s="1"/>
  <c r="H29" i="63" s="1"/>
  <c r="S416" i="7"/>
  <c r="R416" i="7"/>
  <c r="Q416" i="7"/>
  <c r="P416" i="7"/>
  <c r="M416" i="7"/>
  <c r="L416" i="7"/>
  <c r="H416" i="7"/>
  <c r="M391" i="7"/>
  <c r="L391" i="7"/>
  <c r="H391" i="7"/>
  <c r="G416" i="7"/>
  <c r="F416" i="7"/>
  <c r="F417" i="7" s="1"/>
  <c r="E416" i="7"/>
  <c r="D416" i="7"/>
  <c r="C416" i="7"/>
  <c r="B416" i="7"/>
  <c r="G391" i="7"/>
  <c r="F391" i="7"/>
  <c r="E391" i="7"/>
  <c r="D391" i="7"/>
  <c r="C391" i="7"/>
  <c r="B391" i="7"/>
  <c r="S384" i="7"/>
  <c r="R384" i="7"/>
  <c r="Q384" i="7"/>
  <c r="P384" i="7"/>
  <c r="M384" i="7"/>
  <c r="L384" i="7"/>
  <c r="H384" i="7"/>
  <c r="M359" i="7"/>
  <c r="L359" i="7"/>
  <c r="H359" i="7"/>
  <c r="G384" i="7"/>
  <c r="F384" i="7"/>
  <c r="F385" i="7" s="1"/>
  <c r="E384" i="7"/>
  <c r="D384" i="7"/>
  <c r="C384" i="7"/>
  <c r="B384" i="7"/>
  <c r="G359" i="7"/>
  <c r="F359" i="7"/>
  <c r="E359" i="7"/>
  <c r="D359" i="7"/>
  <c r="C359" i="7"/>
  <c r="B359" i="7"/>
  <c r="S352" i="7"/>
  <c r="R352" i="7"/>
  <c r="Q352" i="7"/>
  <c r="P352" i="7"/>
  <c r="M352" i="7"/>
  <c r="L352" i="7"/>
  <c r="H352" i="7"/>
  <c r="M327" i="7"/>
  <c r="L327" i="7"/>
  <c r="H327" i="7"/>
  <c r="G352" i="7"/>
  <c r="F352" i="7"/>
  <c r="E352" i="7"/>
  <c r="D352" i="7"/>
  <c r="C352" i="7"/>
  <c r="B352" i="7"/>
  <c r="G327" i="7"/>
  <c r="F327" i="7"/>
  <c r="E327" i="7"/>
  <c r="D327" i="7"/>
  <c r="C327" i="7"/>
  <c r="B327" i="7"/>
  <c r="S320" i="7"/>
  <c r="R320" i="7"/>
  <c r="Q320" i="7"/>
  <c r="P320" i="7"/>
  <c r="M320" i="7"/>
  <c r="L320" i="7"/>
  <c r="H320" i="7"/>
  <c r="M295" i="7"/>
  <c r="L295" i="7"/>
  <c r="H295" i="7"/>
  <c r="G320" i="7"/>
  <c r="F320" i="7"/>
  <c r="F321" i="7" s="1"/>
  <c r="E320" i="7"/>
  <c r="D320" i="7"/>
  <c r="C320" i="7"/>
  <c r="B320" i="7"/>
  <c r="G295" i="7"/>
  <c r="F295" i="7"/>
  <c r="E295" i="7"/>
  <c r="D295" i="7"/>
  <c r="C295" i="7"/>
  <c r="B295" i="7"/>
  <c r="S288" i="7"/>
  <c r="R288" i="7"/>
  <c r="Q288" i="7"/>
  <c r="P288" i="7"/>
  <c r="M288" i="7"/>
  <c r="L288" i="7"/>
  <c r="H288" i="7"/>
  <c r="M263" i="7"/>
  <c r="L263" i="7"/>
  <c r="H263" i="7"/>
  <c r="G288" i="7"/>
  <c r="F288" i="7"/>
  <c r="F289" i="7" s="1"/>
  <c r="E288" i="7"/>
  <c r="D288" i="7"/>
  <c r="C288" i="7"/>
  <c r="B288" i="7"/>
  <c r="G263" i="7"/>
  <c r="F263" i="7"/>
  <c r="E263" i="7"/>
  <c r="D263" i="7"/>
  <c r="C263" i="7"/>
  <c r="B263" i="7"/>
  <c r="S256" i="7"/>
  <c r="R256" i="7"/>
  <c r="Q256" i="7"/>
  <c r="P256" i="7"/>
  <c r="M256" i="7"/>
  <c r="L256" i="7"/>
  <c r="H256" i="7"/>
  <c r="M231" i="7"/>
  <c r="L231" i="7"/>
  <c r="H231" i="7"/>
  <c r="G256" i="7"/>
  <c r="F256" i="7"/>
  <c r="F257" i="7" s="1"/>
  <c r="E256" i="7"/>
  <c r="D256" i="7"/>
  <c r="C256" i="7"/>
  <c r="B256" i="7"/>
  <c r="G231" i="7"/>
  <c r="F231" i="7"/>
  <c r="E231" i="7"/>
  <c r="D231" i="7"/>
  <c r="C231" i="7"/>
  <c r="B231" i="7"/>
  <c r="S224" i="7"/>
  <c r="R224" i="7"/>
  <c r="Q224" i="7"/>
  <c r="P224" i="7"/>
  <c r="M224" i="7"/>
  <c r="L224" i="7"/>
  <c r="H224" i="7"/>
  <c r="G224" i="7"/>
  <c r="F224" i="7"/>
  <c r="F225" i="7" s="1"/>
  <c r="E224" i="7"/>
  <c r="D224" i="7"/>
  <c r="C224" i="7"/>
  <c r="B224" i="7"/>
  <c r="H52" i="63" l="1"/>
  <c r="H53" i="63" s="1"/>
  <c r="G199" i="7"/>
  <c r="F199" i="7"/>
  <c r="E199" i="7"/>
  <c r="D199" i="7"/>
  <c r="C199" i="7"/>
  <c r="B199" i="7"/>
  <c r="S192" i="7"/>
  <c r="R192" i="7"/>
  <c r="Q192" i="7"/>
  <c r="P192" i="7"/>
  <c r="M192" i="7"/>
  <c r="L192" i="7"/>
  <c r="H192" i="7"/>
  <c r="M167" i="7"/>
  <c r="L167" i="7"/>
  <c r="H167" i="7"/>
  <c r="G192" i="7"/>
  <c r="F192" i="7"/>
  <c r="F193" i="7" s="1"/>
  <c r="E192" i="7"/>
  <c r="D192" i="7"/>
  <c r="C192" i="7"/>
  <c r="B192" i="7"/>
  <c r="G167" i="7"/>
  <c r="F167" i="7"/>
  <c r="E167" i="7"/>
  <c r="D167" i="7"/>
  <c r="C167" i="7"/>
  <c r="B167" i="7"/>
  <c r="S160" i="7"/>
  <c r="R160" i="7"/>
  <c r="Q160" i="7"/>
  <c r="P160" i="7"/>
  <c r="M135" i="7"/>
  <c r="L135" i="7"/>
  <c r="H135" i="7"/>
  <c r="G135" i="7"/>
  <c r="F135" i="7"/>
  <c r="E135" i="7"/>
  <c r="D135" i="7"/>
  <c r="C135" i="7"/>
  <c r="G160" i="7"/>
  <c r="F160" i="7"/>
  <c r="E160" i="7"/>
  <c r="D160" i="7"/>
  <c r="C160" i="7"/>
  <c r="B160" i="7"/>
  <c r="B135" i="7"/>
  <c r="S128" i="7"/>
  <c r="R128" i="7"/>
  <c r="Q128" i="7"/>
  <c r="P128" i="7"/>
  <c r="M128" i="7"/>
  <c r="L128" i="7"/>
  <c r="M103" i="7"/>
  <c r="L103" i="7"/>
  <c r="H103" i="7"/>
  <c r="H128" i="7"/>
  <c r="G128" i="7"/>
  <c r="F128" i="7"/>
  <c r="E128" i="7"/>
  <c r="D128" i="7"/>
  <c r="C128" i="7"/>
  <c r="B128" i="7"/>
  <c r="G103" i="7"/>
  <c r="F103" i="7"/>
  <c r="E103" i="7"/>
  <c r="D103" i="7"/>
  <c r="C103" i="7"/>
  <c r="B103" i="7"/>
  <c r="S96" i="7"/>
  <c r="R96" i="7"/>
  <c r="Q96" i="7"/>
  <c r="P96" i="7"/>
  <c r="M96" i="7"/>
  <c r="L96" i="7"/>
  <c r="H96" i="7"/>
  <c r="S65" i="7" l="1"/>
  <c r="R65" i="7"/>
  <c r="G71" i="7"/>
  <c r="F71" i="7"/>
  <c r="E71" i="7"/>
  <c r="D71" i="7"/>
  <c r="G96" i="7"/>
  <c r="F96" i="7"/>
  <c r="E96" i="7"/>
  <c r="D96" i="7"/>
  <c r="C96" i="7"/>
  <c r="B96" i="7"/>
  <c r="M71" i="7"/>
  <c r="L71" i="7"/>
  <c r="H71" i="7"/>
  <c r="C71" i="7"/>
  <c r="B71" i="7"/>
  <c r="Q65" i="7"/>
  <c r="P65" i="7"/>
  <c r="M65" i="7"/>
  <c r="L65" i="7"/>
  <c r="H65" i="7"/>
  <c r="B65" i="7"/>
  <c r="C65" i="7"/>
  <c r="D65" i="7"/>
  <c r="E65" i="7"/>
  <c r="G65" i="7"/>
  <c r="F65" i="7"/>
  <c r="M40" i="7"/>
  <c r="L40" i="7"/>
  <c r="G40" i="7"/>
  <c r="H40" i="7"/>
  <c r="F40" i="7"/>
  <c r="E40" i="7"/>
  <c r="D40" i="7"/>
  <c r="C40" i="7"/>
  <c r="B40" i="7"/>
  <c r="R93" i="2"/>
  <c r="R92" i="2"/>
  <c r="R91" i="2"/>
  <c r="R90" i="2"/>
  <c r="R89" i="2"/>
  <c r="R88" i="2"/>
  <c r="R87" i="2"/>
  <c r="R86" i="2"/>
  <c r="R85" i="2"/>
  <c r="R84" i="2"/>
  <c r="R83" i="2"/>
  <c r="R82" i="2"/>
  <c r="R81" i="2"/>
  <c r="R80" i="2"/>
  <c r="R79" i="2"/>
  <c r="R78" i="2"/>
  <c r="R77" i="2"/>
  <c r="R76" i="2"/>
  <c r="R75" i="2"/>
  <c r="R74" i="2"/>
  <c r="R73" i="2"/>
  <c r="R72" i="2"/>
  <c r="R71" i="2"/>
  <c r="R70" i="2"/>
  <c r="R69" i="2"/>
  <c r="R68" i="2"/>
  <c r="R67" i="2"/>
  <c r="R66" i="2"/>
  <c r="R65" i="2"/>
  <c r="H7" i="2"/>
  <c r="H8" i="2" s="1"/>
  <c r="H9" i="2" s="1"/>
  <c r="H10" i="2" s="1"/>
  <c r="H11" i="2" s="1"/>
  <c r="H12" i="2" s="1"/>
  <c r="J10" i="7"/>
  <c r="K10" i="7"/>
  <c r="L10" i="7"/>
  <c r="H10" i="7"/>
  <c r="F10" i="7"/>
  <c r="G10" i="7"/>
  <c r="E10" i="7"/>
  <c r="C10" i="7"/>
  <c r="B10" i="7"/>
  <c r="M10" i="7" l="1"/>
  <c r="Q8" i="1" l="1"/>
  <c r="Q7" i="1"/>
  <c r="M7" i="58" l="1"/>
  <c r="M8" i="58" s="1"/>
  <c r="J18" i="58"/>
  <c r="S11" i="7" l="1"/>
  <c r="R11" i="7"/>
  <c r="Q11" i="7"/>
  <c r="P11" i="7"/>
  <c r="M11" i="7"/>
  <c r="L11" i="7"/>
  <c r="I11" i="7"/>
  <c r="G11" i="7"/>
  <c r="F11" i="7"/>
  <c r="E11" i="7"/>
  <c r="D11" i="7"/>
  <c r="H83" i="59"/>
  <c r="L18" i="58"/>
  <c r="N65" i="7"/>
  <c r="R64" i="2" l="1"/>
  <c r="R63" i="2"/>
  <c r="R62" i="2"/>
  <c r="R61" i="2"/>
  <c r="R60" i="2"/>
  <c r="R27" i="2"/>
  <c r="R26" i="2"/>
  <c r="R25" i="2"/>
  <c r="R24" i="2"/>
  <c r="R23" i="2"/>
  <c r="R22" i="2"/>
  <c r="R21" i="2"/>
  <c r="R20" i="2"/>
  <c r="R19" i="2"/>
  <c r="R12" i="2"/>
  <c r="R11" i="2"/>
  <c r="R10" i="2"/>
  <c r="R9" i="2"/>
  <c r="R8" i="2"/>
  <c r="R7" i="2"/>
  <c r="H156" i="7" s="1"/>
  <c r="K414" i="7" l="1"/>
  <c r="K406" i="7"/>
  <c r="K398" i="7"/>
  <c r="K378" i="7"/>
  <c r="K370" i="7"/>
  <c r="K349" i="7"/>
  <c r="K341" i="7"/>
  <c r="K333" i="7"/>
  <c r="K312" i="7"/>
  <c r="K304" i="7"/>
  <c r="K283" i="7"/>
  <c r="K275" i="7"/>
  <c r="K254" i="7"/>
  <c r="K246" i="7"/>
  <c r="K238" i="7"/>
  <c r="K217" i="7"/>
  <c r="K209" i="7"/>
  <c r="K188" i="7"/>
  <c r="K180" i="7"/>
  <c r="K172" i="7"/>
  <c r="K153" i="7"/>
  <c r="K145" i="7"/>
  <c r="K125" i="7"/>
  <c r="K117" i="7"/>
  <c r="K109" i="7"/>
  <c r="K90" i="7"/>
  <c r="J85" i="7"/>
  <c r="I80" i="7"/>
  <c r="J62" i="7"/>
  <c r="J54" i="7"/>
  <c r="J46" i="7"/>
  <c r="K332" i="7"/>
  <c r="K274" i="7"/>
  <c r="K237" i="7"/>
  <c r="K208" i="7"/>
  <c r="K171" i="7"/>
  <c r="K124" i="7"/>
  <c r="K108" i="7"/>
  <c r="J79" i="7"/>
  <c r="J53" i="7"/>
  <c r="J124" i="7"/>
  <c r="K52" i="7"/>
  <c r="I84" i="7"/>
  <c r="K51" i="7"/>
  <c r="K177" i="7"/>
  <c r="J51" i="7"/>
  <c r="J158" i="7"/>
  <c r="K141" i="7"/>
  <c r="K87" i="7"/>
  <c r="J414" i="7"/>
  <c r="J406" i="7"/>
  <c r="J398" i="7"/>
  <c r="J378" i="7"/>
  <c r="J370" i="7"/>
  <c r="J349" i="7"/>
  <c r="J341" i="7"/>
  <c r="J333" i="7"/>
  <c r="J312" i="7"/>
  <c r="J304" i="7"/>
  <c r="J283" i="7"/>
  <c r="J275" i="7"/>
  <c r="J254" i="7"/>
  <c r="J246" i="7"/>
  <c r="J238" i="7"/>
  <c r="J217" i="7"/>
  <c r="J209" i="7"/>
  <c r="J188" i="7"/>
  <c r="J180" i="7"/>
  <c r="J172" i="7"/>
  <c r="J153" i="7"/>
  <c r="J145" i="7"/>
  <c r="J125" i="7"/>
  <c r="J117" i="7"/>
  <c r="J109" i="7"/>
  <c r="J90" i="7"/>
  <c r="I85" i="7"/>
  <c r="K79" i="7"/>
  <c r="K61" i="7"/>
  <c r="K53" i="7"/>
  <c r="K45" i="7"/>
  <c r="K340" i="7"/>
  <c r="K253" i="7"/>
  <c r="K216" i="7"/>
  <c r="K179" i="7"/>
  <c r="K152" i="7"/>
  <c r="K116" i="7"/>
  <c r="K84" i="7"/>
  <c r="J45" i="7"/>
  <c r="J208" i="7"/>
  <c r="K170" i="7"/>
  <c r="I89" i="7"/>
  <c r="K206" i="7"/>
  <c r="J122" i="7"/>
  <c r="K149" i="7"/>
  <c r="J113" i="7"/>
  <c r="K413" i="7"/>
  <c r="K405" i="7"/>
  <c r="K397" i="7"/>
  <c r="K377" i="7"/>
  <c r="K369" i="7"/>
  <c r="K348" i="7"/>
  <c r="K311" i="7"/>
  <c r="K303" i="7"/>
  <c r="K282" i="7"/>
  <c r="K245" i="7"/>
  <c r="K187" i="7"/>
  <c r="K144" i="7"/>
  <c r="I90" i="7"/>
  <c r="J61" i="7"/>
  <c r="J116" i="7"/>
  <c r="J52" i="7"/>
  <c r="K280" i="7"/>
  <c r="J114" i="7"/>
  <c r="J413" i="7"/>
  <c r="J405" i="7"/>
  <c r="J397" i="7"/>
  <c r="J377" i="7"/>
  <c r="J369" i="7"/>
  <c r="J348" i="7"/>
  <c r="J340" i="7"/>
  <c r="J332" i="7"/>
  <c r="J311" i="7"/>
  <c r="J303" i="7"/>
  <c r="J282" i="7"/>
  <c r="J274" i="7"/>
  <c r="J253" i="7"/>
  <c r="J245" i="7"/>
  <c r="J237" i="7"/>
  <c r="J216" i="7"/>
  <c r="J187" i="7"/>
  <c r="K89" i="7"/>
  <c r="K78" i="7"/>
  <c r="K150" i="7"/>
  <c r="K121" i="7"/>
  <c r="K412" i="7"/>
  <c r="K404" i="7"/>
  <c r="K396" i="7"/>
  <c r="K376" i="7"/>
  <c r="K368" i="7"/>
  <c r="K347" i="7"/>
  <c r="K339" i="7"/>
  <c r="K318" i="7"/>
  <c r="K310" i="7"/>
  <c r="K302" i="7"/>
  <c r="K281" i="7"/>
  <c r="K273" i="7"/>
  <c r="K252" i="7"/>
  <c r="K244" i="7"/>
  <c r="K236" i="7"/>
  <c r="K215" i="7"/>
  <c r="K207" i="7"/>
  <c r="K186" i="7"/>
  <c r="K178" i="7"/>
  <c r="K151" i="7"/>
  <c r="J60" i="7"/>
  <c r="K142" i="7"/>
  <c r="K58" i="7"/>
  <c r="J412" i="7"/>
  <c r="J404" i="7"/>
  <c r="J396" i="7"/>
  <c r="J376" i="7"/>
  <c r="J368" i="7"/>
  <c r="J347" i="7"/>
  <c r="J339" i="7"/>
  <c r="J318" i="7"/>
  <c r="J310" i="7"/>
  <c r="J302" i="7"/>
  <c r="J281" i="7"/>
  <c r="J273" i="7"/>
  <c r="J252" i="7"/>
  <c r="J244" i="7"/>
  <c r="J236" i="7"/>
  <c r="J215" i="7"/>
  <c r="J207" i="7"/>
  <c r="J186" i="7"/>
  <c r="J178" i="7"/>
  <c r="J170" i="7"/>
  <c r="J151" i="7"/>
  <c r="J143" i="7"/>
  <c r="J123" i="7"/>
  <c r="K59" i="7"/>
  <c r="K185" i="7"/>
  <c r="K93" i="7"/>
  <c r="K411" i="7"/>
  <c r="K403" i="7"/>
  <c r="K395" i="7"/>
  <c r="K375" i="7"/>
  <c r="K367" i="7"/>
  <c r="K346" i="7"/>
  <c r="K338" i="7"/>
  <c r="K317" i="7"/>
  <c r="K309" i="7"/>
  <c r="K301" i="7"/>
  <c r="K214" i="7"/>
  <c r="K122" i="7"/>
  <c r="J59" i="7"/>
  <c r="I83" i="7"/>
  <c r="J411" i="7"/>
  <c r="J403" i="7"/>
  <c r="J395" i="7"/>
  <c r="J375" i="7"/>
  <c r="J367" i="7"/>
  <c r="J346" i="7"/>
  <c r="J338" i="7"/>
  <c r="J317" i="7"/>
  <c r="J309" i="7"/>
  <c r="J301" i="7"/>
  <c r="J280" i="7"/>
  <c r="J272" i="7"/>
  <c r="J251" i="7"/>
  <c r="J243" i="7"/>
  <c r="J222" i="7"/>
  <c r="J142" i="7"/>
  <c r="J88" i="7"/>
  <c r="J58" i="7"/>
  <c r="K410" i="7"/>
  <c r="K402" i="7"/>
  <c r="K382" i="7"/>
  <c r="K374" i="7"/>
  <c r="K366" i="7"/>
  <c r="K345" i="7"/>
  <c r="K337" i="7"/>
  <c r="K316" i="7"/>
  <c r="K308" i="7"/>
  <c r="K300" i="7"/>
  <c r="K279" i="7"/>
  <c r="K271" i="7"/>
  <c r="K250" i="7"/>
  <c r="K242" i="7"/>
  <c r="K221" i="7"/>
  <c r="K213" i="7"/>
  <c r="K205" i="7"/>
  <c r="K184" i="7"/>
  <c r="K176" i="7"/>
  <c r="J77" i="7"/>
  <c r="J410" i="7"/>
  <c r="J402" i="7"/>
  <c r="J382" i="7"/>
  <c r="J374" i="7"/>
  <c r="J366" i="7"/>
  <c r="J345" i="7"/>
  <c r="J337" i="7"/>
  <c r="J316" i="7"/>
  <c r="J308" i="7"/>
  <c r="J300" i="7"/>
  <c r="J279" i="7"/>
  <c r="J271" i="7"/>
  <c r="J250" i="7"/>
  <c r="J242" i="7"/>
  <c r="J221" i="7"/>
  <c r="J213" i="7"/>
  <c r="J205" i="7"/>
  <c r="J184" i="7"/>
  <c r="J176" i="7"/>
  <c r="J157" i="7"/>
  <c r="J149" i="7"/>
  <c r="J141" i="7"/>
  <c r="K57" i="7"/>
  <c r="K409" i="7"/>
  <c r="K401" i="7"/>
  <c r="K381" i="7"/>
  <c r="K373" i="7"/>
  <c r="K365" i="7"/>
  <c r="K344" i="7"/>
  <c r="K336" i="7"/>
  <c r="K315" i="7"/>
  <c r="K307" i="7"/>
  <c r="K286" i="7"/>
  <c r="K278" i="7"/>
  <c r="K270" i="7"/>
  <c r="K249" i="7"/>
  <c r="K241" i="7"/>
  <c r="K220" i="7"/>
  <c r="K212" i="7"/>
  <c r="K204" i="7"/>
  <c r="K183" i="7"/>
  <c r="K175" i="7"/>
  <c r="K156" i="7"/>
  <c r="K148" i="7"/>
  <c r="K140" i="7"/>
  <c r="K120" i="7"/>
  <c r="K112" i="7"/>
  <c r="K92" i="7"/>
  <c r="J87" i="7"/>
  <c r="I82" i="7"/>
  <c r="K76" i="7"/>
  <c r="J57" i="7"/>
  <c r="J49" i="7"/>
  <c r="J399" i="7"/>
  <c r="J305" i="7"/>
  <c r="J218" i="7"/>
  <c r="J146" i="7"/>
  <c r="K85" i="7"/>
  <c r="K46" i="7"/>
  <c r="J144" i="7"/>
  <c r="I79" i="7"/>
  <c r="K143" i="7"/>
  <c r="K83" i="7"/>
  <c r="K222" i="7"/>
  <c r="K114" i="7"/>
  <c r="J214" i="7"/>
  <c r="K50" i="7"/>
  <c r="I88" i="7"/>
  <c r="K49" i="7"/>
  <c r="J409" i="7"/>
  <c r="J401" i="7"/>
  <c r="J381" i="7"/>
  <c r="J373" i="7"/>
  <c r="J365" i="7"/>
  <c r="J344" i="7"/>
  <c r="J336" i="7"/>
  <c r="J315" i="7"/>
  <c r="J307" i="7"/>
  <c r="J286" i="7"/>
  <c r="J278" i="7"/>
  <c r="J270" i="7"/>
  <c r="J249" i="7"/>
  <c r="J241" i="7"/>
  <c r="J220" i="7"/>
  <c r="J212" i="7"/>
  <c r="J204" i="7"/>
  <c r="J183" i="7"/>
  <c r="J175" i="7"/>
  <c r="J156" i="7"/>
  <c r="J148" i="7"/>
  <c r="J140" i="7"/>
  <c r="J120" i="7"/>
  <c r="J112" i="7"/>
  <c r="J92" i="7"/>
  <c r="I87" i="7"/>
  <c r="K81" i="7"/>
  <c r="J76" i="7"/>
  <c r="K56" i="7"/>
  <c r="K48" i="7"/>
  <c r="J350" i="7"/>
  <c r="J334" i="7"/>
  <c r="J268" i="7"/>
  <c r="J181" i="7"/>
  <c r="J118" i="7"/>
  <c r="K54" i="7"/>
  <c r="J152" i="7"/>
  <c r="J84" i="7"/>
  <c r="K123" i="7"/>
  <c r="J78" i="7"/>
  <c r="K251" i="7"/>
  <c r="I94" i="7"/>
  <c r="J177" i="7"/>
  <c r="J93" i="7"/>
  <c r="J82" i="7"/>
  <c r="K408" i="7"/>
  <c r="K400" i="7"/>
  <c r="K380" i="7"/>
  <c r="K372" i="7"/>
  <c r="K364" i="7"/>
  <c r="K343" i="7"/>
  <c r="K335" i="7"/>
  <c r="K314" i="7"/>
  <c r="K306" i="7"/>
  <c r="K285" i="7"/>
  <c r="K277" i="7"/>
  <c r="K269" i="7"/>
  <c r="K248" i="7"/>
  <c r="K240" i="7"/>
  <c r="K219" i="7"/>
  <c r="K211" i="7"/>
  <c r="K190" i="7"/>
  <c r="K182" i="7"/>
  <c r="K174" i="7"/>
  <c r="K155" i="7"/>
  <c r="K147" i="7"/>
  <c r="K139" i="7"/>
  <c r="K119" i="7"/>
  <c r="K111" i="7"/>
  <c r="I92" i="7"/>
  <c r="K86" i="7"/>
  <c r="J81" i="7"/>
  <c r="I76" i="7"/>
  <c r="J56" i="7"/>
  <c r="J48" i="7"/>
  <c r="J379" i="7"/>
  <c r="J342" i="7"/>
  <c r="J276" i="7"/>
  <c r="J210" i="7"/>
  <c r="J154" i="7"/>
  <c r="I91" i="7"/>
  <c r="K62" i="7"/>
  <c r="J179" i="7"/>
  <c r="K94" i="7"/>
  <c r="J115" i="7"/>
  <c r="K158" i="7"/>
  <c r="I78" i="7"/>
  <c r="J150" i="7"/>
  <c r="K157" i="7"/>
  <c r="J50" i="7"/>
  <c r="I77" i="7"/>
  <c r="J408" i="7"/>
  <c r="J400" i="7"/>
  <c r="J380" i="7"/>
  <c r="J372" i="7"/>
  <c r="J364" i="7"/>
  <c r="J343" i="7"/>
  <c r="J335" i="7"/>
  <c r="J314" i="7"/>
  <c r="J306" i="7"/>
  <c r="J285" i="7"/>
  <c r="J277" i="7"/>
  <c r="J269" i="7"/>
  <c r="J248" i="7"/>
  <c r="J240" i="7"/>
  <c r="J219" i="7"/>
  <c r="J211" i="7"/>
  <c r="J190" i="7"/>
  <c r="J182" i="7"/>
  <c r="J174" i="7"/>
  <c r="J155" i="7"/>
  <c r="J147" i="7"/>
  <c r="J139" i="7"/>
  <c r="J119" i="7"/>
  <c r="J111" i="7"/>
  <c r="K91" i="7"/>
  <c r="J86" i="7"/>
  <c r="I81" i="7"/>
  <c r="K63" i="7"/>
  <c r="K55" i="7"/>
  <c r="K47" i="7"/>
  <c r="J371" i="7"/>
  <c r="J313" i="7"/>
  <c r="J247" i="7"/>
  <c r="J189" i="7"/>
  <c r="J126" i="7"/>
  <c r="J80" i="7"/>
  <c r="J108" i="7"/>
  <c r="J89" i="7"/>
  <c r="J94" i="7"/>
  <c r="K272" i="7"/>
  <c r="K88" i="7"/>
  <c r="J206" i="7"/>
  <c r="K113" i="7"/>
  <c r="I93" i="7"/>
  <c r="K407" i="7"/>
  <c r="K399" i="7"/>
  <c r="K379" i="7"/>
  <c r="K371" i="7"/>
  <c r="K350" i="7"/>
  <c r="K342" i="7"/>
  <c r="K334" i="7"/>
  <c r="K313" i="7"/>
  <c r="K305" i="7"/>
  <c r="K284" i="7"/>
  <c r="K276" i="7"/>
  <c r="K268" i="7"/>
  <c r="K247" i="7"/>
  <c r="K239" i="7"/>
  <c r="K218" i="7"/>
  <c r="K210" i="7"/>
  <c r="K189" i="7"/>
  <c r="K181" i="7"/>
  <c r="K173" i="7"/>
  <c r="K154" i="7"/>
  <c r="K146" i="7"/>
  <c r="K126" i="7"/>
  <c r="K118" i="7"/>
  <c r="K110" i="7"/>
  <c r="J91" i="7"/>
  <c r="I86" i="7"/>
  <c r="K80" i="7"/>
  <c r="J63" i="7"/>
  <c r="J55" i="7"/>
  <c r="J47" i="7"/>
  <c r="J407" i="7"/>
  <c r="J284" i="7"/>
  <c r="J239" i="7"/>
  <c r="J173" i="7"/>
  <c r="J110" i="7"/>
  <c r="J171" i="7"/>
  <c r="K60" i="7"/>
  <c r="K115" i="7"/>
  <c r="K243" i="7"/>
  <c r="J83" i="7"/>
  <c r="J185" i="7"/>
  <c r="K77" i="7"/>
  <c r="K82" i="7"/>
  <c r="J121" i="7"/>
  <c r="M220" i="7"/>
  <c r="M216" i="7"/>
  <c r="M212" i="7"/>
  <c r="M208" i="7"/>
  <c r="I204" i="7"/>
  <c r="D220" i="7"/>
  <c r="F217" i="7"/>
  <c r="B215" i="7"/>
  <c r="D212" i="7"/>
  <c r="F209" i="7"/>
  <c r="B207" i="7"/>
  <c r="H252" i="7"/>
  <c r="H248" i="7"/>
  <c r="H244" i="7"/>
  <c r="H240" i="7"/>
  <c r="D254" i="7"/>
  <c r="F251" i="7"/>
  <c r="B249" i="7"/>
  <c r="D246" i="7"/>
  <c r="F243" i="7"/>
  <c r="B241" i="7"/>
  <c r="D238" i="7"/>
  <c r="H283" i="7"/>
  <c r="H279" i="7"/>
  <c r="H275" i="7"/>
  <c r="H271" i="7"/>
  <c r="F285" i="7"/>
  <c r="B283" i="7"/>
  <c r="D280" i="7"/>
  <c r="F277" i="7"/>
  <c r="B275" i="7"/>
  <c r="D272" i="7"/>
  <c r="F269" i="7"/>
  <c r="H318" i="7"/>
  <c r="H314" i="7"/>
  <c r="H310" i="7"/>
  <c r="H306" i="7"/>
  <c r="H302" i="7"/>
  <c r="C317" i="7"/>
  <c r="E314" i="7"/>
  <c r="G311" i="7"/>
  <c r="C309" i="7"/>
  <c r="E306" i="7"/>
  <c r="G303" i="7"/>
  <c r="C301" i="7"/>
  <c r="I349" i="7"/>
  <c r="I345" i="7"/>
  <c r="I341" i="7"/>
  <c r="I337" i="7"/>
  <c r="I333" i="7"/>
  <c r="F348" i="7"/>
  <c r="B346" i="7"/>
  <c r="D343" i="7"/>
  <c r="F340" i="7"/>
  <c r="B338" i="7"/>
  <c r="D335" i="7"/>
  <c r="M412" i="7"/>
  <c r="M408" i="7"/>
  <c r="M404" i="7"/>
  <c r="M400" i="7"/>
  <c r="G414" i="7"/>
  <c r="C412" i="7"/>
  <c r="E409" i="7"/>
  <c r="G406" i="7"/>
  <c r="C404" i="7"/>
  <c r="E401" i="7"/>
  <c r="G398" i="7"/>
  <c r="L380" i="7"/>
  <c r="L376" i="7"/>
  <c r="L372" i="7"/>
  <c r="L368" i="7"/>
  <c r="C381" i="7"/>
  <c r="E378" i="7"/>
  <c r="G375" i="7"/>
  <c r="C373" i="7"/>
  <c r="E370" i="7"/>
  <c r="G367" i="7"/>
  <c r="C365" i="7"/>
  <c r="M187" i="7"/>
  <c r="M183" i="7"/>
  <c r="M179" i="7"/>
  <c r="L220" i="7"/>
  <c r="L216" i="7"/>
  <c r="L212" i="7"/>
  <c r="L208" i="7"/>
  <c r="G222" i="7"/>
  <c r="C220" i="7"/>
  <c r="E217" i="7"/>
  <c r="G214" i="7"/>
  <c r="C212" i="7"/>
  <c r="E209" i="7"/>
  <c r="G206" i="7"/>
  <c r="M251" i="7"/>
  <c r="M247" i="7"/>
  <c r="M243" i="7"/>
  <c r="M239" i="7"/>
  <c r="C254" i="7"/>
  <c r="E251" i="7"/>
  <c r="G248" i="7"/>
  <c r="C246" i="7"/>
  <c r="E243" i="7"/>
  <c r="G240" i="7"/>
  <c r="C238" i="7"/>
  <c r="M286" i="7"/>
  <c r="M282" i="7"/>
  <c r="M278" i="7"/>
  <c r="M274" i="7"/>
  <c r="M270" i="7"/>
  <c r="E285" i="7"/>
  <c r="G282" i="7"/>
  <c r="C280" i="7"/>
  <c r="E277" i="7"/>
  <c r="G274" i="7"/>
  <c r="C272" i="7"/>
  <c r="E269" i="7"/>
  <c r="M317" i="7"/>
  <c r="M313" i="7"/>
  <c r="M309" i="7"/>
  <c r="M305" i="7"/>
  <c r="M301" i="7"/>
  <c r="B317" i="7"/>
  <c r="D314" i="7"/>
  <c r="F311" i="7"/>
  <c r="B309" i="7"/>
  <c r="D306" i="7"/>
  <c r="F303" i="7"/>
  <c r="B301" i="7"/>
  <c r="H349" i="7"/>
  <c r="H345" i="7"/>
  <c r="H341" i="7"/>
  <c r="H337" i="7"/>
  <c r="H333" i="7"/>
  <c r="E348" i="7"/>
  <c r="G345" i="7"/>
  <c r="C343" i="7"/>
  <c r="E340" i="7"/>
  <c r="G337" i="7"/>
  <c r="C335" i="7"/>
  <c r="L412" i="7"/>
  <c r="L408" i="7"/>
  <c r="L404" i="7"/>
  <c r="L400" i="7"/>
  <c r="F414" i="7"/>
  <c r="B412" i="7"/>
  <c r="D409" i="7"/>
  <c r="F406" i="7"/>
  <c r="B404" i="7"/>
  <c r="D401" i="7"/>
  <c r="F398" i="7"/>
  <c r="I380" i="7"/>
  <c r="I376" i="7"/>
  <c r="I372" i="7"/>
  <c r="I368" i="7"/>
  <c r="B381" i="7"/>
  <c r="D378" i="7"/>
  <c r="F375" i="7"/>
  <c r="B373" i="7"/>
  <c r="D370" i="7"/>
  <c r="F367" i="7"/>
  <c r="B365" i="7"/>
  <c r="L187" i="7"/>
  <c r="L183" i="7"/>
  <c r="L179" i="7"/>
  <c r="I220" i="7"/>
  <c r="I216" i="7"/>
  <c r="I212" i="7"/>
  <c r="I208" i="7"/>
  <c r="F222" i="7"/>
  <c r="B220" i="7"/>
  <c r="D217" i="7"/>
  <c r="F214" i="7"/>
  <c r="B212" i="7"/>
  <c r="D209" i="7"/>
  <c r="F206" i="7"/>
  <c r="L251" i="7"/>
  <c r="L247" i="7"/>
  <c r="L243" i="7"/>
  <c r="L239" i="7"/>
  <c r="B254" i="7"/>
  <c r="D251" i="7"/>
  <c r="F248" i="7"/>
  <c r="B246" i="7"/>
  <c r="D243" i="7"/>
  <c r="F240" i="7"/>
  <c r="B238" i="7"/>
  <c r="L286" i="7"/>
  <c r="L282" i="7"/>
  <c r="L278" i="7"/>
  <c r="L274" i="7"/>
  <c r="L270" i="7"/>
  <c r="D285" i="7"/>
  <c r="F282" i="7"/>
  <c r="B280" i="7"/>
  <c r="D277" i="7"/>
  <c r="F274" i="7"/>
  <c r="B272" i="7"/>
  <c r="D269" i="7"/>
  <c r="L317" i="7"/>
  <c r="L313" i="7"/>
  <c r="L309" i="7"/>
  <c r="L305" i="7"/>
  <c r="L301" i="7"/>
  <c r="G316" i="7"/>
  <c r="C314" i="7"/>
  <c r="E311" i="7"/>
  <c r="G308" i="7"/>
  <c r="C306" i="7"/>
  <c r="E303" i="7"/>
  <c r="M348" i="7"/>
  <c r="M344" i="7"/>
  <c r="M340" i="7"/>
  <c r="M336" i="7"/>
  <c r="I332" i="7"/>
  <c r="D348" i="7"/>
  <c r="F345" i="7"/>
  <c r="B343" i="7"/>
  <c r="D340" i="7"/>
  <c r="F337" i="7"/>
  <c r="B335" i="7"/>
  <c r="I412" i="7"/>
  <c r="I408" i="7"/>
  <c r="I404" i="7"/>
  <c r="I400" i="7"/>
  <c r="E414" i="7"/>
  <c r="G411" i="7"/>
  <c r="C409" i="7"/>
  <c r="E406" i="7"/>
  <c r="G403" i="7"/>
  <c r="C401" i="7"/>
  <c r="E398" i="7"/>
  <c r="H380" i="7"/>
  <c r="H376" i="7"/>
  <c r="H372" i="7"/>
  <c r="H368" i="7"/>
  <c r="G380" i="7"/>
  <c r="C378" i="7"/>
  <c r="E375" i="7"/>
  <c r="G372" i="7"/>
  <c r="C370" i="7"/>
  <c r="E367" i="7"/>
  <c r="F364" i="7"/>
  <c r="I187" i="7"/>
  <c r="I183" i="7"/>
  <c r="I179" i="7"/>
  <c r="H220" i="7"/>
  <c r="H216" i="7"/>
  <c r="H212" i="7"/>
  <c r="H208" i="7"/>
  <c r="E222" i="7"/>
  <c r="G219" i="7"/>
  <c r="C217" i="7"/>
  <c r="E214" i="7"/>
  <c r="G211" i="7"/>
  <c r="C209" i="7"/>
  <c r="E206" i="7"/>
  <c r="I251" i="7"/>
  <c r="I247" i="7"/>
  <c r="I243" i="7"/>
  <c r="I239" i="7"/>
  <c r="G253" i="7"/>
  <c r="C251" i="7"/>
  <c r="E248" i="7"/>
  <c r="G245" i="7"/>
  <c r="C243" i="7"/>
  <c r="E240" i="7"/>
  <c r="G237" i="7"/>
  <c r="I286" i="7"/>
  <c r="I282" i="7"/>
  <c r="I278" i="7"/>
  <c r="I274" i="7"/>
  <c r="I270" i="7"/>
  <c r="C285" i="7"/>
  <c r="E282" i="7"/>
  <c r="G279" i="7"/>
  <c r="C277" i="7"/>
  <c r="E274" i="7"/>
  <c r="G271" i="7"/>
  <c r="C269" i="7"/>
  <c r="I317" i="7"/>
  <c r="I313" i="7"/>
  <c r="I309" i="7"/>
  <c r="I305" i="7"/>
  <c r="I301" i="7"/>
  <c r="F316" i="7"/>
  <c r="B314" i="7"/>
  <c r="D311" i="7"/>
  <c r="F308" i="7"/>
  <c r="B306" i="7"/>
  <c r="D303" i="7"/>
  <c r="L348" i="7"/>
  <c r="M219" i="7"/>
  <c r="M215" i="7"/>
  <c r="M211" i="7"/>
  <c r="M207" i="7"/>
  <c r="D222" i="7"/>
  <c r="F219" i="7"/>
  <c r="B217" i="7"/>
  <c r="D214" i="7"/>
  <c r="F211" i="7"/>
  <c r="B209" i="7"/>
  <c r="D206" i="7"/>
  <c r="H251" i="7"/>
  <c r="H247" i="7"/>
  <c r="H243" i="7"/>
  <c r="H239" i="7"/>
  <c r="F253" i="7"/>
  <c r="B251" i="7"/>
  <c r="D248" i="7"/>
  <c r="F245" i="7"/>
  <c r="B243" i="7"/>
  <c r="D240" i="7"/>
  <c r="F237" i="7"/>
  <c r="H286" i="7"/>
  <c r="H282" i="7"/>
  <c r="H278" i="7"/>
  <c r="H274" i="7"/>
  <c r="H270" i="7"/>
  <c r="B285" i="7"/>
  <c r="D282" i="7"/>
  <c r="F279" i="7"/>
  <c r="B277" i="7"/>
  <c r="D274" i="7"/>
  <c r="F271" i="7"/>
  <c r="B269" i="7"/>
  <c r="H317" i="7"/>
  <c r="H313" i="7"/>
  <c r="H309" i="7"/>
  <c r="H305" i="7"/>
  <c r="H301" i="7"/>
  <c r="E316" i="7"/>
  <c r="G313" i="7"/>
  <c r="C311" i="7"/>
  <c r="E308" i="7"/>
  <c r="G305" i="7"/>
  <c r="C303" i="7"/>
  <c r="I348" i="7"/>
  <c r="I344" i="7"/>
  <c r="I340" i="7"/>
  <c r="I336" i="7"/>
  <c r="F350" i="7"/>
  <c r="B348" i="7"/>
  <c r="D345" i="7"/>
  <c r="F342" i="7"/>
  <c r="B340" i="7"/>
  <c r="D337" i="7"/>
  <c r="F334" i="7"/>
  <c r="M411" i="7"/>
  <c r="L219" i="7"/>
  <c r="L215" i="7"/>
  <c r="L211" i="7"/>
  <c r="L207" i="7"/>
  <c r="C222" i="7"/>
  <c r="E219" i="7"/>
  <c r="G216" i="7"/>
  <c r="C214" i="7"/>
  <c r="E211" i="7"/>
  <c r="G208" i="7"/>
  <c r="C206" i="7"/>
  <c r="M254" i="7"/>
  <c r="M250" i="7"/>
  <c r="M246" i="7"/>
  <c r="M242" i="7"/>
  <c r="M238" i="7"/>
  <c r="E253" i="7"/>
  <c r="G250" i="7"/>
  <c r="C248" i="7"/>
  <c r="E245" i="7"/>
  <c r="G242" i="7"/>
  <c r="C240" i="7"/>
  <c r="E237" i="7"/>
  <c r="M285" i="7"/>
  <c r="M281" i="7"/>
  <c r="M277" i="7"/>
  <c r="M273" i="7"/>
  <c r="M269" i="7"/>
  <c r="G284" i="7"/>
  <c r="C282" i="7"/>
  <c r="E279" i="7"/>
  <c r="G276" i="7"/>
  <c r="C274" i="7"/>
  <c r="E271" i="7"/>
  <c r="M316" i="7"/>
  <c r="M312" i="7"/>
  <c r="M308" i="7"/>
  <c r="M304" i="7"/>
  <c r="I300" i="7"/>
  <c r="D316" i="7"/>
  <c r="F313" i="7"/>
  <c r="B311" i="7"/>
  <c r="D308" i="7"/>
  <c r="F305" i="7"/>
  <c r="B303" i="7"/>
  <c r="H348" i="7"/>
  <c r="H344" i="7"/>
  <c r="H340" i="7"/>
  <c r="H336" i="7"/>
  <c r="E350" i="7"/>
  <c r="G347" i="7"/>
  <c r="C345" i="7"/>
  <c r="E342" i="7"/>
  <c r="G339" i="7"/>
  <c r="C337" i="7"/>
  <c r="E334" i="7"/>
  <c r="L411" i="7"/>
  <c r="L407" i="7"/>
  <c r="L403" i="7"/>
  <c r="L399" i="7"/>
  <c r="B414" i="7"/>
  <c r="I219" i="7"/>
  <c r="I215" i="7"/>
  <c r="I211" i="7"/>
  <c r="I207" i="7"/>
  <c r="B222" i="7"/>
  <c r="D219" i="7"/>
  <c r="F216" i="7"/>
  <c r="B214" i="7"/>
  <c r="D211" i="7"/>
  <c r="F208" i="7"/>
  <c r="B206" i="7"/>
  <c r="L254" i="7"/>
  <c r="L250" i="7"/>
  <c r="L246" i="7"/>
  <c r="L242" i="7"/>
  <c r="L238" i="7"/>
  <c r="D253" i="7"/>
  <c r="F250" i="7"/>
  <c r="B248" i="7"/>
  <c r="D245" i="7"/>
  <c r="F242" i="7"/>
  <c r="B240" i="7"/>
  <c r="D237" i="7"/>
  <c r="L285" i="7"/>
  <c r="L281" i="7"/>
  <c r="L277" i="7"/>
  <c r="L273" i="7"/>
  <c r="L269" i="7"/>
  <c r="F284" i="7"/>
  <c r="B282" i="7"/>
  <c r="D279" i="7"/>
  <c r="F276" i="7"/>
  <c r="B274" i="7"/>
  <c r="D271" i="7"/>
  <c r="L316" i="7"/>
  <c r="L312" i="7"/>
  <c r="L308" i="7"/>
  <c r="L304" i="7"/>
  <c r="G318" i="7"/>
  <c r="C316" i="7"/>
  <c r="E313" i="7"/>
  <c r="G310" i="7"/>
  <c r="C308" i="7"/>
  <c r="E305" i="7"/>
  <c r="G302" i="7"/>
  <c r="M347" i="7"/>
  <c r="M343" i="7"/>
  <c r="M339" i="7"/>
  <c r="M335" i="7"/>
  <c r="D350" i="7"/>
  <c r="F347" i="7"/>
  <c r="B345" i="7"/>
  <c r="D342" i="7"/>
  <c r="F339" i="7"/>
  <c r="B337" i="7"/>
  <c r="D334" i="7"/>
  <c r="I411" i="7"/>
  <c r="I407" i="7"/>
  <c r="I403" i="7"/>
  <c r="I399" i="7"/>
  <c r="G413" i="7"/>
  <c r="C411" i="7"/>
  <c r="E408" i="7"/>
  <c r="G405" i="7"/>
  <c r="C403" i="7"/>
  <c r="E400" i="7"/>
  <c r="G397" i="7"/>
  <c r="H379" i="7"/>
  <c r="H375" i="7"/>
  <c r="H371" i="7"/>
  <c r="H367" i="7"/>
  <c r="G382" i="7"/>
  <c r="C380" i="7"/>
  <c r="E377" i="7"/>
  <c r="G374" i="7"/>
  <c r="C372" i="7"/>
  <c r="E369" i="7"/>
  <c r="G366" i="7"/>
  <c r="I190" i="7"/>
  <c r="I186" i="7"/>
  <c r="I182" i="7"/>
  <c r="I178" i="7"/>
  <c r="I174" i="7"/>
  <c r="H219" i="7"/>
  <c r="H215" i="7"/>
  <c r="H211" i="7"/>
  <c r="T211" i="7" s="1"/>
  <c r="H207" i="7"/>
  <c r="G221" i="7"/>
  <c r="C219" i="7"/>
  <c r="E216" i="7"/>
  <c r="G213" i="7"/>
  <c r="C211" i="7"/>
  <c r="E208" i="7"/>
  <c r="G205" i="7"/>
  <c r="I254" i="7"/>
  <c r="I250" i="7"/>
  <c r="I246" i="7"/>
  <c r="I242" i="7"/>
  <c r="I238" i="7"/>
  <c r="C253" i="7"/>
  <c r="E250" i="7"/>
  <c r="G247" i="7"/>
  <c r="C245" i="7"/>
  <c r="E242" i="7"/>
  <c r="G239" i="7"/>
  <c r="C237" i="7"/>
  <c r="I285" i="7"/>
  <c r="I281" i="7"/>
  <c r="I277" i="7"/>
  <c r="I273" i="7"/>
  <c r="I269" i="7"/>
  <c r="E284" i="7"/>
  <c r="G281" i="7"/>
  <c r="C279" i="7"/>
  <c r="E276" i="7"/>
  <c r="G273" i="7"/>
  <c r="C271" i="7"/>
  <c r="I316" i="7"/>
  <c r="I312" i="7"/>
  <c r="I308" i="7"/>
  <c r="I304" i="7"/>
  <c r="F318" i="7"/>
  <c r="B316" i="7"/>
  <c r="D313" i="7"/>
  <c r="F310" i="7"/>
  <c r="B308" i="7"/>
  <c r="D305" i="7"/>
  <c r="F302" i="7"/>
  <c r="L347" i="7"/>
  <c r="L343" i="7"/>
  <c r="L339" i="7"/>
  <c r="L335" i="7"/>
  <c r="C350" i="7"/>
  <c r="E347" i="7"/>
  <c r="G344" i="7"/>
  <c r="C342" i="7"/>
  <c r="E339" i="7"/>
  <c r="G336" i="7"/>
  <c r="C334" i="7"/>
  <c r="H411" i="7"/>
  <c r="H407" i="7"/>
  <c r="H403" i="7"/>
  <c r="H399" i="7"/>
  <c r="F413" i="7"/>
  <c r="B411" i="7"/>
  <c r="D408" i="7"/>
  <c r="F405" i="7"/>
  <c r="B403" i="7"/>
  <c r="D400" i="7"/>
  <c r="F397" i="7"/>
  <c r="M382" i="7"/>
  <c r="M378" i="7"/>
  <c r="M374" i="7"/>
  <c r="M370" i="7"/>
  <c r="M366" i="7"/>
  <c r="F382" i="7"/>
  <c r="B380" i="7"/>
  <c r="D377" i="7"/>
  <c r="F374" i="7"/>
  <c r="B372" i="7"/>
  <c r="D369" i="7"/>
  <c r="F366" i="7"/>
  <c r="H190" i="7"/>
  <c r="H186" i="7"/>
  <c r="H182" i="7"/>
  <c r="H178" i="7"/>
  <c r="M222" i="7"/>
  <c r="M218" i="7"/>
  <c r="M214" i="7"/>
  <c r="M210" i="7"/>
  <c r="M206" i="7"/>
  <c r="F221" i="7"/>
  <c r="B219" i="7"/>
  <c r="D216" i="7"/>
  <c r="F213" i="7"/>
  <c r="B211" i="7"/>
  <c r="D208" i="7"/>
  <c r="F205" i="7"/>
  <c r="H254" i="7"/>
  <c r="H250" i="7"/>
  <c r="H246" i="7"/>
  <c r="H242" i="7"/>
  <c r="H238" i="7"/>
  <c r="B253" i="7"/>
  <c r="D250" i="7"/>
  <c r="F247" i="7"/>
  <c r="B245" i="7"/>
  <c r="D242" i="7"/>
  <c r="F239" i="7"/>
  <c r="B237" i="7"/>
  <c r="H285" i="7"/>
  <c r="H281" i="7"/>
  <c r="H277" i="7"/>
  <c r="H273" i="7"/>
  <c r="H269" i="7"/>
  <c r="D284" i="7"/>
  <c r="F281" i="7"/>
  <c r="B279" i="7"/>
  <c r="D276" i="7"/>
  <c r="F273" i="7"/>
  <c r="B271" i="7"/>
  <c r="H316" i="7"/>
  <c r="H312" i="7"/>
  <c r="H308" i="7"/>
  <c r="H304" i="7"/>
  <c r="E318" i="7"/>
  <c r="G315" i="7"/>
  <c r="C313" i="7"/>
  <c r="E310" i="7"/>
  <c r="G307" i="7"/>
  <c r="C305" i="7"/>
  <c r="E302" i="7"/>
  <c r="I347" i="7"/>
  <c r="I343" i="7"/>
  <c r="I339" i="7"/>
  <c r="I335" i="7"/>
  <c r="B350" i="7"/>
  <c r="D347" i="7"/>
  <c r="F344" i="7"/>
  <c r="B342" i="7"/>
  <c r="D339" i="7"/>
  <c r="F336" i="7"/>
  <c r="B334" i="7"/>
  <c r="M414" i="7"/>
  <c r="M410" i="7"/>
  <c r="M406" i="7"/>
  <c r="M402" i="7"/>
  <c r="L222" i="7"/>
  <c r="L218" i="7"/>
  <c r="L214" i="7"/>
  <c r="L210" i="7"/>
  <c r="L206" i="7"/>
  <c r="E221" i="7"/>
  <c r="G218" i="7"/>
  <c r="C216" i="7"/>
  <c r="E213" i="7"/>
  <c r="G210" i="7"/>
  <c r="C208" i="7"/>
  <c r="E205" i="7"/>
  <c r="M253" i="7"/>
  <c r="M249" i="7"/>
  <c r="M245" i="7"/>
  <c r="M241" i="7"/>
  <c r="M237" i="7"/>
  <c r="G252" i="7"/>
  <c r="C250" i="7"/>
  <c r="E247" i="7"/>
  <c r="G244" i="7"/>
  <c r="C242" i="7"/>
  <c r="E239" i="7"/>
  <c r="M284" i="7"/>
  <c r="M280" i="7"/>
  <c r="M276" i="7"/>
  <c r="M272" i="7"/>
  <c r="G286" i="7"/>
  <c r="C284" i="7"/>
  <c r="E281" i="7"/>
  <c r="G278" i="7"/>
  <c r="C276" i="7"/>
  <c r="E273" i="7"/>
  <c r="G270" i="7"/>
  <c r="M315" i="7"/>
  <c r="M311" i="7"/>
  <c r="M307" i="7"/>
  <c r="M303" i="7"/>
  <c r="D318" i="7"/>
  <c r="F315" i="7"/>
  <c r="B313" i="7"/>
  <c r="D310" i="7"/>
  <c r="F307" i="7"/>
  <c r="B305" i="7"/>
  <c r="D302" i="7"/>
  <c r="H347" i="7"/>
  <c r="H343" i="7"/>
  <c r="H339" i="7"/>
  <c r="H335" i="7"/>
  <c r="G349" i="7"/>
  <c r="C347" i="7"/>
  <c r="E344" i="7"/>
  <c r="G341" i="7"/>
  <c r="C339" i="7"/>
  <c r="E336" i="7"/>
  <c r="G333" i="7"/>
  <c r="L414" i="7"/>
  <c r="L410" i="7"/>
  <c r="L406" i="7"/>
  <c r="L402" i="7"/>
  <c r="L398" i="7"/>
  <c r="D413" i="7"/>
  <c r="I222" i="7"/>
  <c r="I218" i="7"/>
  <c r="I214" i="7"/>
  <c r="I210" i="7"/>
  <c r="I206" i="7"/>
  <c r="D221" i="7"/>
  <c r="F218" i="7"/>
  <c r="B216" i="7"/>
  <c r="D213" i="7"/>
  <c r="F210" i="7"/>
  <c r="B208" i="7"/>
  <c r="D205" i="7"/>
  <c r="L253" i="7"/>
  <c r="L249" i="7"/>
  <c r="L245" i="7"/>
  <c r="L241" i="7"/>
  <c r="L237" i="7"/>
  <c r="F252" i="7"/>
  <c r="B250" i="7"/>
  <c r="D247" i="7"/>
  <c r="F244" i="7"/>
  <c r="B242" i="7"/>
  <c r="D239" i="7"/>
  <c r="L284" i="7"/>
  <c r="L280" i="7"/>
  <c r="L276" i="7"/>
  <c r="L272" i="7"/>
  <c r="F286" i="7"/>
  <c r="B284" i="7"/>
  <c r="D281" i="7"/>
  <c r="F278" i="7"/>
  <c r="B276" i="7"/>
  <c r="D273" i="7"/>
  <c r="F270" i="7"/>
  <c r="L315" i="7"/>
  <c r="L311" i="7"/>
  <c r="L307" i="7"/>
  <c r="L303" i="7"/>
  <c r="C318" i="7"/>
  <c r="E315" i="7"/>
  <c r="G312" i="7"/>
  <c r="C310" i="7"/>
  <c r="E307" i="7"/>
  <c r="G304" i="7"/>
  <c r="C302" i="7"/>
  <c r="M350" i="7"/>
  <c r="M346" i="7"/>
  <c r="M342" i="7"/>
  <c r="M338" i="7"/>
  <c r="M334" i="7"/>
  <c r="F349" i="7"/>
  <c r="B347" i="7"/>
  <c r="D344" i="7"/>
  <c r="F341" i="7"/>
  <c r="B339" i="7"/>
  <c r="D336" i="7"/>
  <c r="F333" i="7"/>
  <c r="I414" i="7"/>
  <c r="I410" i="7"/>
  <c r="I406" i="7"/>
  <c r="I402" i="7"/>
  <c r="I398" i="7"/>
  <c r="C413" i="7"/>
  <c r="E410" i="7"/>
  <c r="G407" i="7"/>
  <c r="C405" i="7"/>
  <c r="E402" i="7"/>
  <c r="G399" i="7"/>
  <c r="C397" i="7"/>
  <c r="H382" i="7"/>
  <c r="H378" i="7"/>
  <c r="H374" i="7"/>
  <c r="H370" i="7"/>
  <c r="H366" i="7"/>
  <c r="C382" i="7"/>
  <c r="E379" i="7"/>
  <c r="G376" i="7"/>
  <c r="C374" i="7"/>
  <c r="E371" i="7"/>
  <c r="G368" i="7"/>
  <c r="C366" i="7"/>
  <c r="I189" i="7"/>
  <c r="I185" i="7"/>
  <c r="I181" i="7"/>
  <c r="H222" i="7"/>
  <c r="H218" i="7"/>
  <c r="H214" i="7"/>
  <c r="H210" i="7"/>
  <c r="H206" i="7"/>
  <c r="C221" i="7"/>
  <c r="E218" i="7"/>
  <c r="G215" i="7"/>
  <c r="C213" i="7"/>
  <c r="E210" i="7"/>
  <c r="G207" i="7"/>
  <c r="C205" i="7"/>
  <c r="I253" i="7"/>
  <c r="I249" i="7"/>
  <c r="I245" i="7"/>
  <c r="I241" i="7"/>
  <c r="I237" i="7"/>
  <c r="E252" i="7"/>
  <c r="G249" i="7"/>
  <c r="C247" i="7"/>
  <c r="E244" i="7"/>
  <c r="G241" i="7"/>
  <c r="C239" i="7"/>
  <c r="I284" i="7"/>
  <c r="I280" i="7"/>
  <c r="I276" i="7"/>
  <c r="I272" i="7"/>
  <c r="E286" i="7"/>
  <c r="G283" i="7"/>
  <c r="C281" i="7"/>
  <c r="E278" i="7"/>
  <c r="G275" i="7"/>
  <c r="C273" i="7"/>
  <c r="E270" i="7"/>
  <c r="I315" i="7"/>
  <c r="I311" i="7"/>
  <c r="I307" i="7"/>
  <c r="I303" i="7"/>
  <c r="B318" i="7"/>
  <c r="D315" i="7"/>
  <c r="F312" i="7"/>
  <c r="B310" i="7"/>
  <c r="D307" i="7"/>
  <c r="F304" i="7"/>
  <c r="B302" i="7"/>
  <c r="L350" i="7"/>
  <c r="L346" i="7"/>
  <c r="L342" i="7"/>
  <c r="L338" i="7"/>
  <c r="L334" i="7"/>
  <c r="E349" i="7"/>
  <c r="G346" i="7"/>
  <c r="C344" i="7"/>
  <c r="E341" i="7"/>
  <c r="G338" i="7"/>
  <c r="C336" i="7"/>
  <c r="E333" i="7"/>
  <c r="H414" i="7"/>
  <c r="H410" i="7"/>
  <c r="H406" i="7"/>
  <c r="H402" i="7"/>
  <c r="M221" i="7"/>
  <c r="M217" i="7"/>
  <c r="M213" i="7"/>
  <c r="M209" i="7"/>
  <c r="M205" i="7"/>
  <c r="B221" i="7"/>
  <c r="D218" i="7"/>
  <c r="F215" i="7"/>
  <c r="B213" i="7"/>
  <c r="D210" i="7"/>
  <c r="F207" i="7"/>
  <c r="B205" i="7"/>
  <c r="H253" i="7"/>
  <c r="H249" i="7"/>
  <c r="H245" i="7"/>
  <c r="H241" i="7"/>
  <c r="H237" i="7"/>
  <c r="D252" i="7"/>
  <c r="F249" i="7"/>
  <c r="B247" i="7"/>
  <c r="D244" i="7"/>
  <c r="F241" i="7"/>
  <c r="B239" i="7"/>
  <c r="H284" i="7"/>
  <c r="H280" i="7"/>
  <c r="H276" i="7"/>
  <c r="H272" i="7"/>
  <c r="D286" i="7"/>
  <c r="F283" i="7"/>
  <c r="B281" i="7"/>
  <c r="D278" i="7"/>
  <c r="F275" i="7"/>
  <c r="B273" i="7"/>
  <c r="D270" i="7"/>
  <c r="H315" i="7"/>
  <c r="H311" i="7"/>
  <c r="H307" i="7"/>
  <c r="H303" i="7"/>
  <c r="G317" i="7"/>
  <c r="C315" i="7"/>
  <c r="E312" i="7"/>
  <c r="G309" i="7"/>
  <c r="C307" i="7"/>
  <c r="E304" i="7"/>
  <c r="G301" i="7"/>
  <c r="I350" i="7"/>
  <c r="I346" i="7"/>
  <c r="I342" i="7"/>
  <c r="I338" i="7"/>
  <c r="I334" i="7"/>
  <c r="D349" i="7"/>
  <c r="F346" i="7"/>
  <c r="B344" i="7"/>
  <c r="D341" i="7"/>
  <c r="F338" i="7"/>
  <c r="B336" i="7"/>
  <c r="D333" i="7"/>
  <c r="M413" i="7"/>
  <c r="M409" i="7"/>
  <c r="M405" i="7"/>
  <c r="L221" i="7"/>
  <c r="L217" i="7"/>
  <c r="L213" i="7"/>
  <c r="L209" i="7"/>
  <c r="L205" i="7"/>
  <c r="G220" i="7"/>
  <c r="C218" i="7"/>
  <c r="E215" i="7"/>
  <c r="G212" i="7"/>
  <c r="C210" i="7"/>
  <c r="E207" i="7"/>
  <c r="M252" i="7"/>
  <c r="M248" i="7"/>
  <c r="M244" i="7"/>
  <c r="M240" i="7"/>
  <c r="G254" i="7"/>
  <c r="C252" i="7"/>
  <c r="E249" i="7"/>
  <c r="G246" i="7"/>
  <c r="C244" i="7"/>
  <c r="E241" i="7"/>
  <c r="G238" i="7"/>
  <c r="M283" i="7"/>
  <c r="M279" i="7"/>
  <c r="M275" i="7"/>
  <c r="M271" i="7"/>
  <c r="C286" i="7"/>
  <c r="E283" i="7"/>
  <c r="G280" i="7"/>
  <c r="C278" i="7"/>
  <c r="E275" i="7"/>
  <c r="G272" i="7"/>
  <c r="C270" i="7"/>
  <c r="M318" i="7"/>
  <c r="M314" i="7"/>
  <c r="M310" i="7"/>
  <c r="M306" i="7"/>
  <c r="M302" i="7"/>
  <c r="F317" i="7"/>
  <c r="B315" i="7"/>
  <c r="D312" i="7"/>
  <c r="F309" i="7"/>
  <c r="B307" i="7"/>
  <c r="D304" i="7"/>
  <c r="F301" i="7"/>
  <c r="H350" i="7"/>
  <c r="H346" i="7"/>
  <c r="H342" i="7"/>
  <c r="H338" i="7"/>
  <c r="H334" i="7"/>
  <c r="C349" i="7"/>
  <c r="E346" i="7"/>
  <c r="G343" i="7"/>
  <c r="C341" i="7"/>
  <c r="E338" i="7"/>
  <c r="G335" i="7"/>
  <c r="C333" i="7"/>
  <c r="L413" i="7"/>
  <c r="L409" i="7"/>
  <c r="L405" i="7"/>
  <c r="L401" i="7"/>
  <c r="L397" i="7"/>
  <c r="F412" i="7"/>
  <c r="B410" i="7"/>
  <c r="D407" i="7"/>
  <c r="F404" i="7"/>
  <c r="B402" i="7"/>
  <c r="D399" i="7"/>
  <c r="I381" i="7"/>
  <c r="I377" i="7"/>
  <c r="I373" i="7"/>
  <c r="I369" i="7"/>
  <c r="I365" i="7"/>
  <c r="F381" i="7"/>
  <c r="B379" i="7"/>
  <c r="D376" i="7"/>
  <c r="F373" i="7"/>
  <c r="B371" i="7"/>
  <c r="D368" i="7"/>
  <c r="F365" i="7"/>
  <c r="L188" i="7"/>
  <c r="L184" i="7"/>
  <c r="L180" i="7"/>
  <c r="I221" i="7"/>
  <c r="I217" i="7"/>
  <c r="I213" i="7"/>
  <c r="I209" i="7"/>
  <c r="I205" i="7"/>
  <c r="F220" i="7"/>
  <c r="B218" i="7"/>
  <c r="D215" i="7"/>
  <c r="F212" i="7"/>
  <c r="B210" i="7"/>
  <c r="D207" i="7"/>
  <c r="L252" i="7"/>
  <c r="L248" i="7"/>
  <c r="L244" i="7"/>
  <c r="L240" i="7"/>
  <c r="F254" i="7"/>
  <c r="B252" i="7"/>
  <c r="D249" i="7"/>
  <c r="F246" i="7"/>
  <c r="B244" i="7"/>
  <c r="D241" i="7"/>
  <c r="F238" i="7"/>
  <c r="L283" i="7"/>
  <c r="L279" i="7"/>
  <c r="L275" i="7"/>
  <c r="L271" i="7"/>
  <c r="B286" i="7"/>
  <c r="D283" i="7"/>
  <c r="F280" i="7"/>
  <c r="B278" i="7"/>
  <c r="D275" i="7"/>
  <c r="F272" i="7"/>
  <c r="B270" i="7"/>
  <c r="L318" i="7"/>
  <c r="L314" i="7"/>
  <c r="L310" i="7"/>
  <c r="L306" i="7"/>
  <c r="L302" i="7"/>
  <c r="E317" i="7"/>
  <c r="G314" i="7"/>
  <c r="C312" i="7"/>
  <c r="E309" i="7"/>
  <c r="G306" i="7"/>
  <c r="C304" i="7"/>
  <c r="E301" i="7"/>
  <c r="M349" i="7"/>
  <c r="M345" i="7"/>
  <c r="M341" i="7"/>
  <c r="M337" i="7"/>
  <c r="M333" i="7"/>
  <c r="B349" i="7"/>
  <c r="D346" i="7"/>
  <c r="F343" i="7"/>
  <c r="B341" i="7"/>
  <c r="D338" i="7"/>
  <c r="F335" i="7"/>
  <c r="B333" i="7"/>
  <c r="I413" i="7"/>
  <c r="I409" i="7"/>
  <c r="I405" i="7"/>
  <c r="I401" i="7"/>
  <c r="I397" i="7"/>
  <c r="E412" i="7"/>
  <c r="G409" i="7"/>
  <c r="C407" i="7"/>
  <c r="E404" i="7"/>
  <c r="G401" i="7"/>
  <c r="C399" i="7"/>
  <c r="H381" i="7"/>
  <c r="H377" i="7"/>
  <c r="H373" i="7"/>
  <c r="H369" i="7"/>
  <c r="H365" i="7"/>
  <c r="E381" i="7"/>
  <c r="G378" i="7"/>
  <c r="C376" i="7"/>
  <c r="E373" i="7"/>
  <c r="G370" i="7"/>
  <c r="C368" i="7"/>
  <c r="E365" i="7"/>
  <c r="I188" i="7"/>
  <c r="I184" i="7"/>
  <c r="I180" i="7"/>
  <c r="H221" i="7"/>
  <c r="H217" i="7"/>
  <c r="H213" i="7"/>
  <c r="H209" i="7"/>
  <c r="H205" i="7"/>
  <c r="E220" i="7"/>
  <c r="G217" i="7"/>
  <c r="C215" i="7"/>
  <c r="E212" i="7"/>
  <c r="G209" i="7"/>
  <c r="C207" i="7"/>
  <c r="I252" i="7"/>
  <c r="I248" i="7"/>
  <c r="D301" i="7"/>
  <c r="L333" i="7"/>
  <c r="H401" i="7"/>
  <c r="G410" i="7"/>
  <c r="E405" i="7"/>
  <c r="C400" i="7"/>
  <c r="M377" i="7"/>
  <c r="M369" i="7"/>
  <c r="B382" i="7"/>
  <c r="F376" i="7"/>
  <c r="D371" i="7"/>
  <c r="B366" i="7"/>
  <c r="M184" i="7"/>
  <c r="H177" i="7"/>
  <c r="G190" i="7"/>
  <c r="C188" i="7"/>
  <c r="E185" i="7"/>
  <c r="G182" i="7"/>
  <c r="C180" i="7"/>
  <c r="E177" i="7"/>
  <c r="G174" i="7"/>
  <c r="M155" i="7"/>
  <c r="M151" i="7"/>
  <c r="M147" i="7"/>
  <c r="M143" i="7"/>
  <c r="C158" i="7"/>
  <c r="E155" i="7"/>
  <c r="G152" i="7"/>
  <c r="C150" i="7"/>
  <c r="E147" i="7"/>
  <c r="G144" i="7"/>
  <c r="C142" i="7"/>
  <c r="M126" i="7"/>
  <c r="M122" i="7"/>
  <c r="M118" i="7"/>
  <c r="M114" i="7"/>
  <c r="M110" i="7"/>
  <c r="C125" i="7"/>
  <c r="B122" i="7"/>
  <c r="G118" i="7"/>
  <c r="E115" i="7"/>
  <c r="D112" i="7"/>
  <c r="C109" i="7"/>
  <c r="M92" i="7"/>
  <c r="L87" i="7"/>
  <c r="H82" i="7"/>
  <c r="G94" i="7"/>
  <c r="E91" i="7"/>
  <c r="D88" i="7"/>
  <c r="C85" i="7"/>
  <c r="B82" i="7"/>
  <c r="G78" i="7"/>
  <c r="I60" i="7"/>
  <c r="I56" i="7"/>
  <c r="I52" i="7"/>
  <c r="I48" i="7"/>
  <c r="G62" i="7"/>
  <c r="C60" i="7"/>
  <c r="E57" i="7"/>
  <c r="G54" i="7"/>
  <c r="C52" i="7"/>
  <c r="E49" i="7"/>
  <c r="G46" i="7"/>
  <c r="M47" i="7"/>
  <c r="C49" i="7"/>
  <c r="G83" i="7"/>
  <c r="D80" i="7"/>
  <c r="I244" i="7"/>
  <c r="G350" i="7"/>
  <c r="H400" i="7"/>
  <c r="F410" i="7"/>
  <c r="D405" i="7"/>
  <c r="B400" i="7"/>
  <c r="L377" i="7"/>
  <c r="L369" i="7"/>
  <c r="G381" i="7"/>
  <c r="E376" i="7"/>
  <c r="C371" i="7"/>
  <c r="G365" i="7"/>
  <c r="H184" i="7"/>
  <c r="M176" i="7"/>
  <c r="F190" i="7"/>
  <c r="B188" i="7"/>
  <c r="D185" i="7"/>
  <c r="F182" i="7"/>
  <c r="B180" i="7"/>
  <c r="D177" i="7"/>
  <c r="F174" i="7"/>
  <c r="L155" i="7"/>
  <c r="L151" i="7"/>
  <c r="L147" i="7"/>
  <c r="L143" i="7"/>
  <c r="B158" i="7"/>
  <c r="D155" i="7"/>
  <c r="F152" i="7"/>
  <c r="B150" i="7"/>
  <c r="D147" i="7"/>
  <c r="F144" i="7"/>
  <c r="B142" i="7"/>
  <c r="L126" i="7"/>
  <c r="L122" i="7"/>
  <c r="L118" i="7"/>
  <c r="L114" i="7"/>
  <c r="L110" i="7"/>
  <c r="B125" i="7"/>
  <c r="G121" i="7"/>
  <c r="E118" i="7"/>
  <c r="D115" i="7"/>
  <c r="C112" i="7"/>
  <c r="B109" i="7"/>
  <c r="L92" i="7"/>
  <c r="H87" i="7"/>
  <c r="M81" i="7"/>
  <c r="E94" i="7"/>
  <c r="D91" i="7"/>
  <c r="C88" i="7"/>
  <c r="B85" i="7"/>
  <c r="G81" i="7"/>
  <c r="E78" i="7"/>
  <c r="H60" i="7"/>
  <c r="H56" i="7"/>
  <c r="H52" i="7"/>
  <c r="H48" i="7"/>
  <c r="F62" i="7"/>
  <c r="F32" i="7" s="1"/>
  <c r="B60" i="7"/>
  <c r="F54" i="7"/>
  <c r="F24" i="7" s="1"/>
  <c r="B52" i="7"/>
  <c r="F46" i="7"/>
  <c r="F16" i="7" s="1"/>
  <c r="C57" i="7"/>
  <c r="B87" i="7"/>
  <c r="E53" i="7"/>
  <c r="I240" i="7"/>
  <c r="I283" i="7"/>
  <c r="G348" i="7"/>
  <c r="M399" i="7"/>
  <c r="D410" i="7"/>
  <c r="B405" i="7"/>
  <c r="F399" i="7"/>
  <c r="M376" i="7"/>
  <c r="M368" i="7"/>
  <c r="D381" i="7"/>
  <c r="B376" i="7"/>
  <c r="F370" i="7"/>
  <c r="D365" i="7"/>
  <c r="H183" i="7"/>
  <c r="L176" i="7"/>
  <c r="E190" i="7"/>
  <c r="G187" i="7"/>
  <c r="C185" i="7"/>
  <c r="E182" i="7"/>
  <c r="G179" i="7"/>
  <c r="C177" i="7"/>
  <c r="E174" i="7"/>
  <c r="I155" i="7"/>
  <c r="I151" i="7"/>
  <c r="I147" i="7"/>
  <c r="I143" i="7"/>
  <c r="G157" i="7"/>
  <c r="C155" i="7"/>
  <c r="E152" i="7"/>
  <c r="G149" i="7"/>
  <c r="C147" i="7"/>
  <c r="E144" i="7"/>
  <c r="G141" i="7"/>
  <c r="I126" i="7"/>
  <c r="I122" i="7"/>
  <c r="I118" i="7"/>
  <c r="I114" i="7"/>
  <c r="I110" i="7"/>
  <c r="G124" i="7"/>
  <c r="E121" i="7"/>
  <c r="D118" i="7"/>
  <c r="C115" i="7"/>
  <c r="B112" i="7"/>
  <c r="H92" i="7"/>
  <c r="M86" i="7"/>
  <c r="L81" i="7"/>
  <c r="D94" i="7"/>
  <c r="C91" i="7"/>
  <c r="B88" i="7"/>
  <c r="G84" i="7"/>
  <c r="E81" i="7"/>
  <c r="D78" i="7"/>
  <c r="M63" i="7"/>
  <c r="M59" i="7"/>
  <c r="M55" i="7"/>
  <c r="M51" i="7"/>
  <c r="E62" i="7"/>
  <c r="G59" i="7"/>
  <c r="E54" i="7"/>
  <c r="G51" i="7"/>
  <c r="E46" i="7"/>
  <c r="F53" i="7"/>
  <c r="F23" i="7" s="1"/>
  <c r="I58" i="7"/>
  <c r="E254" i="7"/>
  <c r="I279" i="7"/>
  <c r="C348" i="7"/>
  <c r="M398" i="7"/>
  <c r="C410" i="7"/>
  <c r="G404" i="7"/>
  <c r="E399" i="7"/>
  <c r="M375" i="7"/>
  <c r="M367" i="7"/>
  <c r="F380" i="7"/>
  <c r="D375" i="7"/>
  <c r="B370" i="7"/>
  <c r="I396" i="7"/>
  <c r="M190" i="7"/>
  <c r="M182" i="7"/>
  <c r="I176" i="7"/>
  <c r="D190" i="7"/>
  <c r="F187" i="7"/>
  <c r="B185" i="7"/>
  <c r="D182" i="7"/>
  <c r="F179" i="7"/>
  <c r="B177" i="7"/>
  <c r="D174" i="7"/>
  <c r="H155" i="7"/>
  <c r="H151" i="7"/>
  <c r="H147" i="7"/>
  <c r="H143" i="7"/>
  <c r="F157" i="7"/>
  <c r="B155" i="7"/>
  <c r="D152" i="7"/>
  <c r="F149" i="7"/>
  <c r="B147" i="7"/>
  <c r="D144" i="7"/>
  <c r="F141" i="7"/>
  <c r="H126" i="7"/>
  <c r="H122" i="7"/>
  <c r="H118" i="7"/>
  <c r="H114" i="7"/>
  <c r="H110" i="7"/>
  <c r="E124" i="7"/>
  <c r="D121" i="7"/>
  <c r="C118" i="7"/>
  <c r="B115" i="7"/>
  <c r="G111" i="7"/>
  <c r="M91" i="7"/>
  <c r="L86" i="7"/>
  <c r="H81" i="7"/>
  <c r="C94" i="7"/>
  <c r="B91" i="7"/>
  <c r="G87" i="7"/>
  <c r="E84" i="7"/>
  <c r="D81" i="7"/>
  <c r="C78" i="7"/>
  <c r="L63" i="7"/>
  <c r="L59" i="7"/>
  <c r="L55" i="7"/>
  <c r="L51" i="7"/>
  <c r="L47" i="7"/>
  <c r="F59" i="7"/>
  <c r="F29" i="7" s="1"/>
  <c r="B57" i="7"/>
  <c r="F51" i="7"/>
  <c r="F21" i="7" s="1"/>
  <c r="B49" i="7"/>
  <c r="I54" i="7"/>
  <c r="G251" i="7"/>
  <c r="I275" i="7"/>
  <c r="C346" i="7"/>
  <c r="H398" i="7"/>
  <c r="F409" i="7"/>
  <c r="D404" i="7"/>
  <c r="B399" i="7"/>
  <c r="L375" i="7"/>
  <c r="L367" i="7"/>
  <c r="E380" i="7"/>
  <c r="C375" i="7"/>
  <c r="G369" i="7"/>
  <c r="F396" i="7"/>
  <c r="L190" i="7"/>
  <c r="L182" i="7"/>
  <c r="H176" i="7"/>
  <c r="C190" i="7"/>
  <c r="E187" i="7"/>
  <c r="G184" i="7"/>
  <c r="C182" i="7"/>
  <c r="E179" i="7"/>
  <c r="G176" i="7"/>
  <c r="C174" i="7"/>
  <c r="M158" i="7"/>
  <c r="M154" i="7"/>
  <c r="M150" i="7"/>
  <c r="M146" i="7"/>
  <c r="M142" i="7"/>
  <c r="E157" i="7"/>
  <c r="G154" i="7"/>
  <c r="C152" i="7"/>
  <c r="E149" i="7"/>
  <c r="G146" i="7"/>
  <c r="C144" i="7"/>
  <c r="E141" i="7"/>
  <c r="M125" i="7"/>
  <c r="M121" i="7"/>
  <c r="M117" i="7"/>
  <c r="M113" i="7"/>
  <c r="M109" i="7"/>
  <c r="D124" i="7"/>
  <c r="C121" i="7"/>
  <c r="B118" i="7"/>
  <c r="G114" i="7"/>
  <c r="E111" i="7"/>
  <c r="L91" i="7"/>
  <c r="H86" i="7"/>
  <c r="M80" i="7"/>
  <c r="B94" i="7"/>
  <c r="G90" i="7"/>
  <c r="E87" i="7"/>
  <c r="D84" i="7"/>
  <c r="C81" i="7"/>
  <c r="B78" i="7"/>
  <c r="I63" i="7"/>
  <c r="I59" i="7"/>
  <c r="I55" i="7"/>
  <c r="I51" i="7"/>
  <c r="I47" i="7"/>
  <c r="C62" i="7"/>
  <c r="E59" i="7"/>
  <c r="G56" i="7"/>
  <c r="C54" i="7"/>
  <c r="E51" i="7"/>
  <c r="G48" i="7"/>
  <c r="C46" i="7"/>
  <c r="L54" i="7"/>
  <c r="E61" i="7"/>
  <c r="C249" i="7"/>
  <c r="I271" i="7"/>
  <c r="I318" i="7"/>
  <c r="E345" i="7"/>
  <c r="M397" i="7"/>
  <c r="B409" i="7"/>
  <c r="F403" i="7"/>
  <c r="D398" i="7"/>
  <c r="I375" i="7"/>
  <c r="I367" i="7"/>
  <c r="D380" i="7"/>
  <c r="B375" i="7"/>
  <c r="F369" i="7"/>
  <c r="F300" i="7"/>
  <c r="M189" i="7"/>
  <c r="M181" i="7"/>
  <c r="M175" i="7"/>
  <c r="B190" i="7"/>
  <c r="D187" i="7"/>
  <c r="F184" i="7"/>
  <c r="B182" i="7"/>
  <c r="D179" i="7"/>
  <c r="F176" i="7"/>
  <c r="B174" i="7"/>
  <c r="L158" i="7"/>
  <c r="L154" i="7"/>
  <c r="L150" i="7"/>
  <c r="L146" i="7"/>
  <c r="L142" i="7"/>
  <c r="D157" i="7"/>
  <c r="F154" i="7"/>
  <c r="B152" i="7"/>
  <c r="D149" i="7"/>
  <c r="F146" i="7"/>
  <c r="B144" i="7"/>
  <c r="D141" i="7"/>
  <c r="L125" i="7"/>
  <c r="L121" i="7"/>
  <c r="L117" i="7"/>
  <c r="L113" i="7"/>
  <c r="L109" i="7"/>
  <c r="C124" i="7"/>
  <c r="B121" i="7"/>
  <c r="G117" i="7"/>
  <c r="E114" i="7"/>
  <c r="D111" i="7"/>
  <c r="H91" i="7"/>
  <c r="M85" i="7"/>
  <c r="L80" i="7"/>
  <c r="G93" i="7"/>
  <c r="E90" i="7"/>
  <c r="D87" i="7"/>
  <c r="C84" i="7"/>
  <c r="B81" i="7"/>
  <c r="G77" i="7"/>
  <c r="H63" i="7"/>
  <c r="H59" i="7"/>
  <c r="H55" i="7"/>
  <c r="H51" i="7"/>
  <c r="H47" i="7"/>
  <c r="B62" i="7"/>
  <c r="F56" i="7"/>
  <c r="F26" i="7" s="1"/>
  <c r="B54" i="7"/>
  <c r="F48" i="7"/>
  <c r="F18" i="7" s="1"/>
  <c r="B46" i="7"/>
  <c r="G61" i="7"/>
  <c r="E48" i="7"/>
  <c r="H109" i="7"/>
  <c r="M79" i="7"/>
  <c r="D77" i="7"/>
  <c r="L46" i="7"/>
  <c r="B51" i="7"/>
  <c r="C77" i="7"/>
  <c r="E246" i="7"/>
  <c r="G285" i="7"/>
  <c r="I314" i="7"/>
  <c r="E343" i="7"/>
  <c r="H397" i="7"/>
  <c r="G408" i="7"/>
  <c r="E403" i="7"/>
  <c r="C398" i="7"/>
  <c r="L382" i="7"/>
  <c r="L374" i="7"/>
  <c r="L366" i="7"/>
  <c r="G379" i="7"/>
  <c r="E374" i="7"/>
  <c r="C369" i="7"/>
  <c r="L189" i="7"/>
  <c r="L181" i="7"/>
  <c r="L175" i="7"/>
  <c r="G189" i="7"/>
  <c r="C187" i="7"/>
  <c r="E184" i="7"/>
  <c r="G181" i="7"/>
  <c r="C179" i="7"/>
  <c r="E176" i="7"/>
  <c r="G173" i="7"/>
  <c r="I158" i="7"/>
  <c r="I154" i="7"/>
  <c r="I150" i="7"/>
  <c r="I146" i="7"/>
  <c r="I142" i="7"/>
  <c r="C157" i="7"/>
  <c r="E154" i="7"/>
  <c r="G151" i="7"/>
  <c r="C149" i="7"/>
  <c r="E146" i="7"/>
  <c r="G143" i="7"/>
  <c r="C141" i="7"/>
  <c r="I125" i="7"/>
  <c r="I121" i="7"/>
  <c r="I117" i="7"/>
  <c r="I113" i="7"/>
  <c r="I109" i="7"/>
  <c r="B124" i="7"/>
  <c r="G120" i="7"/>
  <c r="E117" i="7"/>
  <c r="D114" i="7"/>
  <c r="C111" i="7"/>
  <c r="M90" i="7"/>
  <c r="L85" i="7"/>
  <c r="H80" i="7"/>
  <c r="E93" i="7"/>
  <c r="D90" i="7"/>
  <c r="C87" i="7"/>
  <c r="B84" i="7"/>
  <c r="G80" i="7"/>
  <c r="E77" i="7"/>
  <c r="M62" i="7"/>
  <c r="M58" i="7"/>
  <c r="M54" i="7"/>
  <c r="M50" i="7"/>
  <c r="M46" i="7"/>
  <c r="C59" i="7"/>
  <c r="E56" i="7"/>
  <c r="G53" i="7"/>
  <c r="C51" i="7"/>
  <c r="H117" i="7"/>
  <c r="D117" i="7"/>
  <c r="B111" i="7"/>
  <c r="H85" i="7"/>
  <c r="C90" i="7"/>
  <c r="L62" i="7"/>
  <c r="L50" i="7"/>
  <c r="B59" i="7"/>
  <c r="I46" i="7"/>
  <c r="G50" i="7"/>
  <c r="H58" i="7"/>
  <c r="G243" i="7"/>
  <c r="C283" i="7"/>
  <c r="I310" i="7"/>
  <c r="G342" i="7"/>
  <c r="H413" i="7"/>
  <c r="D414" i="7"/>
  <c r="F408" i="7"/>
  <c r="D403" i="7"/>
  <c r="B398" i="7"/>
  <c r="I382" i="7"/>
  <c r="I374" i="7"/>
  <c r="I366" i="7"/>
  <c r="F379" i="7"/>
  <c r="D374" i="7"/>
  <c r="B369" i="7"/>
  <c r="H189" i="7"/>
  <c r="H181" i="7"/>
  <c r="I175" i="7"/>
  <c r="F189" i="7"/>
  <c r="B187" i="7"/>
  <c r="D184" i="7"/>
  <c r="F181" i="7"/>
  <c r="B179" i="7"/>
  <c r="D176" i="7"/>
  <c r="F173" i="7"/>
  <c r="H158" i="7"/>
  <c r="H154" i="7"/>
  <c r="H150" i="7"/>
  <c r="H146" i="7"/>
  <c r="H142" i="7"/>
  <c r="B157" i="7"/>
  <c r="D154" i="7"/>
  <c r="F151" i="7"/>
  <c r="B149" i="7"/>
  <c r="D146" i="7"/>
  <c r="F143" i="7"/>
  <c r="B141" i="7"/>
  <c r="H125" i="7"/>
  <c r="H121" i="7"/>
  <c r="H113" i="7"/>
  <c r="G123" i="7"/>
  <c r="E120" i="7"/>
  <c r="C114" i="7"/>
  <c r="L90" i="7"/>
  <c r="D93" i="7"/>
  <c r="E80" i="7"/>
  <c r="L58" i="7"/>
  <c r="F61" i="7"/>
  <c r="F31" i="7" s="1"/>
  <c r="E83" i="7"/>
  <c r="G58" i="7"/>
  <c r="C48" i="7"/>
  <c r="C241" i="7"/>
  <c r="E280" i="7"/>
  <c r="I306" i="7"/>
  <c r="G340" i="7"/>
  <c r="H412" i="7"/>
  <c r="C414" i="7"/>
  <c r="C408" i="7"/>
  <c r="G402" i="7"/>
  <c r="E397" i="7"/>
  <c r="M381" i="7"/>
  <c r="M373" i="7"/>
  <c r="M365" i="7"/>
  <c r="D379" i="7"/>
  <c r="B374" i="7"/>
  <c r="F368" i="7"/>
  <c r="M188" i="7"/>
  <c r="M180" i="7"/>
  <c r="H175" i="7"/>
  <c r="E189" i="7"/>
  <c r="G186" i="7"/>
  <c r="C184" i="7"/>
  <c r="E181" i="7"/>
  <c r="G178" i="7"/>
  <c r="C176" i="7"/>
  <c r="E173" i="7"/>
  <c r="M157" i="7"/>
  <c r="M153" i="7"/>
  <c r="M149" i="7"/>
  <c r="M145" i="7"/>
  <c r="M141" i="7"/>
  <c r="G156" i="7"/>
  <c r="C154" i="7"/>
  <c r="E151" i="7"/>
  <c r="G148" i="7"/>
  <c r="C146" i="7"/>
  <c r="E143" i="7"/>
  <c r="M124" i="7"/>
  <c r="M120" i="7"/>
  <c r="M116" i="7"/>
  <c r="M112" i="7"/>
  <c r="G126" i="7"/>
  <c r="E123" i="7"/>
  <c r="D120" i="7"/>
  <c r="C117" i="7"/>
  <c r="B114" i="7"/>
  <c r="G110" i="7"/>
  <c r="H90" i="7"/>
  <c r="M84" i="7"/>
  <c r="L79" i="7"/>
  <c r="C93" i="7"/>
  <c r="B90" i="7"/>
  <c r="G86" i="7"/>
  <c r="I62" i="7"/>
  <c r="I50" i="7"/>
  <c r="C56" i="7"/>
  <c r="H54" i="7"/>
  <c r="E238" i="7"/>
  <c r="G277" i="7"/>
  <c r="I302" i="7"/>
  <c r="L349" i="7"/>
  <c r="C340" i="7"/>
  <c r="H409" i="7"/>
  <c r="E413" i="7"/>
  <c r="B408" i="7"/>
  <c r="F402" i="7"/>
  <c r="D397" i="7"/>
  <c r="L381" i="7"/>
  <c r="L373" i="7"/>
  <c r="L365" i="7"/>
  <c r="C379" i="7"/>
  <c r="G373" i="7"/>
  <c r="E368" i="7"/>
  <c r="F236" i="7"/>
  <c r="H188" i="7"/>
  <c r="H180" i="7"/>
  <c r="M174" i="7"/>
  <c r="D189" i="7"/>
  <c r="F186" i="7"/>
  <c r="B184" i="7"/>
  <c r="D181" i="7"/>
  <c r="F178" i="7"/>
  <c r="B176" i="7"/>
  <c r="D173" i="7"/>
  <c r="L157" i="7"/>
  <c r="L153" i="7"/>
  <c r="L149" i="7"/>
  <c r="L145" i="7"/>
  <c r="L141" i="7"/>
  <c r="F156" i="7"/>
  <c r="B154" i="7"/>
  <c r="D151" i="7"/>
  <c r="F148" i="7"/>
  <c r="B146" i="7"/>
  <c r="D143" i="7"/>
  <c r="L124" i="7"/>
  <c r="L120" i="7"/>
  <c r="L116" i="7"/>
  <c r="L112" i="7"/>
  <c r="E126" i="7"/>
  <c r="D123" i="7"/>
  <c r="C120" i="7"/>
  <c r="B117" i="7"/>
  <c r="G113" i="7"/>
  <c r="E110" i="7"/>
  <c r="M89" i="7"/>
  <c r="L84" i="7"/>
  <c r="H79" i="7"/>
  <c r="B93" i="7"/>
  <c r="G89" i="7"/>
  <c r="E86" i="7"/>
  <c r="D83" i="7"/>
  <c r="C80" i="7"/>
  <c r="B77" i="7"/>
  <c r="H62" i="7"/>
  <c r="F58" i="7"/>
  <c r="F28" i="7" s="1"/>
  <c r="C275" i="7"/>
  <c r="D317" i="7"/>
  <c r="L345" i="7"/>
  <c r="C338" i="7"/>
  <c r="H408" i="7"/>
  <c r="B413" i="7"/>
  <c r="F407" i="7"/>
  <c r="D402" i="7"/>
  <c r="B397" i="7"/>
  <c r="M380" i="7"/>
  <c r="M372" i="7"/>
  <c r="I364" i="7"/>
  <c r="F378" i="7"/>
  <c r="D373" i="7"/>
  <c r="B368" i="7"/>
  <c r="F204" i="7"/>
  <c r="H187" i="7"/>
  <c r="H179" i="7"/>
  <c r="L174" i="7"/>
  <c r="C189" i="7"/>
  <c r="E186" i="7"/>
  <c r="G183" i="7"/>
  <c r="C181" i="7"/>
  <c r="E178" i="7"/>
  <c r="G175" i="7"/>
  <c r="C173" i="7"/>
  <c r="I157" i="7"/>
  <c r="I153" i="7"/>
  <c r="I149" i="7"/>
  <c r="I145" i="7"/>
  <c r="I141" i="7"/>
  <c r="E156" i="7"/>
  <c r="G153" i="7"/>
  <c r="C151" i="7"/>
  <c r="E148" i="7"/>
  <c r="G145" i="7"/>
  <c r="C143" i="7"/>
  <c r="I124" i="7"/>
  <c r="I120" i="7"/>
  <c r="I116" i="7"/>
  <c r="I112" i="7"/>
  <c r="D126" i="7"/>
  <c r="C123" i="7"/>
  <c r="B120" i="7"/>
  <c r="G116" i="7"/>
  <c r="E113" i="7"/>
  <c r="D110" i="7"/>
  <c r="M94" i="7"/>
  <c r="L89" i="7"/>
  <c r="H84" i="7"/>
  <c r="M78" i="7"/>
  <c r="G92" i="7"/>
  <c r="E89" i="7"/>
  <c r="D86" i="7"/>
  <c r="C83" i="7"/>
  <c r="B80" i="7"/>
  <c r="M61" i="7"/>
  <c r="M57" i="7"/>
  <c r="M53" i="7"/>
  <c r="M49" i="7"/>
  <c r="G63" i="7"/>
  <c r="C61" i="7"/>
  <c r="E58" i="7"/>
  <c r="G55" i="7"/>
  <c r="C53" i="7"/>
  <c r="E50" i="7"/>
  <c r="G47" i="7"/>
  <c r="E116" i="7"/>
  <c r="H89" i="7"/>
  <c r="L78" i="7"/>
  <c r="D89" i="7"/>
  <c r="B83" i="7"/>
  <c r="L61" i="7"/>
  <c r="L53" i="7"/>
  <c r="F63" i="7"/>
  <c r="F33" i="7" s="1"/>
  <c r="B61" i="7"/>
  <c r="F55" i="7"/>
  <c r="F25" i="7" s="1"/>
  <c r="E63" i="7"/>
  <c r="G52" i="7"/>
  <c r="E272" i="7"/>
  <c r="F314" i="7"/>
  <c r="L344" i="7"/>
  <c r="E337" i="7"/>
  <c r="M407" i="7"/>
  <c r="G412" i="7"/>
  <c r="E407" i="7"/>
  <c r="C402" i="7"/>
  <c r="M379" i="7"/>
  <c r="M371" i="7"/>
  <c r="B378" i="7"/>
  <c r="F372" i="7"/>
  <c r="D367" i="7"/>
  <c r="M186" i="7"/>
  <c r="M178" i="7"/>
  <c r="H174" i="7"/>
  <c r="B189" i="7"/>
  <c r="D186" i="7"/>
  <c r="F183" i="7"/>
  <c r="B181" i="7"/>
  <c r="D178" i="7"/>
  <c r="F175" i="7"/>
  <c r="B173" i="7"/>
  <c r="H157" i="7"/>
  <c r="H153" i="7"/>
  <c r="H149" i="7"/>
  <c r="H145" i="7"/>
  <c r="H141" i="7"/>
  <c r="D156" i="7"/>
  <c r="F153" i="7"/>
  <c r="B151" i="7"/>
  <c r="D148" i="7"/>
  <c r="F145" i="7"/>
  <c r="B143" i="7"/>
  <c r="H124" i="7"/>
  <c r="H120" i="7"/>
  <c r="H116" i="7"/>
  <c r="H112" i="7"/>
  <c r="C126" i="7"/>
  <c r="B123" i="7"/>
  <c r="G119" i="7"/>
  <c r="D113" i="7"/>
  <c r="C110" i="7"/>
  <c r="L94" i="7"/>
  <c r="M83" i="7"/>
  <c r="E92" i="7"/>
  <c r="C86" i="7"/>
  <c r="G79" i="7"/>
  <c r="L57" i="7"/>
  <c r="L49" i="7"/>
  <c r="B53" i="7"/>
  <c r="F47" i="7"/>
  <c r="F17" i="7" s="1"/>
  <c r="G269" i="7"/>
  <c r="B312" i="7"/>
  <c r="L341" i="7"/>
  <c r="E335" i="7"/>
  <c r="H405" i="7"/>
  <c r="D412" i="7"/>
  <c r="B407" i="7"/>
  <c r="F401" i="7"/>
  <c r="L379" i="7"/>
  <c r="L371" i="7"/>
  <c r="G377" i="7"/>
  <c r="E372" i="7"/>
  <c r="C367" i="7"/>
  <c r="L186" i="7"/>
  <c r="L178" i="7"/>
  <c r="M173" i="7"/>
  <c r="G188" i="7"/>
  <c r="C186" i="7"/>
  <c r="E183" i="7"/>
  <c r="G180" i="7"/>
  <c r="C178" i="7"/>
  <c r="E175" i="7"/>
  <c r="M156" i="7"/>
  <c r="M152" i="7"/>
  <c r="M148" i="7"/>
  <c r="M144" i="7"/>
  <c r="G158" i="7"/>
  <c r="C156" i="7"/>
  <c r="E153" i="7"/>
  <c r="G150" i="7"/>
  <c r="C148" i="7"/>
  <c r="E145" i="7"/>
  <c r="G142" i="7"/>
  <c r="M123" i="7"/>
  <c r="M119" i="7"/>
  <c r="M115" i="7"/>
  <c r="M111" i="7"/>
  <c r="B126" i="7"/>
  <c r="G122" i="7"/>
  <c r="E119" i="7"/>
  <c r="D116" i="7"/>
  <c r="C113" i="7"/>
  <c r="B110" i="7"/>
  <c r="H94" i="7"/>
  <c r="M88" i="7"/>
  <c r="L83" i="7"/>
  <c r="H78" i="7"/>
  <c r="D92" i="7"/>
  <c r="C89" i="7"/>
  <c r="B86" i="7"/>
  <c r="G82" i="7"/>
  <c r="E79" i="7"/>
  <c r="I61" i="7"/>
  <c r="I57" i="7"/>
  <c r="I53" i="7"/>
  <c r="I49" i="7"/>
  <c r="G60" i="7"/>
  <c r="C58" i="7"/>
  <c r="C50" i="7"/>
  <c r="D309" i="7"/>
  <c r="L340" i="7"/>
  <c r="G334" i="7"/>
  <c r="H404" i="7"/>
  <c r="F411" i="7"/>
  <c r="D406" i="7"/>
  <c r="B401" i="7"/>
  <c r="I379" i="7"/>
  <c r="I371" i="7"/>
  <c r="F377" i="7"/>
  <c r="D372" i="7"/>
  <c r="B367" i="7"/>
  <c r="M185" i="7"/>
  <c r="M177" i="7"/>
  <c r="L173" i="7"/>
  <c r="F188" i="7"/>
  <c r="B186" i="7"/>
  <c r="D183" i="7"/>
  <c r="F180" i="7"/>
  <c r="B178" i="7"/>
  <c r="D175" i="7"/>
  <c r="L156" i="7"/>
  <c r="L152" i="7"/>
  <c r="L148" i="7"/>
  <c r="L144" i="7"/>
  <c r="F158" i="7"/>
  <c r="B156" i="7"/>
  <c r="D153" i="7"/>
  <c r="F150" i="7"/>
  <c r="B148" i="7"/>
  <c r="D145" i="7"/>
  <c r="F142" i="7"/>
  <c r="L123" i="7"/>
  <c r="L119" i="7"/>
  <c r="L115" i="7"/>
  <c r="L111" i="7"/>
  <c r="G125" i="7"/>
  <c r="E122" i="7"/>
  <c r="D119" i="7"/>
  <c r="C116" i="7"/>
  <c r="B113" i="7"/>
  <c r="G109" i="7"/>
  <c r="M93" i="7"/>
  <c r="L88" i="7"/>
  <c r="H83" i="7"/>
  <c r="M77" i="7"/>
  <c r="C92" i="7"/>
  <c r="B89" i="7"/>
  <c r="G85" i="7"/>
  <c r="E82" i="7"/>
  <c r="D79" i="7"/>
  <c r="H61" i="7"/>
  <c r="H57" i="7"/>
  <c r="H53" i="7"/>
  <c r="H49" i="7"/>
  <c r="F60" i="7"/>
  <c r="F30" i="7" s="1"/>
  <c r="B58" i="7"/>
  <c r="F306" i="7"/>
  <c r="L337" i="7"/>
  <c r="F332" i="7"/>
  <c r="M403" i="7"/>
  <c r="E411" i="7"/>
  <c r="C406" i="7"/>
  <c r="G400" i="7"/>
  <c r="L378" i="7"/>
  <c r="L370" i="7"/>
  <c r="E382" i="7"/>
  <c r="C377" i="7"/>
  <c r="G371" i="7"/>
  <c r="E366" i="7"/>
  <c r="L185" i="7"/>
  <c r="L177" i="7"/>
  <c r="I173" i="7"/>
  <c r="E188" i="7"/>
  <c r="G185" i="7"/>
  <c r="C183" i="7"/>
  <c r="E180" i="7"/>
  <c r="G177" i="7"/>
  <c r="C175" i="7"/>
  <c r="I156" i="7"/>
  <c r="I152" i="7"/>
  <c r="I148" i="7"/>
  <c r="I144" i="7"/>
  <c r="E158" i="7"/>
  <c r="G155" i="7"/>
  <c r="C153" i="7"/>
  <c r="E150" i="7"/>
  <c r="G147" i="7"/>
  <c r="C145" i="7"/>
  <c r="E142" i="7"/>
  <c r="I123" i="7"/>
  <c r="I119" i="7"/>
  <c r="I115" i="7"/>
  <c r="I111" i="7"/>
  <c r="E125" i="7"/>
  <c r="D122" i="7"/>
  <c r="C119" i="7"/>
  <c r="B116" i="7"/>
  <c r="G112" i="7"/>
  <c r="E109" i="7"/>
  <c r="L93" i="7"/>
  <c r="H88" i="7"/>
  <c r="M82" i="7"/>
  <c r="L77" i="7"/>
  <c r="B92" i="7"/>
  <c r="G88" i="7"/>
  <c r="E85" i="7"/>
  <c r="D82" i="7"/>
  <c r="C79" i="7"/>
  <c r="M60" i="7"/>
  <c r="M56" i="7"/>
  <c r="M52" i="7"/>
  <c r="M48" i="7"/>
  <c r="C63" i="7"/>
  <c r="E60" i="7"/>
  <c r="G57" i="7"/>
  <c r="C55" i="7"/>
  <c r="E52" i="7"/>
  <c r="G49" i="7"/>
  <c r="C47" i="7"/>
  <c r="B304" i="7"/>
  <c r="L336" i="7"/>
  <c r="M401" i="7"/>
  <c r="D411" i="7"/>
  <c r="B406" i="7"/>
  <c r="F400" i="7"/>
  <c r="I378" i="7"/>
  <c r="I370" i="7"/>
  <c r="D382" i="7"/>
  <c r="B377" i="7"/>
  <c r="F371" i="7"/>
  <c r="D366" i="7"/>
  <c r="H185" i="7"/>
  <c r="I177" i="7"/>
  <c r="H173" i="7"/>
  <c r="D188" i="7"/>
  <c r="F185" i="7"/>
  <c r="B183" i="7"/>
  <c r="D180" i="7"/>
  <c r="H152" i="7"/>
  <c r="E55" i="7"/>
  <c r="H148" i="7"/>
  <c r="B55" i="7"/>
  <c r="H77" i="7"/>
  <c r="H144" i="7"/>
  <c r="H123" i="7"/>
  <c r="D158" i="7"/>
  <c r="H119" i="7"/>
  <c r="F52" i="7"/>
  <c r="F22" i="7" s="1"/>
  <c r="F49" i="7"/>
  <c r="F19" i="7" s="1"/>
  <c r="D85" i="7"/>
  <c r="F155" i="7"/>
  <c r="H115" i="7"/>
  <c r="H93" i="7"/>
  <c r="D150" i="7"/>
  <c r="L82" i="7"/>
  <c r="B50" i="7"/>
  <c r="C122" i="7"/>
  <c r="G91" i="7"/>
  <c r="F177" i="7"/>
  <c r="B153" i="7"/>
  <c r="H111" i="7"/>
  <c r="M87" i="7"/>
  <c r="L60" i="7"/>
  <c r="F50" i="7"/>
  <c r="F20" i="7" s="1"/>
  <c r="B175" i="7"/>
  <c r="D125" i="7"/>
  <c r="L56" i="7"/>
  <c r="B119" i="7"/>
  <c r="F147" i="7"/>
  <c r="B48" i="7"/>
  <c r="H46" i="7"/>
  <c r="D142" i="7"/>
  <c r="G115" i="7"/>
  <c r="E88" i="7"/>
  <c r="L48" i="7"/>
  <c r="E47" i="7"/>
  <c r="E112" i="7"/>
  <c r="D109" i="7"/>
  <c r="C82" i="7"/>
  <c r="B63" i="7"/>
  <c r="B47" i="7"/>
  <c r="B79" i="7"/>
  <c r="B145" i="7"/>
  <c r="H50" i="7"/>
  <c r="F57" i="7"/>
  <c r="F27" i="7" s="1"/>
  <c r="B56" i="7"/>
  <c r="L52" i="7"/>
  <c r="I236" i="7"/>
  <c r="I268" i="7"/>
  <c r="I267" i="7"/>
  <c r="I266" i="7"/>
  <c r="I235" i="7"/>
  <c r="F172" i="7"/>
  <c r="I234" i="7"/>
  <c r="F171" i="7"/>
  <c r="F140" i="7"/>
  <c r="F170" i="7"/>
  <c r="F139" i="7"/>
  <c r="F268" i="7"/>
  <c r="I140" i="7"/>
  <c r="F138" i="7"/>
  <c r="F267" i="7"/>
  <c r="I139" i="7"/>
  <c r="F266" i="7"/>
  <c r="I138" i="7"/>
  <c r="I106" i="7"/>
  <c r="I108" i="7"/>
  <c r="I107" i="7"/>
  <c r="L19" i="58"/>
  <c r="L17" i="58"/>
  <c r="F159" i="7" l="1"/>
  <c r="F161" i="7" s="1"/>
  <c r="J127" i="7"/>
  <c r="J129" i="7" s="1"/>
  <c r="J383" i="7"/>
  <c r="J385" i="7" s="1"/>
  <c r="K351" i="7"/>
  <c r="K353" i="7" s="1"/>
  <c r="K95" i="7"/>
  <c r="K97" i="7" s="1"/>
  <c r="J95" i="7"/>
  <c r="J97" i="7" s="1"/>
  <c r="J255" i="7"/>
  <c r="J257" i="7" s="1"/>
  <c r="I415" i="7"/>
  <c r="I417" i="7" s="1"/>
  <c r="K415" i="7"/>
  <c r="K417" i="7" s="1"/>
  <c r="K191" i="7"/>
  <c r="K193" i="7" s="1"/>
  <c r="I95" i="7"/>
  <c r="I97" i="7" s="1"/>
  <c r="J351" i="7"/>
  <c r="J353" i="7" s="1"/>
  <c r="I351" i="7"/>
  <c r="I353" i="7" s="1"/>
  <c r="I223" i="7"/>
  <c r="I225" i="7" s="1"/>
  <c r="J415" i="7"/>
  <c r="J417" i="7" s="1"/>
  <c r="J64" i="7"/>
  <c r="J66" i="7" s="1"/>
  <c r="I127" i="7"/>
  <c r="I129" i="7" s="1"/>
  <c r="I383" i="7"/>
  <c r="I385" i="7" s="1"/>
  <c r="K127" i="7"/>
  <c r="K129" i="7" s="1"/>
  <c r="I319" i="7"/>
  <c r="I321" i="7" s="1"/>
  <c r="J319" i="7"/>
  <c r="J321" i="7" s="1"/>
  <c r="K255" i="7"/>
  <c r="K257" i="7" s="1"/>
  <c r="I255" i="7"/>
  <c r="I257" i="7" s="1"/>
  <c r="K64" i="7"/>
  <c r="K66" i="7" s="1"/>
  <c r="K287" i="7"/>
  <c r="K289" i="7" s="1"/>
  <c r="K159" i="7"/>
  <c r="K161" i="7" s="1"/>
  <c r="K223" i="7"/>
  <c r="K225" i="7" s="1"/>
  <c r="I159" i="7"/>
  <c r="I161" i="7" s="1"/>
  <c r="K383" i="7"/>
  <c r="K385" i="7" s="1"/>
  <c r="I287" i="7"/>
  <c r="I289" i="7" s="1"/>
  <c r="J159" i="7"/>
  <c r="J161" i="7" s="1"/>
  <c r="J287" i="7"/>
  <c r="J289" i="7" s="1"/>
  <c r="J223" i="7"/>
  <c r="J225" i="7" s="1"/>
  <c r="K319" i="7"/>
  <c r="K321" i="7" s="1"/>
  <c r="J191" i="7"/>
  <c r="J193" i="7" s="1"/>
  <c r="K18" i="7"/>
  <c r="K20" i="7"/>
  <c r="K31" i="7"/>
  <c r="J21" i="7"/>
  <c r="K26" i="7"/>
  <c r="K19" i="7"/>
  <c r="J19" i="7"/>
  <c r="K15" i="7"/>
  <c r="J27" i="7"/>
  <c r="J22" i="7"/>
  <c r="K23" i="7"/>
  <c r="J16" i="7"/>
  <c r="K25" i="7"/>
  <c r="J32" i="7"/>
  <c r="E30" i="7"/>
  <c r="K30" i="7"/>
  <c r="K21" i="7"/>
  <c r="J18" i="7"/>
  <c r="J30" i="7"/>
  <c r="E28" i="7"/>
  <c r="J20" i="7"/>
  <c r="J26" i="7"/>
  <c r="K22" i="7"/>
  <c r="K17" i="7"/>
  <c r="J31" i="7"/>
  <c r="J25" i="7"/>
  <c r="J15" i="7"/>
  <c r="K33" i="7"/>
  <c r="J28" i="7"/>
  <c r="J23" i="7"/>
  <c r="K16" i="7"/>
  <c r="J17" i="7"/>
  <c r="K29" i="7"/>
  <c r="K24" i="7"/>
  <c r="J29" i="7"/>
  <c r="J24" i="7"/>
  <c r="J33" i="7"/>
  <c r="K28" i="7"/>
  <c r="K32" i="7"/>
  <c r="K27" i="7"/>
  <c r="B18" i="7"/>
  <c r="C28" i="7"/>
  <c r="E33" i="7"/>
  <c r="H32" i="7"/>
  <c r="E21" i="7"/>
  <c r="I24" i="7"/>
  <c r="E22" i="7"/>
  <c r="H23" i="7"/>
  <c r="B17" i="7"/>
  <c r="B33" i="7"/>
  <c r="C17" i="7"/>
  <c r="I19" i="7"/>
  <c r="G19" i="7"/>
  <c r="C31" i="7"/>
  <c r="E20" i="7"/>
  <c r="C21" i="7"/>
  <c r="H21" i="7"/>
  <c r="C24" i="7"/>
  <c r="I26" i="7"/>
  <c r="H17" i="7"/>
  <c r="G33" i="7"/>
  <c r="C18" i="7"/>
  <c r="G23" i="7"/>
  <c r="M29" i="7"/>
  <c r="B21" i="7"/>
  <c r="H25" i="7"/>
  <c r="G26" i="7"/>
  <c r="E23" i="7"/>
  <c r="I30" i="7"/>
  <c r="I32" i="7"/>
  <c r="I23" i="7"/>
  <c r="B31" i="7"/>
  <c r="M19" i="7"/>
  <c r="G28" i="7"/>
  <c r="E26" i="7"/>
  <c r="L16" i="7"/>
  <c r="H29" i="7"/>
  <c r="E29" i="7"/>
  <c r="B19" i="7"/>
  <c r="I28" i="7"/>
  <c r="I27" i="7"/>
  <c r="M23" i="7"/>
  <c r="C29" i="7"/>
  <c r="H33" i="7"/>
  <c r="C32" i="7"/>
  <c r="C27" i="7"/>
  <c r="I31" i="7"/>
  <c r="B28" i="7"/>
  <c r="L23" i="7"/>
  <c r="M27" i="7"/>
  <c r="M16" i="7"/>
  <c r="I17" i="7"/>
  <c r="E16" i="7"/>
  <c r="L31" i="7"/>
  <c r="M31" i="7"/>
  <c r="M20" i="7"/>
  <c r="I21" i="7"/>
  <c r="B27" i="7"/>
  <c r="G21" i="7"/>
  <c r="C19" i="7"/>
  <c r="L30" i="7"/>
  <c r="L28" i="7"/>
  <c r="G20" i="7"/>
  <c r="E18" i="7"/>
  <c r="I25" i="7"/>
  <c r="E24" i="7"/>
  <c r="G32" i="7"/>
  <c r="B22" i="7"/>
  <c r="M17" i="7"/>
  <c r="H19" i="7"/>
  <c r="I16" i="7"/>
  <c r="M28" i="7"/>
  <c r="G31" i="7"/>
  <c r="G29" i="7"/>
  <c r="G16" i="7"/>
  <c r="I29" i="7"/>
  <c r="G27" i="7"/>
  <c r="B29" i="7"/>
  <c r="M32" i="7"/>
  <c r="B16" i="7"/>
  <c r="L17" i="7"/>
  <c r="E32" i="7"/>
  <c r="E19" i="7"/>
  <c r="I33" i="7"/>
  <c r="E17" i="7"/>
  <c r="H27" i="7"/>
  <c r="H24" i="7"/>
  <c r="L20" i="7"/>
  <c r="L21" i="7"/>
  <c r="M21" i="7"/>
  <c r="B30" i="7"/>
  <c r="C22" i="7"/>
  <c r="L22" i="7"/>
  <c r="L18" i="7"/>
  <c r="C33" i="7"/>
  <c r="H31" i="7"/>
  <c r="B23" i="7"/>
  <c r="C26" i="7"/>
  <c r="L32" i="7"/>
  <c r="L25" i="7"/>
  <c r="M25" i="7"/>
  <c r="G24" i="7"/>
  <c r="I22" i="7"/>
  <c r="L26" i="7"/>
  <c r="C25" i="7"/>
  <c r="B26" i="7"/>
  <c r="G30" i="7"/>
  <c r="M18" i="7"/>
  <c r="G17" i="7"/>
  <c r="I20" i="7"/>
  <c r="B24" i="7"/>
  <c r="M24" i="7"/>
  <c r="E31" i="7"/>
  <c r="L29" i="7"/>
  <c r="H18" i="7"/>
  <c r="E25" i="7"/>
  <c r="E27" i="7"/>
  <c r="M22" i="7"/>
  <c r="L19" i="7"/>
  <c r="L24" i="7"/>
  <c r="L33" i="7"/>
  <c r="M33" i="7"/>
  <c r="H22" i="7"/>
  <c r="C30" i="7"/>
  <c r="B20" i="7"/>
  <c r="B25" i="7"/>
  <c r="M26" i="7"/>
  <c r="L27" i="7"/>
  <c r="C23" i="7"/>
  <c r="C16" i="7"/>
  <c r="H26" i="7"/>
  <c r="H20" i="7"/>
  <c r="H16" i="7"/>
  <c r="M30" i="7"/>
  <c r="C20" i="7"/>
  <c r="G22" i="7"/>
  <c r="G25" i="7"/>
  <c r="B32" i="7"/>
  <c r="G18" i="7"/>
  <c r="H30" i="7"/>
  <c r="I18" i="7"/>
  <c r="G13" i="58"/>
  <c r="H17" i="58"/>
  <c r="G17" i="58"/>
  <c r="F17" i="58"/>
  <c r="E17" i="58"/>
  <c r="D17" i="58"/>
  <c r="C17" i="58"/>
  <c r="I18" i="58"/>
  <c r="H18" i="58"/>
  <c r="G18" i="58"/>
  <c r="F18" i="58"/>
  <c r="E18" i="58"/>
  <c r="D18" i="58"/>
  <c r="C18" i="58"/>
  <c r="C19" i="58"/>
  <c r="H15" i="58"/>
  <c r="H19" i="58" s="1"/>
  <c r="G15" i="58"/>
  <c r="G19" i="58" s="1"/>
  <c r="F15" i="58"/>
  <c r="F19" i="58" s="1"/>
  <c r="E15" i="58"/>
  <c r="E19" i="58" s="1"/>
  <c r="D15" i="58"/>
  <c r="D19" i="58" s="1"/>
  <c r="C15" i="58"/>
  <c r="B15" i="58"/>
  <c r="J14" i="58"/>
  <c r="J13" i="58"/>
  <c r="J15" i="58" s="1"/>
  <c r="J12" i="58"/>
  <c r="J11" i="58"/>
  <c r="J10" i="58"/>
  <c r="J9" i="58"/>
  <c r="H6" i="58"/>
  <c r="G6" i="58"/>
  <c r="F6" i="58"/>
  <c r="E6" i="58"/>
  <c r="D6" i="58"/>
  <c r="C6" i="58"/>
  <c r="J4" i="58"/>
  <c r="J34" i="7" l="1"/>
  <c r="J36" i="7" s="1"/>
  <c r="K34" i="7"/>
  <c r="K36" i="7" s="1"/>
  <c r="I5" i="58"/>
  <c r="I17" i="58" s="1"/>
  <c r="I19" i="58" s="1"/>
  <c r="I2" i="58"/>
  <c r="J2" i="58" s="1"/>
  <c r="M199" i="7"/>
  <c r="L199" i="7"/>
  <c r="J5" i="58" l="1"/>
  <c r="J17" i="58" s="1"/>
  <c r="J19" i="58" s="1"/>
  <c r="I6" i="58"/>
  <c r="J21" i="58" l="1"/>
  <c r="K24" i="58" s="1"/>
  <c r="J6" i="58"/>
  <c r="J23" i="58"/>
  <c r="H199" i="7"/>
  <c r="L160" i="7"/>
  <c r="M160" i="7"/>
  <c r="Q42" i="1" l="1"/>
  <c r="Q41" i="1"/>
  <c r="Q40" i="1"/>
  <c r="Q39" i="1"/>
  <c r="Q38" i="1"/>
  <c r="Q37" i="1"/>
  <c r="Q36" i="1"/>
  <c r="Q35" i="1"/>
  <c r="Q34" i="1"/>
  <c r="Q33" i="1"/>
  <c r="Q32" i="1"/>
  <c r="Q31" i="1"/>
  <c r="Q30" i="1"/>
  <c r="Q29" i="1"/>
  <c r="Q28" i="1"/>
  <c r="Q27" i="1"/>
  <c r="Q26" i="1"/>
  <c r="Q25" i="1"/>
  <c r="Q24" i="1"/>
  <c r="Q23" i="1"/>
  <c r="Q22" i="1"/>
  <c r="Q21" i="1"/>
  <c r="Q20" i="1"/>
  <c r="N41" i="7"/>
  <c r="S219" i="7" l="1"/>
  <c r="S305" i="7"/>
  <c r="S185" i="7"/>
  <c r="S79" i="7"/>
  <c r="R207" i="7"/>
  <c r="R343" i="7"/>
  <c r="R173" i="7"/>
  <c r="R54" i="7"/>
  <c r="Q237" i="7"/>
  <c r="Q405" i="7"/>
  <c r="Q125" i="7"/>
  <c r="S61" i="7"/>
  <c r="P237" i="7"/>
  <c r="P405" i="7"/>
  <c r="P125" i="7"/>
  <c r="S57" i="7"/>
  <c r="S240" i="7"/>
  <c r="S408" i="7"/>
  <c r="S142" i="7"/>
  <c r="R214" i="7"/>
  <c r="R350" i="7"/>
  <c r="R180" i="7"/>
  <c r="R49" i="7"/>
  <c r="P286" i="7"/>
  <c r="P404" i="7"/>
  <c r="P124" i="7"/>
  <c r="S311" i="7"/>
  <c r="S365" i="7"/>
  <c r="R251" i="7"/>
  <c r="R337" i="7"/>
  <c r="R153" i="7"/>
  <c r="Q277" i="7"/>
  <c r="Q381" i="7"/>
  <c r="Q115" i="7"/>
  <c r="S410" i="7"/>
  <c r="P190" i="7"/>
  <c r="P247" i="7"/>
  <c r="P333" i="7"/>
  <c r="P149" i="7"/>
  <c r="S238" i="7"/>
  <c r="P372" i="7"/>
  <c r="S242" i="7"/>
  <c r="P302" i="7"/>
  <c r="R246" i="7"/>
  <c r="R414" i="7"/>
  <c r="R148" i="7"/>
  <c r="Q80" i="7"/>
  <c r="P174" i="7"/>
  <c r="Q238" i="7"/>
  <c r="Q406" i="7"/>
  <c r="Q126" i="7"/>
  <c r="P306" i="7"/>
  <c r="P53" i="7"/>
  <c r="P116" i="7"/>
  <c r="P209" i="7"/>
  <c r="P61" i="7"/>
  <c r="Q147" i="7"/>
  <c r="Q403" i="7"/>
  <c r="R156" i="7"/>
  <c r="R211" i="7"/>
  <c r="P240" i="7"/>
  <c r="P337" i="7"/>
  <c r="R115" i="7"/>
  <c r="S215" i="7"/>
  <c r="S301" i="7"/>
  <c r="S181" i="7"/>
  <c r="S62" i="7"/>
  <c r="R253" i="7"/>
  <c r="R339" i="7"/>
  <c r="R155" i="7"/>
  <c r="R50" i="7"/>
  <c r="Q283" i="7"/>
  <c r="Q401" i="7"/>
  <c r="Q121" i="7"/>
  <c r="S49" i="7"/>
  <c r="P283" i="7"/>
  <c r="P401" i="7"/>
  <c r="P121" i="7"/>
  <c r="R61" i="7"/>
  <c r="S286" i="7"/>
  <c r="S404" i="7"/>
  <c r="S124" i="7"/>
  <c r="R210" i="7"/>
  <c r="R346" i="7"/>
  <c r="R176" i="7"/>
  <c r="Q218" i="7"/>
  <c r="P282" i="7"/>
  <c r="P400" i="7"/>
  <c r="S221" i="7"/>
  <c r="S307" i="7"/>
  <c r="S187" i="7"/>
  <c r="R247" i="7"/>
  <c r="R333" i="7"/>
  <c r="R149" i="7"/>
  <c r="Q273" i="7"/>
  <c r="Q377" i="7"/>
  <c r="Q111" i="7"/>
  <c r="S398" i="7"/>
  <c r="P178" i="7"/>
  <c r="P243" i="7"/>
  <c r="P411" i="7"/>
  <c r="P145" i="7"/>
  <c r="S314" i="7"/>
  <c r="P156" i="7"/>
  <c r="S280" i="7"/>
  <c r="P398" i="7"/>
  <c r="R242" i="7"/>
  <c r="R410" i="7"/>
  <c r="R144" i="7"/>
  <c r="Q55" i="7"/>
  <c r="P122" i="7"/>
  <c r="Q284" i="7"/>
  <c r="Q402" i="7"/>
  <c r="Q122" i="7"/>
  <c r="P344" i="7"/>
  <c r="S119" i="7"/>
  <c r="Q49" i="7"/>
  <c r="R81" i="7"/>
  <c r="P340" i="7"/>
  <c r="R89" i="7"/>
  <c r="P245" i="7"/>
  <c r="R175" i="7"/>
  <c r="R340" i="7"/>
  <c r="S309" i="7"/>
  <c r="R78" i="7"/>
  <c r="S246" i="7"/>
  <c r="S211" i="7"/>
  <c r="S347" i="7"/>
  <c r="S177" i="7"/>
  <c r="S58" i="7"/>
  <c r="R249" i="7"/>
  <c r="R335" i="7"/>
  <c r="R151" i="7"/>
  <c r="Q252" i="7"/>
  <c r="Q279" i="7"/>
  <c r="Q397" i="7"/>
  <c r="Q117" i="7"/>
  <c r="R53" i="7"/>
  <c r="P279" i="7"/>
  <c r="P397" i="7"/>
  <c r="P117" i="7"/>
  <c r="Q222" i="7"/>
  <c r="S282" i="7"/>
  <c r="S400" i="7"/>
  <c r="S112" i="7"/>
  <c r="R206" i="7"/>
  <c r="R342" i="7"/>
  <c r="R158" i="7"/>
  <c r="Q244" i="7"/>
  <c r="P278" i="7"/>
  <c r="P382" i="7"/>
  <c r="S217" i="7"/>
  <c r="S303" i="7"/>
  <c r="S183" i="7"/>
  <c r="R243" i="7"/>
  <c r="R411" i="7"/>
  <c r="R145" i="7"/>
  <c r="Q269" i="7"/>
  <c r="Q373" i="7"/>
  <c r="Q93" i="7"/>
  <c r="S376" i="7"/>
  <c r="P148" i="7"/>
  <c r="P239" i="7"/>
  <c r="P407" i="7"/>
  <c r="P141" i="7"/>
  <c r="S302" i="7"/>
  <c r="P144" i="7"/>
  <c r="S276" i="7"/>
  <c r="P186" i="7"/>
  <c r="R238" i="7"/>
  <c r="R406" i="7"/>
  <c r="R126" i="7"/>
  <c r="Q47" i="7"/>
  <c r="P92" i="7"/>
  <c r="Q280" i="7"/>
  <c r="Q398" i="7"/>
  <c r="Q118" i="7"/>
  <c r="P414" i="7"/>
  <c r="R85" i="7"/>
  <c r="S377" i="7"/>
  <c r="R208" i="7"/>
  <c r="R62" i="7"/>
  <c r="R308" i="7"/>
  <c r="S348" i="7"/>
  <c r="Q148" i="7"/>
  <c r="P241" i="7"/>
  <c r="S315" i="7"/>
  <c r="P406" i="7"/>
  <c r="S207" i="7"/>
  <c r="S343" i="7"/>
  <c r="S173" i="7"/>
  <c r="S54" i="7"/>
  <c r="R245" i="7"/>
  <c r="R413" i="7"/>
  <c r="R147" i="7"/>
  <c r="Q286" i="7"/>
  <c r="Q275" i="7"/>
  <c r="Q379" i="7"/>
  <c r="Q113" i="7"/>
  <c r="Q206" i="7"/>
  <c r="P275" i="7"/>
  <c r="P379" i="7"/>
  <c r="P113" i="7"/>
  <c r="Q248" i="7"/>
  <c r="S278" i="7"/>
  <c r="S382" i="7"/>
  <c r="S94" i="7"/>
  <c r="R252" i="7"/>
  <c r="R338" i="7"/>
  <c r="R154" i="7"/>
  <c r="Q304" i="7"/>
  <c r="P274" i="7"/>
  <c r="P378" i="7"/>
  <c r="S213" i="7"/>
  <c r="S349" i="7"/>
  <c r="S179" i="7"/>
  <c r="R239" i="7"/>
  <c r="R407" i="7"/>
  <c r="R141" i="7"/>
  <c r="Q315" i="7"/>
  <c r="Q369" i="7"/>
  <c r="Q89" i="7"/>
  <c r="S368" i="7"/>
  <c r="P114" i="7"/>
  <c r="P285" i="7"/>
  <c r="P403" i="7"/>
  <c r="P123" i="7"/>
  <c r="S336" i="7"/>
  <c r="P110" i="7"/>
  <c r="S272" i="7"/>
  <c r="P152" i="7"/>
  <c r="R284" i="7"/>
  <c r="R402" i="7"/>
  <c r="R122" i="7"/>
  <c r="P220" i="7"/>
  <c r="P63" i="7"/>
  <c r="Q276" i="7"/>
  <c r="Q380" i="7"/>
  <c r="Q114" i="7"/>
  <c r="P376" i="7"/>
  <c r="S52" i="7"/>
  <c r="P49" i="7"/>
  <c r="Q239" i="7"/>
  <c r="Q336" i="7"/>
  <c r="Q413" i="7"/>
  <c r="R188" i="7"/>
  <c r="P410" i="7"/>
  <c r="Q414" i="7"/>
  <c r="S86" i="7"/>
  <c r="P142" i="7"/>
  <c r="S51" i="7"/>
  <c r="S253" i="7"/>
  <c r="S339" i="7"/>
  <c r="S155" i="7"/>
  <c r="S50" i="7"/>
  <c r="R241" i="7"/>
  <c r="R409" i="7"/>
  <c r="R143" i="7"/>
  <c r="Q346" i="7"/>
  <c r="Q271" i="7"/>
  <c r="Q375" i="7"/>
  <c r="Q109" i="7"/>
  <c r="Q278" i="7"/>
  <c r="P271" i="7"/>
  <c r="P375" i="7"/>
  <c r="P109" i="7"/>
  <c r="Q274" i="7"/>
  <c r="S274" i="7"/>
  <c r="S378" i="7"/>
  <c r="S90" i="7"/>
  <c r="R248" i="7"/>
  <c r="R334" i="7"/>
  <c r="R150" i="7"/>
  <c r="Q408" i="7"/>
  <c r="P270" i="7"/>
  <c r="P374" i="7"/>
  <c r="S209" i="7"/>
  <c r="S345" i="7"/>
  <c r="S175" i="7"/>
  <c r="R285" i="7"/>
  <c r="R403" i="7"/>
  <c r="R123" i="7"/>
  <c r="Q311" i="7"/>
  <c r="Q365" i="7"/>
  <c r="Q85" i="7"/>
  <c r="S182" i="7"/>
  <c r="P80" i="7"/>
  <c r="P281" i="7"/>
  <c r="P399" i="7"/>
  <c r="P119" i="7"/>
  <c r="S406" i="7"/>
  <c r="P59" i="7"/>
  <c r="S306" i="7"/>
  <c r="P118" i="7"/>
  <c r="R280" i="7"/>
  <c r="R398" i="7"/>
  <c r="R118" i="7"/>
  <c r="P216" i="7"/>
  <c r="Q316" i="7"/>
  <c r="Q272" i="7"/>
  <c r="Q376" i="7"/>
  <c r="Q110" i="7"/>
  <c r="P182" i="7"/>
  <c r="R119" i="7"/>
  <c r="P78" i="7"/>
  <c r="Q141" i="7"/>
  <c r="S81" i="7"/>
  <c r="P413" i="7"/>
  <c r="R345" i="7"/>
  <c r="R254" i="7"/>
  <c r="S189" i="7"/>
  <c r="R184" i="7"/>
  <c r="S340" i="7"/>
  <c r="Q144" i="7"/>
  <c r="S249" i="7"/>
  <c r="S335" i="7"/>
  <c r="S151" i="7"/>
  <c r="S46" i="7"/>
  <c r="R237" i="7"/>
  <c r="R405" i="7"/>
  <c r="R125" i="7"/>
  <c r="Q400" i="7"/>
  <c r="Q317" i="7"/>
  <c r="Q371" i="7"/>
  <c r="Q91" i="7"/>
  <c r="Q338" i="7"/>
  <c r="P317" i="7"/>
  <c r="P371" i="7"/>
  <c r="P91" i="7"/>
  <c r="Q334" i="7"/>
  <c r="S270" i="7"/>
  <c r="S374" i="7"/>
  <c r="S78" i="7"/>
  <c r="R244" i="7"/>
  <c r="R412" i="7"/>
  <c r="R146" i="7"/>
  <c r="Q180" i="7"/>
  <c r="P316" i="7"/>
  <c r="P370" i="7"/>
  <c r="S205" i="7"/>
  <c r="S341" i="7"/>
  <c r="S157" i="7"/>
  <c r="R281" i="7"/>
  <c r="R399" i="7"/>
  <c r="Q221" i="7"/>
  <c r="Q307" i="7"/>
  <c r="Q187" i="7"/>
  <c r="Q81" i="7"/>
  <c r="S156" i="7"/>
  <c r="P51" i="7"/>
  <c r="P277" i="7"/>
  <c r="P381" i="7"/>
  <c r="P115" i="7"/>
  <c r="S380" i="7"/>
  <c r="Q312" i="7"/>
  <c r="S344" i="7"/>
  <c r="P88" i="7"/>
  <c r="R276" i="7"/>
  <c r="R380" i="7"/>
  <c r="R114" i="7"/>
  <c r="P212" i="7"/>
  <c r="Q374" i="7"/>
  <c r="Q318" i="7"/>
  <c r="Q372" i="7"/>
  <c r="Q92" i="7"/>
  <c r="P126" i="7"/>
  <c r="P82" i="7"/>
  <c r="S48" i="7"/>
  <c r="R179" i="7"/>
  <c r="P336" i="7"/>
  <c r="Q245" i="7"/>
  <c r="R82" i="7"/>
  <c r="P310" i="7"/>
  <c r="S115" i="7"/>
  <c r="P409" i="7"/>
  <c r="R157" i="7"/>
  <c r="R336" i="7"/>
  <c r="S245" i="7"/>
  <c r="S413" i="7"/>
  <c r="S147" i="7"/>
  <c r="R46" i="7"/>
  <c r="R283" i="7"/>
  <c r="R401" i="7"/>
  <c r="R121" i="7"/>
  <c r="Q158" i="7"/>
  <c r="Q313" i="7"/>
  <c r="Q367" i="7"/>
  <c r="Q87" i="7"/>
  <c r="Q366" i="7"/>
  <c r="P313" i="7"/>
  <c r="P367" i="7"/>
  <c r="P87" i="7"/>
  <c r="Q188" i="7"/>
  <c r="S316" i="7"/>
  <c r="S370" i="7"/>
  <c r="S53" i="7"/>
  <c r="R240" i="7"/>
  <c r="R408" i="7"/>
  <c r="R142" i="7"/>
  <c r="Q112" i="7"/>
  <c r="P312" i="7"/>
  <c r="P366" i="7"/>
  <c r="S251" i="7"/>
  <c r="S337" i="7"/>
  <c r="S153" i="7"/>
  <c r="R277" i="7"/>
  <c r="R381" i="7"/>
  <c r="Q217" i="7"/>
  <c r="Q303" i="7"/>
  <c r="Q183" i="7"/>
  <c r="Q77" i="7"/>
  <c r="S148" i="7"/>
  <c r="Q270" i="7"/>
  <c r="P273" i="7"/>
  <c r="P377" i="7"/>
  <c r="P111" i="7"/>
  <c r="S190" i="7"/>
  <c r="Q370" i="7"/>
  <c r="S414" i="7"/>
  <c r="P55" i="7"/>
  <c r="R272" i="7"/>
  <c r="R376" i="7"/>
  <c r="R110" i="7"/>
  <c r="P254" i="7"/>
  <c r="Q124" i="7"/>
  <c r="Q314" i="7"/>
  <c r="Q368" i="7"/>
  <c r="Q88" i="7"/>
  <c r="P84" i="7"/>
  <c r="R52" i="7"/>
  <c r="P94" i="7"/>
  <c r="Q46" i="7"/>
  <c r="P248" i="7"/>
  <c r="Q407" i="7"/>
  <c r="S92" i="7"/>
  <c r="S367" i="7"/>
  <c r="S116" i="7"/>
  <c r="S269" i="7"/>
  <c r="P157" i="7"/>
  <c r="Q246" i="7"/>
  <c r="Q409" i="7"/>
  <c r="S244" i="7"/>
  <c r="R341" i="7"/>
  <c r="P153" i="7"/>
  <c r="Q410" i="7"/>
  <c r="S241" i="7"/>
  <c r="S409" i="7"/>
  <c r="S143" i="7"/>
  <c r="Q214" i="7"/>
  <c r="R279" i="7"/>
  <c r="R397" i="7"/>
  <c r="R117" i="7"/>
  <c r="Q86" i="7"/>
  <c r="Q309" i="7"/>
  <c r="Q189" i="7"/>
  <c r="Q83" i="7"/>
  <c r="Q116" i="7"/>
  <c r="P309" i="7"/>
  <c r="P189" i="7"/>
  <c r="P83" i="7"/>
  <c r="Q142" i="7"/>
  <c r="S312" i="7"/>
  <c r="S366" i="7"/>
  <c r="R57" i="7"/>
  <c r="R286" i="7"/>
  <c r="R404" i="7"/>
  <c r="R124" i="7"/>
  <c r="P222" i="7"/>
  <c r="P308" i="7"/>
  <c r="P188" i="7"/>
  <c r="S247" i="7"/>
  <c r="S333" i="7"/>
  <c r="S149" i="7"/>
  <c r="R273" i="7"/>
  <c r="R377" i="7"/>
  <c r="Q213" i="7"/>
  <c r="Q349" i="7"/>
  <c r="Q179" i="7"/>
  <c r="Q60" i="7"/>
  <c r="S122" i="7"/>
  <c r="Q378" i="7"/>
  <c r="P269" i="7"/>
  <c r="P373" i="7"/>
  <c r="P93" i="7"/>
  <c r="S178" i="7"/>
  <c r="Q146" i="7"/>
  <c r="S402" i="7"/>
  <c r="Q308" i="7"/>
  <c r="R318" i="7"/>
  <c r="R372" i="7"/>
  <c r="R92" i="7"/>
  <c r="P246" i="7"/>
  <c r="Q82" i="7"/>
  <c r="Q310" i="7"/>
  <c r="Q190" i="7"/>
  <c r="Q84" i="7"/>
  <c r="P47" i="7"/>
  <c r="P112" i="7"/>
  <c r="S60" i="7"/>
  <c r="S252" i="7"/>
  <c r="P150" i="7"/>
  <c r="P345" i="7"/>
  <c r="R174" i="7"/>
  <c r="S87" i="7"/>
  <c r="R222" i="7"/>
  <c r="R209" i="7"/>
  <c r="S250" i="7"/>
  <c r="P120" i="7"/>
  <c r="Q241" i="7"/>
  <c r="S146" i="7"/>
  <c r="Q399" i="7"/>
  <c r="R152" i="7"/>
  <c r="Q53" i="7"/>
  <c r="S237" i="7"/>
  <c r="S405" i="7"/>
  <c r="S125" i="7"/>
  <c r="Q240" i="7"/>
  <c r="R275" i="7"/>
  <c r="R379" i="7"/>
  <c r="R113" i="7"/>
  <c r="Q219" i="7"/>
  <c r="Q305" i="7"/>
  <c r="Q185" i="7"/>
  <c r="Q79" i="7"/>
  <c r="P219" i="7"/>
  <c r="P305" i="7"/>
  <c r="P185" i="7"/>
  <c r="P79" i="7"/>
  <c r="S222" i="7"/>
  <c r="S308" i="7"/>
  <c r="S188" i="7"/>
  <c r="Q210" i="7"/>
  <c r="R282" i="7"/>
  <c r="R400" i="7"/>
  <c r="R120" i="7"/>
  <c r="P218" i="7"/>
  <c r="P304" i="7"/>
  <c r="P184" i="7"/>
  <c r="S243" i="7"/>
  <c r="S411" i="7"/>
  <c r="S145" i="7"/>
  <c r="R269" i="7"/>
  <c r="R373" i="7"/>
  <c r="Q209" i="7"/>
  <c r="Q345" i="7"/>
  <c r="Q175" i="7"/>
  <c r="Q56" i="7"/>
  <c r="S110" i="7"/>
  <c r="Q154" i="7"/>
  <c r="P315" i="7"/>
  <c r="P369" i="7"/>
  <c r="P89" i="7"/>
  <c r="S152" i="7"/>
  <c r="Q78" i="7"/>
  <c r="S372" i="7"/>
  <c r="Q176" i="7"/>
  <c r="R314" i="7"/>
  <c r="R368" i="7"/>
  <c r="R88" i="7"/>
  <c r="P238" i="7"/>
  <c r="Q220" i="7"/>
  <c r="Q306" i="7"/>
  <c r="Q186" i="7"/>
  <c r="Q63" i="7"/>
  <c r="Q404" i="7"/>
  <c r="S77" i="7"/>
  <c r="S93" i="7"/>
  <c r="P335" i="7"/>
  <c r="R86" i="7"/>
  <c r="S310" i="7"/>
  <c r="R344" i="7"/>
  <c r="S313" i="7"/>
  <c r="P147" i="7"/>
  <c r="P412" i="7"/>
  <c r="P341" i="7"/>
  <c r="P284" i="7"/>
  <c r="R58" i="7"/>
  <c r="S412" i="7"/>
  <c r="R205" i="7"/>
  <c r="P48" i="7"/>
  <c r="P272" i="7"/>
  <c r="S283" i="7"/>
  <c r="S401" i="7"/>
  <c r="S121" i="7"/>
  <c r="Q350" i="7"/>
  <c r="R271" i="7"/>
  <c r="R375" i="7"/>
  <c r="R109" i="7"/>
  <c r="Q215" i="7"/>
  <c r="Q301" i="7"/>
  <c r="Q181" i="7"/>
  <c r="Q62" i="7"/>
  <c r="P215" i="7"/>
  <c r="P301" i="7"/>
  <c r="P181" i="7"/>
  <c r="P62" i="7"/>
  <c r="S218" i="7"/>
  <c r="S304" i="7"/>
  <c r="S184" i="7"/>
  <c r="Q282" i="7"/>
  <c r="R278" i="7"/>
  <c r="R382" i="7"/>
  <c r="R116" i="7"/>
  <c r="P214" i="7"/>
  <c r="P350" i="7"/>
  <c r="P180" i="7"/>
  <c r="S239" i="7"/>
  <c r="S407" i="7"/>
  <c r="S141" i="7"/>
  <c r="R315" i="7"/>
  <c r="R369" i="7"/>
  <c r="Q205" i="7"/>
  <c r="Q341" i="7"/>
  <c r="Q157" i="7"/>
  <c r="Q52" i="7"/>
  <c r="S88" i="7"/>
  <c r="Q94" i="7"/>
  <c r="P311" i="7"/>
  <c r="P365" i="7"/>
  <c r="P85" i="7"/>
  <c r="S126" i="7"/>
  <c r="S220" i="7"/>
  <c r="S186" i="7"/>
  <c r="Q90" i="7"/>
  <c r="N90" i="7" s="1"/>
  <c r="R310" i="7"/>
  <c r="R190" i="7"/>
  <c r="R84" i="7"/>
  <c r="P280" i="7"/>
  <c r="Q216" i="7"/>
  <c r="Q302" i="7"/>
  <c r="Q182" i="7"/>
  <c r="Q59" i="7"/>
  <c r="P90" i="7"/>
  <c r="R48" i="7"/>
  <c r="R60" i="7"/>
  <c r="Q151" i="7"/>
  <c r="Q61" i="7"/>
  <c r="S273" i="7"/>
  <c r="P56" i="7"/>
  <c r="R55" i="7"/>
  <c r="R215" i="7"/>
  <c r="S334" i="7"/>
  <c r="Q285" i="7"/>
  <c r="P52" i="7"/>
  <c r="R93" i="7"/>
  <c r="Q143" i="7"/>
  <c r="R218" i="7"/>
  <c r="Q281" i="7"/>
  <c r="R250" i="7"/>
  <c r="S85" i="7"/>
  <c r="S279" i="7"/>
  <c r="S397" i="7"/>
  <c r="S117" i="7"/>
  <c r="Q412" i="7"/>
  <c r="R317" i="7"/>
  <c r="R371" i="7"/>
  <c r="R91" i="7"/>
  <c r="Q211" i="7"/>
  <c r="Q347" i="7"/>
  <c r="Q177" i="7"/>
  <c r="Q58" i="7"/>
  <c r="P211" i="7"/>
  <c r="P347" i="7"/>
  <c r="P177" i="7"/>
  <c r="P58" i="7"/>
  <c r="S214" i="7"/>
  <c r="S350" i="7"/>
  <c r="S180" i="7"/>
  <c r="Q342" i="7"/>
  <c r="R274" i="7"/>
  <c r="R378" i="7"/>
  <c r="R112" i="7"/>
  <c r="P210" i="7"/>
  <c r="P346" i="7"/>
  <c r="P176" i="7"/>
  <c r="S285" i="7"/>
  <c r="S403" i="7"/>
  <c r="S123" i="7"/>
  <c r="R311" i="7"/>
  <c r="R365" i="7"/>
  <c r="Q251" i="7"/>
  <c r="Q337" i="7"/>
  <c r="Q153" i="7"/>
  <c r="Q48" i="7"/>
  <c r="S63" i="7"/>
  <c r="P221" i="7"/>
  <c r="P307" i="7"/>
  <c r="P187" i="7"/>
  <c r="P81" i="7"/>
  <c r="S114" i="7"/>
  <c r="S216" i="7"/>
  <c r="S174" i="7"/>
  <c r="R220" i="7"/>
  <c r="R306" i="7"/>
  <c r="R186" i="7"/>
  <c r="R80" i="7"/>
  <c r="P276" i="7"/>
  <c r="Q212" i="7"/>
  <c r="Q348" i="7"/>
  <c r="Q178" i="7"/>
  <c r="Q51" i="7"/>
  <c r="P57" i="7"/>
  <c r="S111" i="7"/>
  <c r="Q57" i="7"/>
  <c r="Q254" i="7"/>
  <c r="P250" i="7"/>
  <c r="P86" i="7"/>
  <c r="S371" i="7"/>
  <c r="R305" i="7"/>
  <c r="Q335" i="7"/>
  <c r="P151" i="7"/>
  <c r="S154" i="7"/>
  <c r="R312" i="7"/>
  <c r="R213" i="7"/>
  <c r="S47" i="7"/>
  <c r="Q152" i="7"/>
  <c r="R301" i="7"/>
  <c r="S150" i="7"/>
  <c r="P146" i="7"/>
  <c r="P205" i="7"/>
  <c r="P402" i="7"/>
  <c r="R347" i="7"/>
  <c r="P143" i="7"/>
  <c r="P408" i="7"/>
  <c r="Q119" i="7"/>
  <c r="R47" i="7"/>
  <c r="S275" i="7"/>
  <c r="S379" i="7"/>
  <c r="S113" i="7"/>
  <c r="Q184" i="7"/>
  <c r="R313" i="7"/>
  <c r="R367" i="7"/>
  <c r="R87" i="7"/>
  <c r="Q207" i="7"/>
  <c r="Q343" i="7"/>
  <c r="Q173" i="7"/>
  <c r="Q54" i="7"/>
  <c r="P207" i="7"/>
  <c r="P343" i="7"/>
  <c r="P173" i="7"/>
  <c r="P54" i="7"/>
  <c r="S210" i="7"/>
  <c r="S346" i="7"/>
  <c r="S176" i="7"/>
  <c r="Q382" i="7"/>
  <c r="R270" i="7"/>
  <c r="R374" i="7"/>
  <c r="R94" i="7"/>
  <c r="P206" i="7"/>
  <c r="P342" i="7"/>
  <c r="P158" i="7"/>
  <c r="S281" i="7"/>
  <c r="S399" i="7"/>
  <c r="R221" i="7"/>
  <c r="R307" i="7"/>
  <c r="R187" i="7"/>
  <c r="Q247" i="7"/>
  <c r="Q333" i="7"/>
  <c r="Q149" i="7"/>
  <c r="S284" i="7"/>
  <c r="S55" i="7"/>
  <c r="P217" i="7"/>
  <c r="P303" i="7"/>
  <c r="P183" i="7"/>
  <c r="P77" i="7"/>
  <c r="S84" i="7"/>
  <c r="S212" i="7"/>
  <c r="S144" i="7"/>
  <c r="R216" i="7"/>
  <c r="R302" i="7"/>
  <c r="R182" i="7"/>
  <c r="R63" i="7"/>
  <c r="P314" i="7"/>
  <c r="Q208" i="7"/>
  <c r="Q344" i="7"/>
  <c r="Q174" i="7"/>
  <c r="P208" i="7"/>
  <c r="S89" i="7"/>
  <c r="R77" i="7"/>
  <c r="R56" i="7"/>
  <c r="R59" i="7"/>
  <c r="Q340" i="7"/>
  <c r="S56" i="7"/>
  <c r="S317" i="7"/>
  <c r="R219" i="7"/>
  <c r="R185" i="7"/>
  <c r="Q249" i="7"/>
  <c r="P249" i="7"/>
  <c r="S338" i="7"/>
  <c r="R366" i="7"/>
  <c r="R349" i="7"/>
  <c r="S254" i="7"/>
  <c r="Q250" i="7"/>
  <c r="R181" i="7"/>
  <c r="S248" i="7"/>
  <c r="P244" i="7"/>
  <c r="Q123" i="7"/>
  <c r="R51" i="7"/>
  <c r="S83" i="7"/>
  <c r="S82" i="7"/>
  <c r="S369" i="7"/>
  <c r="P251" i="7"/>
  <c r="P368" i="7"/>
  <c r="S271" i="7"/>
  <c r="S375" i="7"/>
  <c r="S109" i="7"/>
  <c r="Q120" i="7"/>
  <c r="R309" i="7"/>
  <c r="R189" i="7"/>
  <c r="R83" i="7"/>
  <c r="Q253" i="7"/>
  <c r="Q339" i="7"/>
  <c r="Q155" i="7"/>
  <c r="Q50" i="7"/>
  <c r="P253" i="7"/>
  <c r="P339" i="7"/>
  <c r="P155" i="7"/>
  <c r="P50" i="7"/>
  <c r="S206" i="7"/>
  <c r="S342" i="7"/>
  <c r="S158" i="7"/>
  <c r="Q150" i="7"/>
  <c r="R316" i="7"/>
  <c r="R370" i="7"/>
  <c r="R90" i="7"/>
  <c r="P252" i="7"/>
  <c r="P338" i="7"/>
  <c r="P154" i="7"/>
  <c r="S277" i="7"/>
  <c r="S381" i="7"/>
  <c r="R217" i="7"/>
  <c r="R303" i="7"/>
  <c r="R183" i="7"/>
  <c r="Q243" i="7"/>
  <c r="Q411" i="7"/>
  <c r="Q145" i="7"/>
  <c r="S318" i="7"/>
  <c r="P318" i="7"/>
  <c r="P213" i="7"/>
  <c r="P349" i="7"/>
  <c r="P179" i="7"/>
  <c r="P60" i="7"/>
  <c r="S59" i="7"/>
  <c r="S208" i="7"/>
  <c r="S118" i="7"/>
  <c r="R212" i="7"/>
  <c r="R348" i="7"/>
  <c r="R178" i="7"/>
  <c r="P348" i="7"/>
  <c r="Q156" i="7"/>
  <c r="R111" i="7"/>
  <c r="S91" i="7"/>
  <c r="R79" i="7"/>
  <c r="P46" i="7"/>
  <c r="P334" i="7"/>
  <c r="P175" i="7"/>
  <c r="P242" i="7"/>
  <c r="S120" i="7"/>
  <c r="S373" i="7"/>
  <c r="S80" i="7"/>
  <c r="R177" i="7"/>
  <c r="R304" i="7"/>
  <c r="P380" i="7"/>
  <c r="Q242" i="7"/>
  <c r="P45" i="7"/>
  <c r="S45" i="7"/>
  <c r="P44" i="7"/>
  <c r="B204" i="7"/>
  <c r="B268" i="7"/>
  <c r="B395" i="7"/>
  <c r="B106" i="7"/>
  <c r="B138" i="7"/>
  <c r="B300" i="7"/>
  <c r="B235" i="7"/>
  <c r="B332" i="7"/>
  <c r="B362" i="7"/>
  <c r="B394" i="7"/>
  <c r="B236" i="7"/>
  <c r="B267" i="7"/>
  <c r="B396" i="7"/>
  <c r="B331" i="7"/>
  <c r="B139" i="7"/>
  <c r="B170" i="7"/>
  <c r="B330" i="7"/>
  <c r="B140" i="7"/>
  <c r="B108" i="7"/>
  <c r="B171" i="7"/>
  <c r="B266" i="7"/>
  <c r="B75" i="7"/>
  <c r="B364" i="7"/>
  <c r="B202" i="7"/>
  <c r="B299" i="7"/>
  <c r="B172" i="7"/>
  <c r="B107" i="7"/>
  <c r="B203" i="7"/>
  <c r="B74" i="7"/>
  <c r="B234" i="7"/>
  <c r="B363" i="7"/>
  <c r="B298" i="7"/>
  <c r="B76" i="7"/>
  <c r="R45" i="7"/>
  <c r="Q44" i="7"/>
  <c r="R43" i="7"/>
  <c r="Q43" i="7"/>
  <c r="P43" i="7"/>
  <c r="S43" i="7"/>
  <c r="S44" i="7"/>
  <c r="Q45" i="7"/>
  <c r="R44" i="7"/>
  <c r="H45" i="7"/>
  <c r="F45" i="7"/>
  <c r="G43" i="7"/>
  <c r="E45" i="7"/>
  <c r="C43" i="7"/>
  <c r="F44" i="7"/>
  <c r="E44" i="7"/>
  <c r="H44" i="7"/>
  <c r="B43" i="7"/>
  <c r="I44" i="7"/>
  <c r="C44" i="7"/>
  <c r="B45" i="7"/>
  <c r="M44" i="7"/>
  <c r="L45" i="7"/>
  <c r="M43" i="7"/>
  <c r="H43" i="7"/>
  <c r="G45" i="7"/>
  <c r="G44" i="7"/>
  <c r="M45" i="7"/>
  <c r="I43" i="7"/>
  <c r="E43" i="7"/>
  <c r="L43" i="7"/>
  <c r="I45" i="7"/>
  <c r="B44" i="7"/>
  <c r="L44" i="7"/>
  <c r="F43" i="7"/>
  <c r="C45" i="7"/>
  <c r="N27" i="7" l="1"/>
  <c r="T57" i="7"/>
  <c r="T27" i="7" s="1"/>
  <c r="Z407" i="7"/>
  <c r="Z406" i="7"/>
  <c r="Z408" i="7"/>
  <c r="Q24" i="7"/>
  <c r="Q27" i="7"/>
  <c r="R25" i="7"/>
  <c r="Q32" i="7"/>
  <c r="P20" i="7"/>
  <c r="I64" i="7"/>
  <c r="I66" i="7" s="1"/>
  <c r="S27" i="7"/>
  <c r="P26" i="7"/>
  <c r="Q30" i="7"/>
  <c r="S20" i="7"/>
  <c r="S24" i="7"/>
  <c r="R33" i="7"/>
  <c r="Q20" i="7"/>
  <c r="R21" i="7"/>
  <c r="P27" i="7"/>
  <c r="R22" i="7"/>
  <c r="P21" i="7"/>
  <c r="S16" i="7"/>
  <c r="Q25" i="7"/>
  <c r="Q21" i="7"/>
  <c r="S33" i="7"/>
  <c r="Q31" i="7"/>
  <c r="R16" i="7"/>
  <c r="Q17" i="7"/>
  <c r="R31" i="7"/>
  <c r="R29" i="7"/>
  <c r="R26" i="7"/>
  <c r="Q18" i="7"/>
  <c r="S23" i="7"/>
  <c r="P33" i="7"/>
  <c r="S31" i="7"/>
  <c r="S17" i="7"/>
  <c r="R30" i="7"/>
  <c r="S21" i="7"/>
  <c r="S19" i="7"/>
  <c r="P30" i="7"/>
  <c r="R18" i="7"/>
  <c r="R23" i="7"/>
  <c r="P28" i="7"/>
  <c r="S25" i="7"/>
  <c r="S26" i="7"/>
  <c r="Q29" i="7"/>
  <c r="P31" i="7"/>
  <c r="R24" i="7"/>
  <c r="R27" i="7"/>
  <c r="Q22" i="7"/>
  <c r="R20" i="7"/>
  <c r="R19" i="7"/>
  <c r="P16" i="7"/>
  <c r="R17" i="7"/>
  <c r="R32" i="7"/>
  <c r="P24" i="7"/>
  <c r="Q28" i="7"/>
  <c r="Q19" i="7"/>
  <c r="P23" i="7"/>
  <c r="Q16" i="7"/>
  <c r="P22" i="7"/>
  <c r="P32" i="7"/>
  <c r="P18" i="7"/>
  <c r="Q33" i="7"/>
  <c r="P25" i="7"/>
  <c r="P29" i="7"/>
  <c r="S29" i="7"/>
  <c r="Q26" i="7"/>
  <c r="S30" i="7"/>
  <c r="S32" i="7"/>
  <c r="P19" i="7"/>
  <c r="S28" i="7"/>
  <c r="S18" i="7"/>
  <c r="R28" i="7"/>
  <c r="Q23" i="7"/>
  <c r="P17" i="7"/>
  <c r="S22" i="7"/>
  <c r="U48" i="7"/>
  <c r="W56" i="7"/>
  <c r="W26" i="7" s="1"/>
  <c r="T47" i="7"/>
  <c r="T61" i="7"/>
  <c r="T31" i="7" s="1"/>
  <c r="T49" i="7"/>
  <c r="T19" i="7" s="1"/>
  <c r="T46" i="7"/>
  <c r="T63" i="7"/>
  <c r="T43" i="7"/>
  <c r="T62" i="7"/>
  <c r="T60" i="7"/>
  <c r="T50" i="7"/>
  <c r="T20" i="7" s="1"/>
  <c r="T45" i="7"/>
  <c r="T52" i="7"/>
  <c r="T59" i="7"/>
  <c r="T29" i="7" s="1"/>
  <c r="I2" i="54"/>
  <c r="N168" i="7" l="1"/>
  <c r="I170" i="7"/>
  <c r="I171" i="7"/>
  <c r="I172" i="7"/>
  <c r="I191" i="7" l="1"/>
  <c r="I193" i="7" s="1"/>
  <c r="N392" i="7"/>
  <c r="N360" i="7"/>
  <c r="N328" i="7"/>
  <c r="N296" i="7"/>
  <c r="N264" i="7"/>
  <c r="N232" i="7"/>
  <c r="N200" i="7"/>
  <c r="N136" i="7"/>
  <c r="N104" i="7"/>
  <c r="N72" i="7"/>
  <c r="F12" i="7" l="1"/>
  <c r="J22" i="54"/>
  <c r="B435" i="56"/>
  <c r="B429" i="56"/>
  <c r="B425" i="56"/>
  <c r="B421" i="56"/>
  <c r="B417" i="56"/>
  <c r="B414" i="56"/>
  <c r="B411" i="56"/>
  <c r="B406" i="56"/>
  <c r="B403" i="56"/>
  <c r="B398" i="56"/>
  <c r="B395" i="56"/>
  <c r="B430" i="56" s="1"/>
  <c r="B389" i="56"/>
  <c r="B385" i="56"/>
  <c r="B378" i="56"/>
  <c r="B370" i="56"/>
  <c r="B360" i="56"/>
  <c r="B350" i="56"/>
  <c r="B328" i="56"/>
  <c r="B318" i="56"/>
  <c r="B321" i="56" s="1"/>
  <c r="B301" i="56"/>
  <c r="B292" i="56"/>
  <c r="B279" i="56"/>
  <c r="B255" i="56"/>
  <c r="B221" i="56"/>
  <c r="B216" i="56"/>
  <c r="B211" i="56"/>
  <c r="B206" i="56"/>
  <c r="B200" i="56"/>
  <c r="B192" i="56"/>
  <c r="B187" i="56"/>
  <c r="B181" i="56"/>
  <c r="B174" i="56"/>
  <c r="B171" i="56"/>
  <c r="B167" i="56"/>
  <c r="B164" i="56"/>
  <c r="B156" i="56"/>
  <c r="B157" i="56" s="1"/>
  <c r="B144" i="56"/>
  <c r="B123" i="56"/>
  <c r="B118" i="56"/>
  <c r="B117" i="56"/>
  <c r="B110" i="56"/>
  <c r="B107" i="56"/>
  <c r="B103" i="56"/>
  <c r="B104" i="56" s="1"/>
  <c r="B94" i="56"/>
  <c r="B95" i="56" s="1"/>
  <c r="B86" i="56"/>
  <c r="B74" i="56"/>
  <c r="B70" i="56"/>
  <c r="B61" i="56"/>
  <c r="B55" i="56"/>
  <c r="B49" i="56"/>
  <c r="B41" i="56"/>
  <c r="B42" i="56" s="1"/>
  <c r="B27" i="56"/>
  <c r="B24" i="56"/>
  <c r="B17" i="56"/>
  <c r="B13" i="56"/>
  <c r="B436" i="56" s="1"/>
  <c r="E33" i="55" l="1"/>
  <c r="E32" i="55"/>
  <c r="A64" i="7"/>
  <c r="F15" i="7"/>
  <c r="F14" i="7"/>
  <c r="F13" i="7"/>
  <c r="I18" i="54"/>
  <c r="H15" i="54"/>
  <c r="E15" i="54"/>
  <c r="D15" i="54"/>
  <c r="C15" i="54"/>
  <c r="B15" i="54"/>
  <c r="J14" i="54"/>
  <c r="J12" i="54"/>
  <c r="J11" i="54"/>
  <c r="J10" i="54"/>
  <c r="J9" i="54"/>
  <c r="I5" i="54"/>
  <c r="I17" i="54" s="1"/>
  <c r="I19" i="54" s="1"/>
  <c r="H17" i="54"/>
  <c r="G13" i="54"/>
  <c r="G15" i="54" s="1"/>
  <c r="E17" i="54"/>
  <c r="D17" i="54"/>
  <c r="C17" i="54"/>
  <c r="H18" i="54"/>
  <c r="G18" i="54"/>
  <c r="F18" i="54"/>
  <c r="E18" i="54"/>
  <c r="D18" i="54"/>
  <c r="C18" i="54"/>
  <c r="E19" i="54" l="1"/>
  <c r="D19" i="54"/>
  <c r="J2" i="54"/>
  <c r="H19" i="54"/>
  <c r="C19" i="54"/>
  <c r="E34" i="55"/>
  <c r="W61" i="7"/>
  <c r="F64" i="7"/>
  <c r="F67" i="7" s="1"/>
  <c r="G17" i="54"/>
  <c r="G19" i="54" s="1"/>
  <c r="D6" i="54"/>
  <c r="F6" i="54"/>
  <c r="G6" i="54"/>
  <c r="E6" i="54"/>
  <c r="I6" i="54"/>
  <c r="H6" i="54"/>
  <c r="J4" i="54"/>
  <c r="J5" i="54"/>
  <c r="C6" i="54"/>
  <c r="F34" i="7" l="1"/>
  <c r="L23" i="58" s="1"/>
  <c r="F66" i="7"/>
  <c r="J13" i="54"/>
  <c r="J15" i="54" s="1"/>
  <c r="J17" i="54" s="1"/>
  <c r="J21" i="54" s="1"/>
  <c r="F15" i="54"/>
  <c r="F17" i="54" s="1"/>
  <c r="F19" i="54" s="1"/>
  <c r="J18" i="54"/>
  <c r="J6" i="54"/>
  <c r="F36" i="7" l="1"/>
  <c r="F37" i="7"/>
  <c r="J19" i="54"/>
  <c r="J23" i="54"/>
  <c r="P73" i="7" l="1"/>
  <c r="D22" i="50"/>
  <c r="D23" i="50"/>
  <c r="D24" i="50"/>
  <c r="D25" i="50"/>
  <c r="D26" i="50"/>
  <c r="D27" i="50"/>
  <c r="D28" i="50"/>
  <c r="D29" i="50"/>
  <c r="D30" i="50"/>
  <c r="D31" i="50"/>
  <c r="D32" i="50"/>
  <c r="D33" i="50"/>
  <c r="D21" i="50"/>
  <c r="A391" i="7" l="1"/>
  <c r="A359" i="7"/>
  <c r="A327" i="7"/>
  <c r="A295" i="7"/>
  <c r="A263" i="7"/>
  <c r="A231" i="7"/>
  <c r="A199" i="7"/>
  <c r="A167" i="7"/>
  <c r="A135" i="7"/>
  <c r="A103" i="7"/>
  <c r="A71" i="7"/>
  <c r="A40" i="7"/>
  <c r="U11" i="7"/>
  <c r="I12" i="7"/>
  <c r="I13" i="7"/>
  <c r="I15" i="7"/>
  <c r="I14" i="7"/>
  <c r="I34" i="7" l="1"/>
  <c r="I36" i="7" s="1"/>
  <c r="U35" i="7"/>
  <c r="I194" i="7"/>
  <c r="Q202" i="7" l="1"/>
  <c r="R202" i="7"/>
  <c r="S202" i="7"/>
  <c r="Q203" i="7"/>
  <c r="R203" i="7"/>
  <c r="S203" i="7"/>
  <c r="Q204" i="7"/>
  <c r="R204" i="7"/>
  <c r="S204" i="7"/>
  <c r="P203" i="7"/>
  <c r="P204" i="7"/>
  <c r="P202" i="7"/>
  <c r="P74" i="7" l="1"/>
  <c r="P75" i="7"/>
  <c r="P76" i="7"/>
  <c r="W89" i="7"/>
  <c r="H170" i="7" l="1"/>
  <c r="D389" i="7"/>
  <c r="D357" i="7"/>
  <c r="D325" i="7"/>
  <c r="D293" i="7"/>
  <c r="D261" i="7"/>
  <c r="D229" i="7"/>
  <c r="D197" i="7"/>
  <c r="D165" i="7"/>
  <c r="D133" i="7"/>
  <c r="D101" i="7"/>
  <c r="D69" i="7"/>
  <c r="D38" i="7"/>
  <c r="D396" i="7"/>
  <c r="D395" i="7"/>
  <c r="D394" i="7"/>
  <c r="D364" i="7"/>
  <c r="D363" i="7"/>
  <c r="D362" i="7"/>
  <c r="D332" i="7"/>
  <c r="D331" i="7"/>
  <c r="D330" i="7"/>
  <c r="D300" i="7"/>
  <c r="D299" i="7"/>
  <c r="D298" i="7"/>
  <c r="D268" i="7"/>
  <c r="D267" i="7"/>
  <c r="D266" i="7"/>
  <c r="D236" i="7"/>
  <c r="D235" i="7"/>
  <c r="D234" i="7"/>
  <c r="D204" i="7"/>
  <c r="D203" i="7"/>
  <c r="D202" i="7"/>
  <c r="D172" i="7"/>
  <c r="D171" i="7"/>
  <c r="D170" i="7"/>
  <c r="D140" i="7"/>
  <c r="D139" i="7"/>
  <c r="D138" i="7"/>
  <c r="D108" i="7"/>
  <c r="D107" i="7"/>
  <c r="D106" i="7"/>
  <c r="D76" i="7"/>
  <c r="D75" i="7"/>
  <c r="D74" i="7"/>
  <c r="D12" i="7"/>
  <c r="D59" i="7" l="1"/>
  <c r="D29" i="7" s="1"/>
  <c r="D58" i="7"/>
  <c r="D28" i="7" s="1"/>
  <c r="D55" i="7"/>
  <c r="D25" i="7" s="1"/>
  <c r="D51" i="7"/>
  <c r="D21" i="7" s="1"/>
  <c r="D53" i="7"/>
  <c r="D23" i="7" s="1"/>
  <c r="D63" i="7"/>
  <c r="D33" i="7" s="1"/>
  <c r="D57" i="7"/>
  <c r="D27" i="7" s="1"/>
  <c r="D62" i="7"/>
  <c r="D32" i="7" s="1"/>
  <c r="D47" i="7"/>
  <c r="D17" i="7" s="1"/>
  <c r="D49" i="7"/>
  <c r="D19" i="7" s="1"/>
  <c r="D54" i="7"/>
  <c r="D24" i="7" s="1"/>
  <c r="D48" i="7"/>
  <c r="D18" i="7" s="1"/>
  <c r="D46" i="7"/>
  <c r="D16" i="7" s="1"/>
  <c r="D61" i="7"/>
  <c r="D31" i="7" s="1"/>
  <c r="D56" i="7"/>
  <c r="D26" i="7" s="1"/>
  <c r="D50" i="7"/>
  <c r="D20" i="7" s="1"/>
  <c r="D52" i="7"/>
  <c r="D22" i="7" s="1"/>
  <c r="D60" i="7"/>
  <c r="D30" i="7" s="1"/>
  <c r="D95" i="7"/>
  <c r="D97" i="7" s="1"/>
  <c r="D287" i="7"/>
  <c r="D289" i="7" s="1"/>
  <c r="D159" i="7"/>
  <c r="D162" i="7" s="1"/>
  <c r="D415" i="7"/>
  <c r="D417" i="7" s="1"/>
  <c r="D351" i="7"/>
  <c r="D353" i="7" s="1"/>
  <c r="D319" i="7"/>
  <c r="D321" i="7" s="1"/>
  <c r="D255" i="7"/>
  <c r="D257" i="7" s="1"/>
  <c r="D383" i="7"/>
  <c r="D385" i="7" s="1"/>
  <c r="D127" i="7"/>
  <c r="D130" i="7" s="1"/>
  <c r="D45" i="7"/>
  <c r="D15" i="7" s="1"/>
  <c r="D43" i="7"/>
  <c r="D13" i="7" s="1"/>
  <c r="D44" i="7"/>
  <c r="D14" i="7" s="1"/>
  <c r="D191" i="7"/>
  <c r="D223" i="7" l="1"/>
  <c r="D226" i="7" s="1"/>
  <c r="D34" i="7"/>
  <c r="T51" i="7"/>
  <c r="T21" i="7" s="1"/>
  <c r="D290" i="7"/>
  <c r="D161" i="7"/>
  <c r="D129" i="7"/>
  <c r="D64" i="7"/>
  <c r="D194" i="7"/>
  <c r="D193" i="7"/>
  <c r="D225" i="7" l="1"/>
  <c r="D36" i="7"/>
  <c r="D37" i="7"/>
  <c r="D67" i="7"/>
  <c r="D66" i="7"/>
  <c r="W29" i="7" l="1"/>
  <c r="A415" i="7"/>
  <c r="A383" i="7"/>
  <c r="A351" i="7"/>
  <c r="A319" i="7"/>
  <c r="A287" i="7"/>
  <c r="A255" i="7"/>
  <c r="A223" i="7"/>
  <c r="A191" i="7"/>
  <c r="A159" i="7"/>
  <c r="A127" i="7"/>
  <c r="A95" i="7"/>
  <c r="B11" i="7"/>
  <c r="B12" i="7"/>
  <c r="C12" i="7"/>
  <c r="E12" i="7"/>
  <c r="G12" i="7"/>
  <c r="H12" i="7"/>
  <c r="L12" i="7"/>
  <c r="M12" i="7"/>
  <c r="N12" i="7"/>
  <c r="W11" i="7"/>
  <c r="X11" i="7"/>
  <c r="Y11" i="7"/>
  <c r="V12" i="7"/>
  <c r="X12" i="7"/>
  <c r="Y12" i="7"/>
  <c r="V13" i="7"/>
  <c r="X13" i="7"/>
  <c r="Y13" i="7"/>
  <c r="V14" i="7"/>
  <c r="X14" i="7"/>
  <c r="Y14" i="7"/>
  <c r="V15" i="7"/>
  <c r="X15" i="7"/>
  <c r="Y15" i="7"/>
  <c r="V16" i="7"/>
  <c r="X16" i="7"/>
  <c r="Y16" i="7"/>
  <c r="V17" i="7"/>
  <c r="X17" i="7"/>
  <c r="Y17" i="7"/>
  <c r="V18" i="7"/>
  <c r="X18" i="7"/>
  <c r="Y18" i="7"/>
  <c r="X19" i="7"/>
  <c r="Y19" i="7"/>
  <c r="X20" i="7"/>
  <c r="Y20" i="7"/>
  <c r="X21" i="7"/>
  <c r="Y21" i="7"/>
  <c r="V22" i="7"/>
  <c r="X22" i="7"/>
  <c r="Y22" i="7"/>
  <c r="V26" i="7"/>
  <c r="X26" i="7"/>
  <c r="Y26" i="7"/>
  <c r="V27" i="7"/>
  <c r="X27" i="7"/>
  <c r="Y27" i="7"/>
  <c r="V28" i="7"/>
  <c r="X28" i="7"/>
  <c r="Y28" i="7"/>
  <c r="X29" i="7"/>
  <c r="Y29" i="7"/>
  <c r="V30" i="7"/>
  <c r="X30" i="7"/>
  <c r="Y30" i="7"/>
  <c r="X31" i="7"/>
  <c r="Y31" i="7"/>
  <c r="V32" i="7"/>
  <c r="X32" i="7"/>
  <c r="Y32" i="7"/>
  <c r="X33" i="7"/>
  <c r="Y33" i="7"/>
  <c r="T11" i="7"/>
  <c r="R12" i="7"/>
  <c r="S12" i="7"/>
  <c r="P12" i="7"/>
  <c r="Q12" i="7"/>
  <c r="Q74" i="7"/>
  <c r="S394" i="7" l="1"/>
  <c r="S395" i="7"/>
  <c r="S396" i="7"/>
  <c r="S415" i="7" l="1"/>
  <c r="S417" i="7" s="1"/>
  <c r="S266" i="7"/>
  <c r="S267" i="7"/>
  <c r="S268" i="7"/>
  <c r="S74" i="7"/>
  <c r="S75" i="7"/>
  <c r="S76" i="7"/>
  <c r="S106" i="7"/>
  <c r="S107" i="7"/>
  <c r="S108" i="7"/>
  <c r="S138" i="7"/>
  <c r="S139" i="7"/>
  <c r="S140" i="7"/>
  <c r="S170" i="7"/>
  <c r="S171" i="7"/>
  <c r="S172" i="7"/>
  <c r="S234" i="7"/>
  <c r="S235" i="7"/>
  <c r="S236" i="7"/>
  <c r="S298" i="7"/>
  <c r="S299" i="7"/>
  <c r="S300" i="7"/>
  <c r="S330" i="7"/>
  <c r="S331" i="7"/>
  <c r="S332" i="7"/>
  <c r="S362" i="7"/>
  <c r="S363" i="7"/>
  <c r="S364" i="7"/>
  <c r="H362" i="7"/>
  <c r="C5" i="49"/>
  <c r="C11" i="49"/>
  <c r="C51" i="49"/>
  <c r="D35" i="49"/>
  <c r="C35" i="49"/>
  <c r="C33" i="49"/>
  <c r="C32" i="49"/>
  <c r="C23" i="49"/>
  <c r="C20" i="49"/>
  <c r="C16" i="49"/>
  <c r="C28" i="49" s="1"/>
  <c r="S15" i="7" l="1"/>
  <c r="S14" i="7"/>
  <c r="S13" i="7"/>
  <c r="S159" i="7"/>
  <c r="S161" i="7" s="1"/>
  <c r="S191" i="7"/>
  <c r="S193" i="7" s="1"/>
  <c r="S95" i="7"/>
  <c r="S97" i="7" s="1"/>
  <c r="S383" i="7"/>
  <c r="S385" i="7" s="1"/>
  <c r="S351" i="7"/>
  <c r="S353" i="7" s="1"/>
  <c r="S127" i="7"/>
  <c r="S129" i="7" s="1"/>
  <c r="S255" i="7"/>
  <c r="S257" i="7" s="1"/>
  <c r="S64" i="7"/>
  <c r="S66" i="7" s="1"/>
  <c r="S319" i="7"/>
  <c r="S321" i="7" s="1"/>
  <c r="S287" i="7"/>
  <c r="S289" i="7" s="1"/>
  <c r="S223" i="7"/>
  <c r="S225" i="7" s="1"/>
  <c r="C42" i="49"/>
  <c r="S194" i="7" l="1"/>
  <c r="S34" i="7"/>
  <c r="S36" i="7" s="1"/>
  <c r="S226" i="7"/>
  <c r="E42" i="42"/>
  <c r="C6" i="49" l="1"/>
  <c r="C9" i="49" s="1"/>
  <c r="C13" i="49" s="1"/>
  <c r="C44" i="49" s="1"/>
  <c r="C47" i="49" s="1"/>
  <c r="N47" i="49" s="1"/>
  <c r="N49" i="49" s="1"/>
  <c r="N50" i="49" l="1"/>
  <c r="N53" i="49" s="1"/>
  <c r="C48" i="49" s="1"/>
  <c r="C49" i="49" s="1"/>
  <c r="C54" i="49" s="1"/>
  <c r="C58" i="49" s="1"/>
  <c r="C61" i="49" s="1"/>
  <c r="E45" i="42"/>
  <c r="G96" i="48"/>
  <c r="C132" i="48"/>
  <c r="C135" i="48" s="1"/>
  <c r="D131" i="48"/>
  <c r="D132" i="48" s="1"/>
  <c r="D135" i="48" s="1"/>
  <c r="C131" i="48"/>
  <c r="B131" i="48"/>
  <c r="B132" i="48" s="1"/>
  <c r="B135" i="48" s="1"/>
  <c r="C126" i="48"/>
  <c r="D125" i="48"/>
  <c r="D126" i="48" s="1"/>
  <c r="C125" i="48"/>
  <c r="B125" i="48"/>
  <c r="B126" i="48" s="1"/>
  <c r="D118" i="48"/>
  <c r="C118" i="48"/>
  <c r="B118" i="48"/>
  <c r="D114" i="48"/>
  <c r="C114" i="48"/>
  <c r="B114" i="48"/>
  <c r="D110" i="48"/>
  <c r="C110" i="48"/>
  <c r="B110" i="48"/>
  <c r="D107" i="48"/>
  <c r="C107" i="48"/>
  <c r="B107" i="48"/>
  <c r="C102" i="48"/>
  <c r="B102" i="48"/>
  <c r="D101" i="48"/>
  <c r="D102" i="48" s="1"/>
  <c r="D119" i="48" s="1"/>
  <c r="C101" i="48"/>
  <c r="B101" i="48"/>
  <c r="D94" i="48"/>
  <c r="C94" i="48"/>
  <c r="B94" i="48"/>
  <c r="D86" i="48"/>
  <c r="C86" i="48"/>
  <c r="C119" i="48" s="1"/>
  <c r="B86" i="48"/>
  <c r="B119" i="48" s="1"/>
  <c r="B81" i="48"/>
  <c r="B82" i="48" s="1"/>
  <c r="B120" i="48" s="1"/>
  <c r="B136" i="48" s="1"/>
  <c r="D80" i="48"/>
  <c r="D81" i="48" s="1"/>
  <c r="D82" i="48" s="1"/>
  <c r="C80" i="48"/>
  <c r="C81" i="48" s="1"/>
  <c r="C82" i="48" s="1"/>
  <c r="B80" i="48"/>
  <c r="C69" i="48"/>
  <c r="D68" i="48"/>
  <c r="D69" i="48" s="1"/>
  <c r="C68" i="48"/>
  <c r="B68" i="48"/>
  <c r="D64" i="48"/>
  <c r="C64" i="48"/>
  <c r="B64" i="48"/>
  <c r="B69" i="48" s="1"/>
  <c r="D59" i="48"/>
  <c r="B59" i="48"/>
  <c r="D58" i="48"/>
  <c r="C58" i="48"/>
  <c r="B58" i="48"/>
  <c r="D53" i="48"/>
  <c r="C53" i="48"/>
  <c r="C59" i="48" s="1"/>
  <c r="B53" i="48"/>
  <c r="D45" i="48"/>
  <c r="C45" i="48"/>
  <c r="B45" i="48"/>
  <c r="D41" i="48"/>
  <c r="C41" i="48"/>
  <c r="B41" i="48"/>
  <c r="D38" i="48"/>
  <c r="C38" i="48"/>
  <c r="B38" i="48"/>
  <c r="D35" i="48"/>
  <c r="D46" i="48" s="1"/>
  <c r="C35" i="48"/>
  <c r="C46" i="48" s="1"/>
  <c r="B35" i="48"/>
  <c r="B46" i="48" s="1"/>
  <c r="D34" i="48"/>
  <c r="C34" i="48"/>
  <c r="B34" i="48"/>
  <c r="D24" i="48"/>
  <c r="C24" i="48"/>
  <c r="B24" i="48"/>
  <c r="D19" i="48"/>
  <c r="C19" i="48"/>
  <c r="C47" i="48" s="1"/>
  <c r="C70" i="48" s="1"/>
  <c r="D18" i="48"/>
  <c r="C18" i="48"/>
  <c r="B18" i="48"/>
  <c r="B19" i="48" s="1"/>
  <c r="C14" i="48"/>
  <c r="B14" i="48"/>
  <c r="D13" i="48"/>
  <c r="D14" i="48" s="1"/>
  <c r="D47" i="48" s="1"/>
  <c r="C13" i="48"/>
  <c r="B13" i="48"/>
  <c r="E17" i="12"/>
  <c r="H96" i="48" s="1"/>
  <c r="N51" i="49" l="1"/>
  <c r="I96" i="48"/>
  <c r="D70" i="48"/>
  <c r="B47" i="48"/>
  <c r="B70" i="48" s="1"/>
  <c r="C120" i="48"/>
  <c r="C136" i="48" s="1"/>
  <c r="D120" i="48"/>
  <c r="D136" i="48" s="1"/>
  <c r="R44" i="41"/>
  <c r="S44" i="41" s="1"/>
  <c r="W44" i="41" s="1"/>
  <c r="E44" i="42" s="1"/>
  <c r="O56" i="44" l="1"/>
  <c r="O58" i="44" s="1"/>
  <c r="M63" i="44" s="1"/>
  <c r="I52" i="44"/>
  <c r="J52" i="44" s="1"/>
  <c r="H52" i="44"/>
  <c r="G52" i="44"/>
  <c r="K52" i="44" s="1"/>
  <c r="F52" i="44"/>
  <c r="E52" i="44"/>
  <c r="M56" i="44" s="1"/>
  <c r="I51" i="44"/>
  <c r="Q56" i="44" s="1"/>
  <c r="H44" i="44"/>
  <c r="H46" i="44" s="1"/>
  <c r="G44" i="44"/>
  <c r="G46" i="44" s="1"/>
  <c r="F44" i="44"/>
  <c r="F46" i="44" s="1"/>
  <c r="E44" i="44"/>
  <c r="E46" i="44" s="1"/>
  <c r="D44" i="44"/>
  <c r="D45" i="44" s="1"/>
  <c r="H40" i="44"/>
  <c r="H42" i="44" s="1"/>
  <c r="G40" i="44"/>
  <c r="G42" i="44" s="1"/>
  <c r="F40" i="44"/>
  <c r="F42" i="44" s="1"/>
  <c r="E40" i="44"/>
  <c r="E41" i="44" s="1"/>
  <c r="D40" i="44"/>
  <c r="D42" i="44" s="1"/>
  <c r="O35" i="44"/>
  <c r="J31" i="44"/>
  <c r="S35" i="44" s="1"/>
  <c r="I31" i="44"/>
  <c r="Q35" i="44" s="1"/>
  <c r="H31" i="44"/>
  <c r="G31" i="44"/>
  <c r="M30" i="44" s="1"/>
  <c r="F31" i="44"/>
  <c r="E31" i="44"/>
  <c r="D31" i="44"/>
  <c r="K31" i="44" s="1"/>
  <c r="K32" i="44" s="1"/>
  <c r="O30" i="44"/>
  <c r="K30" i="44"/>
  <c r="H23" i="44"/>
  <c r="H25" i="44" s="1"/>
  <c r="G23" i="44"/>
  <c r="G25" i="44" s="1"/>
  <c r="F23" i="44"/>
  <c r="F25" i="44" s="1"/>
  <c r="E23" i="44"/>
  <c r="E25" i="44" s="1"/>
  <c r="D23" i="44"/>
  <c r="H19" i="44"/>
  <c r="H20" i="44" s="1"/>
  <c r="G19" i="44"/>
  <c r="G21" i="44" s="1"/>
  <c r="F19" i="44"/>
  <c r="E19" i="44"/>
  <c r="E21" i="44" s="1"/>
  <c r="D19" i="44"/>
  <c r="N12" i="44"/>
  <c r="M11" i="44"/>
  <c r="M12" i="44" s="1"/>
  <c r="I23" i="44" l="1"/>
  <c r="I19" i="44"/>
  <c r="Q58" i="44"/>
  <c r="O63" i="44" s="1"/>
  <c r="J19" i="44"/>
  <c r="J23" i="44"/>
  <c r="F21" i="44"/>
  <c r="G20" i="44"/>
  <c r="M35" i="44"/>
  <c r="M58" i="44" s="1"/>
  <c r="K63" i="44" s="1"/>
  <c r="D41" i="44"/>
  <c r="H21" i="44"/>
  <c r="N22" i="44" s="1"/>
  <c r="D46" i="44"/>
  <c r="D24" i="44"/>
  <c r="D25" i="44"/>
  <c r="Q30" i="44"/>
  <c r="F41" i="44"/>
  <c r="E45" i="44"/>
  <c r="F20" i="44"/>
  <c r="E42" i="44"/>
  <c r="L56" i="44" s="1"/>
  <c r="E24" i="44"/>
  <c r="S30" i="44"/>
  <c r="G41" i="44"/>
  <c r="F45" i="44"/>
  <c r="J51" i="44"/>
  <c r="S56" i="44" s="1"/>
  <c r="S58" i="44" s="1"/>
  <c r="Q63" i="44" s="1"/>
  <c r="F24" i="44"/>
  <c r="L26" i="44" s="1"/>
  <c r="H41" i="44"/>
  <c r="N56" i="44" s="1"/>
  <c r="G45" i="44"/>
  <c r="D20" i="44"/>
  <c r="L22" i="44" s="1"/>
  <c r="D21" i="44"/>
  <c r="L35" i="44" s="1"/>
  <c r="G24" i="44"/>
  <c r="H45" i="44"/>
  <c r="E20" i="44"/>
  <c r="H24" i="44"/>
  <c r="N26" i="44" s="1"/>
  <c r="L58" i="44" l="1"/>
  <c r="K62" i="44" s="1"/>
  <c r="L64" i="44" s="1"/>
  <c r="N58" i="44"/>
  <c r="M62" i="44" s="1"/>
  <c r="N64" i="44" s="1"/>
  <c r="J40" i="44"/>
  <c r="J21" i="44"/>
  <c r="J20" i="44"/>
  <c r="R22" i="44" s="1"/>
  <c r="J25" i="44"/>
  <c r="J24" i="44"/>
  <c r="K24" i="44" s="1"/>
  <c r="K26" i="44" s="1"/>
  <c r="J44" i="44"/>
  <c r="I40" i="44"/>
  <c r="I21" i="44"/>
  <c r="K21" i="44" s="1"/>
  <c r="I20" i="44"/>
  <c r="P35" i="44" s="1"/>
  <c r="N35" i="44"/>
  <c r="K19" i="44"/>
  <c r="K51" i="44"/>
  <c r="K53" i="44" s="1"/>
  <c r="I44" i="44"/>
  <c r="K23" i="44"/>
  <c r="I24" i="44"/>
  <c r="P26" i="44" s="1"/>
  <c r="I25" i="44"/>
  <c r="K25" i="44" s="1"/>
  <c r="R35" i="44" l="1"/>
  <c r="T35" i="44" s="1"/>
  <c r="J42" i="44"/>
  <c r="J41" i="44"/>
  <c r="R56" i="44"/>
  <c r="I42" i="44"/>
  <c r="K42" i="44" s="1"/>
  <c r="I41" i="44"/>
  <c r="K40" i="44"/>
  <c r="R26" i="44"/>
  <c r="K20" i="44"/>
  <c r="K22" i="44" s="1"/>
  <c r="K34" i="44" s="1"/>
  <c r="I46" i="44"/>
  <c r="K46" i="44" s="1"/>
  <c r="I45" i="44"/>
  <c r="K45" i="44" s="1"/>
  <c r="K44" i="44"/>
  <c r="P22" i="44"/>
  <c r="J46" i="44"/>
  <c r="J45" i="44"/>
  <c r="K47" i="44" l="1"/>
  <c r="K55" i="44" s="1"/>
  <c r="R58" i="44"/>
  <c r="Q62" i="44" s="1"/>
  <c r="P56" i="44"/>
  <c r="K35" i="44"/>
  <c r="K41" i="44"/>
  <c r="K43" i="44" s="1"/>
  <c r="K56" i="44" l="1"/>
  <c r="P58" i="44"/>
  <c r="O62" i="44" s="1"/>
  <c r="P64" i="44" s="1"/>
  <c r="T56" i="44"/>
  <c r="T58" i="44" s="1"/>
  <c r="Q68" i="44"/>
  <c r="R64" i="44"/>
  <c r="R69" i="44" s="1"/>
  <c r="H33" i="43" l="1"/>
  <c r="P33" i="43"/>
  <c r="P37" i="43" s="1"/>
  <c r="O33" i="43"/>
  <c r="O37" i="43" s="1"/>
  <c r="N33" i="43"/>
  <c r="L33" i="43"/>
  <c r="D33" i="43"/>
  <c r="O40" i="43" l="1"/>
  <c r="O43" i="43" s="1"/>
  <c r="Q33" i="43"/>
  <c r="N37" i="43"/>
  <c r="Q37" i="43" s="1"/>
  <c r="F42" i="42" l="1"/>
  <c r="G42" i="42" s="1"/>
  <c r="F28" i="42"/>
  <c r="E43" i="42"/>
  <c r="E41" i="42"/>
  <c r="E28" i="42"/>
  <c r="E29" i="42"/>
  <c r="E30" i="42"/>
  <c r="E31" i="42"/>
  <c r="E32" i="42"/>
  <c r="E33" i="42"/>
  <c r="E34" i="42"/>
  <c r="E35" i="42"/>
  <c r="E36" i="42"/>
  <c r="E37" i="42"/>
  <c r="E27" i="42"/>
  <c r="E22" i="42"/>
  <c r="E23" i="42"/>
  <c r="E24" i="42"/>
  <c r="E21" i="42"/>
  <c r="F59" i="42"/>
  <c r="E59" i="42"/>
  <c r="G58" i="42"/>
  <c r="I58" i="42" s="1"/>
  <c r="F55" i="42"/>
  <c r="E55" i="42"/>
  <c r="D52" i="42"/>
  <c r="C52" i="42"/>
  <c r="D24" i="42"/>
  <c r="D22" i="42"/>
  <c r="D21" i="42"/>
  <c r="C19" i="42"/>
  <c r="L13" i="42"/>
  <c r="K13" i="42"/>
  <c r="D15" i="42" s="1"/>
  <c r="E10" i="42"/>
  <c r="E13" i="42" s="1"/>
  <c r="G57" i="42"/>
  <c r="E48" i="42" l="1"/>
  <c r="E61" i="42"/>
  <c r="F61" i="42"/>
  <c r="G59" i="42"/>
  <c r="D57" i="42"/>
  <c r="D59" i="42" s="1"/>
  <c r="G54" i="42"/>
  <c r="D10" i="42"/>
  <c r="D13" i="42" s="1"/>
  <c r="D18" i="42" s="1"/>
  <c r="H54" i="42" l="1"/>
  <c r="D54" i="42"/>
  <c r="I54" i="42" s="1"/>
  <c r="I57" i="42"/>
  <c r="G53" i="42"/>
  <c r="D19" i="42"/>
  <c r="D48" i="42" s="1"/>
  <c r="I59" i="42"/>
  <c r="G55" i="42" l="1"/>
  <c r="H53" i="42"/>
  <c r="D53" i="42"/>
  <c r="D55" i="42" s="1"/>
  <c r="D61" i="42" s="1"/>
  <c r="I53" i="42" l="1"/>
  <c r="G61" i="42"/>
  <c r="I61" i="42" s="1"/>
  <c r="G64" i="42"/>
  <c r="I55" i="42"/>
  <c r="H55" i="42"/>
  <c r="G69" i="42" l="1"/>
  <c r="G71" i="42" s="1"/>
  <c r="G66" i="42"/>
  <c r="M51" i="12" l="1"/>
  <c r="G45" i="12" l="1"/>
  <c r="G17" i="12"/>
  <c r="E7" i="40"/>
  <c r="G7" i="40" s="1"/>
  <c r="F9" i="40"/>
  <c r="E6" i="40"/>
  <c r="G6" i="40" s="1"/>
  <c r="G9" i="40" s="1"/>
  <c r="E8" i="40"/>
  <c r="G8" i="40" s="1"/>
  <c r="E9" i="40" l="1"/>
  <c r="G56" i="12" l="1"/>
  <c r="K33" i="12"/>
  <c r="K17" i="12"/>
  <c r="H45" i="12"/>
  <c r="K45" i="12"/>
  <c r="J45" i="12"/>
  <c r="I45" i="12"/>
  <c r="J11" i="12"/>
  <c r="J32" i="12"/>
  <c r="G213" i="38"/>
  <c r="G214" i="38" s="1"/>
  <c r="H50" i="38"/>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H93" i="38" s="1"/>
  <c r="H94" i="38" s="1"/>
  <c r="H95" i="38" s="1"/>
  <c r="H96" i="38" s="1"/>
  <c r="H97" i="38" s="1"/>
  <c r="H98" i="38" s="1"/>
  <c r="H99" i="38" s="1"/>
  <c r="H100" i="38" s="1"/>
  <c r="H101" i="38" s="1"/>
  <c r="H102" i="38" s="1"/>
  <c r="H103" i="38" s="1"/>
  <c r="H104" i="38" s="1"/>
  <c r="H105" i="38" s="1"/>
  <c r="H106" i="38" s="1"/>
  <c r="H107" i="38" s="1"/>
  <c r="H108" i="38" s="1"/>
  <c r="H109" i="38" s="1"/>
  <c r="H110" i="38" s="1"/>
  <c r="H111" i="38" s="1"/>
  <c r="H112" i="38" s="1"/>
  <c r="H113" i="38" s="1"/>
  <c r="H114" i="38" s="1"/>
  <c r="H115" i="38" s="1"/>
  <c r="H116" i="38" s="1"/>
  <c r="H117" i="38" s="1"/>
  <c r="H118" i="38" s="1"/>
  <c r="H119" i="38" s="1"/>
  <c r="H120" i="38" s="1"/>
  <c r="H121" i="38" s="1"/>
  <c r="H122" i="38" s="1"/>
  <c r="H123" i="38" s="1"/>
  <c r="H124" i="38" s="1"/>
  <c r="H125" i="38" s="1"/>
  <c r="H126" i="38" s="1"/>
  <c r="H127" i="38" s="1"/>
  <c r="H128" i="38" s="1"/>
  <c r="H129" i="38" s="1"/>
  <c r="H130" i="38" s="1"/>
  <c r="H131" i="38" s="1"/>
  <c r="H132" i="38" s="1"/>
  <c r="H133" i="38" s="1"/>
  <c r="H134" i="38" s="1"/>
  <c r="H135" i="38" s="1"/>
  <c r="H136" i="38" s="1"/>
  <c r="H137" i="38" s="1"/>
  <c r="H138" i="38" s="1"/>
  <c r="H139" i="38" s="1"/>
  <c r="H140" i="38" s="1"/>
  <c r="H141" i="38" s="1"/>
  <c r="H142" i="38" s="1"/>
  <c r="H143" i="38" s="1"/>
  <c r="H144" i="38" s="1"/>
  <c r="H145" i="38" s="1"/>
  <c r="H146" i="38" s="1"/>
  <c r="H147" i="38" s="1"/>
  <c r="H148" i="38" s="1"/>
  <c r="H149" i="38" s="1"/>
  <c r="H150" i="38" s="1"/>
  <c r="H151" i="38" s="1"/>
  <c r="H152" i="38" s="1"/>
  <c r="H153" i="38" s="1"/>
  <c r="H154" i="38" s="1"/>
  <c r="H155" i="38" s="1"/>
  <c r="H156" i="38" s="1"/>
  <c r="H157" i="38" s="1"/>
  <c r="H158" i="38" s="1"/>
  <c r="H159" i="38" s="1"/>
  <c r="H160" i="38" s="1"/>
  <c r="H161" i="38" s="1"/>
  <c r="H162" i="38" s="1"/>
  <c r="H163" i="38" s="1"/>
  <c r="H164" i="38" s="1"/>
  <c r="H165" i="38" s="1"/>
  <c r="H166" i="38" s="1"/>
  <c r="H167" i="38" s="1"/>
  <c r="H168" i="38" s="1"/>
  <c r="H169" i="38" s="1"/>
  <c r="H170" i="38" s="1"/>
  <c r="H171" i="38" s="1"/>
  <c r="H172" i="38" s="1"/>
  <c r="H173" i="38" s="1"/>
  <c r="H174" i="38" s="1"/>
  <c r="H175" i="38" s="1"/>
  <c r="H176" i="38" s="1"/>
  <c r="H177" i="38" s="1"/>
  <c r="H178" i="38" s="1"/>
  <c r="H179" i="38" s="1"/>
  <c r="H180" i="38" s="1"/>
  <c r="H181" i="38" s="1"/>
  <c r="H182" i="38" s="1"/>
  <c r="H183" i="38" s="1"/>
  <c r="H184" i="38" s="1"/>
  <c r="H185" i="38" s="1"/>
  <c r="H186" i="38" s="1"/>
  <c r="H187" i="38" s="1"/>
  <c r="H188" i="38" s="1"/>
  <c r="H189" i="38" s="1"/>
  <c r="H190" i="38" s="1"/>
  <c r="H191" i="38" s="1"/>
  <c r="H192" i="38" s="1"/>
  <c r="H193" i="38" s="1"/>
  <c r="H194" i="38" s="1"/>
  <c r="H195" i="38" s="1"/>
  <c r="H196" i="38" s="1"/>
  <c r="H197" i="38" s="1"/>
  <c r="H198" i="38" s="1"/>
  <c r="H199" i="38" s="1"/>
  <c r="H200" i="38" s="1"/>
  <c r="H201" i="38" s="1"/>
  <c r="H202" i="38" s="1"/>
  <c r="H203" i="38" s="1"/>
  <c r="H204" i="38" s="1"/>
  <c r="H205" i="38" s="1"/>
  <c r="H206" i="38" s="1"/>
  <c r="H207" i="38" s="1"/>
  <c r="H208" i="38" s="1"/>
  <c r="H209" i="38" s="1"/>
  <c r="H210" i="38" s="1"/>
  <c r="H211" i="38" s="1"/>
  <c r="H212" i="38" s="1"/>
  <c r="H213" i="38" s="1"/>
  <c r="H214" i="38" s="1"/>
  <c r="G46" i="38"/>
  <c r="G47" i="38" s="1"/>
  <c r="H10" i="38"/>
  <c r="H11" i="38" s="1"/>
  <c r="H12" i="38" s="1"/>
  <c r="H13" i="38" s="1"/>
  <c r="H14" i="38" s="1"/>
  <c r="H15" i="38" s="1"/>
  <c r="H16" i="38" s="1"/>
  <c r="H17" i="38" s="1"/>
  <c r="H18" i="38" s="1"/>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J17" i="12"/>
  <c r="I31" i="12"/>
  <c r="I32" i="12"/>
  <c r="I17" i="12"/>
  <c r="H31" i="12"/>
  <c r="C12" i="12"/>
  <c r="H17" i="12"/>
  <c r="F32" i="12"/>
  <c r="F17" i="12"/>
  <c r="C22" i="12"/>
  <c r="C25" i="12"/>
  <c r="C26" i="12" s="1"/>
  <c r="D52" i="12"/>
  <c r="E52" i="12"/>
  <c r="F52" i="12"/>
  <c r="G52" i="12"/>
  <c r="H52" i="12"/>
  <c r="I52" i="12"/>
  <c r="J52" i="12"/>
  <c r="K52" i="12"/>
  <c r="L52" i="12"/>
  <c r="C52" i="12"/>
  <c r="D51" i="12"/>
  <c r="E51" i="12"/>
  <c r="F51" i="12"/>
  <c r="G51" i="12"/>
  <c r="H51" i="12"/>
  <c r="I51" i="12"/>
  <c r="J51" i="12"/>
  <c r="K51" i="12"/>
  <c r="L51" i="12"/>
  <c r="C51" i="12"/>
  <c r="H215" i="38" l="1"/>
  <c r="G215" i="38"/>
  <c r="XEZ6" i="1"/>
  <c r="H106" i="7" l="1"/>
  <c r="H107" i="7"/>
  <c r="H108" i="7"/>
  <c r="T110" i="7"/>
  <c r="M2375" i="24" l="1"/>
  <c r="P2366" i="24"/>
  <c r="P2364" i="24"/>
  <c r="L2364" i="24"/>
  <c r="K2364" i="24"/>
  <c r="M2364" i="24" s="1"/>
  <c r="M2371" i="24" s="1"/>
  <c r="M2374" i="24" s="1"/>
  <c r="M2376" i="24" s="1"/>
  <c r="F31" i="26"/>
  <c r="F30" i="26"/>
  <c r="K2366" i="24" l="1"/>
  <c r="F32" i="26"/>
  <c r="C23" i="12" l="1"/>
  <c r="R39" i="27"/>
  <c r="H39" i="27" s="1"/>
  <c r="K94" i="22"/>
  <c r="R38" i="27"/>
  <c r="H38" i="27" s="1"/>
  <c r="M90" i="22"/>
  <c r="K90" i="22"/>
  <c r="J12" i="32" l="1"/>
  <c r="J11" i="32"/>
  <c r="J10" i="32"/>
  <c r="J9" i="32"/>
  <c r="R6" i="36"/>
  <c r="T6" i="36" s="1"/>
  <c r="G13" i="32" s="1"/>
  <c r="T68" i="22"/>
  <c r="V68" i="22" s="1"/>
  <c r="G11" i="32" s="1"/>
  <c r="R68" i="22"/>
  <c r="Q9" i="34"/>
  <c r="G21" i="34"/>
  <c r="C15" i="34" s="1"/>
  <c r="C17" i="34" s="1"/>
  <c r="G11" i="34"/>
  <c r="C7" i="34" s="1"/>
  <c r="L11" i="32" l="1"/>
  <c r="C11" i="34"/>
  <c r="C13" i="34" s="1"/>
  <c r="O9" i="34" s="1"/>
  <c r="S9" i="34" s="1"/>
  <c r="G12" i="32" s="1"/>
  <c r="L12" i="32" s="1"/>
  <c r="E16" i="27"/>
  <c r="O16" i="27" s="1"/>
  <c r="D53" i="12"/>
  <c r="J13" i="32"/>
  <c r="L13" i="32" s="1"/>
  <c r="C23" i="34"/>
  <c r="C25" i="34" s="1"/>
  <c r="C21" i="34" l="1"/>
  <c r="J31" i="33"/>
  <c r="M31" i="33" s="1"/>
  <c r="G10" i="32" s="1"/>
  <c r="L10" i="32" s="1"/>
  <c r="F23" i="26" l="1"/>
  <c r="G2364" i="24"/>
  <c r="P14" i="31"/>
  <c r="C14" i="31"/>
  <c r="P11" i="31"/>
  <c r="C11" i="31"/>
  <c r="Q10" i="31"/>
  <c r="Q12" i="31" s="1"/>
  <c r="P10" i="31"/>
  <c r="C10" i="31"/>
  <c r="P9" i="31"/>
  <c r="P12" i="31" s="1"/>
  <c r="C9" i="31"/>
  <c r="I14" i="31"/>
  <c r="F9" i="26" l="1"/>
  <c r="H25" i="26"/>
  <c r="J14" i="31"/>
  <c r="K14" i="31"/>
  <c r="G9" i="31"/>
  <c r="J7" i="31"/>
  <c r="H9" i="31"/>
  <c r="H10" i="31"/>
  <c r="I10" i="31"/>
  <c r="K7" i="31"/>
  <c r="O9" i="31"/>
  <c r="H11" i="31"/>
  <c r="F8" i="31"/>
  <c r="M8" i="31"/>
  <c r="N8" i="31"/>
  <c r="E8" i="31"/>
  <c r="I11" i="31"/>
  <c r="L7" i="31"/>
  <c r="O8" i="31"/>
  <c r="L14" i="31"/>
  <c r="E7" i="31"/>
  <c r="M7" i="31"/>
  <c r="H8" i="31"/>
  <c r="J9" i="31"/>
  <c r="K10" i="31"/>
  <c r="K11" i="31"/>
  <c r="E14" i="31"/>
  <c r="M14" i="31"/>
  <c r="D7" i="31"/>
  <c r="G8" i="31"/>
  <c r="I9" i="31"/>
  <c r="J10" i="31"/>
  <c r="J11" i="31"/>
  <c r="D14" i="31"/>
  <c r="F7" i="31"/>
  <c r="N7" i="31"/>
  <c r="I8" i="31"/>
  <c r="K9" i="31"/>
  <c r="D10" i="31"/>
  <c r="L10" i="31"/>
  <c r="D11" i="31"/>
  <c r="L11" i="31"/>
  <c r="F14" i="31"/>
  <c r="N14" i="31"/>
  <c r="O7" i="31"/>
  <c r="L9" i="31"/>
  <c r="M10" i="31"/>
  <c r="E11" i="31"/>
  <c r="G14" i="31"/>
  <c r="O14" i="31"/>
  <c r="D9" i="31"/>
  <c r="H7" i="31"/>
  <c r="K8" i="31"/>
  <c r="E9" i="31"/>
  <c r="M9" i="31"/>
  <c r="F10" i="31"/>
  <c r="N10" i="31"/>
  <c r="F11" i="31"/>
  <c r="N11" i="31"/>
  <c r="H14" i="31"/>
  <c r="G7" i="31"/>
  <c r="J8" i="31"/>
  <c r="E10" i="31"/>
  <c r="M11" i="31"/>
  <c r="I7" i="31"/>
  <c r="D8" i="31"/>
  <c r="L8" i="31"/>
  <c r="F9" i="31"/>
  <c r="N9" i="31"/>
  <c r="G10" i="31"/>
  <c r="O10" i="31"/>
  <c r="G11" i="31"/>
  <c r="O11" i="31"/>
  <c r="H12" i="31" l="1"/>
  <c r="R9" i="31"/>
  <c r="R14" i="31"/>
  <c r="I12" i="31"/>
  <c r="R10" i="31"/>
  <c r="M12" i="31"/>
  <c r="K12" i="31"/>
  <c r="R11" i="31"/>
  <c r="J12" i="31"/>
  <c r="F12" i="31"/>
  <c r="L12" i="31"/>
  <c r="R8" i="31"/>
  <c r="G12" i="31"/>
  <c r="O12" i="31"/>
  <c r="R7" i="31"/>
  <c r="D12" i="31"/>
  <c r="E12" i="31"/>
  <c r="N12" i="31"/>
  <c r="R12" i="31" l="1"/>
  <c r="H9" i="26"/>
  <c r="F7" i="26"/>
  <c r="F11" i="26" s="1"/>
  <c r="D9" i="26"/>
  <c r="H23" i="26"/>
  <c r="Z296" i="7"/>
  <c r="Z297" i="7"/>
  <c r="Z232" i="7"/>
  <c r="Z233" i="7"/>
  <c r="Z201" i="7"/>
  <c r="Z137" i="7"/>
  <c r="H363" i="7"/>
  <c r="H364" i="7"/>
  <c r="T366" i="7"/>
  <c r="N41" i="27"/>
  <c r="M41" i="27"/>
  <c r="L41" i="27"/>
  <c r="K41" i="27"/>
  <c r="J41" i="27"/>
  <c r="I41" i="27"/>
  <c r="G41" i="27"/>
  <c r="F41" i="27"/>
  <c r="O38" i="27"/>
  <c r="E41" i="27"/>
  <c r="N44" i="22"/>
  <c r="R59" i="22" s="1"/>
  <c r="N83" i="22"/>
  <c r="R57" i="22" s="1"/>
  <c r="K46" i="22"/>
  <c r="T59" i="22" s="1"/>
  <c r="K85" i="22"/>
  <c r="T57" i="22" s="1"/>
  <c r="O41" i="27" l="1"/>
  <c r="T61" i="22"/>
  <c r="R61" i="22"/>
  <c r="K113" i="30" l="1"/>
  <c r="S111" i="30"/>
  <c r="S110" i="30"/>
  <c r="L109" i="30"/>
  <c r="S109" i="30" s="1"/>
  <c r="R108" i="30"/>
  <c r="Q108" i="30"/>
  <c r="P108" i="30"/>
  <c r="O108" i="30"/>
  <c r="N108" i="30"/>
  <c r="M108" i="30"/>
  <c r="R107" i="30"/>
  <c r="Q107" i="30"/>
  <c r="P107" i="30"/>
  <c r="O107" i="30"/>
  <c r="N107" i="30"/>
  <c r="M107" i="30"/>
  <c r="H107" i="30"/>
  <c r="G107" i="30"/>
  <c r="S106" i="30"/>
  <c r="R105" i="30"/>
  <c r="Q105" i="30"/>
  <c r="P105" i="30"/>
  <c r="O105" i="30"/>
  <c r="N105" i="30"/>
  <c r="M105" i="30"/>
  <c r="L105" i="30"/>
  <c r="K105" i="30"/>
  <c r="S104" i="30"/>
  <c r="R103" i="30"/>
  <c r="Q103" i="30"/>
  <c r="P103" i="30"/>
  <c r="O103" i="30"/>
  <c r="N103" i="30"/>
  <c r="M103" i="30"/>
  <c r="L103" i="30"/>
  <c r="K103" i="30"/>
  <c r="J103" i="30"/>
  <c r="I103" i="30"/>
  <c r="S103" i="30" s="1"/>
  <c r="H103" i="30"/>
  <c r="G103" i="30"/>
  <c r="K102" i="30"/>
  <c r="S102" i="30" s="1"/>
  <c r="R101" i="30"/>
  <c r="Q101" i="30"/>
  <c r="P101" i="30"/>
  <c r="O101" i="30"/>
  <c r="N101" i="30"/>
  <c r="M101" i="30"/>
  <c r="S100" i="30"/>
  <c r="R99" i="30"/>
  <c r="Q99" i="30"/>
  <c r="P99" i="30"/>
  <c r="O99" i="30"/>
  <c r="N99" i="30"/>
  <c r="M99" i="30"/>
  <c r="H99" i="30"/>
  <c r="G99" i="30"/>
  <c r="S98" i="30"/>
  <c r="G98" i="30"/>
  <c r="R97" i="30"/>
  <c r="Q97" i="30"/>
  <c r="P97" i="30"/>
  <c r="O97" i="30"/>
  <c r="N97" i="30"/>
  <c r="M97" i="30"/>
  <c r="H97" i="30"/>
  <c r="G97" i="30"/>
  <c r="S96" i="30"/>
  <c r="S95" i="30"/>
  <c r="S94" i="30"/>
  <c r="S93" i="30"/>
  <c r="S92" i="30"/>
  <c r="S91" i="30"/>
  <c r="S90" i="30"/>
  <c r="S89" i="30"/>
  <c r="S88" i="30"/>
  <c r="S87" i="30"/>
  <c r="S86" i="30"/>
  <c r="S85" i="30"/>
  <c r="L99" i="30"/>
  <c r="K99" i="30"/>
  <c r="J99" i="30"/>
  <c r="I99" i="30"/>
  <c r="S80" i="30"/>
  <c r="S79" i="30"/>
  <c r="L76" i="30"/>
  <c r="K76" i="30"/>
  <c r="S76" i="30" s="1"/>
  <c r="J76" i="30"/>
  <c r="I76" i="30"/>
  <c r="H76" i="30"/>
  <c r="G76" i="30"/>
  <c r="S75" i="30"/>
  <c r="S74" i="30"/>
  <c r="L73" i="30"/>
  <c r="L101" i="30" s="1"/>
  <c r="F73" i="30"/>
  <c r="K73" i="30" s="1"/>
  <c r="K101" i="30" s="1"/>
  <c r="S72" i="30"/>
  <c r="S71" i="30"/>
  <c r="H70" i="30"/>
  <c r="S70" i="30" s="1"/>
  <c r="G70" i="30"/>
  <c r="S69" i="30"/>
  <c r="S68" i="30"/>
  <c r="U66" i="30"/>
  <c r="S65" i="30"/>
  <c r="S66" i="30" s="1"/>
  <c r="S64" i="30"/>
  <c r="S63" i="30"/>
  <c r="L60" i="30"/>
  <c r="K60" i="30"/>
  <c r="J60" i="30"/>
  <c r="J105" i="30" s="1"/>
  <c r="I60" i="30"/>
  <c r="I105" i="30" s="1"/>
  <c r="H60" i="30"/>
  <c r="H105" i="30" s="1"/>
  <c r="G60" i="30"/>
  <c r="G105" i="30" s="1"/>
  <c r="S105" i="30" s="1"/>
  <c r="S59" i="30"/>
  <c r="S58" i="30"/>
  <c r="L55" i="30"/>
  <c r="S55" i="30" s="1"/>
  <c r="K55" i="30"/>
  <c r="K107" i="30" s="1"/>
  <c r="J55" i="30"/>
  <c r="J107" i="30" s="1"/>
  <c r="I55" i="30"/>
  <c r="I107" i="30" s="1"/>
  <c r="H55" i="30"/>
  <c r="G55" i="30"/>
  <c r="S54" i="30"/>
  <c r="K53" i="30"/>
  <c r="S53" i="30" s="1"/>
  <c r="L52" i="30"/>
  <c r="K52" i="30"/>
  <c r="J52" i="30"/>
  <c r="I52" i="30"/>
  <c r="H52" i="30"/>
  <c r="G52" i="30"/>
  <c r="S52" i="30" s="1"/>
  <c r="S51" i="30"/>
  <c r="S50" i="30"/>
  <c r="L49" i="30"/>
  <c r="K49" i="30"/>
  <c r="J49" i="30"/>
  <c r="I49" i="30"/>
  <c r="H49" i="30"/>
  <c r="G49" i="30"/>
  <c r="S49" i="30" s="1"/>
  <c r="S48" i="30"/>
  <c r="S47" i="30"/>
  <c r="L46" i="30"/>
  <c r="L108" i="30" s="1"/>
  <c r="K46" i="30"/>
  <c r="K108" i="30" s="1"/>
  <c r="J46" i="30"/>
  <c r="J108" i="30" s="1"/>
  <c r="I46" i="30"/>
  <c r="I108" i="30" s="1"/>
  <c r="H46" i="30"/>
  <c r="H108" i="30" s="1"/>
  <c r="G46" i="30"/>
  <c r="G108" i="30" s="1"/>
  <c r="S108" i="30" s="1"/>
  <c r="S45" i="30"/>
  <c r="S44" i="30"/>
  <c r="L41" i="30"/>
  <c r="K41" i="30"/>
  <c r="S41" i="30" s="1"/>
  <c r="J41" i="30"/>
  <c r="I41" i="30"/>
  <c r="H41" i="30"/>
  <c r="G41" i="30"/>
  <c r="S40" i="30"/>
  <c r="S39" i="30"/>
  <c r="L38" i="30"/>
  <c r="L97" i="30" s="1"/>
  <c r="K38" i="30"/>
  <c r="K97" i="30" s="1"/>
  <c r="J38" i="30"/>
  <c r="J97" i="30" s="1"/>
  <c r="I38" i="30"/>
  <c r="I97" i="30" s="1"/>
  <c r="H38" i="30"/>
  <c r="G38" i="30"/>
  <c r="S37" i="30"/>
  <c r="S36" i="30"/>
  <c r="S35" i="30"/>
  <c r="S34" i="30"/>
  <c r="S33" i="30"/>
  <c r="L33" i="30"/>
  <c r="S30" i="30"/>
  <c r="S29" i="30"/>
  <c r="S28" i="30"/>
  <c r="S31" i="30" s="1"/>
  <c r="S26" i="30"/>
  <c r="S25" i="30"/>
  <c r="S24" i="30"/>
  <c r="S23" i="30"/>
  <c r="S20" i="30"/>
  <c r="S19" i="30"/>
  <c r="S18" i="30"/>
  <c r="S21" i="30" s="1"/>
  <c r="S16" i="30"/>
  <c r="S15" i="30"/>
  <c r="S14" i="30"/>
  <c r="S13" i="30"/>
  <c r="S10" i="30"/>
  <c r="S9" i="30"/>
  <c r="S8" i="30"/>
  <c r="S11" i="30" s="1"/>
  <c r="E2" i="30"/>
  <c r="D2" i="30"/>
  <c r="S81" i="30" l="1"/>
  <c r="S99" i="30"/>
  <c r="S82" i="30"/>
  <c r="G101" i="30"/>
  <c r="S42" i="30"/>
  <c r="T52" i="30"/>
  <c r="S97" i="30"/>
  <c r="S107" i="30"/>
  <c r="S38" i="30"/>
  <c r="S46" i="30"/>
  <c r="S56" i="30" s="1"/>
  <c r="T56" i="30" s="1"/>
  <c r="S60" i="30"/>
  <c r="S61" i="30" s="1"/>
  <c r="H73" i="30"/>
  <c r="H101" i="30" s="1"/>
  <c r="G73" i="30"/>
  <c r="I73" i="30"/>
  <c r="I101" i="30" s="1"/>
  <c r="J73" i="30"/>
  <c r="J101" i="30" s="1"/>
  <c r="S73" i="30" l="1"/>
  <c r="S77" i="30" s="1"/>
  <c r="S101" i="30"/>
  <c r="S113" i="30" s="1"/>
  <c r="G335" i="29" l="1"/>
  <c r="G336" i="29" s="1"/>
  <c r="G337" i="29" s="1"/>
  <c r="H10" i="29"/>
  <c r="H11" i="29" s="1"/>
  <c r="H12" i="29" s="1"/>
  <c r="H13" i="29" s="1"/>
  <c r="H14" i="29" s="1"/>
  <c r="H15" i="29" s="1"/>
  <c r="H16" i="29" s="1"/>
  <c r="H17" i="29" s="1"/>
  <c r="H18" i="29" s="1"/>
  <c r="H19" i="29" s="1"/>
  <c r="H20" i="29" s="1"/>
  <c r="H21" i="29" s="1"/>
  <c r="H22" i="29" s="1"/>
  <c r="H23" i="29" s="1"/>
  <c r="H24" i="29" s="1"/>
  <c r="H25" i="29" s="1"/>
  <c r="H26" i="29" s="1"/>
  <c r="H27" i="29" s="1"/>
  <c r="H28" i="29" s="1"/>
  <c r="H29" i="29" s="1"/>
  <c r="H30" i="29" s="1"/>
  <c r="H31" i="29" s="1"/>
  <c r="H32" i="29" s="1"/>
  <c r="H33" i="29" s="1"/>
  <c r="H34" i="29" s="1"/>
  <c r="H35" i="29" s="1"/>
  <c r="H36" i="29" s="1"/>
  <c r="H37" i="29" s="1"/>
  <c r="H38" i="29" s="1"/>
  <c r="H39" i="29" s="1"/>
  <c r="H40" i="29" s="1"/>
  <c r="H41" i="29" s="1"/>
  <c r="H42" i="29" s="1"/>
  <c r="H43" i="29" s="1"/>
  <c r="H44" i="29" s="1"/>
  <c r="H45" i="29" s="1"/>
  <c r="H46" i="29" s="1"/>
  <c r="H47" i="29" s="1"/>
  <c r="H48" i="29" s="1"/>
  <c r="H49" i="29" s="1"/>
  <c r="H50" i="29" s="1"/>
  <c r="H51" i="29" s="1"/>
  <c r="H52" i="29" s="1"/>
  <c r="H53" i="29" s="1"/>
  <c r="H54" i="29" s="1"/>
  <c r="H55" i="29" s="1"/>
  <c r="H56" i="29" s="1"/>
  <c r="H57" i="29" s="1"/>
  <c r="H58" i="29" s="1"/>
  <c r="H59" i="29" s="1"/>
  <c r="H60" i="29" s="1"/>
  <c r="H61" i="29" s="1"/>
  <c r="H62" i="29" s="1"/>
  <c r="H63" i="29" s="1"/>
  <c r="H64" i="29" s="1"/>
  <c r="H65" i="29" s="1"/>
  <c r="H66" i="29" s="1"/>
  <c r="H67" i="29" s="1"/>
  <c r="H68" i="29" s="1"/>
  <c r="H69" i="29" s="1"/>
  <c r="H70" i="29" s="1"/>
  <c r="H71" i="29" s="1"/>
  <c r="H72" i="29" s="1"/>
  <c r="H73" i="29" s="1"/>
  <c r="H74" i="29" s="1"/>
  <c r="H75" i="29" s="1"/>
  <c r="H76" i="29" s="1"/>
  <c r="H77" i="29" s="1"/>
  <c r="H78" i="29" s="1"/>
  <c r="H79" i="29" s="1"/>
  <c r="H80" i="29" s="1"/>
  <c r="H81" i="29" s="1"/>
  <c r="H82" i="29" s="1"/>
  <c r="H83" i="29" s="1"/>
  <c r="H84" i="29" s="1"/>
  <c r="H85" i="29" s="1"/>
  <c r="H86" i="29" s="1"/>
  <c r="H87" i="29" s="1"/>
  <c r="H88" i="29" s="1"/>
  <c r="H89" i="29" s="1"/>
  <c r="H90" i="29" s="1"/>
  <c r="H91" i="29" s="1"/>
  <c r="H92" i="29" s="1"/>
  <c r="H93" i="29" s="1"/>
  <c r="H94" i="29" s="1"/>
  <c r="H95" i="29" s="1"/>
  <c r="H96" i="29" s="1"/>
  <c r="H97" i="29" s="1"/>
  <c r="H98" i="29" s="1"/>
  <c r="H99" i="29" s="1"/>
  <c r="H100" i="29" s="1"/>
  <c r="H101" i="29" s="1"/>
  <c r="H102" i="29" s="1"/>
  <c r="H103" i="29" s="1"/>
  <c r="H104" i="29" s="1"/>
  <c r="H105" i="29" s="1"/>
  <c r="H106" i="29" s="1"/>
  <c r="H107" i="29" s="1"/>
  <c r="H108" i="29" s="1"/>
  <c r="H109" i="29" s="1"/>
  <c r="H110" i="29" s="1"/>
  <c r="H111" i="29" s="1"/>
  <c r="H112" i="29" s="1"/>
  <c r="H113" i="29" s="1"/>
  <c r="H114" i="29" s="1"/>
  <c r="H115" i="29" s="1"/>
  <c r="H116" i="29" s="1"/>
  <c r="H117" i="29" s="1"/>
  <c r="H118" i="29" s="1"/>
  <c r="H119" i="29" s="1"/>
  <c r="H120" i="29" s="1"/>
  <c r="H121" i="29" s="1"/>
  <c r="H122" i="29" s="1"/>
  <c r="H123" i="29" s="1"/>
  <c r="H124" i="29" s="1"/>
  <c r="H125" i="29" s="1"/>
  <c r="H126" i="29" s="1"/>
  <c r="H127" i="29" s="1"/>
  <c r="H128" i="29" s="1"/>
  <c r="H129" i="29" s="1"/>
  <c r="H130" i="29" s="1"/>
  <c r="H131" i="29" s="1"/>
  <c r="H132" i="29" s="1"/>
  <c r="H133" i="29" s="1"/>
  <c r="H134" i="29" s="1"/>
  <c r="H135" i="29" s="1"/>
  <c r="H136" i="29" s="1"/>
  <c r="H137" i="29" s="1"/>
  <c r="H138" i="29" s="1"/>
  <c r="H139" i="29" s="1"/>
  <c r="H140" i="29" s="1"/>
  <c r="H141" i="29" s="1"/>
  <c r="H142" i="29" s="1"/>
  <c r="H143" i="29" s="1"/>
  <c r="H144" i="29" s="1"/>
  <c r="H145" i="29" s="1"/>
  <c r="H146" i="29" s="1"/>
  <c r="H147" i="29" s="1"/>
  <c r="H148" i="29" s="1"/>
  <c r="H149" i="29" s="1"/>
  <c r="H150" i="29" s="1"/>
  <c r="H151" i="29" s="1"/>
  <c r="H152" i="29" s="1"/>
  <c r="H153" i="29" s="1"/>
  <c r="H154" i="29" s="1"/>
  <c r="H155" i="29" s="1"/>
  <c r="H156" i="29" s="1"/>
  <c r="H157" i="29" s="1"/>
  <c r="H158" i="29" s="1"/>
  <c r="H159" i="29" s="1"/>
  <c r="H160" i="29" s="1"/>
  <c r="H161" i="29" s="1"/>
  <c r="H162" i="29" s="1"/>
  <c r="H163" i="29" s="1"/>
  <c r="H164" i="29" s="1"/>
  <c r="H165" i="29" s="1"/>
  <c r="H166" i="29" s="1"/>
  <c r="H167" i="29" s="1"/>
  <c r="H168" i="29" s="1"/>
  <c r="H169" i="29" s="1"/>
  <c r="H170" i="29" s="1"/>
  <c r="H171" i="29" s="1"/>
  <c r="H172" i="29" s="1"/>
  <c r="H173" i="29" s="1"/>
  <c r="H174" i="29" s="1"/>
  <c r="H175" i="29" s="1"/>
  <c r="H176" i="29" s="1"/>
  <c r="H177" i="29" s="1"/>
  <c r="H178" i="29" s="1"/>
  <c r="H179" i="29" s="1"/>
  <c r="H180" i="29" s="1"/>
  <c r="H181" i="29" s="1"/>
  <c r="H182" i="29" s="1"/>
  <c r="H183" i="29" s="1"/>
  <c r="H184" i="29" s="1"/>
  <c r="H185" i="29" s="1"/>
  <c r="H186" i="29" s="1"/>
  <c r="H187" i="29" s="1"/>
  <c r="H188" i="29" s="1"/>
  <c r="H189" i="29" s="1"/>
  <c r="H190" i="29" s="1"/>
  <c r="H191" i="29" s="1"/>
  <c r="H192" i="29" s="1"/>
  <c r="H193" i="29" s="1"/>
  <c r="H194" i="29" s="1"/>
  <c r="H195" i="29" s="1"/>
  <c r="H196" i="29" s="1"/>
  <c r="H197" i="29" s="1"/>
  <c r="H198" i="29" s="1"/>
  <c r="H199" i="29" s="1"/>
  <c r="H200" i="29" s="1"/>
  <c r="H201" i="29" s="1"/>
  <c r="H202" i="29" s="1"/>
  <c r="H203" i="29" s="1"/>
  <c r="H204" i="29" s="1"/>
  <c r="H205" i="29" s="1"/>
  <c r="H206" i="29" s="1"/>
  <c r="H207" i="29" s="1"/>
  <c r="H208" i="29" s="1"/>
  <c r="H209" i="29" s="1"/>
  <c r="H210" i="29" s="1"/>
  <c r="H211" i="29" s="1"/>
  <c r="H212" i="29" s="1"/>
  <c r="H213" i="29" s="1"/>
  <c r="H214" i="29" s="1"/>
  <c r="H215" i="29" s="1"/>
  <c r="H216" i="29" s="1"/>
  <c r="H217" i="29" s="1"/>
  <c r="H218" i="29" s="1"/>
  <c r="H219" i="29" s="1"/>
  <c r="H220" i="29" s="1"/>
  <c r="H221" i="29" s="1"/>
  <c r="H222" i="29" s="1"/>
  <c r="H223" i="29" s="1"/>
  <c r="H224" i="29" s="1"/>
  <c r="H225" i="29" s="1"/>
  <c r="H226" i="29" s="1"/>
  <c r="H227" i="29" s="1"/>
  <c r="H228" i="29" s="1"/>
  <c r="H229" i="29" s="1"/>
  <c r="H230" i="29" s="1"/>
  <c r="H231" i="29" s="1"/>
  <c r="H232" i="29" s="1"/>
  <c r="H233" i="29" s="1"/>
  <c r="H234" i="29" s="1"/>
  <c r="H235" i="29" s="1"/>
  <c r="H236" i="29" s="1"/>
  <c r="H237" i="29" s="1"/>
  <c r="H238" i="29" s="1"/>
  <c r="H239" i="29" s="1"/>
  <c r="H240" i="29" s="1"/>
  <c r="H241" i="29" s="1"/>
  <c r="H242" i="29" s="1"/>
  <c r="H243" i="29" s="1"/>
  <c r="H244" i="29" s="1"/>
  <c r="H245" i="29" s="1"/>
  <c r="H246" i="29" s="1"/>
  <c r="H247" i="29" s="1"/>
  <c r="H248" i="29" s="1"/>
  <c r="H249" i="29" s="1"/>
  <c r="H250" i="29" s="1"/>
  <c r="H251" i="29" s="1"/>
  <c r="H252" i="29" s="1"/>
  <c r="H253" i="29" s="1"/>
  <c r="H254" i="29" s="1"/>
  <c r="H255" i="29" s="1"/>
  <c r="H256" i="29" s="1"/>
  <c r="H257" i="29" s="1"/>
  <c r="H258" i="29" s="1"/>
  <c r="H259" i="29" s="1"/>
  <c r="H260" i="29" s="1"/>
  <c r="H261" i="29" s="1"/>
  <c r="H262" i="29" s="1"/>
  <c r="H263" i="29" s="1"/>
  <c r="H264" i="29" s="1"/>
  <c r="H265" i="29" s="1"/>
  <c r="H266" i="29" s="1"/>
  <c r="H267" i="29" s="1"/>
  <c r="H268" i="29" s="1"/>
  <c r="H269" i="29" s="1"/>
  <c r="H270" i="29" s="1"/>
  <c r="H271" i="29" s="1"/>
  <c r="H272" i="29" s="1"/>
  <c r="H273" i="29" s="1"/>
  <c r="H274" i="29" s="1"/>
  <c r="H275" i="29" s="1"/>
  <c r="H276" i="29" s="1"/>
  <c r="H277" i="29" s="1"/>
  <c r="H278" i="29" s="1"/>
  <c r="H279" i="29" s="1"/>
  <c r="H280" i="29" s="1"/>
  <c r="H281" i="29" s="1"/>
  <c r="H282" i="29" s="1"/>
  <c r="H283" i="29" s="1"/>
  <c r="H284" i="29" s="1"/>
  <c r="H285" i="29" s="1"/>
  <c r="H286" i="29" s="1"/>
  <c r="H287" i="29" s="1"/>
  <c r="H288" i="29" s="1"/>
  <c r="H289" i="29" s="1"/>
  <c r="H290" i="29" s="1"/>
  <c r="H291" i="29" s="1"/>
  <c r="H292" i="29" s="1"/>
  <c r="H293" i="29" s="1"/>
  <c r="H294" i="29" s="1"/>
  <c r="H295" i="29" s="1"/>
  <c r="H296" i="29" s="1"/>
  <c r="H297" i="29" s="1"/>
  <c r="H298" i="29" s="1"/>
  <c r="H299" i="29" s="1"/>
  <c r="H300" i="29" s="1"/>
  <c r="H301" i="29" s="1"/>
  <c r="H302" i="29" s="1"/>
  <c r="H303" i="29" s="1"/>
  <c r="H304" i="29" s="1"/>
  <c r="H305" i="29" s="1"/>
  <c r="H306" i="29" s="1"/>
  <c r="H307" i="29" s="1"/>
  <c r="H308" i="29" s="1"/>
  <c r="H309" i="29" s="1"/>
  <c r="H310" i="29" s="1"/>
  <c r="H311" i="29" s="1"/>
  <c r="H312" i="29" s="1"/>
  <c r="H313" i="29" s="1"/>
  <c r="H314" i="29" s="1"/>
  <c r="H315" i="29" s="1"/>
  <c r="H316" i="29" s="1"/>
  <c r="H317" i="29" s="1"/>
  <c r="H318" i="29" s="1"/>
  <c r="H319" i="29" s="1"/>
  <c r="H320" i="29" s="1"/>
  <c r="H321" i="29" s="1"/>
  <c r="H322" i="29" s="1"/>
  <c r="H323" i="29" s="1"/>
  <c r="H324" i="29" s="1"/>
  <c r="H325" i="29" s="1"/>
  <c r="H326" i="29" s="1"/>
  <c r="H327" i="29" s="1"/>
  <c r="H328" i="29" s="1"/>
  <c r="H329" i="29" s="1"/>
  <c r="H330" i="29" s="1"/>
  <c r="H331" i="29" s="1"/>
  <c r="H332" i="29" s="1"/>
  <c r="H333" i="29" s="1"/>
  <c r="H334" i="29" s="1"/>
  <c r="H335" i="29" s="1"/>
  <c r="H336" i="29" s="1"/>
  <c r="H337" i="29" s="1"/>
  <c r="N20" i="27"/>
  <c r="M20" i="27"/>
  <c r="L20" i="27"/>
  <c r="K20" i="27"/>
  <c r="J20" i="27"/>
  <c r="I20" i="27"/>
  <c r="G20" i="27"/>
  <c r="F20" i="27"/>
  <c r="H18" i="27"/>
  <c r="O18" i="27" s="1"/>
  <c r="O17" i="27"/>
  <c r="H17" i="27"/>
  <c r="E20" i="27"/>
  <c r="N11" i="27"/>
  <c r="M11" i="27"/>
  <c r="L11" i="27"/>
  <c r="K11" i="27"/>
  <c r="J11" i="27"/>
  <c r="I11" i="27"/>
  <c r="G11" i="27"/>
  <c r="F11" i="27"/>
  <c r="O20" i="27" l="1"/>
  <c r="H20" i="27"/>
  <c r="F31" i="27"/>
  <c r="G31" i="27"/>
  <c r="I31" i="27"/>
  <c r="J31" i="27"/>
  <c r="K31" i="27"/>
  <c r="L31" i="27"/>
  <c r="M31" i="27"/>
  <c r="N31" i="27"/>
  <c r="O28" i="27" l="1"/>
  <c r="C44" i="26" l="1"/>
  <c r="F19" i="26"/>
  <c r="D11" i="26"/>
  <c r="H11" i="26" l="1"/>
  <c r="G9" i="32" s="1"/>
  <c r="L9" i="32" s="1"/>
  <c r="C19" i="12"/>
  <c r="C20" i="12" s="1"/>
  <c r="E73" i="12" l="1"/>
  <c r="E72" i="12"/>
  <c r="H28" i="27" l="1"/>
  <c r="E13" i="12"/>
  <c r="G2357" i="24"/>
  <c r="H2327" i="24"/>
  <c r="H2328" i="24" s="1"/>
  <c r="H2329" i="24" s="1"/>
  <c r="H2330" i="24" s="1"/>
  <c r="H2331" i="24" s="1"/>
  <c r="H2332" i="24" s="1"/>
  <c r="H2333" i="24" s="1"/>
  <c r="H2334" i="24" s="1"/>
  <c r="H2335" i="24" s="1"/>
  <c r="H2336" i="24" s="1"/>
  <c r="H2337" i="24" s="1"/>
  <c r="H2338" i="24" s="1"/>
  <c r="H2339" i="24" s="1"/>
  <c r="H2340" i="24" s="1"/>
  <c r="H2341" i="24" s="1"/>
  <c r="H2342" i="24" s="1"/>
  <c r="H2343" i="24" s="1"/>
  <c r="H2344" i="24" s="1"/>
  <c r="H2345" i="24" s="1"/>
  <c r="H2346" i="24" s="1"/>
  <c r="H2347" i="24" s="1"/>
  <c r="H2348" i="24" s="1"/>
  <c r="H2349" i="24" s="1"/>
  <c r="H2350" i="24" s="1"/>
  <c r="H2351" i="24" s="1"/>
  <c r="H2352" i="24" s="1"/>
  <c r="H2353" i="24" s="1"/>
  <c r="H2354" i="24" s="1"/>
  <c r="H2355" i="24" s="1"/>
  <c r="H2356" i="24" s="1"/>
  <c r="H2357" i="24" s="1"/>
  <c r="G2325" i="24"/>
  <c r="H2220" i="24"/>
  <c r="H2221" i="24" s="1"/>
  <c r="H2222" i="24" s="1"/>
  <c r="H2223" i="24" s="1"/>
  <c r="H2224" i="24" s="1"/>
  <c r="H2225" i="24" s="1"/>
  <c r="H2226" i="24" s="1"/>
  <c r="H2227" i="24" s="1"/>
  <c r="H2228" i="24" s="1"/>
  <c r="H2229" i="24" s="1"/>
  <c r="H2230" i="24" s="1"/>
  <c r="H2231" i="24" s="1"/>
  <c r="H2232" i="24" s="1"/>
  <c r="H2233" i="24" s="1"/>
  <c r="H2234" i="24" s="1"/>
  <c r="H2235" i="24" s="1"/>
  <c r="H2236" i="24" s="1"/>
  <c r="H2237" i="24" s="1"/>
  <c r="H2238" i="24" s="1"/>
  <c r="H2239" i="24" s="1"/>
  <c r="H2240" i="24" s="1"/>
  <c r="H2241" i="24" s="1"/>
  <c r="H2242" i="24" s="1"/>
  <c r="H2243" i="24" s="1"/>
  <c r="H2244" i="24" s="1"/>
  <c r="H2245" i="24" s="1"/>
  <c r="H2246" i="24" s="1"/>
  <c r="H2247" i="24" s="1"/>
  <c r="H2248" i="24" s="1"/>
  <c r="H2249" i="24" s="1"/>
  <c r="H2250" i="24" s="1"/>
  <c r="H2251" i="24" s="1"/>
  <c r="H2252" i="24" s="1"/>
  <c r="H2253" i="24" s="1"/>
  <c r="H2254" i="24" s="1"/>
  <c r="H2255" i="24" s="1"/>
  <c r="H2256" i="24" s="1"/>
  <c r="H2257" i="24" s="1"/>
  <c r="H2258" i="24" s="1"/>
  <c r="H2259" i="24" s="1"/>
  <c r="H2260" i="24" s="1"/>
  <c r="H2261" i="24" s="1"/>
  <c r="H2262" i="24" s="1"/>
  <c r="H2263" i="24" s="1"/>
  <c r="H2264" i="24" s="1"/>
  <c r="H2265" i="24" s="1"/>
  <c r="H2266" i="24" s="1"/>
  <c r="H2267" i="24" s="1"/>
  <c r="H2268" i="24" s="1"/>
  <c r="H2269" i="24" s="1"/>
  <c r="H2270" i="24" s="1"/>
  <c r="H2271" i="24" s="1"/>
  <c r="H2272" i="24" s="1"/>
  <c r="H2273" i="24" s="1"/>
  <c r="H2274" i="24" s="1"/>
  <c r="H2275" i="24" s="1"/>
  <c r="H2276" i="24" s="1"/>
  <c r="H2277" i="24" s="1"/>
  <c r="H2278" i="24" s="1"/>
  <c r="H2279" i="24" s="1"/>
  <c r="H2280" i="24" s="1"/>
  <c r="H2281" i="24" s="1"/>
  <c r="H2282" i="24" s="1"/>
  <c r="H2283" i="24" s="1"/>
  <c r="H2284" i="24" s="1"/>
  <c r="H2285" i="24" s="1"/>
  <c r="H2286" i="24" s="1"/>
  <c r="H2287" i="24" s="1"/>
  <c r="H2288" i="24" s="1"/>
  <c r="H2289" i="24" s="1"/>
  <c r="H2290" i="24" s="1"/>
  <c r="H2291" i="24" s="1"/>
  <c r="H2292" i="24" s="1"/>
  <c r="H2293" i="24" s="1"/>
  <c r="H2294" i="24" s="1"/>
  <c r="H2295" i="24" s="1"/>
  <c r="H2296" i="24" s="1"/>
  <c r="H2297" i="24" s="1"/>
  <c r="H2298" i="24" s="1"/>
  <c r="H2299" i="24" s="1"/>
  <c r="H2300" i="24" s="1"/>
  <c r="H2301" i="24" s="1"/>
  <c r="H2302" i="24" s="1"/>
  <c r="H2303" i="24" s="1"/>
  <c r="H2304" i="24" s="1"/>
  <c r="H2305" i="24" s="1"/>
  <c r="H2306" i="24" s="1"/>
  <c r="H2307" i="24" s="1"/>
  <c r="H2308" i="24" s="1"/>
  <c r="H2309" i="24" s="1"/>
  <c r="H2310" i="24" s="1"/>
  <c r="H2311" i="24" s="1"/>
  <c r="H2312" i="24" s="1"/>
  <c r="H2313" i="24" s="1"/>
  <c r="H2314" i="24" s="1"/>
  <c r="H2315" i="24" s="1"/>
  <c r="H2316" i="24" s="1"/>
  <c r="H2317" i="24" s="1"/>
  <c r="H2318" i="24" s="1"/>
  <c r="H2319" i="24" s="1"/>
  <c r="H2320" i="24" s="1"/>
  <c r="H2321" i="24" s="1"/>
  <c r="H2322" i="24" s="1"/>
  <c r="H2323" i="24" s="1"/>
  <c r="H2324" i="24" s="1"/>
  <c r="H2325" i="24" s="1"/>
  <c r="G2218" i="24"/>
  <c r="H1812" i="24"/>
  <c r="H1813" i="24" s="1"/>
  <c r="H1814" i="24" s="1"/>
  <c r="H1815" i="24" s="1"/>
  <c r="H1816" i="24" s="1"/>
  <c r="H1817" i="24" s="1"/>
  <c r="H1818" i="24" s="1"/>
  <c r="H1819" i="24" s="1"/>
  <c r="H1820" i="24" s="1"/>
  <c r="H1821" i="24" s="1"/>
  <c r="H1822" i="24" s="1"/>
  <c r="H1823" i="24" s="1"/>
  <c r="H1824" i="24" s="1"/>
  <c r="H1825" i="24" s="1"/>
  <c r="H1826" i="24" s="1"/>
  <c r="H1827" i="24" s="1"/>
  <c r="H1828" i="24" s="1"/>
  <c r="H1829" i="24" s="1"/>
  <c r="H1830" i="24" s="1"/>
  <c r="H1831" i="24" s="1"/>
  <c r="H1832" i="24" s="1"/>
  <c r="H1833" i="24" s="1"/>
  <c r="H1834" i="24" s="1"/>
  <c r="H1835" i="24" s="1"/>
  <c r="H1836" i="24" s="1"/>
  <c r="H1837" i="24" s="1"/>
  <c r="H1838" i="24" s="1"/>
  <c r="H1839" i="24" s="1"/>
  <c r="H1840" i="24" s="1"/>
  <c r="H1841" i="24" s="1"/>
  <c r="H1842" i="24" s="1"/>
  <c r="H1843" i="24" s="1"/>
  <c r="H1844" i="24" s="1"/>
  <c r="H1845" i="24" s="1"/>
  <c r="H1846" i="24" s="1"/>
  <c r="H1847" i="24" s="1"/>
  <c r="H1848" i="24" s="1"/>
  <c r="H1849" i="24" s="1"/>
  <c r="H1850" i="24" s="1"/>
  <c r="H1851" i="24" s="1"/>
  <c r="H1852" i="24" s="1"/>
  <c r="H1853" i="24" s="1"/>
  <c r="H1854" i="24" s="1"/>
  <c r="H1855" i="24" s="1"/>
  <c r="H1856" i="24" s="1"/>
  <c r="H1857" i="24" s="1"/>
  <c r="H1858" i="24" s="1"/>
  <c r="H1859" i="24" s="1"/>
  <c r="H1860" i="24" s="1"/>
  <c r="H1861" i="24" s="1"/>
  <c r="H1862" i="24" s="1"/>
  <c r="H1863" i="24" s="1"/>
  <c r="H1864" i="24" s="1"/>
  <c r="H1865" i="24" s="1"/>
  <c r="H1866" i="24" s="1"/>
  <c r="H1867" i="24" s="1"/>
  <c r="H1868" i="24" s="1"/>
  <c r="H1869" i="24" s="1"/>
  <c r="H1870" i="24" s="1"/>
  <c r="H1871" i="24" s="1"/>
  <c r="H1872" i="24" s="1"/>
  <c r="H1873" i="24" s="1"/>
  <c r="H1874" i="24" s="1"/>
  <c r="H1875" i="24" s="1"/>
  <c r="H1876" i="24" s="1"/>
  <c r="H1877" i="24" s="1"/>
  <c r="H1878" i="24" s="1"/>
  <c r="H1879" i="24" s="1"/>
  <c r="H1880" i="24" s="1"/>
  <c r="H1881" i="24" s="1"/>
  <c r="H1882" i="24" s="1"/>
  <c r="H1883" i="24" s="1"/>
  <c r="H1884" i="24" s="1"/>
  <c r="H1885" i="24" s="1"/>
  <c r="H1886" i="24" s="1"/>
  <c r="H1887" i="24" s="1"/>
  <c r="H1888" i="24" s="1"/>
  <c r="H1889" i="24" s="1"/>
  <c r="H1890" i="24" s="1"/>
  <c r="H1891" i="24" s="1"/>
  <c r="H1892" i="24" s="1"/>
  <c r="H1893" i="24" s="1"/>
  <c r="H1894" i="24" s="1"/>
  <c r="H1895" i="24" s="1"/>
  <c r="H1896" i="24" s="1"/>
  <c r="H1897" i="24" s="1"/>
  <c r="H1898" i="24" s="1"/>
  <c r="H1899" i="24" s="1"/>
  <c r="H1900" i="24" s="1"/>
  <c r="H1901" i="24" s="1"/>
  <c r="H1902" i="24" s="1"/>
  <c r="H1903" i="24" s="1"/>
  <c r="H1904" i="24" s="1"/>
  <c r="H1905" i="24" s="1"/>
  <c r="H1906" i="24" s="1"/>
  <c r="H1907" i="24" s="1"/>
  <c r="H1908" i="24" s="1"/>
  <c r="H1909" i="24" s="1"/>
  <c r="H1910" i="24" s="1"/>
  <c r="H1911" i="24" s="1"/>
  <c r="H1912" i="24" s="1"/>
  <c r="H1913" i="24" s="1"/>
  <c r="H1914" i="24" s="1"/>
  <c r="H1915" i="24" s="1"/>
  <c r="H1916" i="24" s="1"/>
  <c r="H1917" i="24" s="1"/>
  <c r="H1918" i="24" s="1"/>
  <c r="H1919" i="24" s="1"/>
  <c r="H1920" i="24" s="1"/>
  <c r="H1921" i="24" s="1"/>
  <c r="H1922" i="24" s="1"/>
  <c r="H1923" i="24" s="1"/>
  <c r="H1924" i="24" s="1"/>
  <c r="H1925" i="24" s="1"/>
  <c r="H1926" i="24" s="1"/>
  <c r="H1927" i="24" s="1"/>
  <c r="H1928" i="24" s="1"/>
  <c r="H1929" i="24" s="1"/>
  <c r="H1930" i="24" s="1"/>
  <c r="H1931" i="24" s="1"/>
  <c r="H1932" i="24" s="1"/>
  <c r="H1933" i="24" s="1"/>
  <c r="H1934" i="24" s="1"/>
  <c r="H1935" i="24" s="1"/>
  <c r="H1936" i="24" s="1"/>
  <c r="H1937" i="24" s="1"/>
  <c r="H1938" i="24" s="1"/>
  <c r="H1939" i="24" s="1"/>
  <c r="H1940" i="24" s="1"/>
  <c r="H1941" i="24" s="1"/>
  <c r="H1942" i="24" s="1"/>
  <c r="H1943" i="24" s="1"/>
  <c r="H1944" i="24" s="1"/>
  <c r="H1945" i="24" s="1"/>
  <c r="H1946" i="24" s="1"/>
  <c r="H1947" i="24" s="1"/>
  <c r="H1948" i="24" s="1"/>
  <c r="H1949" i="24" s="1"/>
  <c r="H1950" i="24" s="1"/>
  <c r="H1951" i="24" s="1"/>
  <c r="H1952" i="24" s="1"/>
  <c r="H1953" i="24" s="1"/>
  <c r="H1954" i="24" s="1"/>
  <c r="H1955" i="24" s="1"/>
  <c r="H1956" i="24" s="1"/>
  <c r="H1957" i="24" s="1"/>
  <c r="H1958" i="24" s="1"/>
  <c r="H1959" i="24" s="1"/>
  <c r="H1960" i="24" s="1"/>
  <c r="H1961" i="24" s="1"/>
  <c r="H1962" i="24" s="1"/>
  <c r="H1963" i="24" s="1"/>
  <c r="H1964" i="24" s="1"/>
  <c r="H1965" i="24" s="1"/>
  <c r="H1966" i="24" s="1"/>
  <c r="H1967" i="24" s="1"/>
  <c r="H1968" i="24" s="1"/>
  <c r="H1969" i="24" s="1"/>
  <c r="H1970" i="24" s="1"/>
  <c r="H1971" i="24" s="1"/>
  <c r="H1972" i="24" s="1"/>
  <c r="H1973" i="24" s="1"/>
  <c r="H1974" i="24" s="1"/>
  <c r="H1975" i="24" s="1"/>
  <c r="H1976" i="24" s="1"/>
  <c r="H1977" i="24" s="1"/>
  <c r="H1978" i="24" s="1"/>
  <c r="H1979" i="24" s="1"/>
  <c r="H1980" i="24" s="1"/>
  <c r="H1981" i="24" s="1"/>
  <c r="H1982" i="24" s="1"/>
  <c r="H1983" i="24" s="1"/>
  <c r="H1984" i="24" s="1"/>
  <c r="H1985" i="24" s="1"/>
  <c r="H1986" i="24" s="1"/>
  <c r="H1987" i="24" s="1"/>
  <c r="H1988" i="24" s="1"/>
  <c r="H1989" i="24" s="1"/>
  <c r="H1990" i="24" s="1"/>
  <c r="H1991" i="24" s="1"/>
  <c r="H1992" i="24" s="1"/>
  <c r="H1993" i="24" s="1"/>
  <c r="H1994" i="24" s="1"/>
  <c r="H1995" i="24" s="1"/>
  <c r="H1996" i="24" s="1"/>
  <c r="H1997" i="24" s="1"/>
  <c r="H1998" i="24" s="1"/>
  <c r="H1999" i="24" s="1"/>
  <c r="H2000" i="24" s="1"/>
  <c r="H2001" i="24" s="1"/>
  <c r="H2002" i="24" s="1"/>
  <c r="H2003" i="24" s="1"/>
  <c r="H2004" i="24" s="1"/>
  <c r="H2005" i="24" s="1"/>
  <c r="H2006" i="24" s="1"/>
  <c r="H2007" i="24" s="1"/>
  <c r="H2008" i="24" s="1"/>
  <c r="H2009" i="24" s="1"/>
  <c r="H2010" i="24" s="1"/>
  <c r="H2011" i="24" s="1"/>
  <c r="H2012" i="24" s="1"/>
  <c r="H2013" i="24" s="1"/>
  <c r="H2014" i="24" s="1"/>
  <c r="H2015" i="24" s="1"/>
  <c r="H2016" i="24" s="1"/>
  <c r="H2017" i="24" s="1"/>
  <c r="H2018" i="24" s="1"/>
  <c r="H2019" i="24" s="1"/>
  <c r="H2020" i="24" s="1"/>
  <c r="H2021" i="24" s="1"/>
  <c r="H2022" i="24" s="1"/>
  <c r="H2023" i="24" s="1"/>
  <c r="H2024" i="24" s="1"/>
  <c r="H2025" i="24" s="1"/>
  <c r="H2026" i="24" s="1"/>
  <c r="H2027" i="24" s="1"/>
  <c r="H2028" i="24" s="1"/>
  <c r="H2029" i="24" s="1"/>
  <c r="H2030" i="24" s="1"/>
  <c r="H2031" i="24" s="1"/>
  <c r="H2032" i="24" s="1"/>
  <c r="H2033" i="24" s="1"/>
  <c r="H2034" i="24" s="1"/>
  <c r="H2035" i="24" s="1"/>
  <c r="H2036" i="24" s="1"/>
  <c r="H2037" i="24" s="1"/>
  <c r="H2038" i="24" s="1"/>
  <c r="H2039" i="24" s="1"/>
  <c r="H2040" i="24" s="1"/>
  <c r="H2041" i="24" s="1"/>
  <c r="H2042" i="24" s="1"/>
  <c r="H2043" i="24" s="1"/>
  <c r="H2044" i="24" s="1"/>
  <c r="H2045" i="24" s="1"/>
  <c r="H2046" i="24" s="1"/>
  <c r="H2047" i="24" s="1"/>
  <c r="H2048" i="24" s="1"/>
  <c r="H2049" i="24" s="1"/>
  <c r="H2050" i="24" s="1"/>
  <c r="H2051" i="24" s="1"/>
  <c r="H2052" i="24" s="1"/>
  <c r="H2053" i="24" s="1"/>
  <c r="H2054" i="24" s="1"/>
  <c r="H2055" i="24" s="1"/>
  <c r="H2056" i="24" s="1"/>
  <c r="H2057" i="24" s="1"/>
  <c r="H2058" i="24" s="1"/>
  <c r="H2059" i="24" s="1"/>
  <c r="H2060" i="24" s="1"/>
  <c r="H2061" i="24" s="1"/>
  <c r="H2062" i="24" s="1"/>
  <c r="H2063" i="24" s="1"/>
  <c r="H2064" i="24" s="1"/>
  <c r="H2065" i="24" s="1"/>
  <c r="H2066" i="24" s="1"/>
  <c r="H2067" i="24" s="1"/>
  <c r="H2068" i="24" s="1"/>
  <c r="H2069" i="24" s="1"/>
  <c r="H2070" i="24" s="1"/>
  <c r="H2071" i="24" s="1"/>
  <c r="H2072" i="24" s="1"/>
  <c r="H2073" i="24" s="1"/>
  <c r="H2074" i="24" s="1"/>
  <c r="H2075" i="24" s="1"/>
  <c r="H2076" i="24" s="1"/>
  <c r="H2077" i="24" s="1"/>
  <c r="H2078" i="24" s="1"/>
  <c r="H2079" i="24" s="1"/>
  <c r="H2080" i="24" s="1"/>
  <c r="H2081" i="24" s="1"/>
  <c r="H2082" i="24" s="1"/>
  <c r="H2083" i="24" s="1"/>
  <c r="H2084" i="24" s="1"/>
  <c r="H2085" i="24" s="1"/>
  <c r="H2086" i="24" s="1"/>
  <c r="H2087" i="24" s="1"/>
  <c r="H2088" i="24" s="1"/>
  <c r="H2089" i="24" s="1"/>
  <c r="H2090" i="24" s="1"/>
  <c r="H2091" i="24" s="1"/>
  <c r="H2092" i="24" s="1"/>
  <c r="H2093" i="24" s="1"/>
  <c r="H2094" i="24" s="1"/>
  <c r="H2095" i="24" s="1"/>
  <c r="H2096" i="24" s="1"/>
  <c r="H2097" i="24" s="1"/>
  <c r="H2098" i="24" s="1"/>
  <c r="H2099" i="24" s="1"/>
  <c r="H2100" i="24" s="1"/>
  <c r="H2101" i="24" s="1"/>
  <c r="H2102" i="24" s="1"/>
  <c r="H2103" i="24" s="1"/>
  <c r="H2104" i="24" s="1"/>
  <c r="H2105" i="24" s="1"/>
  <c r="H2106" i="24" s="1"/>
  <c r="H2107" i="24" s="1"/>
  <c r="H2108" i="24" s="1"/>
  <c r="H2109" i="24" s="1"/>
  <c r="H2110" i="24" s="1"/>
  <c r="H2111" i="24" s="1"/>
  <c r="H2112" i="24" s="1"/>
  <c r="H2113" i="24" s="1"/>
  <c r="H2114" i="24" s="1"/>
  <c r="H2115" i="24" s="1"/>
  <c r="H2116" i="24" s="1"/>
  <c r="H2117" i="24" s="1"/>
  <c r="H2118" i="24" s="1"/>
  <c r="H2119" i="24" s="1"/>
  <c r="H2120" i="24" s="1"/>
  <c r="H2121" i="24" s="1"/>
  <c r="H2122" i="24" s="1"/>
  <c r="H2123" i="24" s="1"/>
  <c r="H2124" i="24" s="1"/>
  <c r="H2125" i="24" s="1"/>
  <c r="H2126" i="24" s="1"/>
  <c r="H2127" i="24" s="1"/>
  <c r="H2128" i="24" s="1"/>
  <c r="H2129" i="24" s="1"/>
  <c r="H2130" i="24" s="1"/>
  <c r="H2131" i="24" s="1"/>
  <c r="H2132" i="24" s="1"/>
  <c r="H2133" i="24" s="1"/>
  <c r="H2134" i="24" s="1"/>
  <c r="H2135" i="24" s="1"/>
  <c r="H2136" i="24" s="1"/>
  <c r="H2137" i="24" s="1"/>
  <c r="H2138" i="24" s="1"/>
  <c r="H2139" i="24" s="1"/>
  <c r="H2140" i="24" s="1"/>
  <c r="H2141" i="24" s="1"/>
  <c r="H2142" i="24" s="1"/>
  <c r="H2143" i="24" s="1"/>
  <c r="H2144" i="24" s="1"/>
  <c r="H2145" i="24" s="1"/>
  <c r="H2146" i="24" s="1"/>
  <c r="H2147" i="24" s="1"/>
  <c r="H2148" i="24" s="1"/>
  <c r="H2149" i="24" s="1"/>
  <c r="H2150" i="24" s="1"/>
  <c r="H2151" i="24" s="1"/>
  <c r="H2152" i="24" s="1"/>
  <c r="H2153" i="24" s="1"/>
  <c r="H2154" i="24" s="1"/>
  <c r="H2155" i="24" s="1"/>
  <c r="H2156" i="24" s="1"/>
  <c r="H2157" i="24" s="1"/>
  <c r="H2158" i="24" s="1"/>
  <c r="H2159" i="24" s="1"/>
  <c r="H2160" i="24" s="1"/>
  <c r="H2161" i="24" s="1"/>
  <c r="H2162" i="24" s="1"/>
  <c r="H2163" i="24" s="1"/>
  <c r="H2164" i="24" s="1"/>
  <c r="H2165" i="24" s="1"/>
  <c r="H2166" i="24" s="1"/>
  <c r="H2167" i="24" s="1"/>
  <c r="H2168" i="24" s="1"/>
  <c r="H2169" i="24" s="1"/>
  <c r="H2170" i="24" s="1"/>
  <c r="H2171" i="24" s="1"/>
  <c r="H2172" i="24" s="1"/>
  <c r="H2173" i="24" s="1"/>
  <c r="H2174" i="24" s="1"/>
  <c r="H2175" i="24" s="1"/>
  <c r="H2176" i="24" s="1"/>
  <c r="H2177" i="24" s="1"/>
  <c r="H2178" i="24" s="1"/>
  <c r="H2179" i="24" s="1"/>
  <c r="H2180" i="24" s="1"/>
  <c r="H2181" i="24" s="1"/>
  <c r="H2182" i="24" s="1"/>
  <c r="H2183" i="24" s="1"/>
  <c r="H2184" i="24" s="1"/>
  <c r="H2185" i="24" s="1"/>
  <c r="H2186" i="24" s="1"/>
  <c r="H2187" i="24" s="1"/>
  <c r="H2188" i="24" s="1"/>
  <c r="H2189" i="24" s="1"/>
  <c r="H2190" i="24" s="1"/>
  <c r="H2191" i="24" s="1"/>
  <c r="H2192" i="24" s="1"/>
  <c r="H2193" i="24" s="1"/>
  <c r="H2194" i="24" s="1"/>
  <c r="H2195" i="24" s="1"/>
  <c r="H2196" i="24" s="1"/>
  <c r="H2197" i="24" s="1"/>
  <c r="H2198" i="24" s="1"/>
  <c r="H2199" i="24" s="1"/>
  <c r="H2200" i="24" s="1"/>
  <c r="H2201" i="24" s="1"/>
  <c r="H2202" i="24" s="1"/>
  <c r="H2203" i="24" s="1"/>
  <c r="H2204" i="24" s="1"/>
  <c r="H2205" i="24" s="1"/>
  <c r="H2206" i="24" s="1"/>
  <c r="H2207" i="24" s="1"/>
  <c r="H2208" i="24" s="1"/>
  <c r="H2209" i="24" s="1"/>
  <c r="H2210" i="24" s="1"/>
  <c r="H2211" i="24" s="1"/>
  <c r="H2212" i="24" s="1"/>
  <c r="H2213" i="24" s="1"/>
  <c r="H2214" i="24" s="1"/>
  <c r="H2215" i="24" s="1"/>
  <c r="H2216" i="24" s="1"/>
  <c r="H2217" i="24" s="1"/>
  <c r="H2218" i="24" s="1"/>
  <c r="G1810" i="24"/>
  <c r="H1659" i="24"/>
  <c r="H1660" i="24" s="1"/>
  <c r="H1661" i="24" s="1"/>
  <c r="H1662" i="24" s="1"/>
  <c r="H1663" i="24" s="1"/>
  <c r="H1664" i="24" s="1"/>
  <c r="H1665" i="24" s="1"/>
  <c r="H1666" i="24" s="1"/>
  <c r="H1667" i="24" s="1"/>
  <c r="H1668" i="24" s="1"/>
  <c r="H1669" i="24" s="1"/>
  <c r="H1670" i="24" s="1"/>
  <c r="H1671" i="24" s="1"/>
  <c r="H1672" i="24" s="1"/>
  <c r="H1673" i="24" s="1"/>
  <c r="H1674" i="24" s="1"/>
  <c r="H1675" i="24" s="1"/>
  <c r="H1676" i="24" s="1"/>
  <c r="H1677" i="24" s="1"/>
  <c r="H1678" i="24" s="1"/>
  <c r="H1679" i="24" s="1"/>
  <c r="H1680" i="24" s="1"/>
  <c r="H1681" i="24" s="1"/>
  <c r="H1682" i="24" s="1"/>
  <c r="H1683" i="24" s="1"/>
  <c r="H1684" i="24" s="1"/>
  <c r="H1685" i="24" s="1"/>
  <c r="H1686" i="24" s="1"/>
  <c r="H1687" i="24" s="1"/>
  <c r="H1688" i="24" s="1"/>
  <c r="H1689" i="24" s="1"/>
  <c r="H1690" i="24" s="1"/>
  <c r="H1691" i="24" s="1"/>
  <c r="H1692" i="24" s="1"/>
  <c r="H1693" i="24" s="1"/>
  <c r="H1694" i="24" s="1"/>
  <c r="H1695" i="24" s="1"/>
  <c r="H1696" i="24" s="1"/>
  <c r="H1697" i="24" s="1"/>
  <c r="H1698" i="24" s="1"/>
  <c r="H1699" i="24" s="1"/>
  <c r="H1700" i="24" s="1"/>
  <c r="H1701" i="24" s="1"/>
  <c r="H1702" i="24" s="1"/>
  <c r="H1703" i="24" s="1"/>
  <c r="H1704" i="24" s="1"/>
  <c r="H1705" i="24" s="1"/>
  <c r="H1706" i="24" s="1"/>
  <c r="H1707" i="24" s="1"/>
  <c r="H1708" i="24" s="1"/>
  <c r="H1709" i="24" s="1"/>
  <c r="H1710" i="24" s="1"/>
  <c r="H1711" i="24" s="1"/>
  <c r="H1712" i="24" s="1"/>
  <c r="H1713" i="24" s="1"/>
  <c r="H1714" i="24" s="1"/>
  <c r="H1715" i="24" s="1"/>
  <c r="H1716" i="24" s="1"/>
  <c r="H1717" i="24" s="1"/>
  <c r="H1718" i="24" s="1"/>
  <c r="H1719" i="24" s="1"/>
  <c r="H1720" i="24" s="1"/>
  <c r="H1721" i="24" s="1"/>
  <c r="H1722" i="24" s="1"/>
  <c r="H1723" i="24" s="1"/>
  <c r="H1724" i="24" s="1"/>
  <c r="H1725" i="24" s="1"/>
  <c r="H1726" i="24" s="1"/>
  <c r="H1727" i="24" s="1"/>
  <c r="H1728" i="24" s="1"/>
  <c r="H1729" i="24" s="1"/>
  <c r="H1730" i="24" s="1"/>
  <c r="H1731" i="24" s="1"/>
  <c r="H1732" i="24" s="1"/>
  <c r="H1733" i="24" s="1"/>
  <c r="H1734" i="24" s="1"/>
  <c r="H1735" i="24" s="1"/>
  <c r="H1736" i="24" s="1"/>
  <c r="H1737" i="24" s="1"/>
  <c r="H1738" i="24" s="1"/>
  <c r="H1739" i="24" s="1"/>
  <c r="H1740" i="24" s="1"/>
  <c r="H1741" i="24" s="1"/>
  <c r="H1742" i="24" s="1"/>
  <c r="H1743" i="24" s="1"/>
  <c r="H1744" i="24" s="1"/>
  <c r="H1745" i="24" s="1"/>
  <c r="H1746" i="24" s="1"/>
  <c r="H1747" i="24" s="1"/>
  <c r="H1748" i="24" s="1"/>
  <c r="H1749" i="24" s="1"/>
  <c r="H1750" i="24" s="1"/>
  <c r="H1751" i="24" s="1"/>
  <c r="H1752" i="24" s="1"/>
  <c r="H1753" i="24" s="1"/>
  <c r="H1754" i="24" s="1"/>
  <c r="H1755" i="24" s="1"/>
  <c r="H1756" i="24" s="1"/>
  <c r="H1757" i="24" s="1"/>
  <c r="H1758" i="24" s="1"/>
  <c r="H1759" i="24" s="1"/>
  <c r="H1760" i="24" s="1"/>
  <c r="H1761" i="24" s="1"/>
  <c r="H1762" i="24" s="1"/>
  <c r="H1763" i="24" s="1"/>
  <c r="H1764" i="24" s="1"/>
  <c r="H1765" i="24" s="1"/>
  <c r="H1766" i="24" s="1"/>
  <c r="H1767" i="24" s="1"/>
  <c r="H1768" i="24" s="1"/>
  <c r="H1769" i="24" s="1"/>
  <c r="H1770" i="24" s="1"/>
  <c r="H1771" i="24" s="1"/>
  <c r="H1772" i="24" s="1"/>
  <c r="H1773" i="24" s="1"/>
  <c r="H1774" i="24" s="1"/>
  <c r="H1775" i="24" s="1"/>
  <c r="H1776" i="24" s="1"/>
  <c r="H1777" i="24" s="1"/>
  <c r="H1778" i="24" s="1"/>
  <c r="H1779" i="24" s="1"/>
  <c r="H1780" i="24" s="1"/>
  <c r="H1781" i="24" s="1"/>
  <c r="H1782" i="24" s="1"/>
  <c r="H1783" i="24" s="1"/>
  <c r="H1784" i="24" s="1"/>
  <c r="H1785" i="24" s="1"/>
  <c r="H1786" i="24" s="1"/>
  <c r="H1787" i="24" s="1"/>
  <c r="H1788" i="24" s="1"/>
  <c r="H1789" i="24" s="1"/>
  <c r="H1790" i="24" s="1"/>
  <c r="H1791" i="24" s="1"/>
  <c r="H1792" i="24" s="1"/>
  <c r="H1793" i="24" s="1"/>
  <c r="H1794" i="24" s="1"/>
  <c r="H1795" i="24" s="1"/>
  <c r="H1796" i="24" s="1"/>
  <c r="H1797" i="24" s="1"/>
  <c r="H1798" i="24" s="1"/>
  <c r="H1799" i="24" s="1"/>
  <c r="H1800" i="24" s="1"/>
  <c r="H1801" i="24" s="1"/>
  <c r="H1802" i="24" s="1"/>
  <c r="H1803" i="24" s="1"/>
  <c r="H1804" i="24" s="1"/>
  <c r="H1805" i="24" s="1"/>
  <c r="H1806" i="24" s="1"/>
  <c r="H1807" i="24" s="1"/>
  <c r="H1808" i="24" s="1"/>
  <c r="H1809" i="24" s="1"/>
  <c r="H1810" i="24" s="1"/>
  <c r="G1655" i="24"/>
  <c r="G1656" i="24" s="1"/>
  <c r="H1266" i="24"/>
  <c r="H1267" i="24" s="1"/>
  <c r="H1268" i="24" s="1"/>
  <c r="H1269" i="24" s="1"/>
  <c r="H1270" i="24" s="1"/>
  <c r="H1271" i="24" s="1"/>
  <c r="H1272" i="24" s="1"/>
  <c r="H1273" i="24" s="1"/>
  <c r="H1274" i="24" s="1"/>
  <c r="H1275" i="24" s="1"/>
  <c r="H1276" i="24" s="1"/>
  <c r="H1277" i="24" s="1"/>
  <c r="H1278" i="24" s="1"/>
  <c r="H1279" i="24" s="1"/>
  <c r="H1280" i="24" s="1"/>
  <c r="H1281" i="24" s="1"/>
  <c r="H1282" i="24" s="1"/>
  <c r="H1283" i="24" s="1"/>
  <c r="H1284" i="24" s="1"/>
  <c r="H1285" i="24" s="1"/>
  <c r="H1286" i="24" s="1"/>
  <c r="H1287" i="24" s="1"/>
  <c r="H1288" i="24" s="1"/>
  <c r="H1289" i="24" s="1"/>
  <c r="H1290" i="24" s="1"/>
  <c r="H1291" i="24" s="1"/>
  <c r="H1292" i="24" s="1"/>
  <c r="H1293" i="24" s="1"/>
  <c r="H1294" i="24" s="1"/>
  <c r="H1295" i="24" s="1"/>
  <c r="H1296" i="24" s="1"/>
  <c r="H1297" i="24" s="1"/>
  <c r="H1298" i="24" s="1"/>
  <c r="H1299" i="24" s="1"/>
  <c r="H1300" i="24" s="1"/>
  <c r="H1301" i="24" s="1"/>
  <c r="H1302" i="24" s="1"/>
  <c r="H1303" i="24" s="1"/>
  <c r="H1304" i="24" s="1"/>
  <c r="H1305" i="24" s="1"/>
  <c r="H1306" i="24" s="1"/>
  <c r="H1307" i="24" s="1"/>
  <c r="H1308" i="24" s="1"/>
  <c r="H1309" i="24" s="1"/>
  <c r="H1310" i="24" s="1"/>
  <c r="H1311" i="24" s="1"/>
  <c r="H1312" i="24" s="1"/>
  <c r="H1313" i="24" s="1"/>
  <c r="H1314" i="24" s="1"/>
  <c r="H1315" i="24" s="1"/>
  <c r="H1316" i="24" s="1"/>
  <c r="H1317" i="24" s="1"/>
  <c r="H1318" i="24" s="1"/>
  <c r="H1319" i="24" s="1"/>
  <c r="H1320" i="24" s="1"/>
  <c r="H1321" i="24" s="1"/>
  <c r="H1322" i="24" s="1"/>
  <c r="H1323" i="24" s="1"/>
  <c r="H1324" i="24" s="1"/>
  <c r="H1325" i="24" s="1"/>
  <c r="H1326" i="24" s="1"/>
  <c r="H1327" i="24" s="1"/>
  <c r="H1328" i="24" s="1"/>
  <c r="H1329" i="24" s="1"/>
  <c r="H1330" i="24" s="1"/>
  <c r="H1331" i="24" s="1"/>
  <c r="H1332" i="24" s="1"/>
  <c r="H1333" i="24" s="1"/>
  <c r="H1334" i="24" s="1"/>
  <c r="H1335" i="24" s="1"/>
  <c r="H1336" i="24" s="1"/>
  <c r="H1337" i="24" s="1"/>
  <c r="H1338" i="24" s="1"/>
  <c r="H1339" i="24" s="1"/>
  <c r="H1340" i="24" s="1"/>
  <c r="H1341" i="24" s="1"/>
  <c r="H1342" i="24" s="1"/>
  <c r="H1343" i="24" s="1"/>
  <c r="H1344" i="24" s="1"/>
  <c r="H1345" i="24" s="1"/>
  <c r="H1346" i="24" s="1"/>
  <c r="H1347" i="24" s="1"/>
  <c r="H1348" i="24" s="1"/>
  <c r="H1349" i="24" s="1"/>
  <c r="H1350" i="24" s="1"/>
  <c r="H1351" i="24" s="1"/>
  <c r="H1352" i="24" s="1"/>
  <c r="H1353" i="24" s="1"/>
  <c r="H1354" i="24" s="1"/>
  <c r="H1355" i="24" s="1"/>
  <c r="H1356" i="24" s="1"/>
  <c r="H1357" i="24" s="1"/>
  <c r="H1358" i="24" s="1"/>
  <c r="H1359" i="24" s="1"/>
  <c r="H1360" i="24" s="1"/>
  <c r="H1361" i="24" s="1"/>
  <c r="H1362" i="24" s="1"/>
  <c r="H1363" i="24" s="1"/>
  <c r="H1364" i="24" s="1"/>
  <c r="H1365" i="24" s="1"/>
  <c r="H1366" i="24" s="1"/>
  <c r="H1367" i="24" s="1"/>
  <c r="H1368" i="24" s="1"/>
  <c r="H1369" i="24" s="1"/>
  <c r="H1370" i="24" s="1"/>
  <c r="H1371" i="24" s="1"/>
  <c r="H1372" i="24" s="1"/>
  <c r="H1373" i="24" s="1"/>
  <c r="H1374" i="24" s="1"/>
  <c r="H1375" i="24" s="1"/>
  <c r="H1376" i="24" s="1"/>
  <c r="H1377" i="24" s="1"/>
  <c r="H1378" i="24" s="1"/>
  <c r="H1379" i="24" s="1"/>
  <c r="H1380" i="24" s="1"/>
  <c r="H1381" i="24" s="1"/>
  <c r="H1382" i="24" s="1"/>
  <c r="H1383" i="24" s="1"/>
  <c r="H1384" i="24" s="1"/>
  <c r="H1385" i="24" s="1"/>
  <c r="H1386" i="24" s="1"/>
  <c r="H1387" i="24" s="1"/>
  <c r="H1388" i="24" s="1"/>
  <c r="H1389" i="24" s="1"/>
  <c r="H1390" i="24" s="1"/>
  <c r="H1391" i="24" s="1"/>
  <c r="H1392" i="24" s="1"/>
  <c r="H1393" i="24" s="1"/>
  <c r="H1394" i="24" s="1"/>
  <c r="H1395" i="24" s="1"/>
  <c r="H1396" i="24" s="1"/>
  <c r="H1397" i="24" s="1"/>
  <c r="H1398" i="24" s="1"/>
  <c r="H1399" i="24" s="1"/>
  <c r="H1400" i="24" s="1"/>
  <c r="H1401" i="24" s="1"/>
  <c r="H1402" i="24" s="1"/>
  <c r="H1403" i="24" s="1"/>
  <c r="H1404" i="24" s="1"/>
  <c r="H1405" i="24" s="1"/>
  <c r="H1406" i="24" s="1"/>
  <c r="H1407" i="24" s="1"/>
  <c r="H1408" i="24" s="1"/>
  <c r="H1409" i="24" s="1"/>
  <c r="H1410" i="24" s="1"/>
  <c r="H1411" i="24" s="1"/>
  <c r="H1412" i="24" s="1"/>
  <c r="H1413" i="24" s="1"/>
  <c r="H1414" i="24" s="1"/>
  <c r="H1415" i="24" s="1"/>
  <c r="H1416" i="24" s="1"/>
  <c r="H1417" i="24" s="1"/>
  <c r="H1418" i="24" s="1"/>
  <c r="H1419" i="24" s="1"/>
  <c r="H1420" i="24" s="1"/>
  <c r="H1421" i="24" s="1"/>
  <c r="H1422" i="24" s="1"/>
  <c r="H1423" i="24" s="1"/>
  <c r="H1424" i="24" s="1"/>
  <c r="H1425" i="24" s="1"/>
  <c r="H1426" i="24" s="1"/>
  <c r="H1427" i="24" s="1"/>
  <c r="H1428" i="24" s="1"/>
  <c r="H1429" i="24" s="1"/>
  <c r="H1430" i="24" s="1"/>
  <c r="H1431" i="24" s="1"/>
  <c r="H1432" i="24" s="1"/>
  <c r="H1433" i="24" s="1"/>
  <c r="H1434" i="24" s="1"/>
  <c r="H1435" i="24" s="1"/>
  <c r="H1436" i="24" s="1"/>
  <c r="H1437" i="24" s="1"/>
  <c r="H1438" i="24" s="1"/>
  <c r="H1439" i="24" s="1"/>
  <c r="H1440" i="24" s="1"/>
  <c r="H1441" i="24" s="1"/>
  <c r="H1442" i="24" s="1"/>
  <c r="H1443" i="24" s="1"/>
  <c r="H1444" i="24" s="1"/>
  <c r="H1445" i="24" s="1"/>
  <c r="H1446" i="24" s="1"/>
  <c r="H1447" i="24" s="1"/>
  <c r="H1448" i="24" s="1"/>
  <c r="H1449" i="24" s="1"/>
  <c r="H1450" i="24" s="1"/>
  <c r="H1451" i="24" s="1"/>
  <c r="H1452" i="24" s="1"/>
  <c r="H1453" i="24" s="1"/>
  <c r="H1454" i="24" s="1"/>
  <c r="H1455" i="24" s="1"/>
  <c r="H1456" i="24" s="1"/>
  <c r="H1457" i="24" s="1"/>
  <c r="H1458" i="24" s="1"/>
  <c r="H1459" i="24" s="1"/>
  <c r="H1460" i="24" s="1"/>
  <c r="H1461" i="24" s="1"/>
  <c r="H1462" i="24" s="1"/>
  <c r="H1463" i="24" s="1"/>
  <c r="H1464" i="24" s="1"/>
  <c r="H1465" i="24" s="1"/>
  <c r="H1466" i="24" s="1"/>
  <c r="H1467" i="24" s="1"/>
  <c r="H1468" i="24" s="1"/>
  <c r="H1469" i="24" s="1"/>
  <c r="H1470" i="24" s="1"/>
  <c r="H1471" i="24" s="1"/>
  <c r="H1472" i="24" s="1"/>
  <c r="H1473" i="24" s="1"/>
  <c r="H1474" i="24" s="1"/>
  <c r="H1475" i="24" s="1"/>
  <c r="H1476" i="24" s="1"/>
  <c r="H1477" i="24" s="1"/>
  <c r="H1478" i="24" s="1"/>
  <c r="H1479" i="24" s="1"/>
  <c r="H1480" i="24" s="1"/>
  <c r="H1481" i="24" s="1"/>
  <c r="H1482" i="24" s="1"/>
  <c r="H1483" i="24" s="1"/>
  <c r="H1484" i="24" s="1"/>
  <c r="H1485" i="24" s="1"/>
  <c r="H1486" i="24" s="1"/>
  <c r="H1487" i="24" s="1"/>
  <c r="H1488" i="24" s="1"/>
  <c r="H1489" i="24" s="1"/>
  <c r="H1490" i="24" s="1"/>
  <c r="H1491" i="24" s="1"/>
  <c r="H1492" i="24" s="1"/>
  <c r="H1493" i="24" s="1"/>
  <c r="H1494" i="24" s="1"/>
  <c r="H1495" i="24" s="1"/>
  <c r="H1496" i="24" s="1"/>
  <c r="H1497" i="24" s="1"/>
  <c r="H1498" i="24" s="1"/>
  <c r="H1499" i="24" s="1"/>
  <c r="H1500" i="24" s="1"/>
  <c r="H1501" i="24" s="1"/>
  <c r="H1502" i="24" s="1"/>
  <c r="H1503" i="24" s="1"/>
  <c r="H1504" i="24" s="1"/>
  <c r="H1505" i="24" s="1"/>
  <c r="H1506" i="24" s="1"/>
  <c r="H1507" i="24" s="1"/>
  <c r="H1508" i="24" s="1"/>
  <c r="H1509" i="24" s="1"/>
  <c r="H1510" i="24" s="1"/>
  <c r="H1511" i="24" s="1"/>
  <c r="H1512" i="24" s="1"/>
  <c r="H1513" i="24" s="1"/>
  <c r="H1514" i="24" s="1"/>
  <c r="H1515" i="24" s="1"/>
  <c r="H1516" i="24" s="1"/>
  <c r="H1517" i="24" s="1"/>
  <c r="H1518" i="24" s="1"/>
  <c r="H1519" i="24" s="1"/>
  <c r="H1520" i="24" s="1"/>
  <c r="H1521" i="24" s="1"/>
  <c r="H1522" i="24" s="1"/>
  <c r="H1523" i="24" s="1"/>
  <c r="H1524" i="24" s="1"/>
  <c r="H1525" i="24" s="1"/>
  <c r="H1526" i="24" s="1"/>
  <c r="H1527" i="24" s="1"/>
  <c r="H1528" i="24" s="1"/>
  <c r="H1529" i="24" s="1"/>
  <c r="H1530" i="24" s="1"/>
  <c r="H1531" i="24" s="1"/>
  <c r="H1532" i="24" s="1"/>
  <c r="H1533" i="24" s="1"/>
  <c r="H1534" i="24" s="1"/>
  <c r="H1535" i="24" s="1"/>
  <c r="H1536" i="24" s="1"/>
  <c r="H1537" i="24" s="1"/>
  <c r="H1538" i="24" s="1"/>
  <c r="H1539" i="24" s="1"/>
  <c r="H1540" i="24" s="1"/>
  <c r="H1541" i="24" s="1"/>
  <c r="H1542" i="24" s="1"/>
  <c r="H1543" i="24" s="1"/>
  <c r="H1544" i="24" s="1"/>
  <c r="H1545" i="24" s="1"/>
  <c r="H1546" i="24" s="1"/>
  <c r="H1547" i="24" s="1"/>
  <c r="H1548" i="24" s="1"/>
  <c r="H1549" i="24" s="1"/>
  <c r="H1550" i="24" s="1"/>
  <c r="H1551" i="24" s="1"/>
  <c r="H1552" i="24" s="1"/>
  <c r="H1553" i="24" s="1"/>
  <c r="H1554" i="24" s="1"/>
  <c r="H1555" i="24" s="1"/>
  <c r="H1556" i="24" s="1"/>
  <c r="H1557" i="24" s="1"/>
  <c r="H1558" i="24" s="1"/>
  <c r="H1559" i="24" s="1"/>
  <c r="H1560" i="24" s="1"/>
  <c r="H1561" i="24" s="1"/>
  <c r="H1562" i="24" s="1"/>
  <c r="H1563" i="24" s="1"/>
  <c r="H1564" i="24" s="1"/>
  <c r="H1565" i="24" s="1"/>
  <c r="H1566" i="24" s="1"/>
  <c r="H1567" i="24" s="1"/>
  <c r="H1568" i="24" s="1"/>
  <c r="H1569" i="24" s="1"/>
  <c r="H1570" i="24" s="1"/>
  <c r="H1571" i="24" s="1"/>
  <c r="H1572" i="24" s="1"/>
  <c r="H1573" i="24" s="1"/>
  <c r="H1574" i="24" s="1"/>
  <c r="H1575" i="24" s="1"/>
  <c r="H1576" i="24" s="1"/>
  <c r="H1577" i="24" s="1"/>
  <c r="H1578" i="24" s="1"/>
  <c r="H1579" i="24" s="1"/>
  <c r="H1580" i="24" s="1"/>
  <c r="H1581" i="24" s="1"/>
  <c r="H1582" i="24" s="1"/>
  <c r="H1583" i="24" s="1"/>
  <c r="H1584" i="24" s="1"/>
  <c r="H1585" i="24" s="1"/>
  <c r="H1586" i="24" s="1"/>
  <c r="H1587" i="24" s="1"/>
  <c r="H1588" i="24" s="1"/>
  <c r="H1589" i="24" s="1"/>
  <c r="H1590" i="24" s="1"/>
  <c r="H1591" i="24" s="1"/>
  <c r="H1592" i="24" s="1"/>
  <c r="H1593" i="24" s="1"/>
  <c r="H1594" i="24" s="1"/>
  <c r="H1595" i="24" s="1"/>
  <c r="H1596" i="24" s="1"/>
  <c r="H1597" i="24" s="1"/>
  <c r="H1598" i="24" s="1"/>
  <c r="H1599" i="24" s="1"/>
  <c r="H1600" i="24" s="1"/>
  <c r="H1601" i="24" s="1"/>
  <c r="H1602" i="24" s="1"/>
  <c r="H1603" i="24" s="1"/>
  <c r="H1604" i="24" s="1"/>
  <c r="H1605" i="24" s="1"/>
  <c r="H1606" i="24" s="1"/>
  <c r="H1607" i="24" s="1"/>
  <c r="H1608" i="24" s="1"/>
  <c r="H1609" i="24" s="1"/>
  <c r="H1610" i="24" s="1"/>
  <c r="H1611" i="24" s="1"/>
  <c r="H1612" i="24" s="1"/>
  <c r="H1613" i="24" s="1"/>
  <c r="H1614" i="24" s="1"/>
  <c r="H1615" i="24" s="1"/>
  <c r="H1616" i="24" s="1"/>
  <c r="H1617" i="24" s="1"/>
  <c r="H1618" i="24" s="1"/>
  <c r="H1619" i="24" s="1"/>
  <c r="H1620" i="24" s="1"/>
  <c r="H1621" i="24" s="1"/>
  <c r="H1622" i="24" s="1"/>
  <c r="H1623" i="24" s="1"/>
  <c r="H1624" i="24" s="1"/>
  <c r="H1625" i="24" s="1"/>
  <c r="H1626" i="24" s="1"/>
  <c r="H1627" i="24" s="1"/>
  <c r="H1628" i="24" s="1"/>
  <c r="H1629" i="24" s="1"/>
  <c r="H1630" i="24" s="1"/>
  <c r="H1631" i="24" s="1"/>
  <c r="H1632" i="24" s="1"/>
  <c r="H1633" i="24" s="1"/>
  <c r="H1634" i="24" s="1"/>
  <c r="H1635" i="24" s="1"/>
  <c r="H1636" i="24" s="1"/>
  <c r="H1637" i="24" s="1"/>
  <c r="H1638" i="24" s="1"/>
  <c r="H1639" i="24" s="1"/>
  <c r="H1640" i="24" s="1"/>
  <c r="H1641" i="24" s="1"/>
  <c r="H1642" i="24" s="1"/>
  <c r="H1643" i="24" s="1"/>
  <c r="H1644" i="24" s="1"/>
  <c r="H1645" i="24" s="1"/>
  <c r="H1646" i="24" s="1"/>
  <c r="H1647" i="24" s="1"/>
  <c r="H1648" i="24" s="1"/>
  <c r="H1649" i="24" s="1"/>
  <c r="H1650" i="24" s="1"/>
  <c r="H1651" i="24" s="1"/>
  <c r="H1652" i="24" s="1"/>
  <c r="H1653" i="24" s="1"/>
  <c r="H1654" i="24" s="1"/>
  <c r="H1655" i="24" s="1"/>
  <c r="H1656" i="24" s="1"/>
  <c r="G1262" i="24"/>
  <c r="H786" i="24"/>
  <c r="H787" i="24" s="1"/>
  <c r="H788" i="24" s="1"/>
  <c r="H789" i="24" s="1"/>
  <c r="H790" i="24" s="1"/>
  <c r="H791" i="24" s="1"/>
  <c r="H792" i="24" s="1"/>
  <c r="H793" i="24" s="1"/>
  <c r="H794" i="24" s="1"/>
  <c r="H795" i="24" s="1"/>
  <c r="H796" i="24" s="1"/>
  <c r="H797" i="24" s="1"/>
  <c r="H798" i="24" s="1"/>
  <c r="H799" i="24" s="1"/>
  <c r="H800" i="24" s="1"/>
  <c r="H801" i="24" s="1"/>
  <c r="H802" i="24" s="1"/>
  <c r="H803" i="24" s="1"/>
  <c r="H804" i="24" s="1"/>
  <c r="H805" i="24" s="1"/>
  <c r="H806" i="24" s="1"/>
  <c r="H807" i="24" s="1"/>
  <c r="H808" i="24" s="1"/>
  <c r="H809" i="24" s="1"/>
  <c r="H810" i="24" s="1"/>
  <c r="H811" i="24" s="1"/>
  <c r="H812" i="24" s="1"/>
  <c r="H813" i="24" s="1"/>
  <c r="H814" i="24" s="1"/>
  <c r="H815" i="24" s="1"/>
  <c r="H816" i="24" s="1"/>
  <c r="H817" i="24" s="1"/>
  <c r="H818" i="24" s="1"/>
  <c r="H819" i="24" s="1"/>
  <c r="H820" i="24" s="1"/>
  <c r="H821" i="24" s="1"/>
  <c r="H822" i="24" s="1"/>
  <c r="H823" i="24" s="1"/>
  <c r="H824" i="24" s="1"/>
  <c r="H825" i="24" s="1"/>
  <c r="H826" i="24" s="1"/>
  <c r="H827" i="24" s="1"/>
  <c r="H828" i="24" s="1"/>
  <c r="H829" i="24" s="1"/>
  <c r="H830" i="24" s="1"/>
  <c r="H831" i="24" s="1"/>
  <c r="H832" i="24" s="1"/>
  <c r="H833" i="24" s="1"/>
  <c r="H834" i="24" s="1"/>
  <c r="H835" i="24" s="1"/>
  <c r="H836" i="24" s="1"/>
  <c r="H837" i="24" s="1"/>
  <c r="H838" i="24" s="1"/>
  <c r="H839" i="24" s="1"/>
  <c r="H840" i="24" s="1"/>
  <c r="H841" i="24" s="1"/>
  <c r="H842" i="24" s="1"/>
  <c r="H843" i="24" s="1"/>
  <c r="H844" i="24" s="1"/>
  <c r="H845" i="24" s="1"/>
  <c r="H846" i="24" s="1"/>
  <c r="H847" i="24" s="1"/>
  <c r="H848" i="24" s="1"/>
  <c r="H849" i="24" s="1"/>
  <c r="H850" i="24" s="1"/>
  <c r="H851" i="24" s="1"/>
  <c r="H852" i="24" s="1"/>
  <c r="H853" i="24" s="1"/>
  <c r="H854" i="24" s="1"/>
  <c r="H855" i="24" s="1"/>
  <c r="H856" i="24" s="1"/>
  <c r="H857" i="24" s="1"/>
  <c r="H858" i="24" s="1"/>
  <c r="H859" i="24" s="1"/>
  <c r="H860" i="24" s="1"/>
  <c r="H861" i="24" s="1"/>
  <c r="H862" i="24" s="1"/>
  <c r="H863" i="24" s="1"/>
  <c r="H864" i="24" s="1"/>
  <c r="H865" i="24" s="1"/>
  <c r="H866" i="24" s="1"/>
  <c r="H867" i="24" s="1"/>
  <c r="H868" i="24" s="1"/>
  <c r="H869" i="24" s="1"/>
  <c r="H870" i="24" s="1"/>
  <c r="H871" i="24" s="1"/>
  <c r="H872" i="24" s="1"/>
  <c r="H873" i="24" s="1"/>
  <c r="H874" i="24" s="1"/>
  <c r="H875" i="24" s="1"/>
  <c r="H876" i="24" s="1"/>
  <c r="H877" i="24" s="1"/>
  <c r="H878" i="24" s="1"/>
  <c r="H879" i="24" s="1"/>
  <c r="H880" i="24" s="1"/>
  <c r="H881" i="24" s="1"/>
  <c r="H882" i="24" s="1"/>
  <c r="H883" i="24" s="1"/>
  <c r="H884" i="24" s="1"/>
  <c r="H885" i="24" s="1"/>
  <c r="H886" i="24" s="1"/>
  <c r="H887" i="24" s="1"/>
  <c r="H888" i="24" s="1"/>
  <c r="H889" i="24" s="1"/>
  <c r="H890" i="24" s="1"/>
  <c r="H891" i="24" s="1"/>
  <c r="H892" i="24" s="1"/>
  <c r="H893" i="24" s="1"/>
  <c r="H894" i="24" s="1"/>
  <c r="H895" i="24" s="1"/>
  <c r="H896" i="24" s="1"/>
  <c r="H897" i="24" s="1"/>
  <c r="H898" i="24" s="1"/>
  <c r="H899" i="24" s="1"/>
  <c r="H900" i="24" s="1"/>
  <c r="H901" i="24" s="1"/>
  <c r="H902" i="24" s="1"/>
  <c r="H903" i="24" s="1"/>
  <c r="H904" i="24" s="1"/>
  <c r="H905" i="24" s="1"/>
  <c r="H906" i="24" s="1"/>
  <c r="H907" i="24" s="1"/>
  <c r="H908" i="24" s="1"/>
  <c r="H909" i="24" s="1"/>
  <c r="H910" i="24" s="1"/>
  <c r="H911" i="24" s="1"/>
  <c r="H912" i="24" s="1"/>
  <c r="H913" i="24" s="1"/>
  <c r="H914" i="24" s="1"/>
  <c r="H915" i="24" s="1"/>
  <c r="H916" i="24" s="1"/>
  <c r="H917" i="24" s="1"/>
  <c r="H918" i="24" s="1"/>
  <c r="H919" i="24" s="1"/>
  <c r="H920" i="24" s="1"/>
  <c r="H921" i="24" s="1"/>
  <c r="H922" i="24" s="1"/>
  <c r="H923" i="24" s="1"/>
  <c r="H924" i="24" s="1"/>
  <c r="H925" i="24" s="1"/>
  <c r="H926" i="24" s="1"/>
  <c r="H927" i="24" s="1"/>
  <c r="H928" i="24" s="1"/>
  <c r="H929" i="24" s="1"/>
  <c r="H930" i="24" s="1"/>
  <c r="H931" i="24" s="1"/>
  <c r="H932" i="24" s="1"/>
  <c r="H933" i="24" s="1"/>
  <c r="H934" i="24" s="1"/>
  <c r="H935" i="24" s="1"/>
  <c r="H936" i="24" s="1"/>
  <c r="H937" i="24" s="1"/>
  <c r="H938" i="24" s="1"/>
  <c r="H939" i="24" s="1"/>
  <c r="H940" i="24" s="1"/>
  <c r="H941" i="24" s="1"/>
  <c r="H942" i="24" s="1"/>
  <c r="H943" i="24" s="1"/>
  <c r="H944" i="24" s="1"/>
  <c r="H945" i="24" s="1"/>
  <c r="H946" i="24" s="1"/>
  <c r="H947" i="24" s="1"/>
  <c r="H948" i="24" s="1"/>
  <c r="H949" i="24" s="1"/>
  <c r="H950" i="24" s="1"/>
  <c r="H951" i="24" s="1"/>
  <c r="H952" i="24" s="1"/>
  <c r="H953" i="24" s="1"/>
  <c r="H954" i="24" s="1"/>
  <c r="H955" i="24" s="1"/>
  <c r="H956" i="24" s="1"/>
  <c r="H957" i="24" s="1"/>
  <c r="H958" i="24" s="1"/>
  <c r="H959" i="24" s="1"/>
  <c r="H960" i="24" s="1"/>
  <c r="H961" i="24" s="1"/>
  <c r="H962" i="24" s="1"/>
  <c r="H963" i="24" s="1"/>
  <c r="H964" i="24" s="1"/>
  <c r="H965" i="24" s="1"/>
  <c r="H966" i="24" s="1"/>
  <c r="H967" i="24" s="1"/>
  <c r="H968" i="24" s="1"/>
  <c r="H969" i="24" s="1"/>
  <c r="H970" i="24" s="1"/>
  <c r="H971" i="24" s="1"/>
  <c r="H972" i="24" s="1"/>
  <c r="H973" i="24" s="1"/>
  <c r="H974" i="24" s="1"/>
  <c r="H975" i="24" s="1"/>
  <c r="H976" i="24" s="1"/>
  <c r="H977" i="24" s="1"/>
  <c r="H978" i="24" s="1"/>
  <c r="H979" i="24" s="1"/>
  <c r="H980" i="24" s="1"/>
  <c r="H981" i="24" s="1"/>
  <c r="H982" i="24" s="1"/>
  <c r="H983" i="24" s="1"/>
  <c r="H984" i="24" s="1"/>
  <c r="H985" i="24" s="1"/>
  <c r="H986" i="24" s="1"/>
  <c r="H987" i="24" s="1"/>
  <c r="H988" i="24" s="1"/>
  <c r="H989" i="24" s="1"/>
  <c r="H990" i="24" s="1"/>
  <c r="H991" i="24" s="1"/>
  <c r="H992" i="24" s="1"/>
  <c r="H993" i="24" s="1"/>
  <c r="H994" i="24" s="1"/>
  <c r="H995" i="24" s="1"/>
  <c r="H996" i="24" s="1"/>
  <c r="H997" i="24" s="1"/>
  <c r="H998" i="24" s="1"/>
  <c r="H999" i="24" s="1"/>
  <c r="H1000" i="24" s="1"/>
  <c r="H1001" i="24" s="1"/>
  <c r="H1002" i="24" s="1"/>
  <c r="H1003" i="24" s="1"/>
  <c r="H1004" i="24" s="1"/>
  <c r="H1005" i="24" s="1"/>
  <c r="H1006" i="24" s="1"/>
  <c r="H1007" i="24" s="1"/>
  <c r="H1008" i="24" s="1"/>
  <c r="H1009" i="24" s="1"/>
  <c r="H1010" i="24" s="1"/>
  <c r="H1011" i="24" s="1"/>
  <c r="H1012" i="24" s="1"/>
  <c r="H1013" i="24" s="1"/>
  <c r="H1014" i="24" s="1"/>
  <c r="H1015" i="24" s="1"/>
  <c r="H1016" i="24" s="1"/>
  <c r="H1017" i="24" s="1"/>
  <c r="H1018" i="24" s="1"/>
  <c r="H1019" i="24" s="1"/>
  <c r="H1020" i="24" s="1"/>
  <c r="H1021" i="24" s="1"/>
  <c r="H1022" i="24" s="1"/>
  <c r="H1023" i="24" s="1"/>
  <c r="H1024" i="24" s="1"/>
  <c r="H1025" i="24" s="1"/>
  <c r="H1026" i="24" s="1"/>
  <c r="H1027" i="24" s="1"/>
  <c r="H1028" i="24" s="1"/>
  <c r="H1029" i="24" s="1"/>
  <c r="H1030" i="24" s="1"/>
  <c r="H1031" i="24" s="1"/>
  <c r="H1032" i="24" s="1"/>
  <c r="H1033" i="24" s="1"/>
  <c r="H1034" i="24" s="1"/>
  <c r="H1035" i="24" s="1"/>
  <c r="H1036" i="24" s="1"/>
  <c r="H1037" i="24" s="1"/>
  <c r="H1038" i="24" s="1"/>
  <c r="H1039" i="24" s="1"/>
  <c r="H1040" i="24" s="1"/>
  <c r="H1041" i="24" s="1"/>
  <c r="H1042" i="24" s="1"/>
  <c r="H1043" i="24" s="1"/>
  <c r="H1044" i="24" s="1"/>
  <c r="H1045" i="24" s="1"/>
  <c r="H1046" i="24" s="1"/>
  <c r="H1047" i="24" s="1"/>
  <c r="H1048" i="24" s="1"/>
  <c r="H1049" i="24" s="1"/>
  <c r="H1050" i="24" s="1"/>
  <c r="H1051" i="24" s="1"/>
  <c r="H1052" i="24" s="1"/>
  <c r="H1053" i="24" s="1"/>
  <c r="H1054" i="24" s="1"/>
  <c r="H1055" i="24" s="1"/>
  <c r="H1056" i="24" s="1"/>
  <c r="H1057" i="24" s="1"/>
  <c r="H1058" i="24" s="1"/>
  <c r="H1059" i="24" s="1"/>
  <c r="H1060" i="24" s="1"/>
  <c r="H1061" i="24" s="1"/>
  <c r="H1062" i="24" s="1"/>
  <c r="H1063" i="24" s="1"/>
  <c r="H1064" i="24" s="1"/>
  <c r="H1065" i="24" s="1"/>
  <c r="H1066" i="24" s="1"/>
  <c r="H1067" i="24" s="1"/>
  <c r="H1068" i="24" s="1"/>
  <c r="H1069" i="24" s="1"/>
  <c r="H1070" i="24" s="1"/>
  <c r="H1071" i="24" s="1"/>
  <c r="H1072" i="24" s="1"/>
  <c r="H1073" i="24" s="1"/>
  <c r="H1074" i="24" s="1"/>
  <c r="H1075" i="24" s="1"/>
  <c r="H1076" i="24" s="1"/>
  <c r="H1077" i="24" s="1"/>
  <c r="H1078" i="24" s="1"/>
  <c r="H1079" i="24" s="1"/>
  <c r="H1080" i="24" s="1"/>
  <c r="H1081" i="24" s="1"/>
  <c r="H1082" i="24" s="1"/>
  <c r="H1083" i="24" s="1"/>
  <c r="H1084" i="24" s="1"/>
  <c r="H1085" i="24" s="1"/>
  <c r="H1086" i="24" s="1"/>
  <c r="H1087" i="24" s="1"/>
  <c r="H1088" i="24" s="1"/>
  <c r="H1089" i="24" s="1"/>
  <c r="H1090" i="24" s="1"/>
  <c r="H1091" i="24" s="1"/>
  <c r="H1092" i="24" s="1"/>
  <c r="H1093" i="24" s="1"/>
  <c r="H1094" i="24" s="1"/>
  <c r="H1095" i="24" s="1"/>
  <c r="H1096" i="24" s="1"/>
  <c r="H1097" i="24" s="1"/>
  <c r="H1098" i="24" s="1"/>
  <c r="H1099" i="24" s="1"/>
  <c r="H1100" i="24" s="1"/>
  <c r="H1101" i="24" s="1"/>
  <c r="H1102" i="24" s="1"/>
  <c r="H1103" i="24" s="1"/>
  <c r="H1104" i="24" s="1"/>
  <c r="H1105" i="24" s="1"/>
  <c r="H1106" i="24" s="1"/>
  <c r="H1107" i="24" s="1"/>
  <c r="H1108" i="24" s="1"/>
  <c r="H1109" i="24" s="1"/>
  <c r="H1110" i="24" s="1"/>
  <c r="H1111" i="24" s="1"/>
  <c r="H1112" i="24" s="1"/>
  <c r="H1113" i="24" s="1"/>
  <c r="H1114" i="24" s="1"/>
  <c r="H1115" i="24" s="1"/>
  <c r="H1116" i="24" s="1"/>
  <c r="H1117" i="24" s="1"/>
  <c r="H1118" i="24" s="1"/>
  <c r="H1119" i="24" s="1"/>
  <c r="H1120" i="24" s="1"/>
  <c r="H1121" i="24" s="1"/>
  <c r="H1122" i="24" s="1"/>
  <c r="H1123" i="24" s="1"/>
  <c r="H1124" i="24" s="1"/>
  <c r="H1125" i="24" s="1"/>
  <c r="H1126" i="24" s="1"/>
  <c r="H1127" i="24" s="1"/>
  <c r="H1128" i="24" s="1"/>
  <c r="H1129" i="24" s="1"/>
  <c r="H1130" i="24" s="1"/>
  <c r="H1131" i="24" s="1"/>
  <c r="H1132" i="24" s="1"/>
  <c r="H1133" i="24" s="1"/>
  <c r="H1134" i="24" s="1"/>
  <c r="H1135" i="24" s="1"/>
  <c r="H1136" i="24" s="1"/>
  <c r="H1137" i="24" s="1"/>
  <c r="H1138" i="24" s="1"/>
  <c r="H1139" i="24" s="1"/>
  <c r="H1140" i="24" s="1"/>
  <c r="H1141" i="24" s="1"/>
  <c r="H1142" i="24" s="1"/>
  <c r="H1143" i="24" s="1"/>
  <c r="H1144" i="24" s="1"/>
  <c r="H1145" i="24" s="1"/>
  <c r="H1146" i="24" s="1"/>
  <c r="H1147" i="24" s="1"/>
  <c r="H1148" i="24" s="1"/>
  <c r="H1149" i="24" s="1"/>
  <c r="H1150" i="24" s="1"/>
  <c r="H1151" i="24" s="1"/>
  <c r="H1152" i="24" s="1"/>
  <c r="H1153" i="24" s="1"/>
  <c r="H1154" i="24" s="1"/>
  <c r="H1155" i="24" s="1"/>
  <c r="H1156" i="24" s="1"/>
  <c r="H1157" i="24" s="1"/>
  <c r="H1158" i="24" s="1"/>
  <c r="H1159" i="24" s="1"/>
  <c r="H1160" i="24" s="1"/>
  <c r="H1161" i="24" s="1"/>
  <c r="H1162" i="24" s="1"/>
  <c r="H1163" i="24" s="1"/>
  <c r="H1164" i="24" s="1"/>
  <c r="H1165" i="24" s="1"/>
  <c r="H1166" i="24" s="1"/>
  <c r="H1167" i="24" s="1"/>
  <c r="H1168" i="24" s="1"/>
  <c r="H1169" i="24" s="1"/>
  <c r="H1170" i="24" s="1"/>
  <c r="H1171" i="24" s="1"/>
  <c r="H1172" i="24" s="1"/>
  <c r="H1173" i="24" s="1"/>
  <c r="H1174" i="24" s="1"/>
  <c r="H1175" i="24" s="1"/>
  <c r="H1176" i="24" s="1"/>
  <c r="H1177" i="24" s="1"/>
  <c r="H1178" i="24" s="1"/>
  <c r="H1179" i="24" s="1"/>
  <c r="H1180" i="24" s="1"/>
  <c r="H1181" i="24" s="1"/>
  <c r="H1182" i="24" s="1"/>
  <c r="H1183" i="24" s="1"/>
  <c r="H1184" i="24" s="1"/>
  <c r="H1185" i="24" s="1"/>
  <c r="H1186" i="24" s="1"/>
  <c r="H1187" i="24" s="1"/>
  <c r="H1188" i="24" s="1"/>
  <c r="H1189" i="24" s="1"/>
  <c r="H1190" i="24" s="1"/>
  <c r="H1191" i="24" s="1"/>
  <c r="H1192" i="24" s="1"/>
  <c r="H1193" i="24" s="1"/>
  <c r="H1194" i="24" s="1"/>
  <c r="H1195" i="24" s="1"/>
  <c r="H1196" i="24" s="1"/>
  <c r="H1197" i="24" s="1"/>
  <c r="H1198" i="24" s="1"/>
  <c r="H1199" i="24" s="1"/>
  <c r="H1200" i="24" s="1"/>
  <c r="H1201" i="24" s="1"/>
  <c r="H1202" i="24" s="1"/>
  <c r="H1203" i="24" s="1"/>
  <c r="H1204" i="24" s="1"/>
  <c r="H1205" i="24" s="1"/>
  <c r="H1206" i="24" s="1"/>
  <c r="H1207" i="24" s="1"/>
  <c r="H1208" i="24" s="1"/>
  <c r="H1209" i="24" s="1"/>
  <c r="H1210" i="24" s="1"/>
  <c r="H1211" i="24" s="1"/>
  <c r="H1212" i="24" s="1"/>
  <c r="H1213" i="24" s="1"/>
  <c r="H1214" i="24" s="1"/>
  <c r="H1215" i="24" s="1"/>
  <c r="H1216" i="24" s="1"/>
  <c r="H1217" i="24" s="1"/>
  <c r="H1218" i="24" s="1"/>
  <c r="H1219" i="24" s="1"/>
  <c r="H1220" i="24" s="1"/>
  <c r="H1221" i="24" s="1"/>
  <c r="H1222" i="24" s="1"/>
  <c r="H1223" i="24" s="1"/>
  <c r="H1224" i="24" s="1"/>
  <c r="H1225" i="24" s="1"/>
  <c r="H1226" i="24" s="1"/>
  <c r="H1227" i="24" s="1"/>
  <c r="H1228" i="24" s="1"/>
  <c r="H1229" i="24" s="1"/>
  <c r="H1230" i="24" s="1"/>
  <c r="H1231" i="24" s="1"/>
  <c r="H1232" i="24" s="1"/>
  <c r="H1233" i="24" s="1"/>
  <c r="H1234" i="24" s="1"/>
  <c r="H1235" i="24" s="1"/>
  <c r="H1236" i="24" s="1"/>
  <c r="H1237" i="24" s="1"/>
  <c r="H1238" i="24" s="1"/>
  <c r="H1239" i="24" s="1"/>
  <c r="H1240" i="24" s="1"/>
  <c r="H1241" i="24" s="1"/>
  <c r="H1242" i="24" s="1"/>
  <c r="H1243" i="24" s="1"/>
  <c r="H1244" i="24" s="1"/>
  <c r="H1245" i="24" s="1"/>
  <c r="H1246" i="24" s="1"/>
  <c r="H1247" i="24" s="1"/>
  <c r="H1248" i="24" s="1"/>
  <c r="H1249" i="24" s="1"/>
  <c r="H1250" i="24" s="1"/>
  <c r="H1251" i="24" s="1"/>
  <c r="H1252" i="24" s="1"/>
  <c r="H1253" i="24" s="1"/>
  <c r="H1254" i="24" s="1"/>
  <c r="H1255" i="24" s="1"/>
  <c r="H1256" i="24" s="1"/>
  <c r="H1257" i="24" s="1"/>
  <c r="H1258" i="24" s="1"/>
  <c r="H1259" i="24" s="1"/>
  <c r="H1260" i="24" s="1"/>
  <c r="H1261" i="24" s="1"/>
  <c r="H1262" i="24" s="1"/>
  <c r="G784" i="24"/>
  <c r="G1263" i="24" s="1"/>
  <c r="H92" i="24"/>
  <c r="H93" i="24" s="1"/>
  <c r="H94" i="24" s="1"/>
  <c r="H95" i="24" s="1"/>
  <c r="H96" i="24" s="1"/>
  <c r="H97" i="24" s="1"/>
  <c r="H98" i="24" s="1"/>
  <c r="H99" i="24" s="1"/>
  <c r="H100" i="24" s="1"/>
  <c r="H101" i="24" s="1"/>
  <c r="H102" i="24" s="1"/>
  <c r="H103" i="24" s="1"/>
  <c r="H104" i="24" s="1"/>
  <c r="H105" i="24" s="1"/>
  <c r="H106" i="24" s="1"/>
  <c r="H107" i="24" s="1"/>
  <c r="H108" i="24" s="1"/>
  <c r="H109" i="24" s="1"/>
  <c r="H110" i="24" s="1"/>
  <c r="H111" i="24" s="1"/>
  <c r="H112" i="24" s="1"/>
  <c r="H113" i="24" s="1"/>
  <c r="H114" i="24" s="1"/>
  <c r="H115" i="24" s="1"/>
  <c r="H116" i="24" s="1"/>
  <c r="H117" i="24" s="1"/>
  <c r="H118" i="24" s="1"/>
  <c r="H119" i="24" s="1"/>
  <c r="H120" i="24" s="1"/>
  <c r="H121" i="24" s="1"/>
  <c r="H122" i="24" s="1"/>
  <c r="H123" i="24" s="1"/>
  <c r="H124" i="24" s="1"/>
  <c r="H125" i="24" s="1"/>
  <c r="H126" i="24" s="1"/>
  <c r="H127" i="24" s="1"/>
  <c r="H128" i="24" s="1"/>
  <c r="H129" i="24" s="1"/>
  <c r="H130" i="24" s="1"/>
  <c r="H131" i="24" s="1"/>
  <c r="H132" i="24" s="1"/>
  <c r="H133" i="24" s="1"/>
  <c r="H134" i="24" s="1"/>
  <c r="H135" i="24" s="1"/>
  <c r="H136" i="24" s="1"/>
  <c r="H137" i="24" s="1"/>
  <c r="H138" i="24" s="1"/>
  <c r="H139" i="24" s="1"/>
  <c r="H140" i="24" s="1"/>
  <c r="H141" i="24" s="1"/>
  <c r="H142" i="24" s="1"/>
  <c r="H143" i="24" s="1"/>
  <c r="H144" i="24" s="1"/>
  <c r="H145" i="24" s="1"/>
  <c r="H146" i="24" s="1"/>
  <c r="H147" i="24" s="1"/>
  <c r="H148" i="24" s="1"/>
  <c r="H149" i="24" s="1"/>
  <c r="H150" i="24" s="1"/>
  <c r="H151" i="24" s="1"/>
  <c r="H152" i="24" s="1"/>
  <c r="H153" i="24" s="1"/>
  <c r="H154" i="24" s="1"/>
  <c r="H155" i="24" s="1"/>
  <c r="H156" i="24" s="1"/>
  <c r="H157" i="24" s="1"/>
  <c r="H158" i="24" s="1"/>
  <c r="H159" i="24" s="1"/>
  <c r="H160" i="24" s="1"/>
  <c r="H161" i="24" s="1"/>
  <c r="H162" i="24" s="1"/>
  <c r="H163" i="24" s="1"/>
  <c r="H164" i="24" s="1"/>
  <c r="H165" i="24" s="1"/>
  <c r="H166" i="24" s="1"/>
  <c r="H167" i="24" s="1"/>
  <c r="H168" i="24" s="1"/>
  <c r="H169" i="24" s="1"/>
  <c r="H170" i="24" s="1"/>
  <c r="H171" i="24" s="1"/>
  <c r="H172" i="24" s="1"/>
  <c r="H173" i="24" s="1"/>
  <c r="H174" i="24" s="1"/>
  <c r="H175" i="24" s="1"/>
  <c r="H176" i="24" s="1"/>
  <c r="H177" i="24" s="1"/>
  <c r="H178" i="24" s="1"/>
  <c r="H179" i="24" s="1"/>
  <c r="H180" i="24" s="1"/>
  <c r="H181" i="24" s="1"/>
  <c r="H182" i="24" s="1"/>
  <c r="H183" i="24" s="1"/>
  <c r="H184" i="24" s="1"/>
  <c r="H185" i="24" s="1"/>
  <c r="H186" i="24" s="1"/>
  <c r="H187" i="24" s="1"/>
  <c r="H188" i="24" s="1"/>
  <c r="H189" i="24" s="1"/>
  <c r="H190" i="24" s="1"/>
  <c r="H191" i="24" s="1"/>
  <c r="H192" i="24" s="1"/>
  <c r="H193" i="24" s="1"/>
  <c r="H194" i="24" s="1"/>
  <c r="H195" i="24" s="1"/>
  <c r="H196" i="24" s="1"/>
  <c r="H197" i="24" s="1"/>
  <c r="H198" i="24" s="1"/>
  <c r="H199" i="24" s="1"/>
  <c r="H200" i="24" s="1"/>
  <c r="H201" i="24" s="1"/>
  <c r="H202" i="24" s="1"/>
  <c r="H203" i="24" s="1"/>
  <c r="H204" i="24" s="1"/>
  <c r="H205" i="24" s="1"/>
  <c r="H206" i="24" s="1"/>
  <c r="H207" i="24" s="1"/>
  <c r="H208" i="24" s="1"/>
  <c r="H209" i="24" s="1"/>
  <c r="H210" i="24" s="1"/>
  <c r="H211" i="24" s="1"/>
  <c r="H212" i="24" s="1"/>
  <c r="H213" i="24" s="1"/>
  <c r="H214" i="24" s="1"/>
  <c r="H215" i="24" s="1"/>
  <c r="H216" i="24" s="1"/>
  <c r="H217" i="24" s="1"/>
  <c r="H218" i="24" s="1"/>
  <c r="H219" i="24" s="1"/>
  <c r="H220" i="24" s="1"/>
  <c r="H221" i="24" s="1"/>
  <c r="H222" i="24" s="1"/>
  <c r="H223" i="24" s="1"/>
  <c r="H224" i="24" s="1"/>
  <c r="H225" i="24" s="1"/>
  <c r="H226" i="24" s="1"/>
  <c r="H227" i="24" s="1"/>
  <c r="H228" i="24" s="1"/>
  <c r="H229" i="24" s="1"/>
  <c r="H230" i="24" s="1"/>
  <c r="H231" i="24" s="1"/>
  <c r="H232" i="24" s="1"/>
  <c r="H233" i="24" s="1"/>
  <c r="H234" i="24" s="1"/>
  <c r="H235" i="24" s="1"/>
  <c r="H236" i="24" s="1"/>
  <c r="H237" i="24" s="1"/>
  <c r="H238" i="24" s="1"/>
  <c r="H239" i="24" s="1"/>
  <c r="H240" i="24" s="1"/>
  <c r="H241" i="24" s="1"/>
  <c r="H242" i="24" s="1"/>
  <c r="H243" i="24" s="1"/>
  <c r="H244" i="24" s="1"/>
  <c r="H245" i="24" s="1"/>
  <c r="H246" i="24" s="1"/>
  <c r="H247" i="24" s="1"/>
  <c r="H248" i="24" s="1"/>
  <c r="H249" i="24" s="1"/>
  <c r="H250" i="24" s="1"/>
  <c r="H251" i="24" s="1"/>
  <c r="H252" i="24" s="1"/>
  <c r="H253" i="24" s="1"/>
  <c r="H254" i="24" s="1"/>
  <c r="H255" i="24" s="1"/>
  <c r="H256" i="24" s="1"/>
  <c r="H257" i="24" s="1"/>
  <c r="H258" i="24" s="1"/>
  <c r="H259" i="24" s="1"/>
  <c r="H260" i="24" s="1"/>
  <c r="H261" i="24" s="1"/>
  <c r="H262" i="24" s="1"/>
  <c r="H263" i="24" s="1"/>
  <c r="H264" i="24" s="1"/>
  <c r="H265" i="24" s="1"/>
  <c r="H266" i="24" s="1"/>
  <c r="H267" i="24" s="1"/>
  <c r="H268" i="24" s="1"/>
  <c r="H269" i="24" s="1"/>
  <c r="H270" i="24" s="1"/>
  <c r="H271" i="24" s="1"/>
  <c r="H272" i="24" s="1"/>
  <c r="H273" i="24" s="1"/>
  <c r="H274" i="24" s="1"/>
  <c r="H275" i="24" s="1"/>
  <c r="H276" i="24" s="1"/>
  <c r="H277" i="24" s="1"/>
  <c r="H278" i="24" s="1"/>
  <c r="H279" i="24" s="1"/>
  <c r="H280" i="24" s="1"/>
  <c r="H281" i="24" s="1"/>
  <c r="H282" i="24" s="1"/>
  <c r="H283" i="24" s="1"/>
  <c r="H284" i="24" s="1"/>
  <c r="H285" i="24" s="1"/>
  <c r="H286" i="24" s="1"/>
  <c r="H287" i="24" s="1"/>
  <c r="H288" i="24" s="1"/>
  <c r="H289" i="24" s="1"/>
  <c r="H290" i="24" s="1"/>
  <c r="H291" i="24" s="1"/>
  <c r="H292" i="24" s="1"/>
  <c r="H293" i="24" s="1"/>
  <c r="H294" i="24" s="1"/>
  <c r="H295" i="24" s="1"/>
  <c r="H296" i="24" s="1"/>
  <c r="H297" i="24" s="1"/>
  <c r="H298" i="24" s="1"/>
  <c r="H299" i="24" s="1"/>
  <c r="H300" i="24" s="1"/>
  <c r="H301" i="24" s="1"/>
  <c r="H302" i="24" s="1"/>
  <c r="H303" i="24" s="1"/>
  <c r="H304" i="24" s="1"/>
  <c r="H305" i="24" s="1"/>
  <c r="H306" i="24" s="1"/>
  <c r="H307" i="24" s="1"/>
  <c r="H308" i="24" s="1"/>
  <c r="H309" i="24" s="1"/>
  <c r="H310" i="24" s="1"/>
  <c r="H311" i="24" s="1"/>
  <c r="H312" i="24" s="1"/>
  <c r="H313" i="24" s="1"/>
  <c r="H314" i="24" s="1"/>
  <c r="H315" i="24" s="1"/>
  <c r="H316" i="24" s="1"/>
  <c r="H317" i="24" s="1"/>
  <c r="H318" i="24" s="1"/>
  <c r="H319" i="24" s="1"/>
  <c r="H320" i="24" s="1"/>
  <c r="H321" i="24" s="1"/>
  <c r="H322" i="24" s="1"/>
  <c r="H323" i="24" s="1"/>
  <c r="H324" i="24" s="1"/>
  <c r="H325" i="24" s="1"/>
  <c r="H326" i="24" s="1"/>
  <c r="H327" i="24" s="1"/>
  <c r="H328" i="24" s="1"/>
  <c r="H329" i="24" s="1"/>
  <c r="H330" i="24" s="1"/>
  <c r="H331" i="24" s="1"/>
  <c r="H332" i="24" s="1"/>
  <c r="H333" i="24" s="1"/>
  <c r="H334" i="24" s="1"/>
  <c r="H335" i="24" s="1"/>
  <c r="H336" i="24" s="1"/>
  <c r="H337" i="24" s="1"/>
  <c r="H338" i="24" s="1"/>
  <c r="H339" i="24" s="1"/>
  <c r="H340" i="24" s="1"/>
  <c r="H341" i="24" s="1"/>
  <c r="H342" i="24" s="1"/>
  <c r="H343" i="24" s="1"/>
  <c r="H344" i="24" s="1"/>
  <c r="H345" i="24" s="1"/>
  <c r="H346" i="24" s="1"/>
  <c r="H347" i="24" s="1"/>
  <c r="H348" i="24" s="1"/>
  <c r="H349" i="24" s="1"/>
  <c r="H350" i="24" s="1"/>
  <c r="H351" i="24" s="1"/>
  <c r="H352" i="24" s="1"/>
  <c r="H353" i="24" s="1"/>
  <c r="H354" i="24" s="1"/>
  <c r="H355" i="24" s="1"/>
  <c r="H356" i="24" s="1"/>
  <c r="H357" i="24" s="1"/>
  <c r="H358" i="24" s="1"/>
  <c r="H359" i="24" s="1"/>
  <c r="H360" i="24" s="1"/>
  <c r="H361" i="24" s="1"/>
  <c r="H362" i="24" s="1"/>
  <c r="H363" i="24" s="1"/>
  <c r="H364" i="24" s="1"/>
  <c r="H365" i="24" s="1"/>
  <c r="H366" i="24" s="1"/>
  <c r="H367" i="24" s="1"/>
  <c r="H368" i="24" s="1"/>
  <c r="H369" i="24" s="1"/>
  <c r="H370" i="24" s="1"/>
  <c r="H371" i="24" s="1"/>
  <c r="H372" i="24" s="1"/>
  <c r="H373" i="24" s="1"/>
  <c r="H374" i="24" s="1"/>
  <c r="H375" i="24" s="1"/>
  <c r="H376" i="24" s="1"/>
  <c r="H377" i="24" s="1"/>
  <c r="H378" i="24" s="1"/>
  <c r="H379" i="24" s="1"/>
  <c r="H380" i="24" s="1"/>
  <c r="H381" i="24" s="1"/>
  <c r="H382" i="24" s="1"/>
  <c r="H383" i="24" s="1"/>
  <c r="H384" i="24" s="1"/>
  <c r="H385" i="24" s="1"/>
  <c r="H386" i="24" s="1"/>
  <c r="H387" i="24" s="1"/>
  <c r="H388" i="24" s="1"/>
  <c r="H389" i="24" s="1"/>
  <c r="H390" i="24" s="1"/>
  <c r="H391" i="24" s="1"/>
  <c r="H392" i="24" s="1"/>
  <c r="H393" i="24" s="1"/>
  <c r="H394" i="24" s="1"/>
  <c r="H395" i="24" s="1"/>
  <c r="H396" i="24" s="1"/>
  <c r="H397" i="24" s="1"/>
  <c r="H398" i="24" s="1"/>
  <c r="H399" i="24" s="1"/>
  <c r="H400" i="24" s="1"/>
  <c r="H401" i="24" s="1"/>
  <c r="H402" i="24" s="1"/>
  <c r="H403" i="24" s="1"/>
  <c r="H404" i="24" s="1"/>
  <c r="H405" i="24" s="1"/>
  <c r="H406" i="24" s="1"/>
  <c r="H407" i="24" s="1"/>
  <c r="H408" i="24" s="1"/>
  <c r="H409" i="24" s="1"/>
  <c r="H410" i="24" s="1"/>
  <c r="H411" i="24" s="1"/>
  <c r="H412" i="24" s="1"/>
  <c r="H413" i="24" s="1"/>
  <c r="H414" i="24" s="1"/>
  <c r="H415" i="24" s="1"/>
  <c r="H416" i="24" s="1"/>
  <c r="H417" i="24" s="1"/>
  <c r="H418" i="24" s="1"/>
  <c r="H419" i="24" s="1"/>
  <c r="H420" i="24" s="1"/>
  <c r="H421" i="24" s="1"/>
  <c r="H422" i="24" s="1"/>
  <c r="H423" i="24" s="1"/>
  <c r="H424" i="24" s="1"/>
  <c r="H425" i="24" s="1"/>
  <c r="H426" i="24" s="1"/>
  <c r="H427" i="24" s="1"/>
  <c r="H428" i="24" s="1"/>
  <c r="H429" i="24" s="1"/>
  <c r="H430" i="24" s="1"/>
  <c r="H431" i="24" s="1"/>
  <c r="H432" i="24" s="1"/>
  <c r="H433" i="24" s="1"/>
  <c r="H434" i="24" s="1"/>
  <c r="H435" i="24" s="1"/>
  <c r="H436" i="24" s="1"/>
  <c r="H437" i="24" s="1"/>
  <c r="H438" i="24" s="1"/>
  <c r="H439" i="24" s="1"/>
  <c r="H440" i="24" s="1"/>
  <c r="H441" i="24" s="1"/>
  <c r="H442" i="24" s="1"/>
  <c r="H443" i="24" s="1"/>
  <c r="H444" i="24" s="1"/>
  <c r="H445" i="24" s="1"/>
  <c r="H446" i="24" s="1"/>
  <c r="H447" i="24" s="1"/>
  <c r="H448" i="24" s="1"/>
  <c r="H449" i="24" s="1"/>
  <c r="H450" i="24" s="1"/>
  <c r="H451" i="24" s="1"/>
  <c r="H452" i="24" s="1"/>
  <c r="H453" i="24" s="1"/>
  <c r="H454" i="24" s="1"/>
  <c r="H455" i="24" s="1"/>
  <c r="H456" i="24" s="1"/>
  <c r="H457" i="24" s="1"/>
  <c r="H458" i="24" s="1"/>
  <c r="H459" i="24" s="1"/>
  <c r="H460" i="24" s="1"/>
  <c r="H461" i="24" s="1"/>
  <c r="H462" i="24" s="1"/>
  <c r="H463" i="24" s="1"/>
  <c r="H464" i="24" s="1"/>
  <c r="H465" i="24" s="1"/>
  <c r="H466" i="24" s="1"/>
  <c r="H467" i="24" s="1"/>
  <c r="H468" i="24" s="1"/>
  <c r="H469" i="24" s="1"/>
  <c r="H470" i="24" s="1"/>
  <c r="H471" i="24" s="1"/>
  <c r="H472" i="24" s="1"/>
  <c r="H473" i="24" s="1"/>
  <c r="H474" i="24" s="1"/>
  <c r="H475" i="24" s="1"/>
  <c r="H476" i="24" s="1"/>
  <c r="H477" i="24" s="1"/>
  <c r="H478" i="24" s="1"/>
  <c r="H479" i="24" s="1"/>
  <c r="H480" i="24" s="1"/>
  <c r="H481" i="24" s="1"/>
  <c r="H482" i="24" s="1"/>
  <c r="H483" i="24" s="1"/>
  <c r="H484" i="24" s="1"/>
  <c r="H485" i="24" s="1"/>
  <c r="H486" i="24" s="1"/>
  <c r="H487" i="24" s="1"/>
  <c r="H488" i="24" s="1"/>
  <c r="H489" i="24" s="1"/>
  <c r="H490" i="24" s="1"/>
  <c r="H491" i="24" s="1"/>
  <c r="H492" i="24" s="1"/>
  <c r="H493" i="24" s="1"/>
  <c r="H494" i="24" s="1"/>
  <c r="H495" i="24" s="1"/>
  <c r="H496" i="24" s="1"/>
  <c r="H497" i="24" s="1"/>
  <c r="H498" i="24" s="1"/>
  <c r="H499" i="24" s="1"/>
  <c r="H500" i="24" s="1"/>
  <c r="H501" i="24" s="1"/>
  <c r="H502" i="24" s="1"/>
  <c r="H503" i="24" s="1"/>
  <c r="H504" i="24" s="1"/>
  <c r="H505" i="24" s="1"/>
  <c r="H506" i="24" s="1"/>
  <c r="H507" i="24" s="1"/>
  <c r="H508" i="24" s="1"/>
  <c r="H509" i="24" s="1"/>
  <c r="H510" i="24" s="1"/>
  <c r="H511" i="24" s="1"/>
  <c r="H512" i="24" s="1"/>
  <c r="H513" i="24" s="1"/>
  <c r="H514" i="24" s="1"/>
  <c r="H515" i="24" s="1"/>
  <c r="H516" i="24" s="1"/>
  <c r="H517" i="24" s="1"/>
  <c r="H518" i="24" s="1"/>
  <c r="H519" i="24" s="1"/>
  <c r="H520" i="24" s="1"/>
  <c r="H521" i="24" s="1"/>
  <c r="H522" i="24" s="1"/>
  <c r="H523" i="24" s="1"/>
  <c r="H524" i="24" s="1"/>
  <c r="H525" i="24" s="1"/>
  <c r="H526" i="24" s="1"/>
  <c r="H527" i="24" s="1"/>
  <c r="H528" i="24" s="1"/>
  <c r="H529" i="24" s="1"/>
  <c r="H530" i="24" s="1"/>
  <c r="H531" i="24" s="1"/>
  <c r="H532" i="24" s="1"/>
  <c r="H533" i="24" s="1"/>
  <c r="H534" i="24" s="1"/>
  <c r="H535" i="24" s="1"/>
  <c r="H536" i="24" s="1"/>
  <c r="H537" i="24" s="1"/>
  <c r="H538" i="24" s="1"/>
  <c r="H539" i="24" s="1"/>
  <c r="H540" i="24" s="1"/>
  <c r="H541" i="24" s="1"/>
  <c r="H542" i="24" s="1"/>
  <c r="H543" i="24" s="1"/>
  <c r="H544" i="24" s="1"/>
  <c r="H545" i="24" s="1"/>
  <c r="H546" i="24" s="1"/>
  <c r="H547" i="24" s="1"/>
  <c r="H548" i="24" s="1"/>
  <c r="H549" i="24" s="1"/>
  <c r="H550" i="24" s="1"/>
  <c r="H551" i="24" s="1"/>
  <c r="H552" i="24" s="1"/>
  <c r="H553" i="24" s="1"/>
  <c r="H554" i="24" s="1"/>
  <c r="H555" i="24" s="1"/>
  <c r="H556" i="24" s="1"/>
  <c r="H557" i="24" s="1"/>
  <c r="H558" i="24" s="1"/>
  <c r="H559" i="24" s="1"/>
  <c r="H560" i="24" s="1"/>
  <c r="H561" i="24" s="1"/>
  <c r="H562" i="24" s="1"/>
  <c r="H563" i="24" s="1"/>
  <c r="H564" i="24" s="1"/>
  <c r="H565" i="24" s="1"/>
  <c r="H566" i="24" s="1"/>
  <c r="H567" i="24" s="1"/>
  <c r="H568" i="24" s="1"/>
  <c r="H569" i="24" s="1"/>
  <c r="H570" i="24" s="1"/>
  <c r="H571" i="24" s="1"/>
  <c r="H572" i="24" s="1"/>
  <c r="H573" i="24" s="1"/>
  <c r="H574" i="24" s="1"/>
  <c r="H575" i="24" s="1"/>
  <c r="H576" i="24" s="1"/>
  <c r="H577" i="24" s="1"/>
  <c r="H578" i="24" s="1"/>
  <c r="H579" i="24" s="1"/>
  <c r="H580" i="24" s="1"/>
  <c r="H581" i="24" s="1"/>
  <c r="H582" i="24" s="1"/>
  <c r="H583" i="24" s="1"/>
  <c r="H584" i="24" s="1"/>
  <c r="H585" i="24" s="1"/>
  <c r="H586" i="24" s="1"/>
  <c r="H587" i="24" s="1"/>
  <c r="H588" i="24" s="1"/>
  <c r="H589" i="24" s="1"/>
  <c r="H590" i="24" s="1"/>
  <c r="H591" i="24" s="1"/>
  <c r="H592" i="24" s="1"/>
  <c r="H593" i="24" s="1"/>
  <c r="H594" i="24" s="1"/>
  <c r="H595" i="24" s="1"/>
  <c r="H596" i="24" s="1"/>
  <c r="H597" i="24" s="1"/>
  <c r="H598" i="24" s="1"/>
  <c r="H599" i="24" s="1"/>
  <c r="H600" i="24" s="1"/>
  <c r="H601" i="24" s="1"/>
  <c r="H602" i="24" s="1"/>
  <c r="H603" i="24" s="1"/>
  <c r="H604" i="24" s="1"/>
  <c r="H605" i="24" s="1"/>
  <c r="H606" i="24" s="1"/>
  <c r="H607" i="24" s="1"/>
  <c r="H608" i="24" s="1"/>
  <c r="H609" i="24" s="1"/>
  <c r="H610" i="24" s="1"/>
  <c r="H611" i="24" s="1"/>
  <c r="H612" i="24" s="1"/>
  <c r="H613" i="24" s="1"/>
  <c r="H614" i="24" s="1"/>
  <c r="H615" i="24" s="1"/>
  <c r="H616" i="24" s="1"/>
  <c r="H617" i="24" s="1"/>
  <c r="H618" i="24" s="1"/>
  <c r="H619" i="24" s="1"/>
  <c r="H620" i="24" s="1"/>
  <c r="H621" i="24" s="1"/>
  <c r="H622" i="24" s="1"/>
  <c r="H623" i="24" s="1"/>
  <c r="H624" i="24" s="1"/>
  <c r="H625" i="24" s="1"/>
  <c r="H626" i="24" s="1"/>
  <c r="H627" i="24" s="1"/>
  <c r="H628" i="24" s="1"/>
  <c r="H629" i="24" s="1"/>
  <c r="H630" i="24" s="1"/>
  <c r="H631" i="24" s="1"/>
  <c r="H632" i="24" s="1"/>
  <c r="H633" i="24" s="1"/>
  <c r="H634" i="24" s="1"/>
  <c r="H635" i="24" s="1"/>
  <c r="H636" i="24" s="1"/>
  <c r="H637" i="24" s="1"/>
  <c r="H638" i="24" s="1"/>
  <c r="H639" i="24" s="1"/>
  <c r="H640" i="24" s="1"/>
  <c r="H641" i="24" s="1"/>
  <c r="H642" i="24" s="1"/>
  <c r="H643" i="24" s="1"/>
  <c r="H644" i="24" s="1"/>
  <c r="H645" i="24" s="1"/>
  <c r="H646" i="24" s="1"/>
  <c r="H647" i="24" s="1"/>
  <c r="H648" i="24" s="1"/>
  <c r="H649" i="24" s="1"/>
  <c r="H650" i="24" s="1"/>
  <c r="H651" i="24" s="1"/>
  <c r="H652" i="24" s="1"/>
  <c r="H653" i="24" s="1"/>
  <c r="H654" i="24" s="1"/>
  <c r="H655" i="24" s="1"/>
  <c r="H656" i="24" s="1"/>
  <c r="H657" i="24" s="1"/>
  <c r="H658" i="24" s="1"/>
  <c r="H659" i="24" s="1"/>
  <c r="H660" i="24" s="1"/>
  <c r="H661" i="24" s="1"/>
  <c r="H662" i="24" s="1"/>
  <c r="H663" i="24" s="1"/>
  <c r="H664" i="24" s="1"/>
  <c r="H665" i="24" s="1"/>
  <c r="H666" i="24" s="1"/>
  <c r="H667" i="24" s="1"/>
  <c r="H668" i="24" s="1"/>
  <c r="H669" i="24" s="1"/>
  <c r="H670" i="24" s="1"/>
  <c r="H671" i="24" s="1"/>
  <c r="H672" i="24" s="1"/>
  <c r="H673" i="24" s="1"/>
  <c r="H674" i="24" s="1"/>
  <c r="H675" i="24" s="1"/>
  <c r="H676" i="24" s="1"/>
  <c r="H677" i="24" s="1"/>
  <c r="H678" i="24" s="1"/>
  <c r="H679" i="24" s="1"/>
  <c r="H680" i="24" s="1"/>
  <c r="H681" i="24" s="1"/>
  <c r="H682" i="24" s="1"/>
  <c r="H683" i="24" s="1"/>
  <c r="H684" i="24" s="1"/>
  <c r="H685" i="24" s="1"/>
  <c r="H686" i="24" s="1"/>
  <c r="H687" i="24" s="1"/>
  <c r="H688" i="24" s="1"/>
  <c r="H689" i="24" s="1"/>
  <c r="H690" i="24" s="1"/>
  <c r="H691" i="24" s="1"/>
  <c r="H692" i="24" s="1"/>
  <c r="H693" i="24" s="1"/>
  <c r="H694" i="24" s="1"/>
  <c r="H695" i="24" s="1"/>
  <c r="H696" i="24" s="1"/>
  <c r="H697" i="24" s="1"/>
  <c r="H698" i="24" s="1"/>
  <c r="H699" i="24" s="1"/>
  <c r="H700" i="24" s="1"/>
  <c r="H701" i="24" s="1"/>
  <c r="H702" i="24" s="1"/>
  <c r="H703" i="24" s="1"/>
  <c r="H704" i="24" s="1"/>
  <c r="H705" i="24" s="1"/>
  <c r="H706" i="24" s="1"/>
  <c r="H707" i="24" s="1"/>
  <c r="H708" i="24" s="1"/>
  <c r="H709" i="24" s="1"/>
  <c r="H710" i="24" s="1"/>
  <c r="H711" i="24" s="1"/>
  <c r="H712" i="24" s="1"/>
  <c r="H713" i="24" s="1"/>
  <c r="H714" i="24" s="1"/>
  <c r="H715" i="24" s="1"/>
  <c r="H716" i="24" s="1"/>
  <c r="H717" i="24" s="1"/>
  <c r="H718" i="24" s="1"/>
  <c r="H719" i="24" s="1"/>
  <c r="H720" i="24" s="1"/>
  <c r="H721" i="24" s="1"/>
  <c r="H722" i="24" s="1"/>
  <c r="H723" i="24" s="1"/>
  <c r="H724" i="24" s="1"/>
  <c r="H725" i="24" s="1"/>
  <c r="H726" i="24" s="1"/>
  <c r="H727" i="24" s="1"/>
  <c r="H728" i="24" s="1"/>
  <c r="H729" i="24" s="1"/>
  <c r="H730" i="24" s="1"/>
  <c r="H731" i="24" s="1"/>
  <c r="H732" i="24" s="1"/>
  <c r="H733" i="24" s="1"/>
  <c r="H734" i="24" s="1"/>
  <c r="H735" i="24" s="1"/>
  <c r="H736" i="24" s="1"/>
  <c r="H737" i="24" s="1"/>
  <c r="H738" i="24" s="1"/>
  <c r="H739" i="24" s="1"/>
  <c r="H740" i="24" s="1"/>
  <c r="H741" i="24" s="1"/>
  <c r="H742" i="24" s="1"/>
  <c r="H743" i="24" s="1"/>
  <c r="H744" i="24" s="1"/>
  <c r="H745" i="24" s="1"/>
  <c r="H746" i="24" s="1"/>
  <c r="H747" i="24" s="1"/>
  <c r="H748" i="24" s="1"/>
  <c r="H749" i="24" s="1"/>
  <c r="H750" i="24" s="1"/>
  <c r="H751" i="24" s="1"/>
  <c r="H752" i="24" s="1"/>
  <c r="H753" i="24" s="1"/>
  <c r="H754" i="24" s="1"/>
  <c r="H755" i="24" s="1"/>
  <c r="H756" i="24" s="1"/>
  <c r="H757" i="24" s="1"/>
  <c r="H758" i="24" s="1"/>
  <c r="H759" i="24" s="1"/>
  <c r="H760" i="24" s="1"/>
  <c r="H761" i="24" s="1"/>
  <c r="H762" i="24" s="1"/>
  <c r="H763" i="24" s="1"/>
  <c r="H764" i="24" s="1"/>
  <c r="H765" i="24" s="1"/>
  <c r="H766" i="24" s="1"/>
  <c r="H767" i="24" s="1"/>
  <c r="H768" i="24" s="1"/>
  <c r="H769" i="24" s="1"/>
  <c r="H770" i="24" s="1"/>
  <c r="H771" i="24" s="1"/>
  <c r="H772" i="24" s="1"/>
  <c r="H773" i="24" s="1"/>
  <c r="H774" i="24" s="1"/>
  <c r="H775" i="24" s="1"/>
  <c r="H776" i="24" s="1"/>
  <c r="H777" i="24" s="1"/>
  <c r="H778" i="24" s="1"/>
  <c r="H779" i="24" s="1"/>
  <c r="H780" i="24" s="1"/>
  <c r="H781" i="24" s="1"/>
  <c r="H782" i="24" s="1"/>
  <c r="H783" i="24" s="1"/>
  <c r="H784" i="24" s="1"/>
  <c r="G88" i="24"/>
  <c r="G89" i="24" s="1"/>
  <c r="H10" i="24"/>
  <c r="H11" i="24" s="1"/>
  <c r="H12" i="24" s="1"/>
  <c r="H13" i="24" s="1"/>
  <c r="H14" i="24" s="1"/>
  <c r="H15" i="24" s="1"/>
  <c r="H16" i="24" s="1"/>
  <c r="H17" i="24" s="1"/>
  <c r="H18" i="24" s="1"/>
  <c r="H19" i="24" s="1"/>
  <c r="H20" i="24" s="1"/>
  <c r="H21" i="24" s="1"/>
  <c r="H22" i="24" s="1"/>
  <c r="H23" i="24" s="1"/>
  <c r="H24" i="24" s="1"/>
  <c r="H25" i="24" s="1"/>
  <c r="H26" i="24" s="1"/>
  <c r="H27" i="24" s="1"/>
  <c r="H28" i="24" s="1"/>
  <c r="H29" i="24" s="1"/>
  <c r="H30" i="24" s="1"/>
  <c r="H31" i="24" s="1"/>
  <c r="H32" i="24" s="1"/>
  <c r="H33" i="24" s="1"/>
  <c r="H34" i="24" s="1"/>
  <c r="H35" i="24" s="1"/>
  <c r="H36" i="24" s="1"/>
  <c r="H37" i="24" s="1"/>
  <c r="H38" i="24" s="1"/>
  <c r="H39" i="24" s="1"/>
  <c r="H40" i="24" s="1"/>
  <c r="H41" i="24" s="1"/>
  <c r="H42" i="24" s="1"/>
  <c r="H43" i="24" s="1"/>
  <c r="H44" i="24" s="1"/>
  <c r="H45" i="24" s="1"/>
  <c r="H46" i="24" s="1"/>
  <c r="H47" i="24" s="1"/>
  <c r="H48" i="24" s="1"/>
  <c r="H49" i="24" s="1"/>
  <c r="H50" i="24" s="1"/>
  <c r="H51" i="24" s="1"/>
  <c r="H52" i="24" s="1"/>
  <c r="H53" i="24" s="1"/>
  <c r="H54" i="24" s="1"/>
  <c r="H55" i="24" s="1"/>
  <c r="H56" i="24" s="1"/>
  <c r="H57" i="24" s="1"/>
  <c r="H58" i="24" s="1"/>
  <c r="H59" i="24" s="1"/>
  <c r="H60" i="24" s="1"/>
  <c r="H61" i="24" s="1"/>
  <c r="H62" i="24" s="1"/>
  <c r="H63" i="24" s="1"/>
  <c r="H64" i="24" s="1"/>
  <c r="H65" i="24" s="1"/>
  <c r="H66" i="24" s="1"/>
  <c r="H67" i="24" s="1"/>
  <c r="H68" i="24" s="1"/>
  <c r="H69" i="24" s="1"/>
  <c r="H70" i="24" s="1"/>
  <c r="H71" i="24" s="1"/>
  <c r="H72" i="24" s="1"/>
  <c r="H73" i="24" s="1"/>
  <c r="H74" i="24" s="1"/>
  <c r="H75" i="24" s="1"/>
  <c r="H76" i="24" s="1"/>
  <c r="H77" i="24" s="1"/>
  <c r="H78" i="24" s="1"/>
  <c r="H79" i="24" s="1"/>
  <c r="H80" i="24" s="1"/>
  <c r="H81" i="24" s="1"/>
  <c r="H82" i="24" s="1"/>
  <c r="H83" i="24" s="1"/>
  <c r="H84" i="24" s="1"/>
  <c r="H85" i="24" s="1"/>
  <c r="H86" i="24" s="1"/>
  <c r="H87" i="24" s="1"/>
  <c r="H88" i="24" s="1"/>
  <c r="H89" i="24" s="1"/>
  <c r="E9" i="22"/>
  <c r="G11" i="22"/>
  <c r="G10" i="22"/>
  <c r="G13" i="22" s="1"/>
  <c r="H1263" i="24" l="1"/>
  <c r="G2358" i="24"/>
  <c r="G2359" i="24" s="1"/>
  <c r="H2358" i="24"/>
  <c r="O35" i="7"/>
  <c r="X34" i="7"/>
  <c r="Y34" i="7"/>
  <c r="O11" i="7"/>
  <c r="O12" i="7"/>
  <c r="C37" i="12"/>
  <c r="H2359" i="24" l="1"/>
  <c r="T169" i="7"/>
  <c r="T12" i="7" s="1"/>
  <c r="Z169" i="7" l="1"/>
  <c r="K12" i="12"/>
  <c r="V264" i="7"/>
  <c r="Z264" i="7" s="1"/>
  <c r="Z265" i="7"/>
  <c r="C267" i="7"/>
  <c r="C268" i="7"/>
  <c r="U269" i="7"/>
  <c r="U16" i="7" s="1"/>
  <c r="T271" i="7"/>
  <c r="C266" i="7"/>
  <c r="T283" i="7" l="1"/>
  <c r="K44" i="12"/>
  <c r="K46" i="12" s="1"/>
  <c r="T238" i="7"/>
  <c r="G235" i="7"/>
  <c r="G236" i="7"/>
  <c r="H235" i="7"/>
  <c r="H236" i="7"/>
  <c r="T243" i="7"/>
  <c r="R39" i="22"/>
  <c r="Z168" i="7"/>
  <c r="Z200" i="7"/>
  <c r="T23" i="16"/>
  <c r="R40" i="22" l="1"/>
  <c r="R38" i="22"/>
  <c r="T19" i="16"/>
  <c r="Z72" i="7" l="1"/>
  <c r="Z105" i="7"/>
  <c r="Z73" i="7"/>
  <c r="Z42" i="7"/>
  <c r="Z136" i="7" l="1"/>
  <c r="E25" i="27"/>
  <c r="E27" i="27" s="1"/>
  <c r="H27" i="27" s="1"/>
  <c r="E71" i="12"/>
  <c r="E70" i="12"/>
  <c r="E31" i="27" l="1"/>
  <c r="E74" i="12"/>
  <c r="E32" i="12" l="1"/>
  <c r="E11" i="12"/>
  <c r="K57" i="12"/>
  <c r="M44" i="12"/>
  <c r="M46" i="12" s="1"/>
  <c r="C57" i="12"/>
  <c r="D29" i="12"/>
  <c r="D16" i="12"/>
  <c r="H44" i="12"/>
  <c r="H46" i="12" s="1"/>
  <c r="J44" i="12"/>
  <c r="J46" i="12" s="1"/>
  <c r="L44" i="12"/>
  <c r="L46" i="12" s="1"/>
  <c r="N44" i="12"/>
  <c r="C44" i="12"/>
  <c r="C46" i="12" s="1"/>
  <c r="G37" i="14"/>
  <c r="F37" i="14"/>
  <c r="I10" i="14"/>
  <c r="I37" i="14" s="1"/>
  <c r="C59" i="12" l="1"/>
  <c r="F57" i="12"/>
  <c r="I57" i="12"/>
  <c r="J57" i="12"/>
  <c r="J59" i="12" s="1"/>
  <c r="H57" i="12"/>
  <c r="H59" i="12" s="1"/>
  <c r="E9" i="27"/>
  <c r="D9" i="27" s="1"/>
  <c r="D11" i="27" s="1"/>
  <c r="H25" i="27"/>
  <c r="M57" i="12"/>
  <c r="M59" i="12" s="1"/>
  <c r="L57" i="12"/>
  <c r="L59" i="12" s="1"/>
  <c r="D57" i="12"/>
  <c r="O11" i="27" l="1"/>
  <c r="E11" i="27"/>
  <c r="P331" i="7"/>
  <c r="Q331" i="7"/>
  <c r="R331" i="7"/>
  <c r="P332" i="7"/>
  <c r="Q332" i="7"/>
  <c r="R332" i="7"/>
  <c r="Q330" i="7"/>
  <c r="R330" i="7"/>
  <c r="P330" i="7"/>
  <c r="P298" i="7"/>
  <c r="Q298" i="7"/>
  <c r="P299" i="7"/>
  <c r="Q299" i="7"/>
  <c r="P300" i="7"/>
  <c r="Q300" i="7"/>
  <c r="R299" i="7"/>
  <c r="R300" i="7"/>
  <c r="R298" i="7"/>
  <c r="N263" i="7"/>
  <c r="O263" i="7"/>
  <c r="P170" i="7"/>
  <c r="Q170" i="7"/>
  <c r="P171" i="7"/>
  <c r="Q171" i="7"/>
  <c r="P172" i="7"/>
  <c r="Q172" i="7"/>
  <c r="R171" i="7"/>
  <c r="R172" i="7"/>
  <c r="R170" i="7"/>
  <c r="R138" i="7"/>
  <c r="C170" i="7"/>
  <c r="E170" i="7"/>
  <c r="G170" i="7"/>
  <c r="L170" i="7"/>
  <c r="M170" i="7"/>
  <c r="N170" i="7"/>
  <c r="O170" i="7"/>
  <c r="C171" i="7"/>
  <c r="E171" i="7"/>
  <c r="G171" i="7"/>
  <c r="H171" i="7"/>
  <c r="L171" i="7"/>
  <c r="M171" i="7"/>
  <c r="N171" i="7"/>
  <c r="O171" i="7"/>
  <c r="C172" i="7"/>
  <c r="E172" i="7"/>
  <c r="G172" i="7"/>
  <c r="H172" i="7"/>
  <c r="L172" i="7"/>
  <c r="M172" i="7"/>
  <c r="N172" i="7"/>
  <c r="O172" i="7"/>
  <c r="N173" i="7"/>
  <c r="O173" i="7"/>
  <c r="N174" i="7"/>
  <c r="O174" i="7"/>
  <c r="N175" i="7"/>
  <c r="O175" i="7"/>
  <c r="N176" i="7"/>
  <c r="O176" i="7"/>
  <c r="N177" i="7"/>
  <c r="O177" i="7"/>
  <c r="N178" i="7"/>
  <c r="O178" i="7"/>
  <c r="T179" i="7"/>
  <c r="N179" i="7"/>
  <c r="O179" i="7"/>
  <c r="T180" i="7"/>
  <c r="N180" i="7"/>
  <c r="O180" i="7"/>
  <c r="O181" i="7"/>
  <c r="W185" i="7"/>
  <c r="N185" i="7"/>
  <c r="O185" i="7"/>
  <c r="N186" i="7"/>
  <c r="O186" i="7"/>
  <c r="N187" i="7"/>
  <c r="O187" i="7"/>
  <c r="N188" i="7"/>
  <c r="O188" i="7"/>
  <c r="N189" i="7"/>
  <c r="O189" i="7"/>
  <c r="N190" i="7"/>
  <c r="O190" i="7"/>
  <c r="L202" i="7"/>
  <c r="M202" i="7"/>
  <c r="L203" i="7"/>
  <c r="M203" i="7"/>
  <c r="L204" i="7"/>
  <c r="M204" i="7"/>
  <c r="C202" i="7"/>
  <c r="E202" i="7"/>
  <c r="G202" i="7"/>
  <c r="H202" i="7"/>
  <c r="C203" i="7"/>
  <c r="E203" i="7"/>
  <c r="G203" i="7"/>
  <c r="H203" i="7"/>
  <c r="C204" i="7"/>
  <c r="E204" i="7"/>
  <c r="G204" i="7"/>
  <c r="H204" i="7"/>
  <c r="T206" i="7"/>
  <c r="W220" i="7"/>
  <c r="C107" i="7"/>
  <c r="C108" i="7"/>
  <c r="C106" i="7"/>
  <c r="P394" i="7"/>
  <c r="N416" i="7"/>
  <c r="O416" i="7"/>
  <c r="Q394" i="7"/>
  <c r="R394" i="7"/>
  <c r="Q395" i="7"/>
  <c r="R395" i="7"/>
  <c r="Q396" i="7"/>
  <c r="R396" i="7"/>
  <c r="P395" i="7"/>
  <c r="Z12" i="7" s="1"/>
  <c r="P396" i="7"/>
  <c r="C394" i="7"/>
  <c r="E394" i="7"/>
  <c r="G394" i="7"/>
  <c r="H394" i="7"/>
  <c r="L394" i="7"/>
  <c r="M394" i="7"/>
  <c r="N394" i="7"/>
  <c r="O394" i="7"/>
  <c r="C395" i="7"/>
  <c r="E395" i="7"/>
  <c r="G395" i="7"/>
  <c r="H395" i="7"/>
  <c r="L395" i="7"/>
  <c r="M395" i="7"/>
  <c r="N395" i="7"/>
  <c r="O395" i="7"/>
  <c r="C396" i="7"/>
  <c r="E396" i="7"/>
  <c r="G396" i="7"/>
  <c r="H396" i="7"/>
  <c r="L396" i="7"/>
  <c r="M396" i="7"/>
  <c r="N396" i="7"/>
  <c r="O396" i="7"/>
  <c r="N397" i="7"/>
  <c r="O397" i="7"/>
  <c r="N398" i="7"/>
  <c r="O398" i="7"/>
  <c r="N399" i="7"/>
  <c r="O399" i="7"/>
  <c r="N400" i="7"/>
  <c r="O400" i="7"/>
  <c r="N401" i="7"/>
  <c r="O401" i="7"/>
  <c r="N402" i="7"/>
  <c r="O402" i="7"/>
  <c r="N403" i="7"/>
  <c r="O403" i="7"/>
  <c r="N404" i="7"/>
  <c r="O404" i="7"/>
  <c r="N405" i="7"/>
  <c r="O405" i="7"/>
  <c r="N409" i="7"/>
  <c r="O409" i="7"/>
  <c r="N410" i="7"/>
  <c r="O410" i="7"/>
  <c r="N411" i="7"/>
  <c r="O411" i="7"/>
  <c r="N412" i="7"/>
  <c r="O412" i="7"/>
  <c r="N413" i="7"/>
  <c r="O413" i="7"/>
  <c r="N414" i="7"/>
  <c r="O414" i="7"/>
  <c r="P363" i="7"/>
  <c r="Q363" i="7"/>
  <c r="R363" i="7"/>
  <c r="P364" i="7"/>
  <c r="Q364" i="7"/>
  <c r="R364" i="7"/>
  <c r="W370" i="7"/>
  <c r="Q362" i="7"/>
  <c r="R362" i="7"/>
  <c r="P362" i="7"/>
  <c r="C362" i="7"/>
  <c r="E362" i="7"/>
  <c r="G362" i="7"/>
  <c r="L362" i="7"/>
  <c r="M362" i="7"/>
  <c r="N362" i="7"/>
  <c r="O362" i="7"/>
  <c r="C363" i="7"/>
  <c r="E363" i="7"/>
  <c r="G363" i="7"/>
  <c r="L363" i="7"/>
  <c r="M363" i="7"/>
  <c r="N363" i="7"/>
  <c r="O363" i="7"/>
  <c r="C364" i="7"/>
  <c r="E364" i="7"/>
  <c r="G364" i="7"/>
  <c r="L364" i="7"/>
  <c r="M364" i="7"/>
  <c r="N364" i="7"/>
  <c r="O364" i="7"/>
  <c r="N365" i="7"/>
  <c r="O365" i="7"/>
  <c r="N366" i="7"/>
  <c r="O366" i="7"/>
  <c r="N367" i="7"/>
  <c r="O367" i="7"/>
  <c r="N368" i="7"/>
  <c r="O368" i="7"/>
  <c r="N369" i="7"/>
  <c r="O369" i="7"/>
  <c r="N370" i="7"/>
  <c r="O370" i="7"/>
  <c r="N371" i="7"/>
  <c r="O371" i="7"/>
  <c r="N372" i="7"/>
  <c r="O372" i="7"/>
  <c r="O373" i="7"/>
  <c r="N377" i="7"/>
  <c r="O377" i="7"/>
  <c r="N378" i="7"/>
  <c r="O378" i="7"/>
  <c r="N379" i="7"/>
  <c r="O379" i="7"/>
  <c r="N380" i="7"/>
  <c r="O380" i="7"/>
  <c r="N381" i="7"/>
  <c r="O381" i="7"/>
  <c r="W382" i="7"/>
  <c r="N382" i="7"/>
  <c r="O382" i="7"/>
  <c r="N384" i="7"/>
  <c r="O384" i="7"/>
  <c r="N359" i="7"/>
  <c r="O359" i="7"/>
  <c r="H330" i="7"/>
  <c r="C330" i="7"/>
  <c r="E330" i="7"/>
  <c r="G330" i="7"/>
  <c r="L330" i="7"/>
  <c r="M330" i="7"/>
  <c r="N330" i="7"/>
  <c r="O330" i="7"/>
  <c r="C331" i="7"/>
  <c r="E331" i="7"/>
  <c r="G331" i="7"/>
  <c r="H331" i="7"/>
  <c r="L331" i="7"/>
  <c r="M331" i="7"/>
  <c r="N331" i="7"/>
  <c r="O331" i="7"/>
  <c r="C332" i="7"/>
  <c r="E332" i="7"/>
  <c r="G332" i="7"/>
  <c r="H332" i="7"/>
  <c r="L332" i="7"/>
  <c r="M332" i="7"/>
  <c r="N332" i="7"/>
  <c r="O332" i="7"/>
  <c r="N333" i="7"/>
  <c r="O333" i="7"/>
  <c r="N334" i="7"/>
  <c r="O334" i="7"/>
  <c r="N335" i="7"/>
  <c r="O335" i="7"/>
  <c r="N336" i="7"/>
  <c r="O336" i="7"/>
  <c r="N337" i="7"/>
  <c r="O337" i="7"/>
  <c r="N338" i="7"/>
  <c r="O338" i="7"/>
  <c r="N339" i="7"/>
  <c r="O339" i="7"/>
  <c r="N340" i="7"/>
  <c r="O340" i="7"/>
  <c r="O341" i="7"/>
  <c r="N345" i="7"/>
  <c r="O345" i="7"/>
  <c r="N346" i="7"/>
  <c r="O346" i="7"/>
  <c r="N347" i="7"/>
  <c r="O347" i="7"/>
  <c r="N348" i="7"/>
  <c r="O348" i="7"/>
  <c r="N349" i="7"/>
  <c r="O349" i="7"/>
  <c r="N350" i="7"/>
  <c r="O350" i="7"/>
  <c r="N327" i="7"/>
  <c r="O327" i="7"/>
  <c r="C298" i="7"/>
  <c r="E298" i="7"/>
  <c r="G298" i="7"/>
  <c r="H298" i="7"/>
  <c r="L298" i="7"/>
  <c r="M298" i="7"/>
  <c r="N298" i="7"/>
  <c r="O298" i="7"/>
  <c r="C299" i="7"/>
  <c r="E299" i="7"/>
  <c r="G299" i="7"/>
  <c r="H299" i="7"/>
  <c r="L299" i="7"/>
  <c r="M299" i="7"/>
  <c r="N299" i="7"/>
  <c r="O299" i="7"/>
  <c r="C300" i="7"/>
  <c r="E300" i="7"/>
  <c r="G300" i="7"/>
  <c r="H300" i="7"/>
  <c r="L300" i="7"/>
  <c r="M300" i="7"/>
  <c r="N300" i="7"/>
  <c r="O300" i="7"/>
  <c r="N301" i="7"/>
  <c r="O301" i="7"/>
  <c r="N302" i="7"/>
  <c r="O302" i="7"/>
  <c r="N303" i="7"/>
  <c r="O303" i="7"/>
  <c r="N304" i="7"/>
  <c r="O304" i="7"/>
  <c r="N305" i="7"/>
  <c r="O305" i="7"/>
  <c r="N306" i="7"/>
  <c r="O306" i="7"/>
  <c r="N307" i="7"/>
  <c r="O307" i="7"/>
  <c r="T308" i="7"/>
  <c r="N308" i="7"/>
  <c r="O308" i="7"/>
  <c r="O309" i="7"/>
  <c r="N313" i="7"/>
  <c r="O313" i="7"/>
  <c r="N314" i="7"/>
  <c r="O314" i="7"/>
  <c r="N315" i="7"/>
  <c r="O315" i="7"/>
  <c r="N316" i="7"/>
  <c r="O316" i="7"/>
  <c r="N317" i="7"/>
  <c r="O317" i="7"/>
  <c r="V318" i="7"/>
  <c r="N318" i="7"/>
  <c r="O318" i="7"/>
  <c r="Q266" i="7"/>
  <c r="R266" i="7"/>
  <c r="Q267" i="7"/>
  <c r="R267" i="7"/>
  <c r="Q268" i="7"/>
  <c r="R268" i="7"/>
  <c r="P267" i="7"/>
  <c r="P268" i="7"/>
  <c r="P266" i="7"/>
  <c r="N288" i="7"/>
  <c r="O288" i="7"/>
  <c r="E266" i="7"/>
  <c r="G266" i="7"/>
  <c r="H266" i="7"/>
  <c r="L266" i="7"/>
  <c r="M266" i="7"/>
  <c r="N266" i="7"/>
  <c r="O266" i="7"/>
  <c r="E267" i="7"/>
  <c r="G267" i="7"/>
  <c r="H267" i="7"/>
  <c r="L267" i="7"/>
  <c r="M267" i="7"/>
  <c r="N267" i="7"/>
  <c r="O267" i="7"/>
  <c r="E268" i="7"/>
  <c r="G268" i="7"/>
  <c r="H268" i="7"/>
  <c r="L268" i="7"/>
  <c r="M268" i="7"/>
  <c r="N268" i="7"/>
  <c r="O268" i="7"/>
  <c r="N269" i="7"/>
  <c r="O269" i="7"/>
  <c r="T270" i="7"/>
  <c r="N270" i="7"/>
  <c r="O270" i="7"/>
  <c r="N271" i="7"/>
  <c r="O271" i="7"/>
  <c r="N272" i="7"/>
  <c r="O272" i="7"/>
  <c r="N273" i="7"/>
  <c r="O273" i="7"/>
  <c r="N274" i="7"/>
  <c r="O274" i="7"/>
  <c r="T275" i="7"/>
  <c r="N275" i="7"/>
  <c r="O275" i="7"/>
  <c r="T276" i="7"/>
  <c r="N276" i="7"/>
  <c r="O276" i="7"/>
  <c r="O277" i="7"/>
  <c r="N281" i="7"/>
  <c r="O281" i="7"/>
  <c r="N282" i="7"/>
  <c r="O282" i="7"/>
  <c r="N283" i="7"/>
  <c r="O283" i="7"/>
  <c r="N284" i="7"/>
  <c r="O284" i="7"/>
  <c r="N285" i="7"/>
  <c r="O285" i="7"/>
  <c r="N286" i="7"/>
  <c r="O286" i="7"/>
  <c r="Q234" i="7"/>
  <c r="R234" i="7"/>
  <c r="Q235" i="7"/>
  <c r="R235" i="7"/>
  <c r="Q236" i="7"/>
  <c r="R236" i="7"/>
  <c r="P235" i="7"/>
  <c r="P236" i="7"/>
  <c r="P234" i="7"/>
  <c r="T234" i="7" s="1"/>
  <c r="C234" i="7"/>
  <c r="E234" i="7"/>
  <c r="G234" i="7"/>
  <c r="H234" i="7"/>
  <c r="L234" i="7"/>
  <c r="M234" i="7"/>
  <c r="N234" i="7"/>
  <c r="O234" i="7"/>
  <c r="C235" i="7"/>
  <c r="E235" i="7"/>
  <c r="L235" i="7"/>
  <c r="M235" i="7"/>
  <c r="N235" i="7"/>
  <c r="O235" i="7"/>
  <c r="C236" i="7"/>
  <c r="E236" i="7"/>
  <c r="L236" i="7"/>
  <c r="M236" i="7"/>
  <c r="N236" i="7"/>
  <c r="O236" i="7"/>
  <c r="N237" i="7"/>
  <c r="O237" i="7"/>
  <c r="N238" i="7"/>
  <c r="O238" i="7"/>
  <c r="N239" i="7"/>
  <c r="O239" i="7"/>
  <c r="N240" i="7"/>
  <c r="O240" i="7"/>
  <c r="I44" i="12"/>
  <c r="I46" i="12" s="1"/>
  <c r="I59" i="12" s="1"/>
  <c r="N241" i="7"/>
  <c r="O241" i="7"/>
  <c r="N242" i="7"/>
  <c r="O242" i="7"/>
  <c r="N243" i="7"/>
  <c r="O243" i="7"/>
  <c r="N244" i="7"/>
  <c r="O244" i="7"/>
  <c r="O245" i="7"/>
  <c r="N249" i="7"/>
  <c r="O249" i="7"/>
  <c r="N250" i="7"/>
  <c r="O250" i="7"/>
  <c r="N251" i="7"/>
  <c r="O251" i="7"/>
  <c r="O252" i="7"/>
  <c r="N253" i="7"/>
  <c r="O253" i="7"/>
  <c r="N254" i="7"/>
  <c r="O254" i="7"/>
  <c r="N231" i="7"/>
  <c r="O231" i="7"/>
  <c r="N199" i="7"/>
  <c r="O199" i="7"/>
  <c r="N224" i="7"/>
  <c r="O224" i="7"/>
  <c r="O160" i="7"/>
  <c r="P139" i="7"/>
  <c r="Q139" i="7"/>
  <c r="R139" i="7"/>
  <c r="P140" i="7"/>
  <c r="Q140" i="7"/>
  <c r="R140" i="7"/>
  <c r="Q138" i="7"/>
  <c r="P138" i="7"/>
  <c r="C138" i="7"/>
  <c r="E138" i="7"/>
  <c r="G138" i="7"/>
  <c r="H138" i="7"/>
  <c r="L138" i="7"/>
  <c r="M138" i="7"/>
  <c r="C139" i="7"/>
  <c r="E139" i="7"/>
  <c r="G139" i="7"/>
  <c r="H139" i="7"/>
  <c r="L139" i="7"/>
  <c r="M139" i="7"/>
  <c r="C140" i="7"/>
  <c r="E140" i="7"/>
  <c r="G140" i="7"/>
  <c r="H140" i="7"/>
  <c r="L140" i="7"/>
  <c r="M140" i="7"/>
  <c r="T147" i="7"/>
  <c r="H28" i="7"/>
  <c r="O135" i="7"/>
  <c r="V417" i="7"/>
  <c r="V385" i="7"/>
  <c r="V353" i="7"/>
  <c r="O352" i="7"/>
  <c r="N352" i="7"/>
  <c r="V321" i="7"/>
  <c r="O320" i="7"/>
  <c r="N320" i="7"/>
  <c r="V289" i="7"/>
  <c r="O256" i="7"/>
  <c r="N256" i="7"/>
  <c r="O222" i="7"/>
  <c r="N222" i="7"/>
  <c r="O221" i="7"/>
  <c r="N221" i="7"/>
  <c r="O220" i="7"/>
  <c r="N220" i="7"/>
  <c r="O219" i="7"/>
  <c r="N219" i="7"/>
  <c r="O218" i="7"/>
  <c r="N218" i="7"/>
  <c r="O217" i="7"/>
  <c r="N217" i="7"/>
  <c r="O213" i="7"/>
  <c r="O212" i="7"/>
  <c r="N212" i="7"/>
  <c r="O211" i="7"/>
  <c r="N211" i="7"/>
  <c r="O210" i="7"/>
  <c r="N210" i="7"/>
  <c r="O209" i="7"/>
  <c r="N209" i="7"/>
  <c r="O208" i="7"/>
  <c r="N208" i="7"/>
  <c r="O207" i="7"/>
  <c r="N207" i="7"/>
  <c r="O206" i="7"/>
  <c r="N206" i="7"/>
  <c r="O205" i="7"/>
  <c r="N205" i="7"/>
  <c r="O204" i="7"/>
  <c r="N204" i="7"/>
  <c r="O203" i="7"/>
  <c r="N203" i="7"/>
  <c r="O202" i="7"/>
  <c r="N202" i="7"/>
  <c r="O192" i="7"/>
  <c r="N192" i="7"/>
  <c r="O158" i="7"/>
  <c r="N158" i="7"/>
  <c r="O157" i="7"/>
  <c r="N157" i="7"/>
  <c r="O156" i="7"/>
  <c r="O155" i="7"/>
  <c r="N155" i="7"/>
  <c r="O154" i="7"/>
  <c r="N154" i="7"/>
  <c r="O153" i="7"/>
  <c r="N153" i="7"/>
  <c r="O149" i="7"/>
  <c r="O148" i="7"/>
  <c r="N148" i="7"/>
  <c r="O147" i="7"/>
  <c r="N147" i="7"/>
  <c r="O146" i="7"/>
  <c r="N146" i="7"/>
  <c r="O145" i="7"/>
  <c r="N145" i="7"/>
  <c r="O144" i="7"/>
  <c r="N144" i="7"/>
  <c r="O143" i="7"/>
  <c r="N143" i="7"/>
  <c r="O142" i="7"/>
  <c r="N142" i="7"/>
  <c r="O141" i="7"/>
  <c r="N141" i="7"/>
  <c r="O140" i="7"/>
  <c r="N140" i="7"/>
  <c r="O139" i="7"/>
  <c r="N139" i="7"/>
  <c r="O138" i="7"/>
  <c r="N138" i="7"/>
  <c r="R106" i="7"/>
  <c r="R107" i="7"/>
  <c r="Q106" i="7"/>
  <c r="Q107" i="7"/>
  <c r="P107" i="7"/>
  <c r="P106" i="7"/>
  <c r="N128" i="7"/>
  <c r="O128" i="7"/>
  <c r="L106" i="7"/>
  <c r="M106" i="7"/>
  <c r="N106" i="7"/>
  <c r="O106" i="7"/>
  <c r="L107" i="7"/>
  <c r="M107" i="7"/>
  <c r="N107" i="7"/>
  <c r="O107" i="7"/>
  <c r="N109" i="7"/>
  <c r="O109" i="7"/>
  <c r="N110" i="7"/>
  <c r="O110" i="7"/>
  <c r="N111" i="7"/>
  <c r="O111" i="7"/>
  <c r="N112" i="7"/>
  <c r="O112" i="7"/>
  <c r="N113" i="7"/>
  <c r="O113" i="7"/>
  <c r="N114" i="7"/>
  <c r="O114" i="7"/>
  <c r="N115" i="7"/>
  <c r="O115" i="7"/>
  <c r="N119" i="7"/>
  <c r="N26" i="7" s="1"/>
  <c r="O119" i="7"/>
  <c r="N121" i="7"/>
  <c r="O121" i="7"/>
  <c r="N122" i="7"/>
  <c r="O122" i="7"/>
  <c r="N123" i="7"/>
  <c r="O123" i="7"/>
  <c r="N124" i="7"/>
  <c r="O124" i="7"/>
  <c r="N125" i="7"/>
  <c r="O125" i="7"/>
  <c r="N126" i="7"/>
  <c r="O126" i="7"/>
  <c r="H127" i="7"/>
  <c r="E106" i="7"/>
  <c r="G106" i="7"/>
  <c r="E107" i="7"/>
  <c r="G107" i="7"/>
  <c r="G108" i="7"/>
  <c r="R74" i="7"/>
  <c r="Q75" i="7"/>
  <c r="R75" i="7"/>
  <c r="D32" i="12"/>
  <c r="L74" i="7"/>
  <c r="M74" i="7"/>
  <c r="L75" i="7"/>
  <c r="M75" i="7"/>
  <c r="H75" i="7"/>
  <c r="H74" i="7"/>
  <c r="C74" i="7"/>
  <c r="E74" i="7"/>
  <c r="G74" i="7"/>
  <c r="C75" i="7"/>
  <c r="E75" i="7"/>
  <c r="G75" i="7"/>
  <c r="U79" i="7"/>
  <c r="U18" i="7" s="1"/>
  <c r="T83" i="7"/>
  <c r="Z402" i="7" l="1"/>
  <c r="Z404" i="7"/>
  <c r="Z403" i="7"/>
  <c r="N21" i="7"/>
  <c r="N13" i="7"/>
  <c r="N19" i="7"/>
  <c r="N30" i="7"/>
  <c r="N18" i="7"/>
  <c r="N29" i="7"/>
  <c r="N22" i="7"/>
  <c r="N20" i="7"/>
  <c r="N14" i="7"/>
  <c r="Z409" i="7"/>
  <c r="N17" i="7"/>
  <c r="N24" i="7"/>
  <c r="Z405" i="7"/>
  <c r="N28" i="7"/>
  <c r="N16" i="7"/>
  <c r="T23" i="7"/>
  <c r="T115" i="7"/>
  <c r="W156" i="7"/>
  <c r="T93" i="7"/>
  <c r="W274" i="7"/>
  <c r="Z274" i="7" s="1"/>
  <c r="T307" i="7"/>
  <c r="W273" i="7"/>
  <c r="W20" i="7" s="1"/>
  <c r="W306" i="7"/>
  <c r="Z306" i="7" s="1"/>
  <c r="W146" i="7"/>
  <c r="W242" i="7"/>
  <c r="Z242" i="7" s="1"/>
  <c r="W178" i="7"/>
  <c r="T174" i="7"/>
  <c r="Z174" i="7" s="1"/>
  <c r="W313" i="7"/>
  <c r="Z313" i="7" s="1"/>
  <c r="T142" i="7"/>
  <c r="W316" i="7"/>
  <c r="V241" i="7"/>
  <c r="H415" i="7"/>
  <c r="H417" i="7" s="1"/>
  <c r="V50" i="7"/>
  <c r="T139" i="7"/>
  <c r="V144" i="7"/>
  <c r="Z144" i="7" s="1"/>
  <c r="T138" i="7"/>
  <c r="V113" i="7"/>
  <c r="Z113" i="7" s="1"/>
  <c r="V176" i="7"/>
  <c r="Z176" i="7" s="1"/>
  <c r="V177" i="7"/>
  <c r="V209" i="7"/>
  <c r="V81" i="7"/>
  <c r="Z81" i="7" s="1"/>
  <c r="T175" i="7"/>
  <c r="Z175" i="7" s="1"/>
  <c r="R13" i="7"/>
  <c r="P13" i="7"/>
  <c r="T77" i="7"/>
  <c r="T173" i="7"/>
  <c r="Z173" i="7" s="1"/>
  <c r="H13" i="7"/>
  <c r="N33" i="7"/>
  <c r="H14" i="7"/>
  <c r="N31" i="7"/>
  <c r="B14" i="7"/>
  <c r="N32" i="7"/>
  <c r="T235" i="7"/>
  <c r="T236" i="7"/>
  <c r="T141" i="7"/>
  <c r="T143" i="7"/>
  <c r="E415" i="7"/>
  <c r="E417" i="7" s="1"/>
  <c r="N383" i="7"/>
  <c r="C415" i="7"/>
  <c r="M415" i="7"/>
  <c r="M417" i="7" s="1"/>
  <c r="L415" i="7"/>
  <c r="N255" i="7"/>
  <c r="G415" i="7"/>
  <c r="G417" i="7" s="1"/>
  <c r="N351" i="7"/>
  <c r="N353" i="7" s="1"/>
  <c r="B415" i="7"/>
  <c r="B417" i="7" s="1"/>
  <c r="T298" i="7"/>
  <c r="T362" i="7"/>
  <c r="T106" i="7"/>
  <c r="T330" i="7"/>
  <c r="Z330" i="7" s="1"/>
  <c r="T94" i="7"/>
  <c r="T33" i="7" s="1"/>
  <c r="T202" i="7"/>
  <c r="T394" i="7"/>
  <c r="T302" i="7"/>
  <c r="Z302" i="7" s="1"/>
  <c r="T301" i="7"/>
  <c r="Z301" i="7" s="1"/>
  <c r="H8" i="27"/>
  <c r="O33" i="7"/>
  <c r="O31" i="7"/>
  <c r="O29" i="7"/>
  <c r="O27" i="7"/>
  <c r="O21" i="7"/>
  <c r="O19" i="7"/>
  <c r="O17" i="7"/>
  <c r="O14" i="7"/>
  <c r="O32" i="7"/>
  <c r="O30" i="7"/>
  <c r="O28" i="7"/>
  <c r="O22" i="7"/>
  <c r="O20" i="7"/>
  <c r="O18" i="7"/>
  <c r="O16" i="7"/>
  <c r="O13" i="7"/>
  <c r="Q13" i="7"/>
  <c r="B13" i="7"/>
  <c r="H383" i="7"/>
  <c r="H386" i="7" s="1"/>
  <c r="T170" i="7"/>
  <c r="T171" i="7"/>
  <c r="K59" i="12"/>
  <c r="V305" i="7"/>
  <c r="T266" i="7"/>
  <c r="T25" i="16"/>
  <c r="T28" i="16" s="1"/>
  <c r="H255" i="7"/>
  <c r="H258" i="7" s="1"/>
  <c r="V145" i="7"/>
  <c r="V218" i="7"/>
  <c r="V190" i="7"/>
  <c r="V250" i="7"/>
  <c r="V154" i="7"/>
  <c r="T187" i="7"/>
  <c r="Q255" i="7"/>
  <c r="Q319" i="7"/>
  <c r="Q351" i="7"/>
  <c r="Q415" i="7"/>
  <c r="T381" i="7"/>
  <c r="V314" i="7"/>
  <c r="V346" i="7"/>
  <c r="T347" i="7"/>
  <c r="V410" i="7"/>
  <c r="T189" i="7"/>
  <c r="T251" i="7"/>
  <c r="P319" i="7"/>
  <c r="T315" i="7"/>
  <c r="Q287" i="7"/>
  <c r="G255" i="7"/>
  <c r="N319" i="7"/>
  <c r="C319" i="7"/>
  <c r="C322" i="7" s="1"/>
  <c r="G351" i="7"/>
  <c r="L383" i="7"/>
  <c r="L287" i="7"/>
  <c r="T300" i="7"/>
  <c r="H319" i="7"/>
  <c r="N415" i="7"/>
  <c r="T332" i="7"/>
  <c r="T268" i="7"/>
  <c r="T267" i="7"/>
  <c r="G319" i="7"/>
  <c r="M351" i="7"/>
  <c r="G383" i="7"/>
  <c r="H287" i="7"/>
  <c r="T331" i="7"/>
  <c r="T395" i="7"/>
  <c r="Z80" i="7"/>
  <c r="E255" i="7"/>
  <c r="G223" i="7"/>
  <c r="T140" i="7"/>
  <c r="L159" i="7"/>
  <c r="Z345" i="7"/>
  <c r="T364" i="7"/>
  <c r="C351" i="7"/>
  <c r="M319" i="7"/>
  <c r="Z217" i="7"/>
  <c r="C223" i="7"/>
  <c r="L255" i="7"/>
  <c r="Z61" i="7"/>
  <c r="Z57" i="7"/>
  <c r="Z79" i="7"/>
  <c r="L191" i="7"/>
  <c r="C287" i="7"/>
  <c r="E319" i="7"/>
  <c r="Z85" i="7"/>
  <c r="Z83" i="7"/>
  <c r="C255" i="7"/>
  <c r="L319" i="7"/>
  <c r="C383" i="7"/>
  <c r="C386" i="7" s="1"/>
  <c r="L351" i="7"/>
  <c r="Z82" i="7"/>
  <c r="M255" i="7"/>
  <c r="Z92" i="7"/>
  <c r="G159" i="7"/>
  <c r="Z206" i="7"/>
  <c r="V282" i="7"/>
  <c r="E351" i="7"/>
  <c r="T363" i="7"/>
  <c r="G191" i="7"/>
  <c r="B191" i="7"/>
  <c r="Z179" i="7"/>
  <c r="Z180" i="7"/>
  <c r="Z181" i="7"/>
  <c r="Z340" i="7"/>
  <c r="M383" i="7"/>
  <c r="Z153" i="7"/>
  <c r="G287" i="7"/>
  <c r="T299" i="7"/>
  <c r="H351" i="7"/>
  <c r="M287" i="7"/>
  <c r="E108" i="7"/>
  <c r="O116" i="7"/>
  <c r="O108" i="7"/>
  <c r="N116" i="7"/>
  <c r="N23" i="7" s="1"/>
  <c r="N108" i="7"/>
  <c r="N15" i="7" s="1"/>
  <c r="Z124" i="7"/>
  <c r="M108" i="7"/>
  <c r="L108" i="7"/>
  <c r="V122" i="7"/>
  <c r="P108" i="7"/>
  <c r="R108" i="7"/>
  <c r="Q108" i="7"/>
  <c r="G76" i="7"/>
  <c r="Q76" i="7"/>
  <c r="R76" i="7"/>
  <c r="E76" i="7"/>
  <c r="H76" i="7"/>
  <c r="H15" i="7" s="1"/>
  <c r="M76" i="7"/>
  <c r="C76" i="7"/>
  <c r="L76" i="7"/>
  <c r="Z308" i="7"/>
  <c r="Z303" i="7"/>
  <c r="O319" i="7"/>
  <c r="Z205" i="7"/>
  <c r="Z207" i="7"/>
  <c r="N159" i="7"/>
  <c r="H191" i="7"/>
  <c r="Z188" i="7"/>
  <c r="T157" i="7"/>
  <c r="T155" i="7"/>
  <c r="R159" i="7"/>
  <c r="R255" i="7"/>
  <c r="R351" i="7"/>
  <c r="M191" i="7"/>
  <c r="N191" i="7"/>
  <c r="Z148" i="7"/>
  <c r="E159" i="7"/>
  <c r="E287" i="7"/>
  <c r="R287" i="7"/>
  <c r="Z336" i="7"/>
  <c r="Z335" i="7"/>
  <c r="Z334" i="7"/>
  <c r="O191" i="7"/>
  <c r="Z185" i="7"/>
  <c r="C159" i="7"/>
  <c r="R223" i="7"/>
  <c r="Z249" i="7"/>
  <c r="Z244" i="7"/>
  <c r="Z240" i="7"/>
  <c r="Z238" i="7"/>
  <c r="E383" i="7"/>
  <c r="T379" i="7"/>
  <c r="T411" i="7"/>
  <c r="T396" i="7"/>
  <c r="C191" i="7"/>
  <c r="T221" i="7"/>
  <c r="L223" i="7"/>
  <c r="Z276" i="7"/>
  <c r="Z271" i="7"/>
  <c r="O287" i="7"/>
  <c r="B383" i="7"/>
  <c r="Z412" i="7"/>
  <c r="Z401" i="7"/>
  <c r="Z399" i="7"/>
  <c r="Z398" i="7"/>
  <c r="Z397" i="7"/>
  <c r="V186" i="7"/>
  <c r="B319" i="7"/>
  <c r="Q191" i="7"/>
  <c r="T172" i="7"/>
  <c r="T219" i="7"/>
  <c r="T253" i="7"/>
  <c r="Z275" i="7"/>
  <c r="Z272" i="7"/>
  <c r="Z270" i="7"/>
  <c r="N287" i="7"/>
  <c r="R319" i="7"/>
  <c r="Z380" i="7"/>
  <c r="Z377" i="7"/>
  <c r="Z372" i="7"/>
  <c r="Z369" i="7"/>
  <c r="Z368" i="7"/>
  <c r="Z367" i="7"/>
  <c r="Z366" i="7"/>
  <c r="Z365" i="7"/>
  <c r="V378" i="7"/>
  <c r="P415" i="7"/>
  <c r="Z149" i="7"/>
  <c r="Z114" i="7"/>
  <c r="E191" i="7"/>
  <c r="R191" i="7"/>
  <c r="R415" i="7"/>
  <c r="T413" i="7"/>
  <c r="Z414" i="7"/>
  <c r="O415" i="7"/>
  <c r="Z400" i="7"/>
  <c r="Z382" i="7"/>
  <c r="Z373" i="7"/>
  <c r="R383" i="7"/>
  <c r="Z371" i="7"/>
  <c r="Q383" i="7"/>
  <c r="P383" i="7"/>
  <c r="Z370" i="7"/>
  <c r="O383" i="7"/>
  <c r="Z333" i="7"/>
  <c r="T349" i="7"/>
  <c r="Z341" i="7"/>
  <c r="Z339" i="7"/>
  <c r="Z350" i="7"/>
  <c r="Z348" i="7"/>
  <c r="Z337" i="7"/>
  <c r="Z338" i="7"/>
  <c r="B351" i="7"/>
  <c r="O351" i="7"/>
  <c r="Z318" i="7"/>
  <c r="Z309" i="7"/>
  <c r="T317" i="7"/>
  <c r="Z304" i="7"/>
  <c r="Z281" i="7"/>
  <c r="Z269" i="7"/>
  <c r="Z277" i="7"/>
  <c r="T285" i="7"/>
  <c r="Z284" i="7"/>
  <c r="Z283" i="7"/>
  <c r="Z286" i="7"/>
  <c r="Z252" i="7"/>
  <c r="Z245" i="7"/>
  <c r="Z243" i="7"/>
  <c r="Z239" i="7"/>
  <c r="Z237" i="7"/>
  <c r="Z234" i="7"/>
  <c r="Z254" i="7"/>
  <c r="B255" i="7"/>
  <c r="O255" i="7"/>
  <c r="N223" i="7"/>
  <c r="O223" i="7"/>
  <c r="T203" i="7"/>
  <c r="Z208" i="7"/>
  <c r="Q223" i="7"/>
  <c r="Z220" i="7"/>
  <c r="Z213" i="7"/>
  <c r="Z211" i="7"/>
  <c r="B223" i="7"/>
  <c r="M223" i="7"/>
  <c r="T204" i="7"/>
  <c r="E223" i="7"/>
  <c r="H223" i="7"/>
  <c r="Z212" i="7"/>
  <c r="Z222" i="7"/>
  <c r="Z210" i="7"/>
  <c r="H159" i="7"/>
  <c r="P159" i="7"/>
  <c r="Q159" i="7"/>
  <c r="Z158" i="7"/>
  <c r="Z147" i="7"/>
  <c r="M159" i="7"/>
  <c r="B159" i="7"/>
  <c r="O159" i="7"/>
  <c r="P351" i="7"/>
  <c r="P287" i="7"/>
  <c r="B287" i="7"/>
  <c r="P255" i="7"/>
  <c r="P223" i="7"/>
  <c r="P191" i="7"/>
  <c r="Z112" i="7"/>
  <c r="Z111" i="7"/>
  <c r="Z121" i="7"/>
  <c r="Z110" i="7"/>
  <c r="T107" i="7"/>
  <c r="Z119" i="7"/>
  <c r="Z109" i="7"/>
  <c r="Z126" i="7"/>
  <c r="C127" i="7"/>
  <c r="T123" i="7"/>
  <c r="T125" i="7"/>
  <c r="G127" i="7"/>
  <c r="G130" i="7" s="1"/>
  <c r="B127" i="7"/>
  <c r="V11" i="7"/>
  <c r="O65" i="7"/>
  <c r="Q14" i="7"/>
  <c r="R14" i="7"/>
  <c r="P14" i="7"/>
  <c r="L13" i="7"/>
  <c r="M13" i="7"/>
  <c r="L14" i="7"/>
  <c r="M14" i="7"/>
  <c r="C13" i="7"/>
  <c r="E13" i="7"/>
  <c r="G13" i="7"/>
  <c r="C14" i="7"/>
  <c r="E14" i="7"/>
  <c r="G14" i="7"/>
  <c r="B15" i="7"/>
  <c r="O64" i="7"/>
  <c r="N64" i="7"/>
  <c r="G42" i="10"/>
  <c r="G43" i="10"/>
  <c r="G44" i="10"/>
  <c r="G45" i="10"/>
  <c r="G46" i="10"/>
  <c r="G47" i="10"/>
  <c r="G48" i="10"/>
  <c r="G49" i="10"/>
  <c r="G50" i="10"/>
  <c r="G51" i="10"/>
  <c r="G52" i="10"/>
  <c r="G41" i="10"/>
  <c r="T74" i="7"/>
  <c r="N95" i="7"/>
  <c r="O95" i="7"/>
  <c r="N96" i="7"/>
  <c r="O96" i="7"/>
  <c r="F13" i="9"/>
  <c r="W31" i="7" l="1"/>
  <c r="W28" i="7"/>
  <c r="Z77" i="7"/>
  <c r="T16" i="7"/>
  <c r="T13" i="7"/>
  <c r="W21" i="7"/>
  <c r="T18" i="7"/>
  <c r="T32" i="7"/>
  <c r="Z115" i="7"/>
  <c r="T22" i="7"/>
  <c r="Z22" i="7" s="1"/>
  <c r="Z307" i="7"/>
  <c r="W63" i="7"/>
  <c r="W33" i="7" s="1"/>
  <c r="Z316" i="7"/>
  <c r="Z58" i="7"/>
  <c r="Z178" i="7"/>
  <c r="R95" i="7"/>
  <c r="Z56" i="7"/>
  <c r="Z52" i="7"/>
  <c r="V21" i="7"/>
  <c r="Z146" i="7"/>
  <c r="Z48" i="7"/>
  <c r="Z47" i="7"/>
  <c r="U34" i="7"/>
  <c r="P15" i="7"/>
  <c r="Z94" i="7"/>
  <c r="R15" i="7"/>
  <c r="Q15" i="7"/>
  <c r="T78" i="7"/>
  <c r="T17" i="7" s="1"/>
  <c r="V31" i="7"/>
  <c r="C15" i="7"/>
  <c r="E15" i="7"/>
  <c r="V33" i="7"/>
  <c r="L15" i="7"/>
  <c r="G15" i="7"/>
  <c r="Z142" i="7"/>
  <c r="M15" i="7"/>
  <c r="V20" i="7"/>
  <c r="Z141" i="7"/>
  <c r="Z143" i="7"/>
  <c r="C417" i="7"/>
  <c r="N385" i="7"/>
  <c r="Z362" i="7"/>
  <c r="Z394" i="7"/>
  <c r="Z106" i="7"/>
  <c r="Z177" i="7"/>
  <c r="Z138" i="7"/>
  <c r="Z202" i="7"/>
  <c r="Z298" i="7"/>
  <c r="N257" i="7"/>
  <c r="N11" i="7"/>
  <c r="L417" i="7"/>
  <c r="Z251" i="7"/>
  <c r="Q353" i="7"/>
  <c r="Z266" i="7"/>
  <c r="Z123" i="7"/>
  <c r="P353" i="7"/>
  <c r="Q161" i="7"/>
  <c r="Z413" i="7"/>
  <c r="Z411" i="7"/>
  <c r="R289" i="7"/>
  <c r="R161" i="7"/>
  <c r="Z189" i="7"/>
  <c r="Q321" i="7"/>
  <c r="L31" i="32"/>
  <c r="P161" i="7"/>
  <c r="P417" i="7"/>
  <c r="Z253" i="7"/>
  <c r="Z379" i="7"/>
  <c r="Z155" i="7"/>
  <c r="Q257" i="7"/>
  <c r="R417" i="7"/>
  <c r="Z219" i="7"/>
  <c r="Z157" i="7"/>
  <c r="Z347" i="7"/>
  <c r="Z187" i="7"/>
  <c r="Z125" i="7"/>
  <c r="P289" i="7"/>
  <c r="P385" i="7"/>
  <c r="R321" i="7"/>
  <c r="Z349" i="7"/>
  <c r="R385" i="7"/>
  <c r="R226" i="7"/>
  <c r="R257" i="7"/>
  <c r="Z74" i="7"/>
  <c r="Z285" i="7"/>
  <c r="Z221" i="7"/>
  <c r="Q289" i="7"/>
  <c r="G25" i="32"/>
  <c r="L25" i="32" s="1"/>
  <c r="P257" i="7"/>
  <c r="Q385" i="7"/>
  <c r="Z315" i="7"/>
  <c r="Z381" i="7"/>
  <c r="R353" i="7"/>
  <c r="P321" i="7"/>
  <c r="Q417" i="7"/>
  <c r="B161" i="7"/>
  <c r="Z203" i="7"/>
  <c r="O417" i="7"/>
  <c r="M289" i="7"/>
  <c r="E353" i="7"/>
  <c r="M257" i="7"/>
  <c r="Z346" i="7"/>
  <c r="Z154" i="7"/>
  <c r="Z209" i="7"/>
  <c r="N289" i="7"/>
  <c r="D31" i="12"/>
  <c r="D44" i="12" s="1"/>
  <c r="D46" i="12" s="1"/>
  <c r="D59" i="12" s="1"/>
  <c r="H353" i="7"/>
  <c r="Z282" i="7"/>
  <c r="E321" i="7"/>
  <c r="L257" i="7"/>
  <c r="L161" i="7"/>
  <c r="G385" i="7"/>
  <c r="Z300" i="7"/>
  <c r="Z314" i="7"/>
  <c r="Z250" i="7"/>
  <c r="Z170" i="7"/>
  <c r="H257" i="7"/>
  <c r="G129" i="7"/>
  <c r="Z107" i="7"/>
  <c r="B289" i="7"/>
  <c r="O257" i="7"/>
  <c r="B321" i="7"/>
  <c r="C193" i="7"/>
  <c r="Z122" i="7"/>
  <c r="C385" i="7"/>
  <c r="G226" i="7"/>
  <c r="G321" i="7"/>
  <c r="L385" i="7"/>
  <c r="Z236" i="7"/>
  <c r="L353" i="7"/>
  <c r="L289" i="7"/>
  <c r="B257" i="7"/>
  <c r="O353" i="7"/>
  <c r="Z186" i="7"/>
  <c r="B385" i="7"/>
  <c r="Z396" i="7"/>
  <c r="O15" i="7"/>
  <c r="G161" i="7"/>
  <c r="L321" i="7"/>
  <c r="Z139" i="7"/>
  <c r="M321" i="7"/>
  <c r="E257" i="7"/>
  <c r="Z267" i="7"/>
  <c r="G353" i="7"/>
  <c r="Z273" i="7"/>
  <c r="M161" i="7"/>
  <c r="M353" i="7"/>
  <c r="H385" i="7"/>
  <c r="B353" i="7"/>
  <c r="Z235" i="7"/>
  <c r="O289" i="7"/>
  <c r="O26" i="7"/>
  <c r="C257" i="7"/>
  <c r="C353" i="7"/>
  <c r="Z268" i="7"/>
  <c r="C321" i="7"/>
  <c r="Z218" i="7"/>
  <c r="Z305" i="7"/>
  <c r="B129" i="7"/>
  <c r="O385" i="7"/>
  <c r="E289" i="7"/>
  <c r="O321" i="7"/>
  <c r="M385" i="7"/>
  <c r="Z395" i="7"/>
  <c r="Z332" i="7"/>
  <c r="N321" i="7"/>
  <c r="Z410" i="7"/>
  <c r="Z299" i="7"/>
  <c r="O161" i="7"/>
  <c r="Z378" i="7"/>
  <c r="E385" i="7"/>
  <c r="E161" i="7"/>
  <c r="Z363" i="7"/>
  <c r="Z331" i="7"/>
  <c r="N417" i="7"/>
  <c r="G257" i="7"/>
  <c r="Z171" i="7"/>
  <c r="R37" i="27"/>
  <c r="H37" i="27" s="1"/>
  <c r="H41" i="27" s="1"/>
  <c r="V61" i="22"/>
  <c r="X61" i="22" s="1"/>
  <c r="T108" i="7"/>
  <c r="Z145" i="7"/>
  <c r="Z241" i="7"/>
  <c r="V255" i="7"/>
  <c r="V49" i="7"/>
  <c r="V19" i="7" s="1"/>
  <c r="P95" i="7"/>
  <c r="Z190" i="7"/>
  <c r="Z27" i="7"/>
  <c r="Z50" i="7"/>
  <c r="Z156" i="7"/>
  <c r="H321" i="7"/>
  <c r="H322" i="7"/>
  <c r="H289" i="7"/>
  <c r="H290" i="7"/>
  <c r="G289" i="7"/>
  <c r="G290" i="7"/>
  <c r="C289" i="7"/>
  <c r="C290" i="7"/>
  <c r="Z140" i="7"/>
  <c r="P127" i="7"/>
  <c r="R225" i="7"/>
  <c r="Q127" i="7"/>
  <c r="Q193" i="7"/>
  <c r="Q194" i="7"/>
  <c r="Q225" i="7"/>
  <c r="Q226" i="7"/>
  <c r="R127" i="7"/>
  <c r="P193" i="7"/>
  <c r="P194" i="7"/>
  <c r="P225" i="7"/>
  <c r="P226" i="7"/>
  <c r="R193" i="7"/>
  <c r="R194" i="7"/>
  <c r="G225" i="7"/>
  <c r="E225" i="7"/>
  <c r="E226" i="7"/>
  <c r="C225" i="7"/>
  <c r="C226" i="7"/>
  <c r="L225" i="7"/>
  <c r="L226" i="7"/>
  <c r="H193" i="7"/>
  <c r="H194" i="7"/>
  <c r="M225" i="7"/>
  <c r="M226" i="7"/>
  <c r="E193" i="7"/>
  <c r="E194" i="7"/>
  <c r="L193" i="7"/>
  <c r="L194" i="7"/>
  <c r="O193" i="7"/>
  <c r="O194" i="7"/>
  <c r="B225" i="7"/>
  <c r="B226" i="7"/>
  <c r="C194" i="7"/>
  <c r="O225" i="7"/>
  <c r="O226" i="7"/>
  <c r="C161" i="7"/>
  <c r="C162" i="7"/>
  <c r="N193" i="7"/>
  <c r="N194" i="7"/>
  <c r="B193" i="7"/>
  <c r="B194" i="7"/>
  <c r="H225" i="7"/>
  <c r="H226" i="7"/>
  <c r="N225" i="7"/>
  <c r="N226" i="7"/>
  <c r="M193" i="7"/>
  <c r="M194" i="7"/>
  <c r="G193" i="7"/>
  <c r="G194" i="7"/>
  <c r="H161" i="7"/>
  <c r="H162" i="7"/>
  <c r="C129" i="7"/>
  <c r="C130" i="7"/>
  <c r="T287" i="7"/>
  <c r="T159" i="7"/>
  <c r="T383" i="7"/>
  <c r="Z364" i="7"/>
  <c r="O127" i="7"/>
  <c r="T319" i="7"/>
  <c r="M127" i="7"/>
  <c r="T191" i="7"/>
  <c r="L127" i="7"/>
  <c r="E127" i="7"/>
  <c r="E130" i="7" s="1"/>
  <c r="T255" i="7"/>
  <c r="H130" i="7"/>
  <c r="Z84" i="7"/>
  <c r="Z46" i="7"/>
  <c r="Z116" i="7"/>
  <c r="Z172" i="7"/>
  <c r="Z89" i="7"/>
  <c r="T415" i="7"/>
  <c r="T351" i="7"/>
  <c r="Z317" i="7"/>
  <c r="T223" i="7"/>
  <c r="Z204" i="7"/>
  <c r="O66" i="7"/>
  <c r="T91" i="7"/>
  <c r="T30" i="7" s="1"/>
  <c r="T44" i="7"/>
  <c r="G64" i="7"/>
  <c r="G67" i="7" s="1"/>
  <c r="Q64" i="7"/>
  <c r="R64" i="7"/>
  <c r="M64" i="7"/>
  <c r="H64" i="7"/>
  <c r="H67" i="7" s="1"/>
  <c r="E64" i="7"/>
  <c r="V59" i="7"/>
  <c r="B64" i="7"/>
  <c r="N66" i="7"/>
  <c r="P64" i="7"/>
  <c r="T75" i="7"/>
  <c r="O97" i="7"/>
  <c r="N97" i="7"/>
  <c r="T76" i="7"/>
  <c r="Q95" i="7"/>
  <c r="L95" i="7"/>
  <c r="B95" i="7"/>
  <c r="B98" i="7" s="1"/>
  <c r="H95" i="7"/>
  <c r="H98" i="7" s="1"/>
  <c r="C95" i="7"/>
  <c r="M95" i="7"/>
  <c r="G95" i="7"/>
  <c r="E95" i="7"/>
  <c r="T15" i="7" l="1"/>
  <c r="T14" i="7"/>
  <c r="H97" i="7"/>
  <c r="Z21" i="7"/>
  <c r="Z17" i="7"/>
  <c r="W34" i="7"/>
  <c r="N127" i="7"/>
  <c r="N129" i="7" s="1"/>
  <c r="Z51" i="7"/>
  <c r="Q34" i="7"/>
  <c r="Q37" i="7" s="1"/>
  <c r="Z78" i="7"/>
  <c r="V29" i="7"/>
  <c r="Z28" i="7"/>
  <c r="O34" i="7"/>
  <c r="O36" i="7" s="1"/>
  <c r="Z18" i="7"/>
  <c r="Z16" i="7"/>
  <c r="G57" i="12"/>
  <c r="C64" i="7"/>
  <c r="C34" i="7"/>
  <c r="C37" i="7" s="1"/>
  <c r="Z104" i="7"/>
  <c r="P129" i="7"/>
  <c r="R129" i="7"/>
  <c r="G14" i="32"/>
  <c r="L14" i="32" s="1"/>
  <c r="Z91" i="7"/>
  <c r="P66" i="7"/>
  <c r="R66" i="7"/>
  <c r="P98" i="7"/>
  <c r="Q129" i="7"/>
  <c r="L28" i="32"/>
  <c r="Q66" i="7"/>
  <c r="Z93" i="7"/>
  <c r="L34" i="7"/>
  <c r="L36" i="7" s="1"/>
  <c r="B66" i="7"/>
  <c r="T385" i="7"/>
  <c r="B34" i="7"/>
  <c r="Z20" i="7"/>
  <c r="L129" i="7"/>
  <c r="M66" i="7"/>
  <c r="T417" i="7"/>
  <c r="M129" i="7"/>
  <c r="G34" i="7"/>
  <c r="G37" i="7" s="1"/>
  <c r="Z108" i="7"/>
  <c r="E66" i="7"/>
  <c r="H66" i="7"/>
  <c r="L97" i="7"/>
  <c r="Z75" i="7"/>
  <c r="H129" i="7"/>
  <c r="Z90" i="7"/>
  <c r="G66" i="7"/>
  <c r="T353" i="7"/>
  <c r="O129" i="7"/>
  <c r="Z31" i="7"/>
  <c r="Z76" i="7"/>
  <c r="H11" i="27"/>
  <c r="Z49" i="7"/>
  <c r="M34" i="7"/>
  <c r="Z26" i="7"/>
  <c r="H34" i="7"/>
  <c r="H37" i="7" s="1"/>
  <c r="E34" i="7"/>
  <c r="E37" i="7" s="1"/>
  <c r="R34" i="7"/>
  <c r="R37" i="7" s="1"/>
  <c r="Z43" i="7"/>
  <c r="G44" i="12"/>
  <c r="G46" i="12" s="1"/>
  <c r="Z63" i="7"/>
  <c r="Z59" i="7"/>
  <c r="Z60" i="7"/>
  <c r="Z62" i="7"/>
  <c r="Z44" i="7"/>
  <c r="P34" i="7"/>
  <c r="P36" i="7" s="1"/>
  <c r="Z45" i="7"/>
  <c r="E129" i="7"/>
  <c r="E44" i="12"/>
  <c r="T127" i="7"/>
  <c r="T64" i="7"/>
  <c r="T95" i="7"/>
  <c r="Q97" i="7"/>
  <c r="R97" i="7"/>
  <c r="P97" i="7"/>
  <c r="E97" i="7"/>
  <c r="B97" i="7"/>
  <c r="C97" i="7"/>
  <c r="G97" i="7"/>
  <c r="M97" i="7"/>
  <c r="B36" i="7" l="1"/>
  <c r="B37" i="7"/>
  <c r="G59" i="12"/>
  <c r="Z33" i="7"/>
  <c r="Z13" i="7"/>
  <c r="L34" i="32"/>
  <c r="Z11" i="7"/>
  <c r="Z41" i="7"/>
  <c r="C66" i="7"/>
  <c r="C67" i="7"/>
  <c r="N34" i="7"/>
  <c r="Z32" i="7"/>
  <c r="R36" i="7"/>
  <c r="Z19" i="7"/>
  <c r="Q36" i="7"/>
  <c r="Z14" i="7"/>
  <c r="H36" i="7"/>
  <c r="C36" i="7"/>
  <c r="G36" i="7"/>
  <c r="Z15" i="7"/>
  <c r="Z29" i="7"/>
  <c r="E36" i="7"/>
  <c r="M36" i="7"/>
  <c r="Z30" i="7"/>
  <c r="E46" i="12"/>
  <c r="V34" i="7"/>
  <c r="T34" i="7"/>
  <c r="L64" i="7"/>
  <c r="L67" i="7" l="1"/>
  <c r="L66" i="7"/>
  <c r="F44" i="12" l="1"/>
  <c r="F46" i="12" s="1"/>
  <c r="F59" i="12" s="1"/>
  <c r="E57" i="12" l="1"/>
  <c r="E59" i="12" l="1"/>
  <c r="N59" i="12" s="1"/>
  <c r="H29" i="27"/>
  <c r="O29" i="27" l="1"/>
  <c r="O31" i="27" s="1"/>
  <c r="H31"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Sulina Lee</author>
    <author>tc={B0150750-816D-4495-8326-CE05D8BA29AC}</author>
  </authors>
  <commentList>
    <comment ref="F64" authorId="0" shapeId="0" xr:uid="{32FFEDE7-4580-4479-B7A1-FDE1F8EBE581}">
      <text>
        <r>
          <rPr>
            <b/>
            <sz val="9"/>
            <color indexed="81"/>
            <rFont val="Tahoma"/>
            <family val="2"/>
          </rPr>
          <t>Sulina Lee:</t>
        </r>
        <r>
          <rPr>
            <sz val="9"/>
            <color indexed="81"/>
            <rFont val="Tahoma"/>
            <family val="2"/>
          </rPr>
          <t xml:space="preserve">
Separate Check in CIR tab</t>
        </r>
      </text>
    </comment>
    <comment ref="T275" authorId="1" shapeId="0" xr:uid="{B0150750-816D-4495-8326-CE05D8BA29AC}">
      <text>
        <r>
          <rPr>
            <sz val="8"/>
            <rFont val="Arial"/>
            <family val="2"/>
          </rPr>
          <t>[Threaded comment]
Your version of Excel allows you to read this threaded comment; however, any edits to it will get removed if the file is opened in a newer version of Excel. Learn more: https://go.microsoft.com/fwlink/?linkid=870924
Comment:
    Refer JE JE2041678 to understand the difference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Sulina Lee</author>
  </authors>
  <commentList>
    <comment ref="F12" authorId="0" shapeId="0" xr:uid="{4C864187-F7FA-47DB-AE4D-E859E34BC061}">
      <text>
        <r>
          <rPr>
            <b/>
            <sz val="9"/>
            <color indexed="81"/>
            <rFont val="Tahoma"/>
            <family val="2"/>
          </rPr>
          <t>Sulina Lee:</t>
        </r>
        <r>
          <rPr>
            <sz val="9"/>
            <color indexed="81"/>
            <rFont val="Tahoma"/>
            <family val="2"/>
          </rPr>
          <t xml:space="preserve">
2021 ECI</t>
        </r>
      </text>
    </comment>
    <comment ref="J17" authorId="0" shapeId="0" xr:uid="{D1A5DE56-9CFF-4EA8-B45B-99B19FC8237D}">
      <text>
        <r>
          <rPr>
            <b/>
            <sz val="9"/>
            <color indexed="81"/>
            <rFont val="Tahoma"/>
            <family val="2"/>
          </rPr>
          <t>Sulina Lee:</t>
        </r>
        <r>
          <rPr>
            <sz val="9"/>
            <color indexed="81"/>
            <rFont val="Tahoma"/>
            <family val="2"/>
          </rPr>
          <t xml:space="preserve">
full calendar year</t>
        </r>
      </text>
    </comment>
    <comment ref="C23" authorId="0" shapeId="0" xr:uid="{2338CD64-AC4A-40C0-AB8A-1E788E0151FA}">
      <text>
        <r>
          <rPr>
            <b/>
            <sz val="9"/>
            <color indexed="81"/>
            <rFont val="Tahoma"/>
            <family val="2"/>
          </rPr>
          <t>Sulina Lee:</t>
        </r>
        <r>
          <rPr>
            <sz val="9"/>
            <color indexed="81"/>
            <rFont val="Tahoma"/>
            <family val="2"/>
          </rPr>
          <t xml:space="preserve">
</t>
        </r>
        <r>
          <rPr>
            <sz val="9"/>
            <color indexed="81"/>
            <rFont val="Tahoma"/>
            <family val="2"/>
          </rPr>
          <t>Business tax 
Other tax accruals 220800</t>
        </r>
      </text>
    </comment>
    <comment ref="D29" authorId="0" shapeId="0" xr:uid="{AA4DFC11-3A44-469A-8E57-F314EBC09A7F}">
      <text>
        <r>
          <rPr>
            <b/>
            <sz val="9"/>
            <color indexed="81"/>
            <rFont val="Tahoma"/>
            <family val="2"/>
          </rPr>
          <t>Sulina Lee:</t>
        </r>
        <r>
          <rPr>
            <sz val="9"/>
            <color indexed="81"/>
            <rFont val="Tahoma"/>
            <family val="2"/>
          </rPr>
          <t xml:space="preserve">
All state PY carryover credits
</t>
        </r>
      </text>
    </comment>
    <comment ref="D31" authorId="0" shapeId="0" xr:uid="{3C69DC8D-DD5B-479E-93CB-76EEF98DD0C6}">
      <text>
        <r>
          <rPr>
            <b/>
            <sz val="9"/>
            <color indexed="81"/>
            <rFont val="Tahoma"/>
            <family val="2"/>
          </rPr>
          <t>Sulina Lee:</t>
        </r>
        <r>
          <rPr>
            <sz val="9"/>
            <color indexed="81"/>
            <rFont val="Tahoma"/>
            <family val="2"/>
          </rPr>
          <t xml:space="preserve">
Extension payment - did not count the FTC</t>
        </r>
      </text>
    </comment>
    <comment ref="G47" authorId="0" shapeId="0" xr:uid="{2ADB8156-0E33-446B-8ED5-12A4A2E0EF3B}">
      <text>
        <r>
          <rPr>
            <b/>
            <sz val="9"/>
            <color indexed="81"/>
            <rFont val="Tahoma"/>
            <family val="2"/>
          </rPr>
          <t>Sulina Lee:</t>
        </r>
        <r>
          <rPr>
            <sz val="9"/>
            <color indexed="81"/>
            <rFont val="Tahoma"/>
            <family val="2"/>
          </rPr>
          <t xml:space="preserve">
VAT to be offset with income tax, match the notices as well</t>
        </r>
      </text>
    </comment>
    <comment ref="G56" authorId="0" shapeId="0" xr:uid="{43BB059A-799E-4D28-8D18-176A018BB757}">
      <text>
        <r>
          <rPr>
            <b/>
            <sz val="9"/>
            <color indexed="81"/>
            <rFont val="Tahoma"/>
            <family val="2"/>
          </rPr>
          <t>Sulina Lee:</t>
        </r>
        <r>
          <rPr>
            <sz val="9"/>
            <color indexed="81"/>
            <rFont val="Tahoma"/>
            <family val="2"/>
          </rPr>
          <t xml:space="preserve">
booked under Sales Tax - to be reclassed</t>
        </r>
      </text>
    </comment>
    <comment ref="J59" authorId="0" shapeId="0" xr:uid="{571D6293-42BA-4395-AE85-0BEF785132E9}">
      <text>
        <r>
          <rPr>
            <b/>
            <sz val="9"/>
            <color indexed="81"/>
            <rFont val="Tahoma"/>
            <family val="2"/>
          </rPr>
          <t>Sulina Lee:</t>
        </r>
        <r>
          <rPr>
            <sz val="9"/>
            <color indexed="81"/>
            <rFont val="Tahoma"/>
            <family val="2"/>
          </rPr>
          <t xml:space="preserve">
are we expecting a refund?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Dany Delbegue</author>
  </authors>
  <commentList>
    <comment ref="L33" authorId="0" shapeId="0" xr:uid="{059187B6-7D74-4312-9390-0D772A56ED74}">
      <text>
        <r>
          <rPr>
            <b/>
            <sz val="9"/>
            <color indexed="81"/>
            <rFont val="Tahoma"/>
            <family val="2"/>
          </rPr>
          <t>Dany Delbegue:</t>
        </r>
        <r>
          <rPr>
            <sz val="9"/>
            <color indexed="81"/>
            <rFont val="Tahoma"/>
            <family val="2"/>
          </rPr>
          <t xml:space="preserve">
Montant fact par Nexity : 32589.6€ pour 1 TR.
+2122.59 rattrapage Q1+1415.08 rattrapage
 Q2
</t>
        </r>
      </text>
    </comment>
    <comment ref="L81" authorId="0" shapeId="0" xr:uid="{014C9E0B-F800-4FDF-9A53-033C295E6B04}">
      <text>
        <r>
          <rPr>
            <b/>
            <sz val="9"/>
            <color indexed="81"/>
            <rFont val="Tahoma"/>
            <family val="2"/>
          </rPr>
          <t>Dany Delbegue:</t>
        </r>
        <r>
          <rPr>
            <sz val="9"/>
            <color indexed="81"/>
            <rFont val="Tahoma"/>
            <family val="2"/>
          </rPr>
          <t xml:space="preserve">
Keep previous amount but could be less : 157€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Prerna Saxena</author>
  </authors>
  <commentList>
    <comment ref="G19" authorId="0" shapeId="0" xr:uid="{94756A86-8578-4CCE-AC38-7ACC6B40A506}">
      <text>
        <r>
          <rPr>
            <b/>
            <sz val="9"/>
            <color indexed="81"/>
            <rFont val="Tahoma"/>
            <family val="2"/>
          </rPr>
          <t>Prerna Saxena:</t>
        </r>
        <r>
          <rPr>
            <sz val="9"/>
            <color indexed="81"/>
            <rFont val="Tahoma"/>
            <family val="2"/>
          </rPr>
          <t xml:space="preserve">
refund please refer to row 56</t>
        </r>
      </text>
    </comment>
  </commentList>
</comments>
</file>

<file path=xl/sharedStrings.xml><?xml version="1.0" encoding="utf-8"?>
<sst xmlns="http://schemas.openxmlformats.org/spreadsheetml/2006/main" count="31300" uniqueCount="4761">
  <si>
    <t>Ivalua SAS</t>
  </si>
  <si>
    <t>300 : Ivalua SAS (Consolidated)</t>
  </si>
  <si>
    <t>GL detail Memo - Leo</t>
  </si>
  <si>
    <t>From Jan 2022 to Jun 2022</t>
  </si>
  <si>
    <t/>
  </si>
  <si>
    <t>Account</t>
  </si>
  <si>
    <t>Type</t>
  </si>
  <si>
    <t>Date</t>
  </si>
  <si>
    <t>Document Number</t>
  </si>
  <si>
    <t>Memo</t>
  </si>
  <si>
    <t>Description</t>
  </si>
  <si>
    <t>Amount</t>
  </si>
  <si>
    <t>Balance</t>
  </si>
  <si>
    <t>Entity: Name (Grouped)</t>
  </si>
  <si>
    <t>Department: Name</t>
  </si>
  <si>
    <t>Amount (Foreign Currency)</t>
  </si>
  <si>
    <t>Accounting Period: Name</t>
  </si>
  <si>
    <t>Subsidiary: Name</t>
  </si>
  <si>
    <t>JE Submitted by</t>
  </si>
  <si>
    <t>940000 - Income Tax</t>
  </si>
  <si>
    <t>940100 - State income tax</t>
  </si>
  <si>
    <t>Journal</t>
  </si>
  <si>
    <t>JE2030137</t>
  </si>
  <si>
    <t>VT - Income Tax Assessment Notice (2020)</t>
  </si>
  <si>
    <t>VT - Income Tax Assessment Notice (Interest &amp; Penalty 2020)</t>
  </si>
  <si>
    <t>605 - Income Tax</t>
  </si>
  <si>
    <t>Feb 2022</t>
  </si>
  <si>
    <t>201 : Ivalua Inc. US</t>
  </si>
  <si>
    <t>Annie Lelievre</t>
  </si>
  <si>
    <t>JE2030273</t>
  </si>
  <si>
    <t>IL - Income Tax refund (2020)</t>
  </si>
  <si>
    <t>JE2030274</t>
  </si>
  <si>
    <t>District of CO - Income Tax due 2020</t>
  </si>
  <si>
    <t>JE2030276</t>
  </si>
  <si>
    <t>GA - Income Tax 2020 payment interest</t>
  </si>
  <si>
    <t>JE2030876</t>
  </si>
  <si>
    <t>Impots DE 02 2022</t>
  </si>
  <si>
    <t>905 - Finance</t>
  </si>
  <si>
    <t>204 : Ivalua Germany</t>
  </si>
  <si>
    <t>Wright, Jonathan</t>
  </si>
  <si>
    <t>JE2031544</t>
  </si>
  <si>
    <t>Impots DE 03 2022</t>
  </si>
  <si>
    <t>Mar 2022</t>
  </si>
  <si>
    <t>JE2031781</t>
  </si>
  <si>
    <t>MN - Penalty TR 2020 for no payment at extension</t>
  </si>
  <si>
    <t>Apr 2022</t>
  </si>
  <si>
    <t>JE2031979</t>
  </si>
  <si>
    <t>WV - Tax Extension</t>
  </si>
  <si>
    <t>Elaine Price</t>
  </si>
  <si>
    <t>JE2032526</t>
  </si>
  <si>
    <t>TX Franchise Tax Refund - 2020</t>
  </si>
  <si>
    <t>TX Franchise Tax Refund - 2020 (Interest)</t>
  </si>
  <si>
    <t>May 2022</t>
  </si>
  <si>
    <t>Lee, Sulina</t>
  </si>
  <si>
    <t>JE2032559</t>
  </si>
  <si>
    <t>Complement impots DE 2021</t>
  </si>
  <si>
    <t>Total - 940100 - State income tax</t>
  </si>
  <si>
    <t>940125 - Foreign income tax</t>
  </si>
  <si>
    <t>JE2030055</t>
  </si>
  <si>
    <t>Extourne CVAE excedent 2021</t>
  </si>
  <si>
    <t>Jan 2022</t>
  </si>
  <si>
    <t>101 : Ivalua France</t>
  </si>
  <si>
    <t>JE2030060</t>
  </si>
  <si>
    <t>Extourne Reclass CVAE to income tax - Q421</t>
  </si>
  <si>
    <t>Payment</t>
  </si>
  <si>
    <t>PYMT11059174</t>
  </si>
  <si>
    <t>Foreign tax</t>
  </si>
  <si>
    <t>Ccg Global Sdn Bhd</t>
  </si>
  <si>
    <t>- No Department -</t>
  </si>
  <si>
    <t>PYMT11059184</t>
  </si>
  <si>
    <t>Nayara Energy Limited</t>
  </si>
  <si>
    <t>PYMT11059193</t>
  </si>
  <si>
    <t>Foreign tax 3926</t>
  </si>
  <si>
    <t>Consus Third Pillar Inc</t>
  </si>
  <si>
    <t>PYMT11059223</t>
  </si>
  <si>
    <t>PYMT11059226</t>
  </si>
  <si>
    <t>PYMT11059275</t>
  </si>
  <si>
    <t>Foreign Tax IN2003925</t>
  </si>
  <si>
    <t>JE2028883</t>
  </si>
  <si>
    <t>Foreign Withholding taxes accrual 12.31.2021</t>
  </si>
  <si>
    <t>Fritch, John</t>
  </si>
  <si>
    <t>PYMT11059303</t>
  </si>
  <si>
    <t>Durvah</t>
  </si>
  <si>
    <t>JE2029945</t>
  </si>
  <si>
    <t>Foreign Withholding taxes accrual 01.31.2022</t>
  </si>
  <si>
    <t>JE2030067</t>
  </si>
  <si>
    <t>Provision CVAE 2021</t>
  </si>
  <si>
    <t>JE2030069</t>
  </si>
  <si>
    <t>Provision CVAE 2022</t>
  </si>
  <si>
    <t>JE2030196</t>
  </si>
  <si>
    <t>Reclass CVAE 2021</t>
  </si>
  <si>
    <t>PYMT11059326</t>
  </si>
  <si>
    <t>JE2030070</t>
  </si>
  <si>
    <t>IN2003706WHT</t>
  </si>
  <si>
    <t>CONSUS GLOBAL PVT LTD</t>
  </si>
  <si>
    <t>IN2003762WHT</t>
  </si>
  <si>
    <t>IN2003552WHT</t>
  </si>
  <si>
    <t>VEDANTA LIMITED</t>
  </si>
  <si>
    <t>JE2029946</t>
  </si>
  <si>
    <t>JE2030509</t>
  </si>
  <si>
    <t>Foreign Withholding taxes accrual 02.28.2022</t>
  </si>
  <si>
    <t>JE2030583</t>
  </si>
  <si>
    <t>JE2030584</t>
  </si>
  <si>
    <t>IN2003851 WHT</t>
  </si>
  <si>
    <t>3851 Tax</t>
  </si>
  <si>
    <t>Tata Consultancy Services Limited</t>
  </si>
  <si>
    <t>IN2003830WHT</t>
  </si>
  <si>
    <t>IN2003869WHT</t>
  </si>
  <si>
    <t>3869</t>
  </si>
  <si>
    <t>JE2030510</t>
  </si>
  <si>
    <t>JE2031088</t>
  </si>
  <si>
    <t>Foreign Withholding taxes accrual 03.31.2022</t>
  </si>
  <si>
    <t>JE2031322</t>
  </si>
  <si>
    <t>Prov Taxes 3/2022</t>
  </si>
  <si>
    <t>Prov CVAE 3/2022</t>
  </si>
  <si>
    <t>JE2031892</t>
  </si>
  <si>
    <t>Q1 2022 Income tax provision</t>
  </si>
  <si>
    <t>300 : Ivalua SAS</t>
  </si>
  <si>
    <t>Ye, Leo</t>
  </si>
  <si>
    <t>JE2031323</t>
  </si>
  <si>
    <t>IN2004118 WHT</t>
  </si>
  <si>
    <t>Asian Paints Limited</t>
  </si>
  <si>
    <t>IN2004038WHT</t>
  </si>
  <si>
    <t>IN2004112WHT</t>
  </si>
  <si>
    <t>10000149149WHT</t>
  </si>
  <si>
    <t>Comunicacion Celular S.A. Comcel S.A</t>
  </si>
  <si>
    <t>10000149151WHT</t>
  </si>
  <si>
    <t>10000149148WHT</t>
  </si>
  <si>
    <t>IN2003714WHT</t>
  </si>
  <si>
    <t>TATA CONSULTANCY SERVICES LTD</t>
  </si>
  <si>
    <t>IN2003791WHT</t>
  </si>
  <si>
    <t>IN2003873WHT</t>
  </si>
  <si>
    <t>IN2003752WHT</t>
  </si>
  <si>
    <t>IN2003813WHT</t>
  </si>
  <si>
    <t>IN2003897WHT</t>
  </si>
  <si>
    <t>JE2031089</t>
  </si>
  <si>
    <t>JE2032101</t>
  </si>
  <si>
    <t>Foreign Withholding taxes accrual 04.30.2022</t>
  </si>
  <si>
    <t>JE2032136</t>
  </si>
  <si>
    <t>Prov Taxes 4/2022</t>
  </si>
  <si>
    <t>Prov CVAE 4/2022</t>
  </si>
  <si>
    <t>JE2032137</t>
  </si>
  <si>
    <t>IN2004119WHT</t>
  </si>
  <si>
    <t>IN2004252WHT</t>
  </si>
  <si>
    <t>IN2003979WHT</t>
  </si>
  <si>
    <t>PYMT110595885</t>
  </si>
  <si>
    <t>4116</t>
  </si>
  <si>
    <t>JE2032102</t>
  </si>
  <si>
    <t>IN2004122WHT</t>
  </si>
  <si>
    <t>ITC LIMITED</t>
  </si>
  <si>
    <t>JE2032728</t>
  </si>
  <si>
    <t>Foreign Withholding taxes accrual 05.31.2022</t>
  </si>
  <si>
    <t>JE2032832</t>
  </si>
  <si>
    <t>Reclass CVAE paiement 05 2022</t>
  </si>
  <si>
    <t>JE2032833</t>
  </si>
  <si>
    <t>Ext Prov CVAE 2021 JE2030067</t>
  </si>
  <si>
    <t>JE2032846</t>
  </si>
  <si>
    <t>Prov Taxes 5/2022</t>
  </si>
  <si>
    <t>Prov CVAE 5/2022</t>
  </si>
  <si>
    <t>IN2004318WHT</t>
  </si>
  <si>
    <t>Jun 2022</t>
  </si>
  <si>
    <t>JE2032847</t>
  </si>
  <si>
    <t>IN2004126WHT</t>
  </si>
  <si>
    <t>IN2994120WHT</t>
  </si>
  <si>
    <t>KPMG INDIA SERVICES LLP</t>
  </si>
  <si>
    <t>IN2004146WHT</t>
  </si>
  <si>
    <t>IN2004151WHT</t>
  </si>
  <si>
    <t>IN2003994WHT</t>
  </si>
  <si>
    <t>IN2004073WHT</t>
  </si>
  <si>
    <t>IN2004048WHT</t>
  </si>
  <si>
    <t>IN2004184WHT</t>
  </si>
  <si>
    <t>IN2004257WHT</t>
  </si>
  <si>
    <t>IN2004164WHT</t>
  </si>
  <si>
    <t>JE2032729</t>
  </si>
  <si>
    <t>IN2004307WHT</t>
  </si>
  <si>
    <t>IN2004329WHT</t>
  </si>
  <si>
    <t>JE2033291</t>
  </si>
  <si>
    <t>Foreign Withholding taxes accrual 06.30.2022</t>
  </si>
  <si>
    <t>JE2033300</t>
  </si>
  <si>
    <t>Prov pour impot PE Italy H122</t>
  </si>
  <si>
    <t>Prov impot PE italy h122</t>
  </si>
  <si>
    <t>Christelle Burdin-Varutti</t>
  </si>
  <si>
    <t>Total - 940125 - Foreign income tax</t>
  </si>
  <si>
    <t>940150 - Federal Income Tax</t>
  </si>
  <si>
    <t>JE2029623</t>
  </si>
  <si>
    <t>AJE Q4 Corporation tax 2021</t>
  </si>
  <si>
    <t>205 :  Ivalua UK</t>
  </si>
  <si>
    <t>JE2030192</t>
  </si>
  <si>
    <t>Corporation tax 2021</t>
  </si>
  <si>
    <t>JE2031545</t>
  </si>
  <si>
    <t>Corp Tax UK Q1 2022</t>
  </si>
  <si>
    <t>JE2031546</t>
  </si>
  <si>
    <t>Accrual Corp Tax SE Q1 2022</t>
  </si>
  <si>
    <t>208: Ivalua Sweden AB</t>
  </si>
  <si>
    <t>JE2031854</t>
  </si>
  <si>
    <t>Income Tax Provision for Q1 2022</t>
  </si>
  <si>
    <t>Income Tax Provision for Q1 2022 AUD</t>
  </si>
  <si>
    <t>206 : Ivalua Australia</t>
  </si>
  <si>
    <t>Bhandari, Pankaj</t>
  </si>
  <si>
    <t>JE2031882</t>
  </si>
  <si>
    <t>Income Tax Provision for Q1 2022 Singapore</t>
  </si>
  <si>
    <t>203 : Ivalua Pte Singapore</t>
  </si>
  <si>
    <t>JE2031883</t>
  </si>
  <si>
    <t>Income Tax Provision for Q1 2022 India</t>
  </si>
  <si>
    <t>207 :  Ivalua India</t>
  </si>
  <si>
    <t>JE2031989</t>
  </si>
  <si>
    <t>IRS - Refund Civil Penalty 2018</t>
  </si>
  <si>
    <t>JE2032525</t>
  </si>
  <si>
    <t>IRS - Civil Penalty for late filing 2018 - Refund</t>
  </si>
  <si>
    <t>JE2033098</t>
  </si>
  <si>
    <t>2018 &amp; 2019 Income tax refund (Quebec)</t>
  </si>
  <si>
    <t>2018 Income tax refund (Quebec)</t>
  </si>
  <si>
    <t>202 : Ivalua Canada</t>
  </si>
  <si>
    <t>2018 Income tax refund (Quebec) - Interest</t>
  </si>
  <si>
    <t>2019 Income tax refund (Quebec)</t>
  </si>
  <si>
    <t>2019 Income tax refund (Quebec) - Interest</t>
  </si>
  <si>
    <t>Total - 940150 - Federal Income Tax</t>
  </si>
  <si>
    <t>Total - 940000 - Income Tax</t>
  </si>
  <si>
    <t>Total</t>
  </si>
  <si>
    <t>120000 - Other Receivables</t>
  </si>
  <si>
    <t>120200 - Income Tax Receivable</t>
  </si>
  <si>
    <t>JE2030988</t>
  </si>
  <si>
    <t>Advance Tax Payment Q4 FY 21-22</t>
  </si>
  <si>
    <t>Naik, Leena</t>
  </si>
  <si>
    <t>Bill Credit</t>
  </si>
  <si>
    <t>CRE037399A</t>
  </si>
  <si>
    <t>TCS Credit</t>
  </si>
  <si>
    <t>Dell International Services India Pvt.,Ltd.,</t>
  </si>
  <si>
    <t>JE2032061</t>
  </si>
  <si>
    <t>Corp Income Tax Assessment Tax YE 12/31/2020</t>
  </si>
  <si>
    <t>JE2033235</t>
  </si>
  <si>
    <t>Income tax Payment  FY2021</t>
  </si>
  <si>
    <t>Income tax Payment FY 2021</t>
  </si>
  <si>
    <t>JE2033198</t>
  </si>
  <si>
    <t>Advance Tax Payment Q1 FY 22-23</t>
  </si>
  <si>
    <t>JE2033290</t>
  </si>
  <si>
    <t>Reclass Income tax Payable FY 2022</t>
  </si>
  <si>
    <t>Total - 120200 - Income Tax Receivable</t>
  </si>
  <si>
    <t>Total - 120000 - Other Receivables</t>
  </si>
  <si>
    <t>220000 - Other Current Liability</t>
  </si>
  <si>
    <t>220200 - Income Tax Payable</t>
  </si>
  <si>
    <t>Currency Revaluation</t>
  </si>
  <si>
    <t>CREV9321</t>
  </si>
  <si>
    <t>FX</t>
  </si>
  <si>
    <t>CREV12314</t>
  </si>
  <si>
    <t>CREV12508</t>
  </si>
  <si>
    <t>CREV12515</t>
  </si>
  <si>
    <t>CREV12509</t>
  </si>
  <si>
    <t>CREV12516</t>
  </si>
  <si>
    <t>Check</t>
  </si>
  <si>
    <t>SE-022022-4</t>
  </si>
  <si>
    <t>Ivalua559189-1832 - tax authorities 0890119646240516</t>
  </si>
  <si>
    <t>Ecritures Bancaires</t>
  </si>
  <si>
    <t>CREV12916</t>
  </si>
  <si>
    <t>CREV12893</t>
  </si>
  <si>
    <t>CREV12917</t>
  </si>
  <si>
    <t>CREV12894</t>
  </si>
  <si>
    <t>BNP-DE-032022-4</t>
  </si>
  <si>
    <t>STEUERNR 143/151/71327  KOERPST  2020  19.732,62EUR KOERPST  Finanzamt Muenchen</t>
  </si>
  <si>
    <t>KOERPST  Finanzamt Muenchen 2021</t>
  </si>
  <si>
    <t>CREV13204</t>
  </si>
  <si>
    <t>CREV13227</t>
  </si>
  <si>
    <t>CREV13283</t>
  </si>
  <si>
    <t>CREV13205</t>
  </si>
  <si>
    <t>CREV13228</t>
  </si>
  <si>
    <t>CREV13284</t>
  </si>
  <si>
    <t>JE2031782</t>
  </si>
  <si>
    <t>2021 Tax Extension Payments</t>
  </si>
  <si>
    <t>2021 Tax Extension Payments - Federal</t>
  </si>
  <si>
    <t>2021 Tax Extension Payments - Alabama</t>
  </si>
  <si>
    <t>2021 Tax Extension Payments - Alabama CPT</t>
  </si>
  <si>
    <t>2021 Tax Extension Payment - Colorado</t>
  </si>
  <si>
    <t>2021 Tax Extension Payment - District of Columbia</t>
  </si>
  <si>
    <t>2021 Tax Extension Payment - Florida</t>
  </si>
  <si>
    <t>2021 Tax Extension Payment - Georgia</t>
  </si>
  <si>
    <t>2021 Tax Extension Payment - Kentucky</t>
  </si>
  <si>
    <t>2021 Tax Extension Payment - Maine</t>
  </si>
  <si>
    <t>2021 Tax Extension Payment - Minnesota</t>
  </si>
  <si>
    <t>2021 Tax Extension Payment - NYC</t>
  </si>
  <si>
    <t>2021 Tax Extension Payment - Oregon</t>
  </si>
  <si>
    <t>2021 Tax Extension Payment - Tenessee</t>
  </si>
  <si>
    <t>2021 Tax Extension Payment - Texas</t>
  </si>
  <si>
    <t>2021 Tax Extension Payment - Vermont</t>
  </si>
  <si>
    <t>JE2031946</t>
  </si>
  <si>
    <t>Income Tax payment March 2022</t>
  </si>
  <si>
    <t>CREV13670</t>
  </si>
  <si>
    <t>CREV13652</t>
  </si>
  <si>
    <t>CREV13701</t>
  </si>
  <si>
    <t>CREV13671</t>
  </si>
  <si>
    <t>CREV13653</t>
  </si>
  <si>
    <t>CREV13702</t>
  </si>
  <si>
    <t>JE2032560</t>
  </si>
  <si>
    <t>Income tax Payment 2021-2022</t>
  </si>
  <si>
    <t>CREV13981</t>
  </si>
  <si>
    <t>CREV13997</t>
  </si>
  <si>
    <t>CREV13971</t>
  </si>
  <si>
    <t>CREV13982</t>
  </si>
  <si>
    <t>CREV13998</t>
  </si>
  <si>
    <t>CREV13972</t>
  </si>
  <si>
    <t>JE2033216</t>
  </si>
  <si>
    <t>2021 Income TR Payment (Estimated)</t>
  </si>
  <si>
    <t>2021 Income TR - Federal (Estimated)</t>
  </si>
  <si>
    <t>2021 Income TR - Quebec (Estimated)</t>
  </si>
  <si>
    <t>Total - 220200 - Income Tax Payable</t>
  </si>
  <si>
    <t>Total - 220000 - Other Current Liability</t>
  </si>
  <si>
    <t>Ivalua - SEC BS by Subsidiary</t>
  </si>
  <si>
    <t>Balance Sheet by Subsidiary Column</t>
  </si>
  <si>
    <t>Financial Row</t>
  </si>
  <si>
    <t>209: Ivalua DMCC</t>
  </si>
  <si>
    <t>400:  Elimination</t>
  </si>
  <si>
    <t> </t>
  </si>
  <si>
    <t>Assets</t>
  </si>
  <si>
    <t>Current Assets:</t>
  </si>
  <si>
    <t>Cash and cash equivalents</t>
  </si>
  <si>
    <t>100000 - Cash</t>
  </si>
  <si>
    <t>100001 - BNP Paribas - France -1238 (EUR)</t>
  </si>
  <si>
    <t>100002 - HSBC - France - 1537 (EUR)</t>
  </si>
  <si>
    <t>100003 - HSBC - France - 0966 (USD)</t>
  </si>
  <si>
    <t>100005 - HSBC Checking - US - 2452 (USD)</t>
  </si>
  <si>
    <t>100006 - HSBC Saving - US - 7072 (USD)</t>
  </si>
  <si>
    <t>100007 - BNP - France - 7411 (USD)</t>
  </si>
  <si>
    <t>100009 - HSBC Checking - Canada - 6001 (CAD)</t>
  </si>
  <si>
    <t>100013 - HSBC Singapore – Singapore -5657 (SGD)</t>
  </si>
  <si>
    <t>100015 - AW BNP PARIBAS S.A. DEUT</t>
  </si>
  <si>
    <t>100017 - BNP UK</t>
  </si>
  <si>
    <t>100018 - HSBC Checking - India - 60001 (INR)</t>
  </si>
  <si>
    <t>100019 - BNP Parabas - Sweden - 0234 (SEK)</t>
  </si>
  <si>
    <t>100021 - SVB Sweep - US - 4856 (USD)</t>
  </si>
  <si>
    <t>100022 - SVB/AZN - Australia -6298 (AUD)</t>
  </si>
  <si>
    <t>100024 - Dubai Bank Account in AED</t>
  </si>
  <si>
    <t>100111 - Inter Bank Transfer (SVB)</t>
  </si>
  <si>
    <t>Total - 100000 - Cash</t>
  </si>
  <si>
    <t>Total - Cash and cash equivalents</t>
  </si>
  <si>
    <t>Short-term investments</t>
  </si>
  <si>
    <t>106250 - Investments DAT BNP USD</t>
  </si>
  <si>
    <t>Total - Short-term investments</t>
  </si>
  <si>
    <t>Accounts receivable, net of doubtful accounts</t>
  </si>
  <si>
    <t>110010 - A/R Trade EU</t>
  </si>
  <si>
    <t>110015 - A/R Trade Outside EU</t>
  </si>
  <si>
    <t>110050 - A/R Trade Account</t>
  </si>
  <si>
    <t>110400 - A/R Allowance for Doubtful Account</t>
  </si>
  <si>
    <t>111501 - Intercompany Due To/Due From A/R</t>
  </si>
  <si>
    <t>120151 - Withhoding tax receivable</t>
  </si>
  <si>
    <t>120950 - Unbilled Revenue - Recurring</t>
  </si>
  <si>
    <t>120960 - Unbilled Revenue - Non Recurring</t>
  </si>
  <si>
    <t>142000 - Unbilled Revenue Non-Current</t>
  </si>
  <si>
    <t>Total - Accounts receivable, net of doubtful accounts</t>
  </si>
  <si>
    <t>Deferred Commissions, current</t>
  </si>
  <si>
    <t>137250 - Deferred Commissions S/T</t>
  </si>
  <si>
    <t>137251 - Deferred Commissions S/T Affiliates</t>
  </si>
  <si>
    <t>137500 - Deferred Commission Accumulated Amortization</t>
  </si>
  <si>
    <t>137510 - Deferred Commission Accumulated Amortization Affiliates</t>
  </si>
  <si>
    <t>Total - Deferred Commissions, current</t>
  </si>
  <si>
    <t>Prepaid expenses and other current assets</t>
  </si>
  <si>
    <t>106300 - Interest Receivable</t>
  </si>
  <si>
    <t>120250 - Other Receivable</t>
  </si>
  <si>
    <t>120251 - Interco clearing related to DW aquisition</t>
  </si>
  <si>
    <t>120252 - Payroll related Receivable</t>
  </si>
  <si>
    <t>120275 - Undeposited Funds</t>
  </si>
  <si>
    <t>120300 - Employee Advance</t>
  </si>
  <si>
    <t>121001 - VAT deductible Purchase</t>
  </si>
  <si>
    <t>121003 - VAT deductible Reverse charge mechanism Outside EU</t>
  </si>
  <si>
    <t>121004 - VAT ded. Reverse Charge mechanism EU</t>
  </si>
  <si>
    <t>121009 - Accrued VAT / Trade accruals</t>
  </si>
  <si>
    <t>121013 - VAT on Purchases IN</t>
  </si>
  <si>
    <t>121014 - VAT on Purchases (UK)</t>
  </si>
  <si>
    <t>121015 - VAT on Purchases (DE)</t>
  </si>
  <si>
    <t>121016 - VAT on Purchases (SE)</t>
  </si>
  <si>
    <t>121022 - PST recoverable Canada</t>
  </si>
  <si>
    <t>121023 - VAT on Purchases AE</t>
  </si>
  <si>
    <t>121501 - GST on Purchases SG</t>
  </si>
  <si>
    <t>121502 - GST Paid</t>
  </si>
  <si>
    <t>121503 - GST/HST on Purchases</t>
  </si>
  <si>
    <t>123456 - Clearing Account</t>
  </si>
  <si>
    <t>130050 - Prepaid Expense</t>
  </si>
  <si>
    <t>130100 - Prepaid Other</t>
  </si>
  <si>
    <t>135050 - Security Deposit Receivable - Short Term</t>
  </si>
  <si>
    <t>135200 - Deferred Cost</t>
  </si>
  <si>
    <t>135300 - Deferred tax assets ST</t>
  </si>
  <si>
    <t>135400 - Suppliers Credit</t>
  </si>
  <si>
    <t>Total Other Current Asset</t>
  </si>
  <si>
    <t>Total Current Assets</t>
  </si>
  <si>
    <t>Deferred commissions, non-current</t>
  </si>
  <si>
    <t>145200 - Deferred Commission - Long Term</t>
  </si>
  <si>
    <t>145210 - Deferred Commission - Long Term Affliated</t>
  </si>
  <si>
    <t>Total - Deferred commissions, non-current</t>
  </si>
  <si>
    <t>Property, plant and equipment, net</t>
  </si>
  <si>
    <t>155100 - Furniture and Fixtures</t>
  </si>
  <si>
    <t>155200 - Computers</t>
  </si>
  <si>
    <t>155300 - Office Equipment</t>
  </si>
  <si>
    <t>155500 - Leasehold Improvements</t>
  </si>
  <si>
    <t>155600 - Networking Equipment</t>
  </si>
  <si>
    <t>156100 - Accum Depreciation Furniture and Fixtures</t>
  </si>
  <si>
    <t>156200 - Accum Depreciation Computers</t>
  </si>
  <si>
    <t>156300 - Accum Depreciation Office Equipment</t>
  </si>
  <si>
    <t>156500 - Accum Depreciation Leasehold Improvement</t>
  </si>
  <si>
    <t>156600 - Accum Depreciation Networking Equipment</t>
  </si>
  <si>
    <t>159100 - France : LHI</t>
  </si>
  <si>
    <t>159300 - France : Mobilier</t>
  </si>
  <si>
    <t>159500 - France : Networking Equipment</t>
  </si>
  <si>
    <t>159610 - Accum Dep - France LHI</t>
  </si>
  <si>
    <t>159620 - Accum dep - France Computer Equipement</t>
  </si>
  <si>
    <t>159630 - Accum Dep - France Mobilier</t>
  </si>
  <si>
    <t>159640 - Accum Dep - France Intangibles</t>
  </si>
  <si>
    <t>159650 - Accum Dep - France Networking Equipment</t>
  </si>
  <si>
    <t>Total - Property, plant and equipment, net</t>
  </si>
  <si>
    <t>Goodwill</t>
  </si>
  <si>
    <t>170100 - Goodwill</t>
  </si>
  <si>
    <t>Total - Goodwill</t>
  </si>
  <si>
    <t>145710 - Lease Right-of-Use Asset</t>
  </si>
  <si>
    <t>145720 - Lease ROU Acc Depreciation</t>
  </si>
  <si>
    <t>Other Assets</t>
  </si>
  <si>
    <t>175400 - Accum Amort Developed Technology</t>
  </si>
  <si>
    <t>175200 - Accum Amort Patent</t>
  </si>
  <si>
    <t>146000 - Deferred Rent Asset - Long Term</t>
  </si>
  <si>
    <t>145500 - Deferred Tax Asset - Long Term</t>
  </si>
  <si>
    <t>170400 - Developed Technology</t>
  </si>
  <si>
    <t>145900 - IPO offering costs</t>
  </si>
  <si>
    <t>150070 - Investment in Australia</t>
  </si>
  <si>
    <t>150020 - Investment in Canada</t>
  </si>
  <si>
    <t>150050 - Investment in Germany</t>
  </si>
  <si>
    <t>150040 - Investment in India</t>
  </si>
  <si>
    <t>150081 - Investment in Ivalua DMCC Dubai</t>
  </si>
  <si>
    <t>150030 - Investment in Singapore</t>
  </si>
  <si>
    <t>150095 - Investment in Sweden</t>
  </si>
  <si>
    <t>150060 - Investment in UK</t>
  </si>
  <si>
    <t>150010 - Investment in US</t>
  </si>
  <si>
    <t>145400 - Other Long Term Asset (LT)</t>
  </si>
  <si>
    <t>170200 - Patents</t>
  </si>
  <si>
    <t>145100 - Security Deposit - Long Term</t>
  </si>
  <si>
    <t>Total - Other Assets</t>
  </si>
  <si>
    <t>Total Assets</t>
  </si>
  <si>
    <t>Liabilities, and stockholders’ equity</t>
  </si>
  <si>
    <t>Current Liabilities:</t>
  </si>
  <si>
    <t>Accounts Payable</t>
  </si>
  <si>
    <t>200100 - A/P Trade</t>
  </si>
  <si>
    <t>200120 - Employee Expense reports</t>
  </si>
  <si>
    <t>200200 - Unpaid Prepaid</t>
  </si>
  <si>
    <t>201050 - Intercompany Due To/Due From A/P</t>
  </si>
  <si>
    <t>Total - Accounts Payable</t>
  </si>
  <si>
    <t>Accrued compensation and benefits</t>
  </si>
  <si>
    <t>215650 - Accrued Commissions</t>
  </si>
  <si>
    <t>215750 - Accrued Expense Reports</t>
  </si>
  <si>
    <t>215450 - Accrued Liability - 401K/Retirement</t>
  </si>
  <si>
    <t>215500 - Accrued Liability - Bonus Payable</t>
  </si>
  <si>
    <t>215850 - Accrued Liability - FSA</t>
  </si>
  <si>
    <t>215700 - Accrued Liability - Other Payroll Cost</t>
  </si>
  <si>
    <t>215400 - Accrued Liability - PAS</t>
  </si>
  <si>
    <t>215100 - Accrued Liability - Payroll Taxes/Workers Comp/SS/UI</t>
  </si>
  <si>
    <t>215200 - Accrued Liability - Payroll taxes on accrued bonus /com</t>
  </si>
  <si>
    <t>215050 - Accrued Liability - Salary</t>
  </si>
  <si>
    <t>215600 - Accrued Liability - Vacation Payable</t>
  </si>
  <si>
    <t>215900 - Accrued Liability - Workes council</t>
  </si>
  <si>
    <t>215075 - Accrued Payroll - Foreign Countries</t>
  </si>
  <si>
    <t>215250 - Accrued liability - Health insurance</t>
  </si>
  <si>
    <t>215150 - Accrued liability - Payroll tax on accrued PTO</t>
  </si>
  <si>
    <t>215350 - Accrued liability - TFR Italy</t>
  </si>
  <si>
    <t>215800 - Employees- Sickness</t>
  </si>
  <si>
    <t>215550 - Other Payroll Tax Accrual</t>
  </si>
  <si>
    <t>215975 - Payroll Clearing</t>
  </si>
  <si>
    <t>215055 - Salary - Foreign Country</t>
  </si>
  <si>
    <t>Total - Accrued compensation and benefits</t>
  </si>
  <si>
    <t>Accrued expenses and other current liabilities</t>
  </si>
  <si>
    <t>210100 - Accrued Liability - T&amp;M Sub-Contractor</t>
  </si>
  <si>
    <t>210101 - Accrued Liability - Fixed Fee Sub-Contractor</t>
  </si>
  <si>
    <t>210200 - Accrued Liability/OPEX</t>
  </si>
  <si>
    <t>210300 - Accrued Liability - Other</t>
  </si>
  <si>
    <t>220250 - Sales Tax Payable</t>
  </si>
  <si>
    <t>220251 - Sales Taxes Payable - CA</t>
  </si>
  <si>
    <t>220400 - Provision for Litigation</t>
  </si>
  <si>
    <t>220800 - Other Tax Payable</t>
  </si>
  <si>
    <t>221001 - VAT Payable</t>
  </si>
  <si>
    <t>221002 - VAT payable Outside EU</t>
  </si>
  <si>
    <t>221003 - VAT Payable EU</t>
  </si>
  <si>
    <t>221005 - VAT to be paid</t>
  </si>
  <si>
    <t>221007 - VAT Deductible Denmark 25%</t>
  </si>
  <si>
    <t>221021 - VAT on Sales AE</t>
  </si>
  <si>
    <t>221504 - GST/HST Payable</t>
  </si>
  <si>
    <t>221505 - PST Payable QC</t>
  </si>
  <si>
    <t>221507 - TDS Payable</t>
  </si>
  <si>
    <t>Total - Accrued expenses and other current liabilities</t>
  </si>
  <si>
    <t>220500 - Lease Liability</t>
  </si>
  <si>
    <t>Deferred revenue, current</t>
  </si>
  <si>
    <t>230010 - Deferred Revenue ASP/SaaS</t>
  </si>
  <si>
    <t>230015 - Deferred Revenue Maintenance</t>
  </si>
  <si>
    <t>230020 - Deferred Revenue Hosting</t>
  </si>
  <si>
    <t>230025 - Deferred Revenue Enhanced Support</t>
  </si>
  <si>
    <t>230027 - Deferred Revenue Other Recurring Services</t>
  </si>
  <si>
    <t>230035 - Deferred Revenue Perpetual License</t>
  </si>
  <si>
    <t>230040 - Deferred Revenue Term License</t>
  </si>
  <si>
    <t>230061 - Deferred Revenue Professional Services (T&amp;M)</t>
  </si>
  <si>
    <t>230062 - Deferred Revenue Professional Services (Fixed Fee)</t>
  </si>
  <si>
    <t>230065 - Deferred Revenue Training</t>
  </si>
  <si>
    <t>230075 - Deferred Revenue - Short Term</t>
  </si>
  <si>
    <t>230099 - Deferred Revenue Clearing</t>
  </si>
  <si>
    <t>230100 - Deferred Revenue Allowance Clearing Account</t>
  </si>
  <si>
    <t>Total - Deferred revenue, current</t>
  </si>
  <si>
    <t>Total Current Liabilities</t>
  </si>
  <si>
    <t>240450 - Lease liability - Long Term</t>
  </si>
  <si>
    <t>Other non-current liabilities</t>
  </si>
  <si>
    <t>240200 - Deferred Rent - Long Term</t>
  </si>
  <si>
    <t>240400 - Security Deposit Payable - Long Term</t>
  </si>
  <si>
    <t>240500 - contingent Liability</t>
  </si>
  <si>
    <t>240650 - Deferred Tax Liability - LT</t>
  </si>
  <si>
    <t>240700 - Indemnity Liability</t>
  </si>
  <si>
    <t>240750 - LT Warrant Liability</t>
  </si>
  <si>
    <t>Total - Other liabilities</t>
  </si>
  <si>
    <t>Total Liabilities</t>
  </si>
  <si>
    <t>Mezzanine Equity:</t>
  </si>
  <si>
    <t>Preferred Share</t>
  </si>
  <si>
    <t>390600 - Preferred Share (External)</t>
  </si>
  <si>
    <t>Total - Preferred Share</t>
  </si>
  <si>
    <t>Summary - Mezzanine Equity:</t>
  </si>
  <si>
    <t>Stockholders' equity</t>
  </si>
  <si>
    <t>Common stock</t>
  </si>
  <si>
    <t>390100 - Common Stock (External)</t>
  </si>
  <si>
    <t>Total - Common stock</t>
  </si>
  <si>
    <t>Additional paid-in capital</t>
  </si>
  <si>
    <t>390400 - Additional Paid In Capital - Common (External)</t>
  </si>
  <si>
    <t>Total - Additional paid-in capital</t>
  </si>
  <si>
    <t>Accumulated other comprehensive income (loss)</t>
  </si>
  <si>
    <t>Accumulated deficit</t>
  </si>
  <si>
    <t>Retained Earnings (Account Section)</t>
  </si>
  <si>
    <t>393100 - Dividends</t>
  </si>
  <si>
    <t>393200 - Cummulative Retained Earning</t>
  </si>
  <si>
    <t>393250 - RAN US GAAP</t>
  </si>
  <si>
    <t>Total - Retained Earnings (Account Section)</t>
  </si>
  <si>
    <t>Net Income</t>
  </si>
  <si>
    <t>Net Income (Balance Forward to Beginning of Year)</t>
  </si>
  <si>
    <t>Total Retained Earnings</t>
  </si>
  <si>
    <t>Total stockholders' deficit</t>
  </si>
  <si>
    <t>Total Stockholders deficit</t>
  </si>
  <si>
    <t>Total liabilities, mezzanine equity, and stockholders’ deficit</t>
  </si>
  <si>
    <t>ck</t>
  </si>
  <si>
    <t>401000 - Subscription Revenue</t>
  </si>
  <si>
    <t>401100 - Revenue ASP/SaaS</t>
  </si>
  <si>
    <t>401400 - Revenue Enhanced Support</t>
  </si>
  <si>
    <t>401300 - Revenue Hosting</t>
  </si>
  <si>
    <t>401200 - Revenue Maintenance</t>
  </si>
  <si>
    <t>Total - 401000 - Subscription Revenue</t>
  </si>
  <si>
    <t>403000 - Professional Services and Other Revenue</t>
  </si>
  <si>
    <t>403125 - Revenue Professional Services (T&amp;M)</t>
  </si>
  <si>
    <t>403150 - Revenue Professional Services (Fixed Fee)</t>
  </si>
  <si>
    <t>403450 - Revenue Other Non-Recurring Services</t>
  </si>
  <si>
    <t>403700 - Revenue Perpetual License</t>
  </si>
  <si>
    <t>Total - 403000 - Professional Services and Other Revenue</t>
  </si>
  <si>
    <t>450000 - Intercompany Revenue</t>
  </si>
  <si>
    <t>450050 - Intercompany Cost Plus</t>
  </si>
  <si>
    <t>450200 - Intercompany Management Fees</t>
  </si>
  <si>
    <t>450250 - Intercompany Operating Expense Recharge</t>
  </si>
  <si>
    <t>450100 - Intercompany TP Distribution</t>
  </si>
  <si>
    <t>450150 - Intercompany TP Royalty</t>
  </si>
  <si>
    <t>Total - 450000 - Intercompany Revenue</t>
  </si>
  <si>
    <t>501000 - Vendor Cost of Revenue</t>
  </si>
  <si>
    <t>501050 - COR SAAS &amp; License (Maintenance &amp; Hosting)</t>
  </si>
  <si>
    <t>501125 - COR Implementation / Subcontractors FF</t>
  </si>
  <si>
    <t>Total - 501000 - Vendor Cost of Revenue</t>
  </si>
  <si>
    <t>610000 - Compensation</t>
  </si>
  <si>
    <t>610050 - Salaries &amp; Wages - FTE</t>
  </si>
  <si>
    <t>610200 - Bonus</t>
  </si>
  <si>
    <t>610250 - Bonus Capitalization</t>
  </si>
  <si>
    <t>610500 - Payroll Taxes</t>
  </si>
  <si>
    <t>610550 - Payroll tax accrual - Vacation</t>
  </si>
  <si>
    <t>610560 - Payroll Tax Accrual - Bonus and Commission</t>
  </si>
  <si>
    <t>619302 - ASSEDIC Contributions</t>
  </si>
  <si>
    <t>619303 - Training tax</t>
  </si>
  <si>
    <t>619304 - Construction tax</t>
  </si>
  <si>
    <t>619306 - Apprenticeship tax</t>
  </si>
  <si>
    <t>619307 - ADESATT</t>
  </si>
  <si>
    <t>Total - 610000 - Compensation</t>
  </si>
  <si>
    <t>615000 - Benefits</t>
  </si>
  <si>
    <t>615050 - Severance</t>
  </si>
  <si>
    <t>615100 - Vacation</t>
  </si>
  <si>
    <t>615151 - Vacation Accrual</t>
  </si>
  <si>
    <t>615225 - Health care</t>
  </si>
  <si>
    <t>615250 - Life insurance</t>
  </si>
  <si>
    <t>615300 - Pension/401K</t>
  </si>
  <si>
    <t>615301 - Pension- US GAAP</t>
  </si>
  <si>
    <t>615350 - Worker's Comp</t>
  </si>
  <si>
    <t>615400 - Other Employee Benefits</t>
  </si>
  <si>
    <t>615500 - Employee Relocation</t>
  </si>
  <si>
    <t>619501 - Visa Fee</t>
  </si>
  <si>
    <t>619503 - Car Lease for Employees</t>
  </si>
  <si>
    <t>619504 - Car Insurance</t>
  </si>
  <si>
    <t>619505 - Car Repair &amp; Maintenance</t>
  </si>
  <si>
    <t>619506 - Taxable Car Benefit Expense</t>
  </si>
  <si>
    <t>619507 - Taxable Car Benefit Offset</t>
  </si>
  <si>
    <t>619508 - Public Transportation Refund to Employees</t>
  </si>
  <si>
    <t>619509 - External Training</t>
  </si>
  <si>
    <t>619512 - PEE Contribution</t>
  </si>
  <si>
    <t>619513 - Restaurant Tickets</t>
  </si>
  <si>
    <t>619514 - Bike Benefit</t>
  </si>
  <si>
    <t>Total - 615000 - Benefits</t>
  </si>
  <si>
    <t>620000 - Professional Services</t>
  </si>
  <si>
    <t>620050 - Contractor and Consulting</t>
  </si>
  <si>
    <t>Total - 620000 - Professional Services</t>
  </si>
  <si>
    <t>640000 - Travel &amp; Entertainment</t>
  </si>
  <si>
    <t>640050 - Air Travel</t>
  </si>
  <si>
    <t>640100 - Train</t>
  </si>
  <si>
    <t>640150 - Lodging</t>
  </si>
  <si>
    <t>640200 - Meals</t>
  </si>
  <si>
    <t>640300 - Taxi &amp; Bus</t>
  </si>
  <si>
    <t>640350 - Other Travel (Internet Access, Incidentals)</t>
  </si>
  <si>
    <t>640400 - Cell Phone</t>
  </si>
  <si>
    <t>640500 - Gas, Mileage, Parking &amp; Tolls</t>
  </si>
  <si>
    <t>640550 - Car Rental</t>
  </si>
  <si>
    <t>640600 - Corporate Event/Offsite</t>
  </si>
  <si>
    <t>640700 - Travel - Rebill</t>
  </si>
  <si>
    <t>640900 - Fuel</t>
  </si>
  <si>
    <t>Total - 640000 - Travel &amp; Entertainment</t>
  </si>
  <si>
    <t>650000 - IT Expenses</t>
  </si>
  <si>
    <t>650350 - IT Maintenance</t>
  </si>
  <si>
    <t>650400 - IT License Rental/Subscripton</t>
  </si>
  <si>
    <t>Total - 650000 - IT Expenses</t>
  </si>
  <si>
    <t>660000 - Office Expenses</t>
  </si>
  <si>
    <t>660100 - Telecom &amp; Others</t>
  </si>
  <si>
    <t>660300 - Furniture and office equipment</t>
  </si>
  <si>
    <t>660400 - Postage and Shipping</t>
  </si>
  <si>
    <t>660500 - Company meals and snacks</t>
  </si>
  <si>
    <t>660550 - Internet</t>
  </si>
  <si>
    <t>669110 - Car Tax</t>
  </si>
  <si>
    <t>Total - 660000 - Office Expenses</t>
  </si>
  <si>
    <t>670400 - Janitorial &amp; Security</t>
  </si>
  <si>
    <t>750000 - Depreciation &amp; Amortization</t>
  </si>
  <si>
    <t>Total - 750000 - Depreciation &amp; Amortization</t>
  </si>
  <si>
    <t>790000 - Allocation expense</t>
  </si>
  <si>
    <t>791200 - COR Software - Allocation in</t>
  </si>
  <si>
    <t>791203 - COR Software - Allocation in 110 from 110 Run</t>
  </si>
  <si>
    <t>Total - 791200 - COR Software - Allocation in</t>
  </si>
  <si>
    <t>791210 - COR Software - Allocation out</t>
  </si>
  <si>
    <t>791211 - COR Recurring - Allocation out of 110</t>
  </si>
  <si>
    <t>Total - 791210 - COR Software - Allocation out</t>
  </si>
  <si>
    <t>861001 - Benefits Allocation</t>
  </si>
  <si>
    <t>861125 - Benefits – Allocation In</t>
  </si>
  <si>
    <t>Total - 861001 - Benefits Allocation</t>
  </si>
  <si>
    <t>861002 - IT Allocation</t>
  </si>
  <si>
    <t>861050 - IT – Allocation In</t>
  </si>
  <si>
    <t>Total - 861002 - IT Allocation</t>
  </si>
  <si>
    <t>861003 - Facilities Allocation</t>
  </si>
  <si>
    <t>861000 - Facilities – Allocation In</t>
  </si>
  <si>
    <t>Total - 861003 - Facilities Allocation</t>
  </si>
  <si>
    <t>Total - 790000 - Allocation expense</t>
  </si>
  <si>
    <t>620400 - Other Professional Services</t>
  </si>
  <si>
    <t>640450 - Per Diem</t>
  </si>
  <si>
    <t>660150 - Dues &amp; Subscription</t>
  </si>
  <si>
    <t>660200 - Office Supplies</t>
  </si>
  <si>
    <t>650050 - Software Expense</t>
  </si>
  <si>
    <t>650150 - Non-Capitalized Equipment</t>
  </si>
  <si>
    <t>650250 - Other IT Expense</t>
  </si>
  <si>
    <t>669180 - Transport on Purchases</t>
  </si>
  <si>
    <t>750150 - Computer Depreciation</t>
  </si>
  <si>
    <t>750200 - Networking Equipment Depreciation</t>
  </si>
  <si>
    <t>750250 - Software Depreciation</t>
  </si>
  <si>
    <t>791201 - COR Software - Allocation in 135 from 155 Build</t>
  </si>
  <si>
    <t>791204 - COR Software - Allocation in 135 from 965 IT</t>
  </si>
  <si>
    <t>501100 - COR Implementation / Subcontractors T&amp;M</t>
  </si>
  <si>
    <t>619103 - Salary - Italy</t>
  </si>
  <si>
    <t>619203 - Payroll Taxes - Italy</t>
  </si>
  <si>
    <t>619502 - Medical Fee</t>
  </si>
  <si>
    <t>620055 - Foreign Contractor</t>
  </si>
  <si>
    <t>620375 - Translation Services</t>
  </si>
  <si>
    <t>620450 - Misc fees</t>
  </si>
  <si>
    <t>630000 - Sales and Marketing Programs</t>
  </si>
  <si>
    <t>630100 - Trade Shows &amp; Events</t>
  </si>
  <si>
    <t>630550 - Goodies</t>
  </si>
  <si>
    <t>Total - 630000 - Sales and Marketing Programs</t>
  </si>
  <si>
    <t>640720 - Meal to be Rebill</t>
  </si>
  <si>
    <t>640730 - Metro/Taxi/Parking to Rebill</t>
  </si>
  <si>
    <t>640740 - Hotel to Rebill</t>
  </si>
  <si>
    <t>Total - 640700 - Travel - Rebill</t>
  </si>
  <si>
    <t>660600 - Documentation &amp; Printing</t>
  </si>
  <si>
    <t>669150 - Other Materials and Supplies</t>
  </si>
  <si>
    <t>670050 - Rent expense</t>
  </si>
  <si>
    <t>670300 - Repair &amp; Maintenance</t>
  </si>
  <si>
    <t>680000 - Other Expenses</t>
  </si>
  <si>
    <t>680050 - Bank Charges</t>
  </si>
  <si>
    <t>680250 - Misc Operation Expense</t>
  </si>
  <si>
    <t>Total - 680000 - Other Expenses</t>
  </si>
  <si>
    <t>791300 - COR Non Recurring - Allocation in</t>
  </si>
  <si>
    <t>791305 - COR Non Recurring - Allocation in 155 from 155 Build</t>
  </si>
  <si>
    <t>Total - 791300 - COR Non Recurring - Allocation in</t>
  </si>
  <si>
    <t>791310 - COR Non Recurring - Allocation out</t>
  </si>
  <si>
    <t>791311 - COR Non Recurring - Allocation out of 155</t>
  </si>
  <si>
    <t>Total - 791310 - COR Non Recurring - Allocation out</t>
  </si>
  <si>
    <t>791301 - COR Non Recurring - Allocation in 160 from 110 Run</t>
  </si>
  <si>
    <t>791304 - COR Non Recurring - Allocation in 160 from 965 IT</t>
  </si>
  <si>
    <t>550000 - Intercompany Cost of Revenue</t>
  </si>
  <si>
    <t>550050 - Intercompany Cost Plus</t>
  </si>
  <si>
    <t>550200 - Intercompany Management Fees</t>
  </si>
  <si>
    <t>550250 - Intercompany Operating Expense Recharge</t>
  </si>
  <si>
    <t>550100 - Intercompany TP Distribution</t>
  </si>
  <si>
    <t>Total - 550000 - Intercompany Cost of Revenue</t>
  </si>
  <si>
    <t>Gross Profit</t>
  </si>
  <si>
    <t>610800 - R&amp;D tax credit</t>
  </si>
  <si>
    <t>750300 - Furniture and Fixture Depreciation</t>
  </si>
  <si>
    <t>791411 - R&amp;D - Allocation in 215 from 110 Run</t>
  </si>
  <si>
    <t>791412 - R&amp;D - Allocation in 215 from 155 Build</t>
  </si>
  <si>
    <t>791413 - R&amp;D - Allocation in 215 from 965 IT</t>
  </si>
  <si>
    <t>660450 - Kitchen supplies</t>
  </si>
  <si>
    <t>305 - Sales</t>
  </si>
  <si>
    <t>610350 - Commission</t>
  </si>
  <si>
    <t>610400 - Commission Capitalization and Payroll Tax</t>
  </si>
  <si>
    <t>610450 - Amortization of Capitalized Commission</t>
  </si>
  <si>
    <t>619107 - Salary - Netherland</t>
  </si>
  <si>
    <t>619110 - Salary - Denmark</t>
  </si>
  <si>
    <t>619207 - Payroll Taxes - Netherlands</t>
  </si>
  <si>
    <t>619210 - Payroll Taxes - Denmark</t>
  </si>
  <si>
    <t>620300 - Accounting Services</t>
  </si>
  <si>
    <t>620500 - Studies and Research</t>
  </si>
  <si>
    <t>630200 - Lead Generation &amp; List Acquisition</t>
  </si>
  <si>
    <t>630600 - Other Marketing</t>
  </si>
  <si>
    <t>660050 - Business and other licenses</t>
  </si>
  <si>
    <t>670200 - Property &amp; City Taxes</t>
  </si>
  <si>
    <t>670500 - Moving Expense</t>
  </si>
  <si>
    <t>680200 - Stock Compensation Expense</t>
  </si>
  <si>
    <t>680810 - Non-Refundable Sales Tax</t>
  </si>
  <si>
    <t>310 - Customer Success</t>
  </si>
  <si>
    <t>669170 - Transport</t>
  </si>
  <si>
    <t>315 - Solution Consulting</t>
  </si>
  <si>
    <t>620350 - Recruiting</t>
  </si>
  <si>
    <t>610300 - Amortization of Capitalized Bonus</t>
  </si>
  <si>
    <t>365 - Regional Marketing</t>
  </si>
  <si>
    <t>630150 - Sponsors &amp; Agency Fees</t>
  </si>
  <si>
    <t>630250 - Social Media</t>
  </si>
  <si>
    <t>630300 - Website</t>
  </si>
  <si>
    <t>630350 - Advertising</t>
  </si>
  <si>
    <t>630450 - Print/Video</t>
  </si>
  <si>
    <t>630500 - Public Relation</t>
  </si>
  <si>
    <t>610475 - Misc Payroll Expense</t>
  </si>
  <si>
    <t>620150 - Legal Fees  - General</t>
  </si>
  <si>
    <t>620250 - Audit, Valuation and Tax</t>
  </si>
  <si>
    <t>620325 - Payroll Fee</t>
  </si>
  <si>
    <t>640250 - Customer Entertainment</t>
  </si>
  <si>
    <t>660350 - Insurance Equipment, Corporate &amp; D&amp;O</t>
  </si>
  <si>
    <t>669100 - Business Tax</t>
  </si>
  <si>
    <t>669120 - Organic Tax</t>
  </si>
  <si>
    <t>680830 - Other Miscellaneous Taxes</t>
  </si>
  <si>
    <t>619112 - Salary - Switzerland</t>
  </si>
  <si>
    <t>619305 - Disability tax</t>
  </si>
  <si>
    <t>620200 - Legal Fees Immigration</t>
  </si>
  <si>
    <t>640910 - Parking</t>
  </si>
  <si>
    <t>680150 - Charitable Contributions</t>
  </si>
  <si>
    <t>680260 - Board fee</t>
  </si>
  <si>
    <t>750350 - Office Equipment Depreciation</t>
  </si>
  <si>
    <t>791501 - G&amp;A - Allocation Out of 965</t>
  </si>
  <si>
    <t>791511 - G&amp;A - Allocation in 965 from 965 IT</t>
  </si>
  <si>
    <t>990 - Benefits Allocation</t>
  </si>
  <si>
    <t>861150 - Benefits – Allocation Out</t>
  </si>
  <si>
    <t>991 - Facilities Allocation</t>
  </si>
  <si>
    <t>669130 - Office Tax</t>
  </si>
  <si>
    <t>669140 - Electricity</t>
  </si>
  <si>
    <t>669160 - Material Insurance</t>
  </si>
  <si>
    <t>670150 - Amortization of Rent expense (ASC 842)</t>
  </si>
  <si>
    <t>670250 - Recharge - sublease</t>
  </si>
  <si>
    <t>670450 - Utilities</t>
  </si>
  <si>
    <t>750400 - Leasehold Improvements Depreciation</t>
  </si>
  <si>
    <t>861025 - Facilities- Allocation Out</t>
  </si>
  <si>
    <t>992 - IT Allocation</t>
  </si>
  <si>
    <t>861100 - IT – Allocation Out</t>
  </si>
  <si>
    <t>Other Income</t>
  </si>
  <si>
    <t>770000 - Other Income</t>
  </si>
  <si>
    <t>770125 - Investment Income</t>
  </si>
  <si>
    <t>770200 - Misc Operation Income</t>
  </si>
  <si>
    <t>770500 - Other Income - Grants</t>
  </si>
  <si>
    <t>Total - 770000 - Other Income</t>
  </si>
  <si>
    <t>Total - Other Income</t>
  </si>
  <si>
    <t>760200 - Other Expense</t>
  </si>
  <si>
    <t>760275 - Realized FX Gain</t>
  </si>
  <si>
    <t>760300 - Unrealized FX Gain</t>
  </si>
  <si>
    <t>760350 - Fines</t>
  </si>
  <si>
    <t>760400 - Unrealized FX Loss</t>
  </si>
  <si>
    <t>760450 - Realized FX Loss</t>
  </si>
  <si>
    <t>Total - 760200 - Other Expense</t>
  </si>
  <si>
    <t>900270 - Rounding Gain/Loss</t>
  </si>
  <si>
    <t>121002 - VAT deductible Asset 20%</t>
  </si>
  <si>
    <t>159201 - Computer Equipment - Expensed in US GAAP</t>
  </si>
  <si>
    <t>200150 - AP Clearing account</t>
  </si>
  <si>
    <t>240100 - Deferred Revenue - Long Term</t>
  </si>
  <si>
    <t>2021 Tax Provision</t>
  </si>
  <si>
    <t>2022 Tax Provision</t>
  </si>
  <si>
    <t>2021 Tax Return Payment</t>
  </si>
  <si>
    <t>2021 Tax Return Refund</t>
  </si>
  <si>
    <t>2022 Tax Return Payment</t>
  </si>
  <si>
    <t>Consolidated</t>
  </si>
  <si>
    <t>code</t>
  </si>
  <si>
    <t>b</t>
  </si>
  <si>
    <t>c</t>
  </si>
  <si>
    <t>st</t>
  </si>
  <si>
    <t>pear</t>
  </si>
  <si>
    <t>Ivalua UK</t>
  </si>
  <si>
    <t>Payable Proofs</t>
  </si>
  <si>
    <t>Withholding Tax Paid</t>
  </si>
  <si>
    <t>Withholding Tax Accrued</t>
  </si>
  <si>
    <t>Others</t>
  </si>
  <si>
    <t>Accruals</t>
  </si>
  <si>
    <t>Interest and Penalties</t>
  </si>
  <si>
    <t>Ivalua US</t>
  </si>
  <si>
    <t>Ivalua France</t>
  </si>
  <si>
    <t>FX Revaluation</t>
  </si>
  <si>
    <t>CVAE</t>
  </si>
  <si>
    <t>Ivalua Canada</t>
  </si>
  <si>
    <t>2020 Tax Return</t>
  </si>
  <si>
    <t>2021 Tax Return</t>
  </si>
  <si>
    <t>2022 Tax Return</t>
  </si>
  <si>
    <t>Open Tax Return Years:</t>
  </si>
  <si>
    <t>FIN48 account to be separated</t>
  </si>
  <si>
    <t>low for 2021 payments</t>
  </si>
  <si>
    <t>add cvae</t>
  </si>
  <si>
    <t>reclass receivable to payable</t>
  </si>
  <si>
    <t>2020 Tax Provision</t>
  </si>
  <si>
    <t>Ivalua Singapore</t>
  </si>
  <si>
    <t>Ivalua Germany</t>
  </si>
  <si>
    <t>Ivalua Australia</t>
  </si>
  <si>
    <t>Ivalua India</t>
  </si>
  <si>
    <t>Ivalua Sweden</t>
  </si>
  <si>
    <t>Ivalua DMCC</t>
  </si>
  <si>
    <t>JE2033386</t>
  </si>
  <si>
    <t>2020 Income tax refund (Quebec)</t>
  </si>
  <si>
    <t>CREV14276</t>
  </si>
  <si>
    <t>CREV14307</t>
  </si>
  <si>
    <t>CREV14284</t>
  </si>
  <si>
    <t>CREV14274</t>
  </si>
  <si>
    <t>Balance Sheet Detail</t>
  </si>
  <si>
    <t>Name</t>
  </si>
  <si>
    <t>2021 CVAE</t>
  </si>
  <si>
    <t>2022 CVAE</t>
  </si>
  <si>
    <t>2021 CVAE Paid</t>
  </si>
  <si>
    <t>DR/&lt;CR&gt;</t>
  </si>
  <si>
    <t>State Taxes</t>
  </si>
  <si>
    <t>2020 TR</t>
  </si>
  <si>
    <t>OPA</t>
  </si>
  <si>
    <t>Refund</t>
  </si>
  <si>
    <t>Payment with 2020 TR</t>
  </si>
  <si>
    <t>AL</t>
  </si>
  <si>
    <t>AZ</t>
  </si>
  <si>
    <t>CA</t>
  </si>
  <si>
    <t>CO</t>
  </si>
  <si>
    <t>DC</t>
  </si>
  <si>
    <t>FL</t>
  </si>
  <si>
    <t>GA</t>
  </si>
  <si>
    <t>IL</t>
  </si>
  <si>
    <t>IN</t>
  </si>
  <si>
    <t>MA</t>
  </si>
  <si>
    <t>ME</t>
  </si>
  <si>
    <t>MD</t>
  </si>
  <si>
    <t>MI</t>
  </si>
  <si>
    <t>MN</t>
  </si>
  <si>
    <t>NC</t>
  </si>
  <si>
    <t>NJ</t>
  </si>
  <si>
    <t>NY</t>
  </si>
  <si>
    <t>NY-MTA</t>
  </si>
  <si>
    <t>NYC</t>
  </si>
  <si>
    <t>OR</t>
  </si>
  <si>
    <t>PA</t>
  </si>
  <si>
    <t>Per TR</t>
  </si>
  <si>
    <t>RI</t>
  </si>
  <si>
    <t>TN</t>
  </si>
  <si>
    <t>TX</t>
  </si>
  <si>
    <t>UT</t>
  </si>
  <si>
    <t>VA</t>
  </si>
  <si>
    <t>VT</t>
  </si>
  <si>
    <t>2021 Tax Payments</t>
  </si>
  <si>
    <t>Per Tax Payable Proof</t>
  </si>
  <si>
    <t>Tax Receivable</t>
  </si>
  <si>
    <t>Tax Payable</t>
  </si>
  <si>
    <t>2021 Tax Refunds</t>
  </si>
  <si>
    <t>2021 FILED</t>
  </si>
  <si>
    <t>2021 NOT FILED</t>
  </si>
  <si>
    <t>CAD</t>
  </si>
  <si>
    <t>PY Carryover credits (State)</t>
  </si>
  <si>
    <t>Sweden</t>
  </si>
  <si>
    <t>Indirect Tax</t>
  </si>
  <si>
    <t>French R&amp;D</t>
  </si>
  <si>
    <t>Withholding taxes</t>
  </si>
  <si>
    <t>AR</t>
  </si>
  <si>
    <t>checklist - valuation allowance assessment</t>
  </si>
  <si>
    <t>????</t>
  </si>
  <si>
    <t>CTA</t>
  </si>
  <si>
    <t>France</t>
  </si>
  <si>
    <t>US</t>
  </si>
  <si>
    <t>Canada</t>
  </si>
  <si>
    <t>May</t>
  </si>
  <si>
    <t>June</t>
  </si>
  <si>
    <t>July</t>
  </si>
  <si>
    <t>August</t>
  </si>
  <si>
    <t>September</t>
  </si>
  <si>
    <t>ECI to be paid for 2021</t>
  </si>
  <si>
    <t>Q2 Tax Provision</t>
  </si>
  <si>
    <t>IVALUA PTE LTD</t>
  </si>
  <si>
    <t>Note 9 - TAX RECONCILAITON</t>
  </si>
  <si>
    <t>Other Current Liability : Income Tax Payable</t>
  </si>
  <si>
    <t>* Prepared based on EY's tax computation working provided.</t>
  </si>
  <si>
    <t>Provision for Taxation for YA2022</t>
  </si>
  <si>
    <t>Profit / (Loss) for YA2022</t>
  </si>
  <si>
    <t>Less: Non- Taxabale Income</t>
  </si>
  <si>
    <t>Jobs Support Scheme</t>
  </si>
  <si>
    <t>Jobs Growth Incentive Scheme</t>
  </si>
  <si>
    <t>Add: non-tax deductible expenses</t>
  </si>
  <si>
    <t>Provision for unutilised leave</t>
  </si>
  <si>
    <t>Fixed Assets expensed off</t>
  </si>
  <si>
    <t>General expenses</t>
  </si>
  <si>
    <t>Secretarial fees</t>
  </si>
  <si>
    <t>Staff insurance</t>
  </si>
  <si>
    <t>Unrealised exchange difference</t>
  </si>
  <si>
    <t>Medical expenses</t>
  </si>
  <si>
    <t>Note 1</t>
  </si>
  <si>
    <t>Concession for Enterprise Development (FY2018 expenses)</t>
  </si>
  <si>
    <t>Less: Exempt amount</t>
  </si>
  <si>
    <t>First 10,000 @ 75.00%</t>
  </si>
  <si>
    <t>Next 190,000 @ 50.00%</t>
  </si>
  <si>
    <t>Tax @  17%</t>
  </si>
  <si>
    <t>Less: Tax rebate (20%)</t>
  </si>
  <si>
    <t>(max: $10,000 per YA2019)</t>
  </si>
  <si>
    <t>Estimated Income Tax for current year</t>
  </si>
  <si>
    <t>Total Provision Tax for FY2021</t>
  </si>
  <si>
    <t>Less: DTA utilisation FY2021</t>
  </si>
  <si>
    <t>Total Provision Tax</t>
  </si>
  <si>
    <t>Tax Reconciliation</t>
  </si>
  <si>
    <t>S$</t>
  </si>
  <si>
    <t>Profit before income tax</t>
  </si>
  <si>
    <t>Tax calculated at tax rate 17%</t>
  </si>
  <si>
    <t>Non-taxable income</t>
  </si>
  <si>
    <t>Tax incentives</t>
  </si>
  <si>
    <t>Non-deductible expenses</t>
  </si>
  <si>
    <t>Income tax (credit)/expense recognised in profit or loss</t>
  </si>
  <si>
    <t>Insurance - Dental and medical insurance</t>
  </si>
  <si>
    <t>Total Remuneration</t>
  </si>
  <si>
    <t>Staff salaries</t>
  </si>
  <si>
    <t>Staff bonus</t>
  </si>
  <si>
    <t>CPF</t>
  </si>
  <si>
    <t>Staff commission</t>
  </si>
  <si>
    <t>1% of Total Remuneration</t>
  </si>
  <si>
    <t>Amount restricted</t>
  </si>
  <si>
    <t>Medical expenses (deductible amount)</t>
  </si>
  <si>
    <t xml:space="preserve">For medical expenses, total deductible amount is capped a 1% of remuneration or amount of medical expenses, whichever is lower. As 1% of remuneration is lower, amount restricted/non-deductible will be medical expenses minus the deductible amount. </t>
  </si>
  <si>
    <t>Note 2</t>
  </si>
  <si>
    <t>#GJ211107</t>
  </si>
  <si>
    <t>Dr Tax expense</t>
  </si>
  <si>
    <t>Cr Tax payable</t>
  </si>
  <si>
    <t>(Being recognition of tax expense for FY2021)</t>
  </si>
  <si>
    <t>#GJ211108</t>
  </si>
  <si>
    <t>Dr Tax payable</t>
  </si>
  <si>
    <t>Cr Deferred tax asset</t>
  </si>
  <si>
    <t>(Being utilisation of deferred tax asset for FY2021)</t>
  </si>
  <si>
    <t>Notes to the Accounts as at 31 DECEMBER 2021</t>
  </si>
  <si>
    <t>Per TB: DR/&lt;CR&gt;</t>
  </si>
  <si>
    <t>Germany</t>
  </si>
  <si>
    <t>Tax Provision</t>
  </si>
  <si>
    <t>missing</t>
  </si>
  <si>
    <t>India</t>
  </si>
  <si>
    <t>2022 Tax Return Refund</t>
  </si>
  <si>
    <t>2022 Tax Payments</t>
  </si>
  <si>
    <t>Tax Liability</t>
  </si>
  <si>
    <t>OK</t>
  </si>
  <si>
    <t>Difference</t>
  </si>
  <si>
    <t>SGD</t>
  </si>
  <si>
    <t>EUR</t>
  </si>
  <si>
    <t>GBP</t>
  </si>
  <si>
    <t>AUD</t>
  </si>
  <si>
    <t>INR</t>
  </si>
  <si>
    <t>KRN</t>
  </si>
  <si>
    <t>USD</t>
  </si>
  <si>
    <t>2020 Tax Payments</t>
  </si>
  <si>
    <t>Then please send the signed pages back to me by email. These signatures are for our files only, all data will then be transferred to the tax authorities and to the Federal Gazette electronically.</t>
  </si>
  <si>
    <t>Some explanation on the taxes:</t>
  </si>
  <si>
    <t>Corporate tax: to pay: 39.299 €, whereof already prepaid until today: 21.443 €, expected tax assessment: 17.956 € to pay</t>
  </si>
  <si>
    <t>Trade tax: to pay: 42.581 €, whereof already prepaid until today: 23.235 €, expected tax assessment: 19.346 € to pay</t>
  </si>
  <si>
    <r>
      <t>VAT: to </t>
    </r>
    <r>
      <rPr>
        <b/>
        <sz val="10"/>
        <color rgb="FF1F497D"/>
        <rFont val="Verdana"/>
        <family val="2"/>
      </rPr>
      <t>receive:</t>
    </r>
    <r>
      <rPr>
        <sz val="10"/>
        <color rgb="FF1F497D"/>
        <rFont val="Verdana"/>
        <family val="2"/>
      </rPr>
      <t> 78.169 €, whereof already </t>
    </r>
    <r>
      <rPr>
        <b/>
        <sz val="10"/>
        <color rgb="FF1F497D"/>
        <rFont val="Verdana"/>
        <family val="2"/>
      </rPr>
      <t>received</t>
    </r>
    <r>
      <rPr>
        <sz val="10"/>
        <color rgb="FF1F497D"/>
        <rFont val="Verdana"/>
        <family val="2"/>
      </rPr>
      <t> until today: 42.009 €, expected tax assessment: - 36.160 € to </t>
    </r>
    <r>
      <rPr>
        <b/>
        <sz val="10"/>
        <color rgb="FF1F497D"/>
        <rFont val="Verdana"/>
        <family val="2"/>
      </rPr>
      <t>receive</t>
    </r>
  </si>
  <si>
    <t>Grand total for all taxes: 1.142 € to pay</t>
  </si>
  <si>
    <r>
      <t>Please note that together with the tax assessments for 2021 (which may arrive in about 4 weeks and are due for payments 4 weeks upon receipt), the prepayments for </t>
    </r>
    <r>
      <rPr>
        <u/>
        <sz val="10"/>
        <color rgb="FF1F497D"/>
        <rFont val="Verdana"/>
        <family val="2"/>
      </rPr>
      <t>2022</t>
    </r>
    <r>
      <rPr>
        <sz val="10"/>
        <color rgb="FF1F497D"/>
        <rFont val="Verdana"/>
        <family val="2"/>
      </rPr>
      <t> will be increased for corporate tax and for trade tax. I will keep you posted as soon as we get any such notice from the fiscal authorities.</t>
    </r>
  </si>
  <si>
    <t>---------- Forwarded message ---------</t>
  </si>
  <si>
    <t>De : Peter Friedl &lt;peter.friedl@alb-friedl.de&gt;</t>
  </si>
  <si>
    <t>Date: ven. 25 févr. 2022 à 10:06</t>
  </si>
  <si>
    <t>Subject: Ivalua GmbH, Trade tax 2020</t>
  </si>
  <si>
    <t>To: Christelle Burdin-Varutti &lt;cbv@ivalua.com&gt;</t>
  </si>
  <si>
    <t>Cc: Jonathan Wright &lt;jow@ivalua.com&gt;</t>
  </si>
  <si>
    <t>Bonjour Christelle,</t>
  </si>
  <si>
    <t>the assessment for trade tax 2020 has arrived from the city of Munich, see first attachment.</t>
  </si>
  <si>
    <t>The amounts are in line with our tax return.</t>
  </si>
  <si>
    <t>To pay:</t>
  </si>
  <si>
    <t>For 2020 (final):                         23.235,80 Euro, due on 28.03.2022</t>
  </si>
  <si>
    <t>Preliminary payment for 2021:      23.235,00 Euro, due on 28.03.2022 (the final payment will be known when we file the tax returns for 2021)</t>
  </si>
  <si>
    <t>Quarterly prepayments for 2022:</t>
  </si>
  <si>
    <t>7.745 Euro, due on 15.05.2022</t>
  </si>
  <si>
    <t>7.745 Euro, due on 15.08.2022</t>
  </si>
  <si>
    <t>7.745 Euro, due on 15.11.2022</t>
  </si>
  <si>
    <t>Prepayments for 2023 (this will be adjusted when we file tax returns for 2021):</t>
  </si>
  <si>
    <t>5.808 Euro, due on 15.02.2023</t>
  </si>
  <si>
    <t>5.808 Euro, due on 15.05.2023</t>
  </si>
  <si>
    <t>5.808 Euro, due on 15.08.2023</t>
  </si>
  <si>
    <t>5.808 Euro, due on 15.11.2023</t>
  </si>
  <si>
    <t>To reduce the risk of late payments and fines we recommend to sign a direct debit form. This is very common for all kind of taxes to be paid by companies. And from my experience the authorities are very reliable.</t>
  </si>
  <si>
    <t>For trade tax you can either:</t>
  </si>
  <si>
    <r>
      <t>-</t>
    </r>
    <r>
      <rPr>
        <sz val="7"/>
        <color rgb="FF222222"/>
        <rFont val="Times New Roman"/>
        <family val="1"/>
      </rPr>
      <t>      </t>
    </r>
    <r>
      <rPr>
        <sz val="10"/>
        <color rgb="FF222222"/>
        <rFont val="Verdana"/>
        <family val="2"/>
      </rPr>
      <t>Print and sign the second attachment. Then send it to the address shown on the top of the form.</t>
    </r>
  </si>
  <si>
    <t>Or (much easier, made online):</t>
  </si>
  <si>
    <r>
      <t>-</t>
    </r>
    <r>
      <rPr>
        <sz val="7"/>
        <color rgb="FF222222"/>
        <rFont val="Times New Roman"/>
        <family val="1"/>
      </rPr>
      <t>      </t>
    </r>
    <r>
      <rPr>
        <sz val="10"/>
        <color rgb="FF222222"/>
        <rFont val="Verdana"/>
        <family val="2"/>
      </rPr>
      <t>I can fill in a form on the homepage of the city of Munich, indicating your name as authorized person, Ivalua’s IBAN, and send it off electronically.</t>
    </r>
  </si>
  <si>
    <t>Just let me know, if you want to go for the direct debit and – if so – in which way you want to register it.</t>
  </si>
  <si>
    <t>If you do not want to have the direct debit please make sure all payments are duly made.</t>
  </si>
  <si>
    <t>Viele Grüße / Kind regards</t>
  </si>
  <si>
    <r>
      <t>Peter</t>
    </r>
    <r>
      <rPr>
        <sz val="10"/>
        <color rgb="FF222222"/>
        <rFont val="MS PGothic"/>
        <family val="2"/>
      </rPr>
      <t>  </t>
    </r>
  </si>
  <si>
    <t>Peter Friedl</t>
  </si>
  <si>
    <t>Partner / Geschäftsführer</t>
  </si>
  <si>
    <t>StB/WP</t>
  </si>
  <si>
    <t>june 21 2022</t>
  </si>
  <si>
    <t>VAT credit offset against 2020 income tax</t>
  </si>
  <si>
    <t>paid 3/7/2022</t>
  </si>
  <si>
    <t>Trade Tax</t>
  </si>
  <si>
    <t>2020 CIT</t>
  </si>
  <si>
    <t>2021 CIT</t>
  </si>
  <si>
    <t>Le lun. 7 févr. 2022 à 16:24, Peter Friedl &lt;peter.friedl@alb-friedl.de&gt; a écrit :</t>
  </si>
  <si>
    <t>Hi Jonathan,</t>
  </si>
  <si>
    <t>we have received the attached tax assessments for 2020.</t>
  </si>
  <si>
    <t>All assessments are all in line with our declarations, no objection to be made.</t>
  </si>
  <si>
    <t>Some explanations:</t>
  </si>
  <si>
    <r>
      <t>1.</t>
    </r>
    <r>
      <rPr>
        <sz val="7"/>
        <color rgb="FF1F497D"/>
        <rFont val="Arial"/>
        <family val="2"/>
      </rPr>
      <t>    </t>
    </r>
    <r>
      <rPr>
        <sz val="10"/>
        <color rgb="FF1F497D"/>
        <rFont val="Verdana"/>
        <family val="2"/>
      </rPr>
      <t>VAT assessment: the refund of 1.710,25 € will not be paid to Ivalua, but will instead be offset against your liability for corporate tax 2020. Please book accordingly.</t>
    </r>
  </si>
  <si>
    <r>
      <t>2.</t>
    </r>
    <r>
      <rPr>
        <sz val="7"/>
        <color rgb="FF1F497D"/>
        <rFont val="Arial"/>
        <family val="2"/>
      </rPr>
      <t>    </t>
    </r>
    <r>
      <rPr>
        <sz val="10"/>
        <color rgb="FF1F497D"/>
        <rFont val="Verdana"/>
        <family val="2"/>
      </rPr>
      <t>Corp. tax assessment 2020: to pay: 21.442,87 € minus 1.710,25 € (see “VAT assessment”) = 19.732,62 €, due on 7</t>
    </r>
    <r>
      <rPr>
        <vertAlign val="superscript"/>
        <sz val="10"/>
        <color rgb="FF1F497D"/>
        <rFont val="Verdana"/>
        <family val="2"/>
      </rPr>
      <t>th</t>
    </r>
    <r>
      <rPr>
        <sz val="10"/>
        <color rgb="FF1F497D"/>
        <rFont val="Verdana"/>
        <family val="2"/>
      </rPr>
      <t> March 2022 (direct debit)</t>
    </r>
  </si>
  <si>
    <r>
      <t>3.</t>
    </r>
    <r>
      <rPr>
        <sz val="7"/>
        <color rgb="FF1F497D"/>
        <rFont val="Arial"/>
        <family val="2"/>
      </rPr>
      <t>    </t>
    </r>
    <r>
      <rPr>
        <sz val="10"/>
        <color rgb="FF1F497D"/>
        <rFont val="Verdana"/>
        <family val="2"/>
      </rPr>
      <t>Corp. tax 2021, prepayments: to pay: 21.442,87, due on 7</t>
    </r>
    <r>
      <rPr>
        <vertAlign val="superscript"/>
        <sz val="10"/>
        <color rgb="FF1F497D"/>
        <rFont val="Verdana"/>
        <family val="2"/>
      </rPr>
      <t>th</t>
    </r>
    <r>
      <rPr>
        <sz val="10"/>
        <color rgb="FF1F497D"/>
        <rFont val="Verdana"/>
        <family val="2"/>
      </rPr>
      <t> March 2022 (direct debit)</t>
    </r>
  </si>
  <si>
    <r>
      <t>4.</t>
    </r>
    <r>
      <rPr>
        <sz val="7"/>
        <color rgb="FF1F497D"/>
        <rFont val="Arial"/>
        <family val="2"/>
      </rPr>
      <t>    </t>
    </r>
    <r>
      <rPr>
        <sz val="10"/>
        <color rgb="FF1F497D"/>
        <rFont val="Verdana"/>
        <family val="2"/>
      </rPr>
      <t>Corp. tax 2022, quarterly prepayments, due on</t>
    </r>
  </si>
  <si>
    <r>
      <t>a.</t>
    </r>
    <r>
      <rPr>
        <sz val="7"/>
        <color rgb="FF1F497D"/>
        <rFont val="Arial"/>
        <family val="2"/>
      </rPr>
      <t>    </t>
    </r>
    <r>
      <rPr>
        <sz val="10"/>
        <color rgb="FF1F497D"/>
        <rFont val="Verdana"/>
        <family val="2"/>
      </rPr>
      <t>5.360,00 €, 10</t>
    </r>
    <r>
      <rPr>
        <vertAlign val="superscript"/>
        <sz val="10"/>
        <color rgb="FF1F497D"/>
        <rFont val="Verdana"/>
        <family val="2"/>
      </rPr>
      <t>th</t>
    </r>
    <r>
      <rPr>
        <sz val="10"/>
        <color rgb="FF1F497D"/>
        <rFont val="Verdana"/>
        <family val="2"/>
      </rPr>
      <t> March 2022 (direct debit)</t>
    </r>
  </si>
  <si>
    <r>
      <t>b.</t>
    </r>
    <r>
      <rPr>
        <sz val="7"/>
        <color rgb="FF1F497D"/>
        <rFont val="Arial"/>
        <family val="2"/>
      </rPr>
      <t>    </t>
    </r>
    <r>
      <rPr>
        <sz val="10"/>
        <color rgb="FF1F497D"/>
        <rFont val="Verdana"/>
        <family val="2"/>
      </rPr>
      <t>5.360,00 €, 10</t>
    </r>
    <r>
      <rPr>
        <vertAlign val="superscript"/>
        <sz val="10"/>
        <color rgb="FF1F497D"/>
        <rFont val="Verdana"/>
        <family val="2"/>
      </rPr>
      <t>th</t>
    </r>
    <r>
      <rPr>
        <sz val="10"/>
        <color rgb="FF1F497D"/>
        <rFont val="Verdana"/>
        <family val="2"/>
      </rPr>
      <t> June 2022 (direct debit)</t>
    </r>
  </si>
  <si>
    <r>
      <t>c.</t>
    </r>
    <r>
      <rPr>
        <sz val="7"/>
        <color rgb="FF1F497D"/>
        <rFont val="Arial"/>
        <family val="2"/>
      </rPr>
      <t>    </t>
    </r>
    <r>
      <rPr>
        <sz val="10"/>
        <color rgb="FF1F497D"/>
        <rFont val="Verdana"/>
        <family val="2"/>
      </rPr>
      <t>5.360,00 €, 10</t>
    </r>
    <r>
      <rPr>
        <vertAlign val="superscript"/>
        <sz val="10"/>
        <color rgb="FF1F497D"/>
        <rFont val="Verdana"/>
        <family val="2"/>
      </rPr>
      <t>th</t>
    </r>
    <r>
      <rPr>
        <sz val="10"/>
        <color rgb="FF1F497D"/>
        <rFont val="Verdana"/>
        <family val="2"/>
      </rPr>
      <t> September 2022 (direct debit)</t>
    </r>
  </si>
  <si>
    <r>
      <t>d.</t>
    </r>
    <r>
      <rPr>
        <sz val="7"/>
        <color rgb="FF1F497D"/>
        <rFont val="Arial"/>
        <family val="2"/>
      </rPr>
      <t>    </t>
    </r>
    <r>
      <rPr>
        <sz val="10"/>
        <color rgb="FF1F497D"/>
        <rFont val="Verdana"/>
        <family val="2"/>
      </rPr>
      <t>5.360,00 €, 10</t>
    </r>
    <r>
      <rPr>
        <vertAlign val="superscript"/>
        <sz val="10"/>
        <color rgb="FF1F497D"/>
        <rFont val="Verdana"/>
        <family val="2"/>
      </rPr>
      <t>th</t>
    </r>
    <r>
      <rPr>
        <sz val="10"/>
        <color rgb="FF1F497D"/>
        <rFont val="Verdana"/>
        <family val="2"/>
      </rPr>
      <t> December 2022 (direct debit)</t>
    </r>
  </si>
  <si>
    <r>
      <t>5.</t>
    </r>
    <r>
      <rPr>
        <sz val="7"/>
        <color rgb="FF1F497D"/>
        <rFont val="Arial"/>
        <family val="2"/>
      </rPr>
      <t>    </t>
    </r>
    <r>
      <rPr>
        <sz val="10"/>
        <color rgb="FF1F497D"/>
        <rFont val="Verdana"/>
        <family val="2"/>
      </rPr>
      <t>Trade tax basic amount 2020: the final tax assessment will be made by the city of Munich. It should arrive within 2 weeks, to pay 23.236 €, within 4 weeks upon receipt of the tax assessment</t>
    </r>
  </si>
  <si>
    <t>JE2026939</t>
  </si>
  <si>
    <t>Tax Entry per Tax Provision</t>
  </si>
  <si>
    <t>Dec 2019</t>
  </si>
  <si>
    <t>Dexter, Neil</t>
  </si>
  <si>
    <t>JE2030788</t>
  </si>
  <si>
    <t>Canada quarterly tax for 2021</t>
  </si>
  <si>
    <t>Mar 2021</t>
  </si>
  <si>
    <t>JE2030789</t>
  </si>
  <si>
    <t>Jun 2021</t>
  </si>
  <si>
    <t>JE2030790</t>
  </si>
  <si>
    <t>Sep 2021</t>
  </si>
  <si>
    <t>JE2029803</t>
  </si>
  <si>
    <t>2021 Income tax provision</t>
  </si>
  <si>
    <t>Dec 2021</t>
  </si>
  <si>
    <t>JE2030791</t>
  </si>
  <si>
    <t>From Jan 2018 to Jun 2022</t>
  </si>
  <si>
    <t>JE2026940</t>
  </si>
  <si>
    <t>JE2027117</t>
  </si>
  <si>
    <t>reclass income tax payable to rec</t>
  </si>
  <si>
    <t>reclass income tax rec</t>
  </si>
  <si>
    <t>JE2027406</t>
  </si>
  <si>
    <t>17-19 CIR reduction of income tax rec per tax audit</t>
  </si>
  <si>
    <t>CIR reduction of income tax rec per tax audit</t>
  </si>
  <si>
    <t>JE4209</t>
  </si>
  <si>
    <t>NYS - Estimate Q1-2020 Payment</t>
  </si>
  <si>
    <t>NYS DTF tax payment #54324845</t>
  </si>
  <si>
    <t>Mar 2020</t>
  </si>
  <si>
    <t>JE2015118</t>
  </si>
  <si>
    <t>Reclass- Income tax 1st and 2nd installment for FY2020-21</t>
  </si>
  <si>
    <t>Sep 2020</t>
  </si>
  <si>
    <t>JE2017136</t>
  </si>
  <si>
    <t>Income tax 2019 - Reclass overpayment</t>
  </si>
  <si>
    <t>CA - Income Tax 2019 record overpayment</t>
  </si>
  <si>
    <t>Dec 2020</t>
  </si>
  <si>
    <t>NYC - Income Tax 2019 record overpayment</t>
  </si>
  <si>
    <t>UT - Income Tax 2019 record overpayment</t>
  </si>
  <si>
    <t>IL - Income Tax 2019 record overpayment</t>
  </si>
  <si>
    <t>DC - Income Tax 2019 record overpayment</t>
  </si>
  <si>
    <t>MA - Income Tax 2019 record overpayment</t>
  </si>
  <si>
    <t>MD - Income Tax 2019 record overpayment</t>
  </si>
  <si>
    <t>NJ - Income Tax 2019 record overpayment</t>
  </si>
  <si>
    <t>RI - Income Tax 2019 record overpayment</t>
  </si>
  <si>
    <t>NYS - Income Tax 2019 record overpayment</t>
  </si>
  <si>
    <t>JE2017139</t>
  </si>
  <si>
    <t>Income Tax Accrual 2020</t>
  </si>
  <si>
    <t>CA - Income Tax Accrual 2020</t>
  </si>
  <si>
    <t>NYC - Income Tax Accrual 2020</t>
  </si>
  <si>
    <t>UT - Income Tax Accrual 2020</t>
  </si>
  <si>
    <t>DC - Income Tax Accrual 2020</t>
  </si>
  <si>
    <t>MA - Income Tax Accrual 2020</t>
  </si>
  <si>
    <t>NJ - Income Tax Accrual 2020</t>
  </si>
  <si>
    <t>RI - Income Tax Accrual 2020</t>
  </si>
  <si>
    <t>NYS - Income Tax Accrual 2020</t>
  </si>
  <si>
    <t>JE2017143</t>
  </si>
  <si>
    <t>Reclass Overpayment 2019</t>
  </si>
  <si>
    <t>PA overpayment 2019 reclass</t>
  </si>
  <si>
    <t>TX overpayment 2019 reclass</t>
  </si>
  <si>
    <t>JE2015119</t>
  </si>
  <si>
    <t>Reclass- Income tax 3rd installment for FY2020-21</t>
  </si>
  <si>
    <t>JE2026945</t>
  </si>
  <si>
    <t>JE2027116</t>
  </si>
  <si>
    <t>JE2027136</t>
  </si>
  <si>
    <t>Reclass income Tax</t>
  </si>
  <si>
    <t>Reclass income Tax Payable (FS presentation)</t>
  </si>
  <si>
    <t>JE2027407</t>
  </si>
  <si>
    <t>20 CIR reduction of income tax rec per tax audit</t>
  </si>
  <si>
    <t>JE2027541</t>
  </si>
  <si>
    <t>reclass income tax receivable from ST to LT</t>
  </si>
  <si>
    <t>Anuj Mehta</t>
  </si>
  <si>
    <t>Bill</t>
  </si>
  <si>
    <t>INV028546</t>
  </si>
  <si>
    <t>Dell Latitude 5411 MLK XCTO 20Nos</t>
  </si>
  <si>
    <t>TCS deduction</t>
  </si>
  <si>
    <t>ADVANCE TAX TDS</t>
  </si>
  <si>
    <t>ADVANCE TAX Q4 AND TDS JAN &amp; FEB 2021</t>
  </si>
  <si>
    <t>Advance tax Q4 FY 2020-21</t>
  </si>
  <si>
    <t>Paysquare Consultancy Ltd</t>
  </si>
  <si>
    <t>JE2024091</t>
  </si>
  <si>
    <t>Audit Entry FY 20-21</t>
  </si>
  <si>
    <t>Advance tax adjustment FY 20-21 Post Audit</t>
  </si>
  <si>
    <t>JE2029580</t>
  </si>
  <si>
    <t>US Gaap Tax Entry Correction for Audit 2019</t>
  </si>
  <si>
    <t>JE2029581</t>
  </si>
  <si>
    <t>JE2029685</t>
  </si>
  <si>
    <t>CIR Q1/21</t>
  </si>
  <si>
    <t>Delbegu, Dany</t>
  </si>
  <si>
    <t>JE2030323</t>
  </si>
  <si>
    <t>reservce CIR Q1 68%</t>
  </si>
  <si>
    <t>reserve CIR Q1/21</t>
  </si>
  <si>
    <t>JE2030869</t>
  </si>
  <si>
    <t>2021 tax quarterlization</t>
  </si>
  <si>
    <t>Advance Tax Q1 21</t>
  </si>
  <si>
    <t>Advance Tax Q1 Payment</t>
  </si>
  <si>
    <t>Advance Tax Q1 2021-22</t>
  </si>
  <si>
    <t>JE2029686</t>
  </si>
  <si>
    <t>CIR Q2/21</t>
  </si>
  <si>
    <t>JE2030324</t>
  </si>
  <si>
    <t>reservce CIR Q2 68%</t>
  </si>
  <si>
    <t>reserve CIR Q2/21</t>
  </si>
  <si>
    <t>JE2030870</t>
  </si>
  <si>
    <t>JE2024972</t>
  </si>
  <si>
    <t>Advance Tax Payment Q2 FY 21-22</t>
  </si>
  <si>
    <t>JE2029687</t>
  </si>
  <si>
    <t>CIR Q3/21</t>
  </si>
  <si>
    <t>JE2030325</t>
  </si>
  <si>
    <t>reservce CIR Q3 68%</t>
  </si>
  <si>
    <t>reserve CIR Q3/21</t>
  </si>
  <si>
    <t>JE2030871</t>
  </si>
  <si>
    <t>JE2027328</t>
  </si>
  <si>
    <t>Refund MA Corporate Excice Tax 2020</t>
  </si>
  <si>
    <t>Nov 2021</t>
  </si>
  <si>
    <t>JE2027921</t>
  </si>
  <si>
    <t>Q3 Advance Tax payment for FY 2021-22</t>
  </si>
  <si>
    <t>JE2029688</t>
  </si>
  <si>
    <t>CIR Q4/21</t>
  </si>
  <si>
    <t>JE2029802</t>
  </si>
  <si>
    <t>reclass payable balance to receivable</t>
  </si>
  <si>
    <t>JE2030326</t>
  </si>
  <si>
    <t>reservce CIR Q4 68%</t>
  </si>
  <si>
    <t>reserve CIR Q4/21</t>
  </si>
  <si>
    <t>JE2030329</t>
  </si>
  <si>
    <t>RECLASS income tax rec ST/LT 17/20</t>
  </si>
  <si>
    <t>JE2030337</t>
  </si>
  <si>
    <t>reclass balances income tax rec</t>
  </si>
  <si>
    <t>reclass income tax rec payable</t>
  </si>
  <si>
    <t>JE2030338</t>
  </si>
  <si>
    <t>CIR input on income tax payable</t>
  </si>
  <si>
    <t>cir21 income tax payable input</t>
  </si>
  <si>
    <t>GL Impact Adjustment</t>
  </si>
  <si>
    <t>433</t>
  </si>
  <si>
    <t>reclass Income tax 2021 à recevoir</t>
  </si>
  <si>
    <t>434</t>
  </si>
  <si>
    <t>JE2030397</t>
  </si>
  <si>
    <t>2021 Tax Entry</t>
  </si>
  <si>
    <t>JE2030806</t>
  </si>
  <si>
    <t>Reclass ST LT income tax</t>
  </si>
  <si>
    <t>input donation/CICE income taxpayable 2017</t>
  </si>
  <si>
    <t>JE2030872</t>
  </si>
  <si>
    <t>JE6311</t>
  </si>
  <si>
    <t>Opening Balance</t>
  </si>
  <si>
    <t>Federal Tax provision 2018</t>
  </si>
  <si>
    <t>Dec 2018</t>
  </si>
  <si>
    <t>Quebec Tax provision 2018</t>
  </si>
  <si>
    <t>JE7096</t>
  </si>
  <si>
    <t>Income Tax Payable</t>
  </si>
  <si>
    <t>JE7118</t>
  </si>
  <si>
    <t>JE2001745</t>
  </si>
  <si>
    <t>2019 AJE-55</t>
  </si>
  <si>
    <t>US GAAP 2018 Tax Provision</t>
  </si>
  <si>
    <t>Jan 2019</t>
  </si>
  <si>
    <t>JE7107</t>
  </si>
  <si>
    <t>STD 2019</t>
  </si>
  <si>
    <t>NJ - Invoice Tax - Conf# 02301</t>
  </si>
  <si>
    <t>910 - Internal Audit</t>
  </si>
  <si>
    <t>Apr 2019</t>
  </si>
  <si>
    <t>IL Dept of Revenue - Conf# 1012601760</t>
  </si>
  <si>
    <t>NYS - DTC CT - Conf# 43314954</t>
  </si>
  <si>
    <t>PA Dept of Revenue - Ck# 3853</t>
  </si>
  <si>
    <t>RI - Division of Taxation - Ck# 3849</t>
  </si>
  <si>
    <t>IRS - Ck# 3846</t>
  </si>
  <si>
    <t>JE7108</t>
  </si>
  <si>
    <t>DC - Form FR-120 - Ck# 3851</t>
  </si>
  <si>
    <t>May 2019</t>
  </si>
  <si>
    <t>UT State of Tax Commission - Ck# 3850</t>
  </si>
  <si>
    <t>Comptroller of Maryland - Ck# 3847</t>
  </si>
  <si>
    <t>MA - Dept of Revenue - Ck# 3852</t>
  </si>
  <si>
    <t>AZ - Dept of Revenue - Ck# 3848</t>
  </si>
  <si>
    <t>TX Comptroller - Ck# 3854</t>
  </si>
  <si>
    <t>JE2003207</t>
  </si>
  <si>
    <t>FR STD 2019</t>
  </si>
  <si>
    <t>Remboursement excedent</t>
  </si>
  <si>
    <t>Jun 2019</t>
  </si>
  <si>
    <t>JE6325</t>
  </si>
  <si>
    <t>Reclass Federal income Tax payment TR2018</t>
  </si>
  <si>
    <t>Jul 2019</t>
  </si>
  <si>
    <t>Reclass Quebec income Tax payment TR2018</t>
  </si>
  <si>
    <t>Reclass Income Tax Estimate Fed 2019</t>
  </si>
  <si>
    <t>Reclass Income Tax Estimate Quebec 2019</t>
  </si>
  <si>
    <t>JE7098</t>
  </si>
  <si>
    <t>IRS Refund - Income Tax</t>
  </si>
  <si>
    <t>JE7099</t>
  </si>
  <si>
    <t>TX State - Tax Refund for 2018 &amp; 2017</t>
  </si>
  <si>
    <t>Aug 2019</t>
  </si>
  <si>
    <t>JE1230</t>
  </si>
  <si>
    <t>12.31.19 Final Entries</t>
  </si>
  <si>
    <t>JE7103</t>
  </si>
  <si>
    <t>Reclass Payment - UT</t>
  </si>
  <si>
    <t>JE8223</t>
  </si>
  <si>
    <t>neutralize income tax</t>
  </si>
  <si>
    <t>JE8394</t>
  </si>
  <si>
    <t>2019 Singapore Income Tax @ 17%</t>
  </si>
  <si>
    <t>JE2001643</t>
  </si>
  <si>
    <t>2019 AJE-8</t>
  </si>
  <si>
    <t>2019 Tax Accrual</t>
  </si>
  <si>
    <t>JE2001729</t>
  </si>
  <si>
    <t>2019 AJE-54</t>
  </si>
  <si>
    <t>Salaire Australie April - Reclass</t>
  </si>
  <si>
    <t>JE2002203</t>
  </si>
  <si>
    <t>Income Tax 2019 provision</t>
  </si>
  <si>
    <t>JE2003210</t>
  </si>
  <si>
    <t>Retenue source paiemnt ooredoo tunisie</t>
  </si>
  <si>
    <t>Retenue source paiemnt ooredoo tunisie nov</t>
  </si>
  <si>
    <t>JE2011460</t>
  </si>
  <si>
    <t>Adj 2019 Nav rec US GAAP</t>
  </si>
  <si>
    <t>JE2013905</t>
  </si>
  <si>
    <t>2019 Corporation Tax UK</t>
  </si>
  <si>
    <t>JE2014978</t>
  </si>
  <si>
    <t>Final tie out for Nav-NetSuite migration</t>
  </si>
  <si>
    <t>JE2015127</t>
  </si>
  <si>
    <t>AJE 77</t>
  </si>
  <si>
    <t>JE2026972</t>
  </si>
  <si>
    <t>Reverse JE 8394 per 2019-2020 Tax Provision</t>
  </si>
  <si>
    <t>JE3946</t>
  </si>
  <si>
    <t>FLUXYM - F/X on - INV023378</t>
  </si>
  <si>
    <t>Jan 2020</t>
  </si>
  <si>
    <t>JE7904</t>
  </si>
  <si>
    <t>Reclass from 220200 to 200100 FX_2019</t>
  </si>
  <si>
    <t>JE2272</t>
  </si>
  <si>
    <t>02/01/2020 - ana - 15787</t>
  </si>
  <si>
    <t>JE7891</t>
  </si>
  <si>
    <t>Reclass from 220200 to 200100 EXP015787</t>
  </si>
  <si>
    <t>JE2218</t>
  </si>
  <si>
    <t>Procurious-US Roundtable w/c 05.04.2020</t>
  </si>
  <si>
    <t>JE7928</t>
  </si>
  <si>
    <t>Reclass from 220200 to 200100 INV023411</t>
  </si>
  <si>
    <t>JE2119</t>
  </si>
  <si>
    <t>ProcurementLeaders-CPOChallenger 03/19-03/20</t>
  </si>
  <si>
    <t>JE2267</t>
  </si>
  <si>
    <t>BTW Visa Services India PVT LTD</t>
  </si>
  <si>
    <t>JE2268</t>
  </si>
  <si>
    <t>JE3303</t>
  </si>
  <si>
    <t>CDW Canada Corp</t>
  </si>
  <si>
    <t>Intercompany - Refund was for Ivalua CAD</t>
  </si>
  <si>
    <t>JE3948</t>
  </si>
  <si>
    <t>BTW VISA SERVICES - F/X on - ACH11</t>
  </si>
  <si>
    <t>JE7846</t>
  </si>
  <si>
    <t>Reclass from 220200 to 200100 ACH10</t>
  </si>
  <si>
    <t>JE7849</t>
  </si>
  <si>
    <t>Reclass from 220200 to 200100 ACH11</t>
  </si>
  <si>
    <t>JE7867</t>
  </si>
  <si>
    <t>Reclass from 220200 to 200100 ACH30</t>
  </si>
  <si>
    <t>CDW CAD - Payment for Ivalua CANADA</t>
  </si>
  <si>
    <t>JE7906</t>
  </si>
  <si>
    <t>JE7917</t>
  </si>
  <si>
    <t>Reclass from 220200 to 200100 INV023236</t>
  </si>
  <si>
    <t>JE2177</t>
  </si>
  <si>
    <t>Sekhar Prasad-Recruitment Svc-12/23/19-12/31/19</t>
  </si>
  <si>
    <t>JE2205</t>
  </si>
  <si>
    <t>RDA - Consulting Service for Jan 2020</t>
  </si>
  <si>
    <t>JE2206</t>
  </si>
  <si>
    <t>LGP - Consulting Service for Jan 2020</t>
  </si>
  <si>
    <t>JE2207</t>
  </si>
  <si>
    <t>GBE - Consulting Service for Jan 2020</t>
  </si>
  <si>
    <t>JE2208</t>
  </si>
  <si>
    <t>DMI - Consulting Service for Jan 2020</t>
  </si>
  <si>
    <t>JE2209</t>
  </si>
  <si>
    <t>CCA - Consulting Service for Jan 2020</t>
  </si>
  <si>
    <t>JE2210</t>
  </si>
  <si>
    <t>ANA - Consulting Service for Jan 2020</t>
  </si>
  <si>
    <t>JE7918</t>
  </si>
  <si>
    <t>Reclass from 220200 to 200100 INV023368</t>
  </si>
  <si>
    <t>JE7919</t>
  </si>
  <si>
    <t>Reclass from 220200 to 200100 INV023369</t>
  </si>
  <si>
    <t>JE7920</t>
  </si>
  <si>
    <t>Reclass from 220200 to 200100 INV023370</t>
  </si>
  <si>
    <t>JE7921</t>
  </si>
  <si>
    <t>Reclass from 220200 to 200100 INV023371</t>
  </si>
  <si>
    <t>JE7922</t>
  </si>
  <si>
    <t>Reclass from 220200 to 200100 INV023372</t>
  </si>
  <si>
    <t>JE7923</t>
  </si>
  <si>
    <t>Reclass from 220200 to 200100 INV023373</t>
  </si>
  <si>
    <t>JE7999</t>
  </si>
  <si>
    <t>Reclass from 220200 to 200100 INV023254</t>
  </si>
  <si>
    <t>JE2015093</t>
  </si>
  <si>
    <t>Cancel JE7999 (incorrect but already applied)</t>
  </si>
  <si>
    <t>JE2161</t>
  </si>
  <si>
    <t>Unbounce Marketing Solutions Inc.</t>
  </si>
  <si>
    <t>JE2162</t>
  </si>
  <si>
    <t>Optis</t>
  </si>
  <si>
    <t>JE4236</t>
  </si>
  <si>
    <t>Wire return for INV022624</t>
  </si>
  <si>
    <t>JE7852</t>
  </si>
  <si>
    <t>Reclass from 220200 to 200100 ACH12</t>
  </si>
  <si>
    <t>JE7854</t>
  </si>
  <si>
    <t>Reclass from 220200 to 200100 ACH13</t>
  </si>
  <si>
    <t>JE2266</t>
  </si>
  <si>
    <t>Diogo Miranda</t>
  </si>
  <si>
    <t>JE7859</t>
  </si>
  <si>
    <t>Reclass from 220200 to 200100 ACH20</t>
  </si>
  <si>
    <t>JE4238</t>
  </si>
  <si>
    <t>Wire return for INV019406</t>
  </si>
  <si>
    <t>Reclass - Wire return for INV019406</t>
  </si>
  <si>
    <t>JE7990</t>
  </si>
  <si>
    <t>Reclass from 220200 to 200100 RET_ACH013</t>
  </si>
  <si>
    <t>JE2480</t>
  </si>
  <si>
    <t>Lee Restaurant-Deposit for 02.25.2020 Event</t>
  </si>
  <si>
    <t>JE7929</t>
  </si>
  <si>
    <t>INV023706</t>
  </si>
  <si>
    <t>JE2269</t>
  </si>
  <si>
    <t>Flucticiel America Inc</t>
  </si>
  <si>
    <t>JE7863</t>
  </si>
  <si>
    <t>Reclass from 220200 to 200100 ACH26</t>
  </si>
  <si>
    <t>JE7930</t>
  </si>
  <si>
    <t>Reclass from 220200 to 200100 INV023795</t>
  </si>
  <si>
    <t>Beacon-HelpDesk China (DW) for JAN/2020</t>
  </si>
  <si>
    <t>CREV2522</t>
  </si>
  <si>
    <t>JE2630</t>
  </si>
  <si>
    <t>30/01/2020 - rda - 16111</t>
  </si>
  <si>
    <t>Feb 2020</t>
  </si>
  <si>
    <t>JE4104</t>
  </si>
  <si>
    <t>Fluxym - P Hugo Exp Reim Nov 19 - NYC</t>
  </si>
  <si>
    <t>JE7892</t>
  </si>
  <si>
    <t>Reclass from 220200 to 200100 EXP016111</t>
  </si>
  <si>
    <t>JE7944</t>
  </si>
  <si>
    <t>Reclass from 220200 to 200100 INV024194</t>
  </si>
  <si>
    <t>WeWork India - Service Retainer for 02-136</t>
  </si>
  <si>
    <t>JE7981</t>
  </si>
  <si>
    <t>Reclass from 220200 to 200100 INV024743</t>
  </si>
  <si>
    <t>CREV2523</t>
  </si>
  <si>
    <t>JE2652</t>
  </si>
  <si>
    <t>02/02/2020 - gbe - 16183</t>
  </si>
  <si>
    <t>JE7895</t>
  </si>
  <si>
    <t>Reclass from 220200 to 200100 EXP016183</t>
  </si>
  <si>
    <t>JE2635</t>
  </si>
  <si>
    <t>03/02/2020 - ana - 16144</t>
  </si>
  <si>
    <t>JE2645</t>
  </si>
  <si>
    <t>03/02/2020 - rda - 16155</t>
  </si>
  <si>
    <t>JE3006</t>
  </si>
  <si>
    <t>Christhian Castillo</t>
  </si>
  <si>
    <t>JE3007</t>
  </si>
  <si>
    <t>Luiz Gustavo Martins Perea</t>
  </si>
  <si>
    <t>JE3008</t>
  </si>
  <si>
    <t>Kyotec Assessoria em Tecnologia da Informacao Ltda</t>
  </si>
  <si>
    <t>JE3009</t>
  </si>
  <si>
    <t>Urem Assessoria em Technologia da Informacao Ltda</t>
  </si>
  <si>
    <t>JE3010</t>
  </si>
  <si>
    <t>J.G.&amp; R. Michelone Consul</t>
  </si>
  <si>
    <t>JE3011</t>
  </si>
  <si>
    <t>Refund for WeWork Brazil Deposit</t>
  </si>
  <si>
    <t>JE3013</t>
  </si>
  <si>
    <t>Procurement Leaders</t>
  </si>
  <si>
    <t>JE3706</t>
  </si>
  <si>
    <t>SVB Bank Fee &amp; Interest</t>
  </si>
  <si>
    <t>Wire return of 01/23/20 - EXP015658</t>
  </si>
  <si>
    <t>JE3867</t>
  </si>
  <si>
    <t>Paysquare - F/X on - ACH03</t>
  </si>
  <si>
    <t>Sekhar - F/X on - ACH02</t>
  </si>
  <si>
    <t>Vikram - F/X on - ACH01</t>
  </si>
  <si>
    <t>JE7838</t>
  </si>
  <si>
    <t>Reclass from 220200 to 200100 ACH06</t>
  </si>
  <si>
    <t>JE7839</t>
  </si>
  <si>
    <t>Reclass from 220200 to 200100 ACH07</t>
  </si>
  <si>
    <t>JE7841</t>
  </si>
  <si>
    <t>Reclass from 220200 to 200100 ACH08</t>
  </si>
  <si>
    <t>JE7844</t>
  </si>
  <si>
    <t>Reclass from 220200 to 200100 ACH09</t>
  </si>
  <si>
    <t>JE7847</t>
  </si>
  <si>
    <t>JE7850</t>
  </si>
  <si>
    <t>JE7855</t>
  </si>
  <si>
    <t>JE7860</t>
  </si>
  <si>
    <t>JE7893</t>
  </si>
  <si>
    <t>Reclass from 220200 to 200100 EXP016144</t>
  </si>
  <si>
    <t>JE7894</t>
  </si>
  <si>
    <t>Reclass from 220200 to 200100 EXP016155</t>
  </si>
  <si>
    <t>JE7993</t>
  </si>
  <si>
    <t>Reclass from 220200 to 200100 ACH02</t>
  </si>
  <si>
    <t>Sekhar Prasad</t>
  </si>
  <si>
    <t>JE2010976</t>
  </si>
  <si>
    <t>ACH02 -Sekhar Prasad - Rebook Entry incorrectly added to Interco</t>
  </si>
  <si>
    <t>JE3522</t>
  </si>
  <si>
    <t>Netcom - Access Pune CDVI [NW] 50% DEPOSIT</t>
  </si>
  <si>
    <t>JE2467</t>
  </si>
  <si>
    <t>Sekhar Prasad-Recruitment Svc-01/21/20-01/31/20</t>
  </si>
  <si>
    <t>JE2743</t>
  </si>
  <si>
    <t>10/02/2020 - gbe - 16459</t>
  </si>
  <si>
    <t>JE7898</t>
  </si>
  <si>
    <t>Reclass from 220200 to 200100 EXP016459</t>
  </si>
  <si>
    <t>JE8000</t>
  </si>
  <si>
    <t>Reclass from 220200 to 200100 INV023688</t>
  </si>
  <si>
    <t>JE3204</t>
  </si>
  <si>
    <t>12/02/2020 - rda - 16304</t>
  </si>
  <si>
    <t>JE7896</t>
  </si>
  <si>
    <t>Reclass from 220200 to 200100 EXP016304</t>
  </si>
  <si>
    <t>JE2710</t>
  </si>
  <si>
    <t>14/02/2020 - dmi - 16340</t>
  </si>
  <si>
    <t>JE3486</t>
  </si>
  <si>
    <t>Procurement Leaders - APC - Hotel 03/17-03/19 TLV</t>
  </si>
  <si>
    <t>JE7897</t>
  </si>
  <si>
    <t>Reclass from 220200 to 200100 EXP016340</t>
  </si>
  <si>
    <t>JE7943</t>
  </si>
  <si>
    <t>Reclass from 220200 to 200100 INV024121</t>
  </si>
  <si>
    <t>Beacon-HelpDesk China (DW) for FEB/2020</t>
  </si>
  <si>
    <t>JE7958</t>
  </si>
  <si>
    <t>Reclass from 220200 to 200100 INV024374</t>
  </si>
  <si>
    <t>JE3024</t>
  </si>
  <si>
    <t>Procurious Ltd</t>
  </si>
  <si>
    <t>JE3025</t>
  </si>
  <si>
    <t>FLUXYM</t>
  </si>
  <si>
    <t>JE3032</t>
  </si>
  <si>
    <t>JE3033</t>
  </si>
  <si>
    <t>Michel Boczko</t>
  </si>
  <si>
    <t>Michel Boczko - write-off immaterial</t>
  </si>
  <si>
    <t>JE3034</t>
  </si>
  <si>
    <t>JE3189</t>
  </si>
  <si>
    <t>JE3990</t>
  </si>
  <si>
    <t>Sekhar - F/X on - ACH24</t>
  </si>
  <si>
    <t>JE4001</t>
  </si>
  <si>
    <t>Procurious - F/X on - ACH27</t>
  </si>
  <si>
    <t>JE7864</t>
  </si>
  <si>
    <t>Reclass from 220200 to 200100 ACH27</t>
  </si>
  <si>
    <t>JE7865</t>
  </si>
  <si>
    <t>Reclass from 220200 to 200100 ACH28</t>
  </si>
  <si>
    <t>JE7872</t>
  </si>
  <si>
    <t>Reclass from 220200 to 200100 ACH35</t>
  </si>
  <si>
    <t>JE7873</t>
  </si>
  <si>
    <t>Reclass from 220200 to 200100 ACH36</t>
  </si>
  <si>
    <t>JE7874</t>
  </si>
  <si>
    <t>Reclass from 220200 to 200100 ACH37</t>
  </si>
  <si>
    <t>JE7907</t>
  </si>
  <si>
    <t>JE7994</t>
  </si>
  <si>
    <t>Reclass from 220200 to 200100 ACH24</t>
  </si>
  <si>
    <t>JE7998</t>
  </si>
  <si>
    <t>Reclass from 220200 to 200100 FX_2020</t>
  </si>
  <si>
    <t>JE3207</t>
  </si>
  <si>
    <t>19/02/2020 - son - 16409</t>
  </si>
  <si>
    <t>JE7996</t>
  </si>
  <si>
    <t>Reclass from 220200 to 200100 EXP016409</t>
  </si>
  <si>
    <t>JE2885</t>
  </si>
  <si>
    <t>ANA - Consulting Service for Feb 2020</t>
  </si>
  <si>
    <t>JE2895</t>
  </si>
  <si>
    <t>CCA - Consulting Service for Feb 2020</t>
  </si>
  <si>
    <t>JE2897</t>
  </si>
  <si>
    <t>DMI - Consulting Service for Feb 2020</t>
  </si>
  <si>
    <t>JE2899</t>
  </si>
  <si>
    <t>GBE - Consulting Service for Feb 2020</t>
  </si>
  <si>
    <t>JE2900</t>
  </si>
  <si>
    <t>LGP - Consulting Service for Feb 2020</t>
  </si>
  <si>
    <t>JE2901</t>
  </si>
  <si>
    <t>RDA - Consulting Service for Feb 2020</t>
  </si>
  <si>
    <t>JE7931</t>
  </si>
  <si>
    <t>Reclass from 220200 to 200100 INV023944</t>
  </si>
  <si>
    <t>JE7932</t>
  </si>
  <si>
    <t>Reclass from 220200 to 200100 INV023954</t>
  </si>
  <si>
    <t>JE7933</t>
  </si>
  <si>
    <t>Reclass from 220200 to 200100 INV023956</t>
  </si>
  <si>
    <t>JE7934</t>
  </si>
  <si>
    <t>Reclass from 220200 to 200100 INV023958</t>
  </si>
  <si>
    <t>JE7935</t>
  </si>
  <si>
    <t>Reclass from 220200 to 200100 INV023959</t>
  </si>
  <si>
    <t>JE7936</t>
  </si>
  <si>
    <t>Reclass from 220200 to 200100 INV023960</t>
  </si>
  <si>
    <t>JE7877</t>
  </si>
  <si>
    <t>Reclass from 220200 to 200100 ACH40</t>
  </si>
  <si>
    <t>Dell International Services India Pvt., Ltd.</t>
  </si>
  <si>
    <t>JE8001</t>
  </si>
  <si>
    <t>Reclass from 220200 to 200100 RET_ACH25</t>
  </si>
  <si>
    <t>Return of wire processed on 01/31/20 - ACH25</t>
  </si>
  <si>
    <t>JE2015569</t>
  </si>
  <si>
    <t>Reversal of JE8001 Dell (Duplicate)</t>
  </si>
  <si>
    <t>JE3293</t>
  </si>
  <si>
    <t>Expedia Inc. dba Egencia LLC</t>
  </si>
  <si>
    <t>5007573 Ontario Limited dba Lee Restaurant</t>
  </si>
  <si>
    <t>JE3989</t>
  </si>
  <si>
    <t>Lee Restaurant - F/X on - CC 0220</t>
  </si>
  <si>
    <t>JE7889</t>
  </si>
  <si>
    <t>Reclass from 220200 to 200100 CC_0220</t>
  </si>
  <si>
    <t>JE7908</t>
  </si>
  <si>
    <t>JE2949</t>
  </si>
  <si>
    <t>MBC - Consulting Service for Jan 2020 (FINAL)</t>
  </si>
  <si>
    <t>JE3178</t>
  </si>
  <si>
    <t>JE3179</t>
  </si>
  <si>
    <t>JE3180</t>
  </si>
  <si>
    <t>JE3182</t>
  </si>
  <si>
    <t>JE3183</t>
  </si>
  <si>
    <t>JE3431</t>
  </si>
  <si>
    <t>RDA - Retro for Jan &amp; Feb 2020</t>
  </si>
  <si>
    <t>JE3432</t>
  </si>
  <si>
    <t>RDA - Bonus for H2 2019</t>
  </si>
  <si>
    <t>JE3433</t>
  </si>
  <si>
    <t>ANA - Retro for Jan &amp; Feb 2020</t>
  </si>
  <si>
    <t>JE3434</t>
  </si>
  <si>
    <t>JE3435</t>
  </si>
  <si>
    <t>GBE - Bonus for H2 2019</t>
  </si>
  <si>
    <t>JE3436</t>
  </si>
  <si>
    <t>GBE - Retro for Jan &amp; Feb 2020</t>
  </si>
  <si>
    <t>JE3437</t>
  </si>
  <si>
    <t>DMI - Retro for Jan &amp; Feb 2020</t>
  </si>
  <si>
    <t>JE3438</t>
  </si>
  <si>
    <t>DMI - Bonus for H2 2019</t>
  </si>
  <si>
    <t>JE3439</t>
  </si>
  <si>
    <t>LGP - Retro for Jan &amp; Feb 2020</t>
  </si>
  <si>
    <t>JE3440</t>
  </si>
  <si>
    <t>LGP - Bonus for H2 2019</t>
  </si>
  <si>
    <t>JE3441</t>
  </si>
  <si>
    <t>CCA - Bonus for H2 2019</t>
  </si>
  <si>
    <t>JE3442</t>
  </si>
  <si>
    <t>CCA - Retro for Jan &amp; Feb 2020</t>
  </si>
  <si>
    <t>JE7882</t>
  </si>
  <si>
    <t>Reclass from 220200 to 200100 ACH54</t>
  </si>
  <si>
    <t>JE7883</t>
  </si>
  <si>
    <t>Reclass from 220200 to 200100 ACH55</t>
  </si>
  <si>
    <t>JE7884</t>
  </si>
  <si>
    <t>Reclass from 220200 to 200100 ACH56</t>
  </si>
  <si>
    <t>JE7885</t>
  </si>
  <si>
    <t>Reclass from 220200 to 200100 ACH57</t>
  </si>
  <si>
    <t>JE7887</t>
  </si>
  <si>
    <t>Reclass from 220200 to 200100 ACH59</t>
  </si>
  <si>
    <t>JE7940</t>
  </si>
  <si>
    <t>Reclass from 220200 to 200100 INV024058</t>
  </si>
  <si>
    <t>JE7945</t>
  </si>
  <si>
    <t>Reclass from 220200 to 200100 INV024224</t>
  </si>
  <si>
    <t>JE7946</t>
  </si>
  <si>
    <t>Reclass from 220200 to 200100 INV024225</t>
  </si>
  <si>
    <t>JE7947</t>
  </si>
  <si>
    <t>Reclass from 220200 to 200100 INV024226</t>
  </si>
  <si>
    <t>JE7948</t>
  </si>
  <si>
    <t>Reclass from 220200 to 200100 INV024227</t>
  </si>
  <si>
    <t>JE7949</t>
  </si>
  <si>
    <t>Reclass from 220200 to 200100 INV024228</t>
  </si>
  <si>
    <t>JE7950</t>
  </si>
  <si>
    <t>Reclass from 220200 to 200100 INV024229</t>
  </si>
  <si>
    <t>JE7951</t>
  </si>
  <si>
    <t>Reclass from 220200 to 200100 INV024230</t>
  </si>
  <si>
    <t>JE7952</t>
  </si>
  <si>
    <t>Reclass from 220200 to 200100 INV024231</t>
  </si>
  <si>
    <t>JE7953</t>
  </si>
  <si>
    <t>Reclass from 220200 to 200100 INV024232</t>
  </si>
  <si>
    <t>JE7954</t>
  </si>
  <si>
    <t>Reclass from 220200 to 200100 INV024233</t>
  </si>
  <si>
    <t>JE7955</t>
  </si>
  <si>
    <t>Reclass from 220200 to 200100 INV024234</t>
  </si>
  <si>
    <t>JE7956</t>
  </si>
  <si>
    <t>Reclass from 220200 to 200100 INV024235</t>
  </si>
  <si>
    <t>CREV2576</t>
  </si>
  <si>
    <t>JE3682</t>
  </si>
  <si>
    <t>Optis - Per Diem for Nov 2019</t>
  </si>
  <si>
    <t>JE3683</t>
  </si>
  <si>
    <t>Optis - Travel Expenses for Nov 2019</t>
  </si>
  <si>
    <t>JE3685</t>
  </si>
  <si>
    <t>Optis - Per Diem for Oct 2019</t>
  </si>
  <si>
    <t>JE3686</t>
  </si>
  <si>
    <t>Optis - Travel Expenses for Oct 2019</t>
  </si>
  <si>
    <t>CREV2577</t>
  </si>
  <si>
    <t>JE3416</t>
  </si>
  <si>
    <t>Beacon Information Services Private Limited</t>
  </si>
  <si>
    <t>JE3484</t>
  </si>
  <si>
    <t>Atharv Electrical - 20 KVA UPS India 75%Pymt</t>
  </si>
  <si>
    <t>JE7837</t>
  </si>
  <si>
    <t>Reclass from 220200 to 200100 ACH05</t>
  </si>
  <si>
    <t>JE3414</t>
  </si>
  <si>
    <t>Fieldfisher LLP</t>
  </si>
  <si>
    <t>JE7842</t>
  </si>
  <si>
    <t>JE3088</t>
  </si>
  <si>
    <t>06/03/2020 - ana - 16664</t>
  </si>
  <si>
    <t>JE7899</t>
  </si>
  <si>
    <t>Reclass from 220200 to 200100 EXP016664</t>
  </si>
  <si>
    <t>JE3630</t>
  </si>
  <si>
    <t>State of Vermont - KPMG Onsite week</t>
  </si>
  <si>
    <t>JE7901</t>
  </si>
  <si>
    <t>Reclass from 220200 to 200100 EXP016742</t>
  </si>
  <si>
    <t>JE3616</t>
  </si>
  <si>
    <t>SP Office Expenses - Mar/20</t>
  </si>
  <si>
    <t>JE7900</t>
  </si>
  <si>
    <t>Reclass from 220200 to 200100 EXP016694</t>
  </si>
  <si>
    <t>JE3525</t>
  </si>
  <si>
    <t>InfoEdge-Naukri-RecruitJobBdIndia03/16/20-03/15/21</t>
  </si>
  <si>
    <t>JE7961</t>
  </si>
  <si>
    <t>Reclass from 220200 to 200100 INV024466</t>
  </si>
  <si>
    <t>JE1481</t>
  </si>
  <si>
    <t>Revenue Quebec - Tax Payment</t>
  </si>
  <si>
    <t>JE3406</t>
  </si>
  <si>
    <t>JE3410</t>
  </si>
  <si>
    <t>JE7868</t>
  </si>
  <si>
    <t>JE7870</t>
  </si>
  <si>
    <t>Reclass from 220200 to 200100 ACH31</t>
  </si>
  <si>
    <t>JE3532</t>
  </si>
  <si>
    <t>ANA - Consulting Service for Mar 2020</t>
  </si>
  <si>
    <t>JE3533</t>
  </si>
  <si>
    <t>CCA - Consulting Service for Mar 20</t>
  </si>
  <si>
    <t>JE3534</t>
  </si>
  <si>
    <t>DMI - Consulting Service for Mar 20</t>
  </si>
  <si>
    <t>JE3537</t>
  </si>
  <si>
    <t>LGP - Consultign Service for Mar 20</t>
  </si>
  <si>
    <t>JE3538</t>
  </si>
  <si>
    <t>RDA - Consulting Service for Mar 20</t>
  </si>
  <si>
    <t>JE3541</t>
  </si>
  <si>
    <t>GBE - Consulting Service for Mar 20</t>
  </si>
  <si>
    <t>JE7962</t>
  </si>
  <si>
    <t>Reclass from 220200 to 200100 INV024473</t>
  </si>
  <si>
    <t>JE7963</t>
  </si>
  <si>
    <t>Reclass from 220200 to 200100 INV024474</t>
  </si>
  <si>
    <t>JE7964</t>
  </si>
  <si>
    <t>Reclass from 220200 to 200100 INV024475</t>
  </si>
  <si>
    <t>JE7965</t>
  </si>
  <si>
    <t>Reclass from 220200 to 200100 INV024478</t>
  </si>
  <si>
    <t>JE7966</t>
  </si>
  <si>
    <t>Reclass from 220200 to 200100 INV024479</t>
  </si>
  <si>
    <t>JE7967</t>
  </si>
  <si>
    <t>Reclass from 220200 to 200100 INV024483</t>
  </si>
  <si>
    <t>JE7976</t>
  </si>
  <si>
    <t>Reclass from 220200 to 200100 INV024657</t>
  </si>
  <si>
    <t>Beacon-HelpDesk China (DW) for MAR/2020</t>
  </si>
  <si>
    <t>JE2015484</t>
  </si>
  <si>
    <t>Wire for INV024458 / INV024361 (returned in April)</t>
  </si>
  <si>
    <t>Wire for INV024458 Netcom / INV024361 Atharv (returned in April)</t>
  </si>
  <si>
    <t>JE1917</t>
  </si>
  <si>
    <t>Germany Data Migration 2020</t>
  </si>
  <si>
    <t>vorläuf. KöSt 03_2020</t>
  </si>
  <si>
    <t>JE1918</t>
  </si>
  <si>
    <t>vorl. SolZ per 03_2020</t>
  </si>
  <si>
    <t>JE3903</t>
  </si>
  <si>
    <t>Fieldfisher-PrivacyAdvice 3.70 Hrs MAR/2020</t>
  </si>
  <si>
    <t>JE3918</t>
  </si>
  <si>
    <t>Fluxym - Sylvie Noel Event</t>
  </si>
  <si>
    <t>JE7977</t>
  </si>
  <si>
    <t>Reclass from 220200 to 200100 INV024689</t>
  </si>
  <si>
    <t>JE7980</t>
  </si>
  <si>
    <t>Reclass from 220200 to 200100 INV024712</t>
  </si>
  <si>
    <t>JE2015120</t>
  </si>
  <si>
    <t>Interest payable on Income tax liability for the FY 19-20</t>
  </si>
  <si>
    <t>Interest payable on Income tax liability for the FY 19-20  Additional</t>
  </si>
  <si>
    <t>JE2015121</t>
  </si>
  <si>
    <t>Income tax liability  and interest liability for the FY 18-19</t>
  </si>
  <si>
    <t>JE2015177</t>
  </si>
  <si>
    <t>Income tax liability  and interest liability for the FY 18-19 &amp; 19-20</t>
  </si>
  <si>
    <t>JE2015257</t>
  </si>
  <si>
    <t>Income tax liability for 18-19</t>
  </si>
  <si>
    <t>FY 2019 Income Tax accrual - India</t>
  </si>
  <si>
    <t>JE2015526</t>
  </si>
  <si>
    <t>Income tax liability  True up for FY 19-20 post Audit</t>
  </si>
  <si>
    <t>CREV2655</t>
  </si>
  <si>
    <t>CREV2656</t>
  </si>
  <si>
    <t>Apr 2020</t>
  </si>
  <si>
    <t>JE4249</t>
  </si>
  <si>
    <t>Info Edge (India) Ltd</t>
  </si>
  <si>
    <t>JE4250</t>
  </si>
  <si>
    <t>JE4251</t>
  </si>
  <si>
    <t>JE4252</t>
  </si>
  <si>
    <t>JE4253</t>
  </si>
  <si>
    <t>JE4254</t>
  </si>
  <si>
    <t>JE4255</t>
  </si>
  <si>
    <t>JE7843</t>
  </si>
  <si>
    <t>JE7845</t>
  </si>
  <si>
    <t>JE7848</t>
  </si>
  <si>
    <t>JE7851</t>
  </si>
  <si>
    <t>JE7853</t>
  </si>
  <si>
    <t>JE7856</t>
  </si>
  <si>
    <t>JE7857</t>
  </si>
  <si>
    <t>Reclass from 220200 to 200100 ACH14</t>
  </si>
  <si>
    <t>JE7982</t>
  </si>
  <si>
    <t>Reclass from 220200 to 200100 INV024754</t>
  </si>
  <si>
    <t>Beacon-HelpDesk China (DW) for APR/2020</t>
  </si>
  <si>
    <t>JE4338</t>
  </si>
  <si>
    <t>Wire Return for INV024458</t>
  </si>
  <si>
    <t>Wire Return for INV024361</t>
  </si>
  <si>
    <t>JE4069</t>
  </si>
  <si>
    <t>SP Office Expenses - Abr/20</t>
  </si>
  <si>
    <t>JE7902</t>
  </si>
  <si>
    <t>Reclass from 220200 to 200100 EXP016867</t>
  </si>
  <si>
    <t>JE4075</t>
  </si>
  <si>
    <t>ANA - Ivalua SP new Office (rent) - Apr/2020</t>
  </si>
  <si>
    <t>JE7903</t>
  </si>
  <si>
    <t>Reclass from 220200 to 200100 EXP016887</t>
  </si>
  <si>
    <t>JE4138</t>
  </si>
  <si>
    <t>ANA - Consulting Service for Apr 2020</t>
  </si>
  <si>
    <t>JE4139</t>
  </si>
  <si>
    <t>DMI - Consulting Service for Apr 2020</t>
  </si>
  <si>
    <t>JE4140</t>
  </si>
  <si>
    <t>GBE - Consulting Service for Apr 2020</t>
  </si>
  <si>
    <t>JE4142</t>
  </si>
  <si>
    <t>LGP - Consulting Service for Apr 2020</t>
  </si>
  <si>
    <t>JE4143</t>
  </si>
  <si>
    <t>RDA - Consulting Service for Apr 2020</t>
  </si>
  <si>
    <t>JE4144</t>
  </si>
  <si>
    <t>CCA - Consulting Service for Apr 2020</t>
  </si>
  <si>
    <t>JE7983</t>
  </si>
  <si>
    <t>Reclass from 220200 to 200100 INV024808</t>
  </si>
  <si>
    <t>JE7984</t>
  </si>
  <si>
    <t>Reclass from 220200 to 200100 INV024810</t>
  </si>
  <si>
    <t>JE7985</t>
  </si>
  <si>
    <t>Reclass from 220200 to 200100 INV024812</t>
  </si>
  <si>
    <t>JE7986</t>
  </si>
  <si>
    <t>Reclass from 220200 to 200100 INV024816</t>
  </si>
  <si>
    <t>JE7987</t>
  </si>
  <si>
    <t>Reclass from 220200 to 200100 INV024818</t>
  </si>
  <si>
    <t>JE7988</t>
  </si>
  <si>
    <t>Reclass from 220200 to 200100 INV024835</t>
  </si>
  <si>
    <t>JE4264</t>
  </si>
  <si>
    <t>Flucticiel America Inc/Fluxym</t>
  </si>
  <si>
    <t>Optis Consulting Network Inc</t>
  </si>
  <si>
    <t>JE7861</t>
  </si>
  <si>
    <t>Reclass from 220200 to 200100 ACH22</t>
  </si>
  <si>
    <t>JE4273</t>
  </si>
  <si>
    <t>Gartner Inc</t>
  </si>
  <si>
    <t>JE4274</t>
  </si>
  <si>
    <t>JE7866</t>
  </si>
  <si>
    <t>Reclass from 220200 to 200100 ACH29</t>
  </si>
  <si>
    <t>JE7869</t>
  </si>
  <si>
    <t>JE4214</t>
  </si>
  <si>
    <t>Inter company transfer from SGD INV018312</t>
  </si>
  <si>
    <t>JE7912</t>
  </si>
  <si>
    <t>Reclass from 220200 to 200100 INTER_0420</t>
  </si>
  <si>
    <t>JE2035</t>
  </si>
  <si>
    <t>vorl. KöSt 04_2020</t>
  </si>
  <si>
    <t>JE2036</t>
  </si>
  <si>
    <t>vorl. SolZ 04_2020</t>
  </si>
  <si>
    <t>JE4306</t>
  </si>
  <si>
    <t>JE4307</t>
  </si>
  <si>
    <t>JE4308</t>
  </si>
  <si>
    <t>JE4309</t>
  </si>
  <si>
    <t>JE4310</t>
  </si>
  <si>
    <t>JE4311</t>
  </si>
  <si>
    <t>JE7875</t>
  </si>
  <si>
    <t>Reclass from 220200 to 200100 ACH38</t>
  </si>
  <si>
    <t>JE7876</t>
  </si>
  <si>
    <t>Reclass from 220200 to 200100 ACH39</t>
  </si>
  <si>
    <t>JE7878</t>
  </si>
  <si>
    <t>JE7879</t>
  </si>
  <si>
    <t>Reclass from 220200 to 200100 ACH41</t>
  </si>
  <si>
    <t>JE7880</t>
  </si>
  <si>
    <t>Reclass from 220200 to 200100 ACH42</t>
  </si>
  <si>
    <t>JE7881</t>
  </si>
  <si>
    <t>Reclass from 220200 to 200100 ACH43</t>
  </si>
  <si>
    <t>CREV2735</t>
  </si>
  <si>
    <t>JE7308</t>
  </si>
  <si>
    <t>FX loss for INV018548</t>
  </si>
  <si>
    <t>May 2020</t>
  </si>
  <si>
    <t>JE7333</t>
  </si>
  <si>
    <t>KPMG - Nicolas Lievain I-94 Ext for family in US</t>
  </si>
  <si>
    <t>JE7343</t>
  </si>
  <si>
    <t>Fieldfisher-PrivacyAdvice 6.20 Hrs APR/2020</t>
  </si>
  <si>
    <t>JE8004</t>
  </si>
  <si>
    <t>ACH01 Reclass from 220200 to 200100</t>
  </si>
  <si>
    <t>Sharda Construction &amp; Corporation PVT LTD</t>
  </si>
  <si>
    <t>JE8007</t>
  </si>
  <si>
    <t>FX ADJ Reclass from 220200 to 200100</t>
  </si>
  <si>
    <t>JE8010</t>
  </si>
  <si>
    <t>INV025127 Reclass from 220200 to 200100</t>
  </si>
  <si>
    <t>JE8017</t>
  </si>
  <si>
    <t>INV025191 Reclass from 220200 to 200100</t>
  </si>
  <si>
    <t>CREV2736</t>
  </si>
  <si>
    <t>JE7387</t>
  </si>
  <si>
    <t>ANA - Ivalua SP new Office (rent) - May/2020</t>
  </si>
  <si>
    <t>JE8005</t>
  </si>
  <si>
    <t>EXP016957 Reclass from 220200 to 200100</t>
  </si>
  <si>
    <t>JE7405</t>
  </si>
  <si>
    <t>SP Office Expenses - May/20</t>
  </si>
  <si>
    <t>JE8006</t>
  </si>
  <si>
    <t>EXP016962 Reclass from 220200 to 200100</t>
  </si>
  <si>
    <t>JE7503</t>
  </si>
  <si>
    <t>Credit Memo for invocie 53949</t>
  </si>
  <si>
    <t>JE7528</t>
  </si>
  <si>
    <t>ProcurementLeaders-ContentStreamPt Jan1-Dec31,2020</t>
  </si>
  <si>
    <t>JE8003</t>
  </si>
  <si>
    <t>54466 Reclass from 220200 to 200100</t>
  </si>
  <si>
    <t>JE8009</t>
  </si>
  <si>
    <t>INV025126 Reclass from 220200 to 200100</t>
  </si>
  <si>
    <t>JE7592</t>
  </si>
  <si>
    <t>DMI - Consulting Service for May 2020</t>
  </si>
  <si>
    <t>JE7594</t>
  </si>
  <si>
    <t>LGP - Consulting Service for May 2020</t>
  </si>
  <si>
    <t>JE7595</t>
  </si>
  <si>
    <t>ANA - Consulting Service for May 2020</t>
  </si>
  <si>
    <t>JE7596</t>
  </si>
  <si>
    <t>RDA - Consulting Service for May 2020</t>
  </si>
  <si>
    <t>JE7597</t>
  </si>
  <si>
    <t>GBE - Consulting Service for May 2020</t>
  </si>
  <si>
    <t>JE7598</t>
  </si>
  <si>
    <t>CCA - Consulting Service for May 2020</t>
  </si>
  <si>
    <t>JE7600</t>
  </si>
  <si>
    <t>SDL Multi-Lingual-TranslatePropoTemp 05/07-05/12</t>
  </si>
  <si>
    <t>JE7601</t>
  </si>
  <si>
    <t>SDL Multi-Lingual-TranslatePP-TechArch 04/26-04/29</t>
  </si>
  <si>
    <t>JE7602</t>
  </si>
  <si>
    <t>SDL Multi-Lingual-TranslateENGSlides 05/08-05/11</t>
  </si>
  <si>
    <t>JE7603</t>
  </si>
  <si>
    <t>SDL Multi-Lingual-TranslatePresent 05/07-05/08</t>
  </si>
  <si>
    <t>JE7604</t>
  </si>
  <si>
    <t>SDL Multi-Lingual-Translate3AuditRpts04/27-04/30</t>
  </si>
  <si>
    <t>JE8011</t>
  </si>
  <si>
    <t>INV025165 Reclass from 220200 to 200100</t>
  </si>
  <si>
    <t>JE8012</t>
  </si>
  <si>
    <t>INV025167 Reclass from 220200 to 200100</t>
  </si>
  <si>
    <t>JE8013</t>
  </si>
  <si>
    <t>INV025168 Reclass from 220200 to 200100</t>
  </si>
  <si>
    <t>JE8014</t>
  </si>
  <si>
    <t>INV025169 Reclass from 220200 to 200100</t>
  </si>
  <si>
    <t>JE8015</t>
  </si>
  <si>
    <t>INV025170 Reclass from 220200 to 200100</t>
  </si>
  <si>
    <t>JE8016</t>
  </si>
  <si>
    <t>INV025171 Reclass from 220200 to 200100</t>
  </si>
  <si>
    <t>JE8024</t>
  </si>
  <si>
    <t>INV025297 Reclass from 220200 to 200100</t>
  </si>
  <si>
    <t>Beacon-HelpDesk China (DW) for MAY/2020</t>
  </si>
  <si>
    <t>JE2015146</t>
  </si>
  <si>
    <t>Reclass 200100 to 220100 (Incorrect data load)</t>
  </si>
  <si>
    <t>JE2015508</t>
  </si>
  <si>
    <t>Cancel duplicate invoice Beacon (Jan to May)</t>
  </si>
  <si>
    <t>Cancel duplicate invoice Beacon JE7930 / JE7943 / JE7976 / JE7982 /JE8024)</t>
  </si>
  <si>
    <t>JE7212</t>
  </si>
  <si>
    <t>vorl. KöSt 05_2020</t>
  </si>
  <si>
    <t>JE7213</t>
  </si>
  <si>
    <t>vorl. RSt SolZ 05_2020</t>
  </si>
  <si>
    <t>JE7832</t>
  </si>
  <si>
    <t>Add entries to match trial balance</t>
  </si>
  <si>
    <t>Tie out to May trial balance of Peter</t>
  </si>
  <si>
    <t>CREV2821</t>
  </si>
  <si>
    <t>JE2008575</t>
  </si>
  <si>
    <t>Jun 2020</t>
  </si>
  <si>
    <t>CREV2822</t>
  </si>
  <si>
    <t>JE8277</t>
  </si>
  <si>
    <t>June 2020 GE Import</t>
  </si>
  <si>
    <t>vorl KöSt 06_2020 0</t>
  </si>
  <si>
    <t>JE8278</t>
  </si>
  <si>
    <t>vorl RSt SolZ 06_2020 0</t>
  </si>
  <si>
    <t>JE8279</t>
  </si>
  <si>
    <t>vorl RSt GewSt 06_2020 0</t>
  </si>
  <si>
    <t>CREV2868</t>
  </si>
  <si>
    <t>CREV2869</t>
  </si>
  <si>
    <t>Jul 2020</t>
  </si>
  <si>
    <t>JE2012613</t>
  </si>
  <si>
    <t>Paysquare Income Tax and TDS payment from Jan to July</t>
  </si>
  <si>
    <t>JE2003350</t>
  </si>
  <si>
    <t>vorl. KöSt 06_2020 0</t>
  </si>
  <si>
    <t>JE2003351</t>
  </si>
  <si>
    <t>JE2003352</t>
  </si>
  <si>
    <t>vorl. RSt SolZ 06_2020 0</t>
  </si>
  <si>
    <t>JE2003353</t>
  </si>
  <si>
    <t>JE2003346</t>
  </si>
  <si>
    <t>vorl. KöSt 07_2020 0</t>
  </si>
  <si>
    <t>JE2003347</t>
  </si>
  <si>
    <t>vorl. RSt SolZ 07_2020 0</t>
  </si>
  <si>
    <t>JE2015110</t>
  </si>
  <si>
    <t>Reclass Entry of TDS Payable JE No 2012613</t>
  </si>
  <si>
    <t>Income tax payable for FY 19-20</t>
  </si>
  <si>
    <t>TDS Payment Jan to Jul 2020</t>
  </si>
  <si>
    <t>CREV2961</t>
  </si>
  <si>
    <t>CREV2962</t>
  </si>
  <si>
    <t>Aug 2020</t>
  </si>
  <si>
    <t>JE2003823</t>
  </si>
  <si>
    <t>TX - Income Tax 2019 (Extension Payment)</t>
  </si>
  <si>
    <t>JE2008508</t>
  </si>
  <si>
    <t>august jimport germany</t>
  </si>
  <si>
    <t>87 0 vorl. KöSt 08_2020</t>
  </si>
  <si>
    <t>JE2008557</t>
  </si>
  <si>
    <t>88 0 vorl. RSt solz 08_2020</t>
  </si>
  <si>
    <t>CREV3058</t>
  </si>
  <si>
    <t>CREV3059</t>
  </si>
  <si>
    <t>JE2014876</t>
  </si>
  <si>
    <t>Income tax 1st and 2nd installment for FY2020-21</t>
  </si>
  <si>
    <t>JE2008010</t>
  </si>
  <si>
    <t>Franchise Tax (01.01.2019 - 12.31.2019) - Refund</t>
  </si>
  <si>
    <t>JE2008344</t>
  </si>
  <si>
    <t>Federal Income Tax 2019 Payment</t>
  </si>
  <si>
    <t>JE2008345</t>
  </si>
  <si>
    <t>Quebec Income Tax 2019 Payment</t>
  </si>
  <si>
    <t>JE2008629</t>
  </si>
  <si>
    <t>sept mport germany</t>
  </si>
  <si>
    <t>94 0</t>
  </si>
  <si>
    <t>JE2008631</t>
  </si>
  <si>
    <t>96 0</t>
  </si>
  <si>
    <t>JE2014877</t>
  </si>
  <si>
    <t>Income tax and TDS amount for the Year 2018-19</t>
  </si>
  <si>
    <t>CREV3165</t>
  </si>
  <si>
    <t>CREV3166</t>
  </si>
  <si>
    <t>Oct 2020</t>
  </si>
  <si>
    <t>JE2011213</t>
  </si>
  <si>
    <t>DE Import Oct20</t>
  </si>
  <si>
    <t>vorl. KöSt 10_2020 0</t>
  </si>
  <si>
    <t>JE2011214</t>
  </si>
  <si>
    <t>vorl. RSt solz 10_2020 0</t>
  </si>
  <si>
    <t>CREV3241</t>
  </si>
  <si>
    <t>CREV3242</t>
  </si>
  <si>
    <t>Nov 2020</t>
  </si>
  <si>
    <t>JE2011138</t>
  </si>
  <si>
    <t>Texas - Income Tax 2019 payment</t>
  </si>
  <si>
    <t>JE2011764</t>
  </si>
  <si>
    <t>vorl. KÃ¶St 11_2020 0</t>
  </si>
  <si>
    <t>JE2011765</t>
  </si>
  <si>
    <t>vorl. RSt solz 11_2020 0</t>
  </si>
  <si>
    <t>JE2015200</t>
  </si>
  <si>
    <t>Reclass - Income tax liability reclass and interest booking</t>
  </si>
  <si>
    <t>Reclass - Income tax 19-20 Payment</t>
  </si>
  <si>
    <t>CREV3335</t>
  </si>
  <si>
    <t>CREV3336</t>
  </si>
  <si>
    <t>JE2012338</t>
  </si>
  <si>
    <t>IL - Income Tax refund 2019-2020</t>
  </si>
  <si>
    <t>JE2014888</t>
  </si>
  <si>
    <t>Income tax 3rd installment for FY2020-21</t>
  </si>
  <si>
    <t>JE2014892</t>
  </si>
  <si>
    <t>Income tax payment</t>
  </si>
  <si>
    <t>JE2015194</t>
  </si>
  <si>
    <t>2020 DE Recon</t>
  </si>
  <si>
    <t>JE2015611</t>
  </si>
  <si>
    <t>Income Tax provision 2020</t>
  </si>
  <si>
    <t>Income tax provision for Apr-Dec 2020</t>
  </si>
  <si>
    <t>JE2016268</t>
  </si>
  <si>
    <t>2020 income tax accrual</t>
  </si>
  <si>
    <t>Federal - Income Tax 2019 record overpayment</t>
  </si>
  <si>
    <t>JE2017137</t>
  </si>
  <si>
    <t>Reclass Over accrual 2019 and previous years</t>
  </si>
  <si>
    <t>Federal Income Taxes 2019 Accrual</t>
  </si>
  <si>
    <t>CA - Income Taxes 2019 Accrual</t>
  </si>
  <si>
    <t>NYC Income Taxes 2019 Accrual</t>
  </si>
  <si>
    <t>Other datas migration expenses (non Income tax related)</t>
  </si>
  <si>
    <t>TX - Income Tax Accrual 2020</t>
  </si>
  <si>
    <t>AZ - Income Tax Accrual 2020</t>
  </si>
  <si>
    <t>DE - Income Tax Accrual 2020</t>
  </si>
  <si>
    <t>JE2018088</t>
  </si>
  <si>
    <t>CIR 2020</t>
  </si>
  <si>
    <t>cir 2020</t>
  </si>
  <si>
    <t>JE2013380</t>
  </si>
  <si>
    <t>reverse KöSt 1-11 _ 2020 0</t>
  </si>
  <si>
    <t>JE2013381</t>
  </si>
  <si>
    <t>Storno vorl. RSt solz 1 - 11 - 2020 0</t>
  </si>
  <si>
    <t>JE2013389</t>
  </si>
  <si>
    <t>Körperschaftsteuer-Rückstell. 0</t>
  </si>
  <si>
    <t>JE2013390</t>
  </si>
  <si>
    <t>Solidaritätszuschl.-Rückstell. 0</t>
  </si>
  <si>
    <t>JE2014676</t>
  </si>
  <si>
    <t>Reclass Germany to match local entries 12 20</t>
  </si>
  <si>
    <t>JE2014844</t>
  </si>
  <si>
    <t>late filing interest/penalty for 2018 Federal income tax return</t>
  </si>
  <si>
    <t>JE2015047</t>
  </si>
  <si>
    <t>2020 Corporation Tax UK Provision</t>
  </si>
  <si>
    <t>JE2015851</t>
  </si>
  <si>
    <t>2020 estimated income tax</t>
  </si>
  <si>
    <t>CREV2385</t>
  </si>
  <si>
    <t>JE2018559</t>
  </si>
  <si>
    <t>Audit Entry 2019 reconciled with Tricor</t>
  </si>
  <si>
    <t>JE2024049</t>
  </si>
  <si>
    <t>Audit Entry post Audit for Year 2020 on US GAAP</t>
  </si>
  <si>
    <t>Income tax liability for the year 2020 post audit</t>
  </si>
  <si>
    <t>CREV8399</t>
  </si>
  <si>
    <t>CREV2386</t>
  </si>
  <si>
    <t>Jan 2021</t>
  </si>
  <si>
    <t>CREV8400</t>
  </si>
  <si>
    <t>3</t>
  </si>
  <si>
    <t>HMRC CUMBERNAULD Bank reference: 72-SG-XBZ47805 /HMRC2019 1987324750A00101A//70297690 HMRC CUMBERNAULD/</t>
  </si>
  <si>
    <t>JE2015695</t>
  </si>
  <si>
    <t>vorl. KöSt Jan 2021 0</t>
  </si>
  <si>
    <t>JE2015696</t>
  </si>
  <si>
    <t>vorl. Solz Jan 2021 0</t>
  </si>
  <si>
    <t>CREV4057</t>
  </si>
  <si>
    <t>CREV4017</t>
  </si>
  <si>
    <t>CREV6667</t>
  </si>
  <si>
    <t>CREV10789</t>
  </si>
  <si>
    <t>CREV4058</t>
  </si>
  <si>
    <t>Feb 2021</t>
  </si>
  <si>
    <t>CREV4018</t>
  </si>
  <si>
    <t>CREV6668</t>
  </si>
  <si>
    <t>CREV10790</t>
  </si>
  <si>
    <t>JE2014897</t>
  </si>
  <si>
    <t>Forms 5471 5472 Late filing fees</t>
  </si>
  <si>
    <t>Deposit</t>
  </si>
  <si>
    <t>DEP912</t>
  </si>
  <si>
    <t>REMB. DGFIP TROP PERCU/ETEI/120910450DAA455 2021/ORDP/SIE MASSY</t>
  </si>
  <si>
    <t>JE2015994</t>
  </si>
  <si>
    <t>vorl. Köst Feb 2021 0</t>
  </si>
  <si>
    <t>JE2015995</t>
  </si>
  <si>
    <t>vorl. SolZ Feb 2021 0</t>
  </si>
  <si>
    <t>CREV4149</t>
  </si>
  <si>
    <t>CREV4139</t>
  </si>
  <si>
    <t>CREV6705</t>
  </si>
  <si>
    <t>CREV10839</t>
  </si>
  <si>
    <t>CREV4150</t>
  </si>
  <si>
    <t>CREV4140</t>
  </si>
  <si>
    <t>CREV6706</t>
  </si>
  <si>
    <t>CREV10840</t>
  </si>
  <si>
    <t>JE2017947</t>
  </si>
  <si>
    <t>Prov vorl. Köst Mar 2021 0</t>
  </si>
  <si>
    <t>JE2017949</t>
  </si>
  <si>
    <t>Prov vorl. SolZ Mar 2021 0</t>
  </si>
  <si>
    <t>CREV4260</t>
  </si>
  <si>
    <t>JE2018438</t>
  </si>
  <si>
    <t>vorl. KSt März 2021 0</t>
  </si>
  <si>
    <t>Apr 2021</t>
  </si>
  <si>
    <t>JE2018439</t>
  </si>
  <si>
    <t>vorl. Solz März 2021 0</t>
  </si>
  <si>
    <t>CREV4511</t>
  </si>
  <si>
    <t>Income tax True up fY 20-21 Post audit</t>
  </si>
  <si>
    <t>CREV9487</t>
  </si>
  <si>
    <t>JE2029528</t>
  </si>
  <si>
    <t>Singapore Income tax provision for 2021 Q1</t>
  </si>
  <si>
    <t>Income tax provision for 2021 Q1</t>
  </si>
  <si>
    <t>JE2029609</t>
  </si>
  <si>
    <t>2019 Singapore Income Tax @ 17% (Correction)</t>
  </si>
  <si>
    <t>JE2029610</t>
  </si>
  <si>
    <t>US Gaap Tax Entry Correction for Audit 2019 JE No 2026940</t>
  </si>
  <si>
    <t>CREV11869</t>
  </si>
  <si>
    <t>JE2030802</t>
  </si>
  <si>
    <t>tax quarterlization for 2021</t>
  </si>
  <si>
    <t>JE2030865</t>
  </si>
  <si>
    <t>JE2017948</t>
  </si>
  <si>
    <t>JE2017950</t>
  </si>
  <si>
    <t>CREV4261</t>
  </si>
  <si>
    <t>CREV4512</t>
  </si>
  <si>
    <t>CREV9488</t>
  </si>
  <si>
    <t>CREV11870</t>
  </si>
  <si>
    <t>JE2017317</t>
  </si>
  <si>
    <t>Extension Income Tax 2020</t>
  </si>
  <si>
    <t>AZ - Extension Income Tax 2020</t>
  </si>
  <si>
    <t>DC - Extension Income Tax 2020</t>
  </si>
  <si>
    <t>PA - Extension Income Tax 2020</t>
  </si>
  <si>
    <t>TX - Extension Income Tax 2020</t>
  </si>
  <si>
    <t>CREV4651</t>
  </si>
  <si>
    <t>CREV4605</t>
  </si>
  <si>
    <t>JE2019219</t>
  </si>
  <si>
    <t>Impots DE 04 2021</t>
  </si>
  <si>
    <t>0 vorl. KSt April 2021</t>
  </si>
  <si>
    <t>May 2021</t>
  </si>
  <si>
    <t>0 vorl. Solz April 2021</t>
  </si>
  <si>
    <t>CREV9497</t>
  </si>
  <si>
    <t>CREV11920</t>
  </si>
  <si>
    <t>CREV4652</t>
  </si>
  <si>
    <t>CREV4606</t>
  </si>
  <si>
    <t>CREV9498</t>
  </si>
  <si>
    <t>CREV11921</t>
  </si>
  <si>
    <t>DEP943</t>
  </si>
  <si>
    <t>REMB. DGFIP TROP PERCU/ETEI/120910450DAB220 2021/ORDP/SIE MASSY</t>
  </si>
  <si>
    <t>JE2019355</t>
  </si>
  <si>
    <t>Reclasses paie 05 2021</t>
  </si>
  <si>
    <t>DGFIP IMPOT ECH REF/220910450700089401695 LIB/RCM 012021 2777 17S31013BT1NS3SDT</t>
  </si>
  <si>
    <t>JE2019600</t>
  </si>
  <si>
    <t>Impots DE 05 2021</t>
  </si>
  <si>
    <t>vorl. KSt Mai 2021</t>
  </si>
  <si>
    <t>vorl. Solz Mai 2021</t>
  </si>
  <si>
    <t>CREV4951</t>
  </si>
  <si>
    <t>CREV4982</t>
  </si>
  <si>
    <t>CREV9574</t>
  </si>
  <si>
    <t>CREV11987</t>
  </si>
  <si>
    <t>CREV4952</t>
  </si>
  <si>
    <t>CREV4983</t>
  </si>
  <si>
    <t>CREV9575</t>
  </si>
  <si>
    <t>CREV11988</t>
  </si>
  <si>
    <t>JE2020173</t>
  </si>
  <si>
    <t>Superannuation refund and Income tax 2019 adjustment</t>
  </si>
  <si>
    <t>Income Tax payment for year 2019</t>
  </si>
  <si>
    <t>JE2020169</t>
  </si>
  <si>
    <t>Income Tax Payment for year 2020</t>
  </si>
  <si>
    <t>JE2020302</t>
  </si>
  <si>
    <t>Income tax liability  True up for FY 2019 &amp; 2020 post Audit</t>
  </si>
  <si>
    <t>Income tax payable 2019 &amp; 2020</t>
  </si>
  <si>
    <t>JE2020315</t>
  </si>
  <si>
    <t>Impots DE 06 2021</t>
  </si>
  <si>
    <t>vorl. KöSt Juni 2021</t>
  </si>
  <si>
    <t>vorl. SolZ Juni 2021</t>
  </si>
  <si>
    <t>JE2020847</t>
  </si>
  <si>
    <t>Reversal Impots DE 06 2021</t>
  </si>
  <si>
    <t>JE2020852</t>
  </si>
  <si>
    <t>DE 06 2021</t>
  </si>
  <si>
    <t>CREV5525</t>
  </si>
  <si>
    <t>CREV9620</t>
  </si>
  <si>
    <t>JE2029529</t>
  </si>
  <si>
    <t>Singapore Income tax provision for 2021 Q2</t>
  </si>
  <si>
    <t>Income tax provision for 2021 Q2</t>
  </si>
  <si>
    <t>JE2029552</t>
  </si>
  <si>
    <t>India Income tax provision Q2 2021</t>
  </si>
  <si>
    <t>CREV12039</t>
  </si>
  <si>
    <t>CREV12045</t>
  </si>
  <si>
    <t>JE2030803</t>
  </si>
  <si>
    <t>JE2030866</t>
  </si>
  <si>
    <t>CREV5526</t>
  </si>
  <si>
    <t>Jul 2021</t>
  </si>
  <si>
    <t>CREV9621</t>
  </si>
  <si>
    <t>CREV12046</t>
  </si>
  <si>
    <t>JE2023350</t>
  </si>
  <si>
    <t>Refund 2019 income Tax Federal</t>
  </si>
  <si>
    <t>JE2023618</t>
  </si>
  <si>
    <t>Impots DE 07 2021</t>
  </si>
  <si>
    <t>CREV5829</t>
  </si>
  <si>
    <t>CREV9670</t>
  </si>
  <si>
    <t>CREV12087</t>
  </si>
  <si>
    <t>CREV5830</t>
  </si>
  <si>
    <t>Aug 2021</t>
  </si>
  <si>
    <t>CREV9671</t>
  </si>
  <si>
    <t>CREV12088</t>
  </si>
  <si>
    <t>Income Tax 2020-21</t>
  </si>
  <si>
    <t>Final Income Tax payment for FY 20-21</t>
  </si>
  <si>
    <t>CREV6148</t>
  </si>
  <si>
    <t>JE2024821</t>
  </si>
  <si>
    <t>Impots DE 08 2021</t>
  </si>
  <si>
    <t>CREV9744</t>
  </si>
  <si>
    <t>CREV12138</t>
  </si>
  <si>
    <t>CREV6149</t>
  </si>
  <si>
    <t>CREV9746</t>
  </si>
  <si>
    <t>CREV12139</t>
  </si>
  <si>
    <t>BNP-UK-092021-35</t>
  </si>
  <si>
    <t>HMRC Cumbernauld RFB1987324750A00105Atax liability</t>
  </si>
  <si>
    <t>JE2025213</t>
  </si>
  <si>
    <t>Adj for 2019 &amp; 2020 Corporation tax</t>
  </si>
  <si>
    <t>CREV7153</t>
  </si>
  <si>
    <t>JE2025344</t>
  </si>
  <si>
    <t>Impots DE 09 2021</t>
  </si>
  <si>
    <t>CREV8416</t>
  </si>
  <si>
    <t>JE2029530</t>
  </si>
  <si>
    <t>Singapore Income tax provision for 2021 Q3</t>
  </si>
  <si>
    <t>Income tax provision for 2021 Q3</t>
  </si>
  <si>
    <t>JE2029553</t>
  </si>
  <si>
    <t>India Income tax provision Q3 2021</t>
  </si>
  <si>
    <t>CREV12184</t>
  </si>
  <si>
    <t>JE2030804</t>
  </si>
  <si>
    <t>JE2030867</t>
  </si>
  <si>
    <t>CREV7154</t>
  </si>
  <si>
    <t>Oct 2021</t>
  </si>
  <si>
    <t>CREV8417</t>
  </si>
  <si>
    <t>CREV12185</t>
  </si>
  <si>
    <t>CREV7780</t>
  </si>
  <si>
    <t>CREV8436</t>
  </si>
  <si>
    <t>CREV12220</t>
  </si>
  <si>
    <t>CREV7781</t>
  </si>
  <si>
    <t>CREV8437</t>
  </si>
  <si>
    <t>CREV12221</t>
  </si>
  <si>
    <t>CREV7367</t>
  </si>
  <si>
    <t>JE2027537</t>
  </si>
  <si>
    <t>Impots DE 11 2021</t>
  </si>
  <si>
    <t>CREV8567</t>
  </si>
  <si>
    <t>CREV12274</t>
  </si>
  <si>
    <t>CREV7368</t>
  </si>
  <si>
    <t>CREV8568</t>
  </si>
  <si>
    <t>CREV12275</t>
  </si>
  <si>
    <t>CREV9320</t>
  </si>
  <si>
    <t>JE2028772</t>
  </si>
  <si>
    <t>2020 SE Corporation Tax</t>
  </si>
  <si>
    <t>JE2029062</t>
  </si>
  <si>
    <t>Impots DE 12 2021</t>
  </si>
  <si>
    <t>JE2029107</t>
  </si>
  <si>
    <t>Accrual Corp Tax UK 2021</t>
  </si>
  <si>
    <t>JE2029108</t>
  </si>
  <si>
    <t>Accrual Corp Tax SE 2021</t>
  </si>
  <si>
    <t>JE2029531</t>
  </si>
  <si>
    <t>Singapore Income tax provision for 2021 Q4</t>
  </si>
  <si>
    <t>Income tax provision for 2021 Q4</t>
  </si>
  <si>
    <t>JE2029551</t>
  </si>
  <si>
    <t>Singapore Deferred Tax adjustment 2021</t>
  </si>
  <si>
    <t>Deferred Tax adjustment 2021</t>
  </si>
  <si>
    <t>JE2029554</t>
  </si>
  <si>
    <t>India Income tax provision Q4 2021</t>
  </si>
  <si>
    <t>JE2029622</t>
  </si>
  <si>
    <t>JE2029627</t>
  </si>
  <si>
    <t>AJE Pension &amp; Corp taxes SE 2021</t>
  </si>
  <si>
    <t>Corporation tax Ivalua AB 2021</t>
  </si>
  <si>
    <t>JE2029776</t>
  </si>
  <si>
    <t>Income tax 2021</t>
  </si>
  <si>
    <t>income tax payable reclass</t>
  </si>
  <si>
    <t>CREV12313</t>
  </si>
  <si>
    <t>JE2030327</t>
  </si>
  <si>
    <t>ajustement IS 2021</t>
  </si>
  <si>
    <t>reclass income tax balances</t>
  </si>
  <si>
    <t>JE2030805</t>
  </si>
  <si>
    <t>JE2030868</t>
  </si>
  <si>
    <t>JE2003202</t>
  </si>
  <si>
    <t>Reclass TVS de 448600 a 635140</t>
  </si>
  <si>
    <t>Reclass TVA de 448600 a  635140</t>
  </si>
  <si>
    <t>Reclass TVS de 445500 à 448600</t>
  </si>
  <si>
    <t>Taxe Construction - Part</t>
  </si>
  <si>
    <t>JE2003201</t>
  </si>
  <si>
    <t>Feb 2019</t>
  </si>
  <si>
    <t>Ext Prov FC 2018</t>
  </si>
  <si>
    <t>Ext prov TA 2018</t>
  </si>
  <si>
    <t>Ext prov TVS 2018</t>
  </si>
  <si>
    <t>Prov taxes fevrier</t>
  </si>
  <si>
    <t>JE2003203</t>
  </si>
  <si>
    <t>ext prov taxes 02.2019</t>
  </si>
  <si>
    <t>Mar 2019</t>
  </si>
  <si>
    <t>reclass 447000 en 448600</t>
  </si>
  <si>
    <t>ext dec2018</t>
  </si>
  <si>
    <t>prov taxes 1t2019</t>
  </si>
  <si>
    <t>prov taxe s2018 reliquat</t>
  </si>
  <si>
    <t>JE2003200</t>
  </si>
  <si>
    <t>ext prov taxes march</t>
  </si>
  <si>
    <t>PROV TAXES APRIL</t>
  </si>
  <si>
    <t>AGEFIPH EXT 2018 PAIEMENT</t>
  </si>
  <si>
    <t>JE2003204</t>
  </si>
  <si>
    <t>ext prov taxes april</t>
  </si>
  <si>
    <t>reclass TA avril mai</t>
  </si>
  <si>
    <t>155 - COR PS and Other - Build</t>
  </si>
  <si>
    <t>110 - COR Software - Run</t>
  </si>
  <si>
    <t>115 - COR Software - Helpdesk</t>
  </si>
  <si>
    <t>205 - Solutions</t>
  </si>
  <si>
    <t>165 - Academy</t>
  </si>
  <si>
    <t>PROV EC 2018</t>
  </si>
  <si>
    <t>reclass od paye du 447000 au 4486</t>
  </si>
  <si>
    <t>PROV TAXES</t>
  </si>
  <si>
    <t>extourne prov tax organic 2018</t>
  </si>
  <si>
    <t>annulation od prov paye ta juin</t>
  </si>
  <si>
    <t>prov cca fnp</t>
  </si>
  <si>
    <t>reclass prepaid 62xxx</t>
  </si>
  <si>
    <t>JE2003206</t>
  </si>
  <si>
    <t>JE2003205</t>
  </si>
  <si>
    <t>JE2003211</t>
  </si>
  <si>
    <t>Sep 2019</t>
  </si>
  <si>
    <t>JE2003209</t>
  </si>
  <si>
    <t>Oct 2019</t>
  </si>
  <si>
    <t>JE2003208</t>
  </si>
  <si>
    <t>Nov 2019</t>
  </si>
  <si>
    <t>JE2001726</t>
  </si>
  <si>
    <t>2019 AJE-51</t>
  </si>
  <si>
    <t>adj CVAE2019</t>
  </si>
  <si>
    <t>EXT PROV TAXES</t>
  </si>
  <si>
    <t>ext TA prov opsidium</t>
  </si>
  <si>
    <t>reclass acompte Fafiec 2019</t>
  </si>
  <si>
    <t>prov taxes dec</t>
  </si>
  <si>
    <t>annulation od extourne en double</t>
  </si>
  <si>
    <t>reclass tva formation</t>
  </si>
  <si>
    <t>ext prov taxe EC 2018 06.19</t>
  </si>
  <si>
    <t>ext adesatt 2018</t>
  </si>
  <si>
    <t>reclass prov taxes paye jul-dec</t>
  </si>
  <si>
    <t>reclass regul excdt cvae 2018</t>
  </si>
  <si>
    <t>JE11257</t>
  </si>
  <si>
    <t>Ivalua France Jan 2020 Data Load</t>
  </si>
  <si>
    <t>16781 -rev tax prov dec19</t>
  </si>
  <si>
    <t>JE11480</t>
  </si>
  <si>
    <t>16780 -Prov taxes jan</t>
  </si>
  <si>
    <t>JE11569</t>
  </si>
  <si>
    <t>Ivalua France Feb 2020 Data Load</t>
  </si>
  <si>
    <t>17417 -ext prov taxe jan</t>
  </si>
  <si>
    <t>JE11821</t>
  </si>
  <si>
    <t>17509 -Cut off prepaid accrual cplt</t>
  </si>
  <si>
    <t>JE10217</t>
  </si>
  <si>
    <t>17512 -reclass tva/fnp</t>
  </si>
  <si>
    <t>JE11857</t>
  </si>
  <si>
    <t>17418 -Prov tax feb</t>
  </si>
  <si>
    <t>JE11873</t>
  </si>
  <si>
    <t>Ivalua France Mar 2020 Data Load</t>
  </si>
  <si>
    <t>17999 -EXT Cut off prepaid accrual cplt</t>
  </si>
  <si>
    <t>JE11874</t>
  </si>
  <si>
    <t>18000 -EXT Cut off prepaid accrual cplt</t>
  </si>
  <si>
    <t>JE11875</t>
  </si>
  <si>
    <t>18001 -Annul EXT Cut off prepaid accrual cplt</t>
  </si>
  <si>
    <t>JE12144</t>
  </si>
  <si>
    <t>18030 -Ext prov taxes</t>
  </si>
  <si>
    <t>JE12145</t>
  </si>
  <si>
    <t>18031 -Prov taxes mars</t>
  </si>
  <si>
    <t>JE12146</t>
  </si>
  <si>
    <t>18032 -Ext TA FC EC 2019</t>
  </si>
  <si>
    <t>18032 -Taxe Construction - Part</t>
  </si>
  <si>
    <t>18032 -</t>
  </si>
  <si>
    <t>JE12147</t>
  </si>
  <si>
    <t>18033 -EC 2019 cplt annulation extourne</t>
  </si>
  <si>
    <t>JE12148</t>
  </si>
  <si>
    <t>18034 -EC 2019</t>
  </si>
  <si>
    <t>JE12181</t>
  </si>
  <si>
    <t>Ivalua France Apr 2020 Data Load</t>
  </si>
  <si>
    <t>18533 -Prov taxes mars</t>
  </si>
  <si>
    <t>JE12363</t>
  </si>
  <si>
    <t>18594 -Prov taxes avril</t>
  </si>
  <si>
    <t>JE2002593</t>
  </si>
  <si>
    <t>19456</t>
  </si>
  <si>
    <t>Ext Prov Taxes april</t>
  </si>
  <si>
    <t>JE2003092</t>
  </si>
  <si>
    <t>19458</t>
  </si>
  <si>
    <t>Prov taxes juin</t>
  </si>
  <si>
    <t>JE2008110</t>
  </si>
  <si>
    <t>ext prov taxes juin</t>
  </si>
  <si>
    <t>Ext Prov taxes juin</t>
  </si>
  <si>
    <t>JE2008143</t>
  </si>
  <si>
    <t>Ext prov CVAE 2019 solde paiement 2 07</t>
  </si>
  <si>
    <t>JE2008125</t>
  </si>
  <si>
    <t>PROV TAXES JULY</t>
  </si>
  <si>
    <t>PROV JULY</t>
  </si>
  <si>
    <t>JE2008144</t>
  </si>
  <si>
    <t>ext prov taxe bureaux bouveche recue en juillet</t>
  </si>
  <si>
    <t>ext prov taxe bureaux juillet bouveche Facture recue en juillet</t>
  </si>
  <si>
    <t>JE2008126</t>
  </si>
  <si>
    <t>JE2008145</t>
  </si>
  <si>
    <t>JE2008127</t>
  </si>
  <si>
    <t>PROV AUG</t>
  </si>
  <si>
    <t>JE2008146</t>
  </si>
  <si>
    <t>JE2008128</t>
  </si>
  <si>
    <t>JE2008147</t>
  </si>
  <si>
    <t>JE2009029</t>
  </si>
  <si>
    <t>Prov Taxes Sept</t>
  </si>
  <si>
    <t>PROV TAXES Sept</t>
  </si>
  <si>
    <t>JE2009030</t>
  </si>
  <si>
    <t>JE2011318</t>
  </si>
  <si>
    <t>Prov Taxes 10 2020</t>
  </si>
  <si>
    <t>JE2011319</t>
  </si>
  <si>
    <t>JE2012113</t>
  </si>
  <si>
    <t>Prov Taxes 11 2020</t>
  </si>
  <si>
    <t>JE2012114</t>
  </si>
  <si>
    <t>JE2018696</t>
  </si>
  <si>
    <t>solde cvae 2020</t>
  </si>
  <si>
    <t>JE2013175</t>
  </si>
  <si>
    <t>Prov Taxes 12 2020</t>
  </si>
  <si>
    <t>JE2018554</t>
  </si>
  <si>
    <t>reclass FC EC TA en taxes</t>
  </si>
  <si>
    <t>reclass FC TA EC en taxes</t>
  </si>
  <si>
    <t>JE2013176</t>
  </si>
  <si>
    <t>JE2015281</t>
  </si>
  <si>
    <t>JE2015633</t>
  </si>
  <si>
    <t>Prov Taxes 1 2021</t>
  </si>
  <si>
    <t>JE2015282</t>
  </si>
  <si>
    <t>JE2015634</t>
  </si>
  <si>
    <t>JE2015635</t>
  </si>
  <si>
    <t>Prov Taxes 2 2021</t>
  </si>
  <si>
    <t>JE2015913</t>
  </si>
  <si>
    <t>JE2015636</t>
  </si>
  <si>
    <t>JE2015914</t>
  </si>
  <si>
    <t>1097</t>
  </si>
  <si>
    <t>Reglement Action Lodgement PEEC 2019</t>
  </si>
  <si>
    <t>JE2017213</t>
  </si>
  <si>
    <t>Ecart reglement Effort Contruction 2019</t>
  </si>
  <si>
    <t>JE2017215</t>
  </si>
  <si>
    <t>JE2017217</t>
  </si>
  <si>
    <t>Prov Taxes 3 2021</t>
  </si>
  <si>
    <t>JE2019100</t>
  </si>
  <si>
    <t>Reclass 437800 03 2021</t>
  </si>
  <si>
    <t>JE2017216</t>
  </si>
  <si>
    <t>JE2017218</t>
  </si>
  <si>
    <t>JE2019101</t>
  </si>
  <si>
    <t>JE2018824</t>
  </si>
  <si>
    <t>Reclass FC TA Adesatt 04 2021</t>
  </si>
  <si>
    <t>JE2018825</t>
  </si>
  <si>
    <t>Solde FC TA &amp; Adesatt 2020</t>
  </si>
  <si>
    <t>JE2018826</t>
  </si>
  <si>
    <t>Solde abondement 2020</t>
  </si>
  <si>
    <t>JE2018833</t>
  </si>
  <si>
    <t>Prov Taxes 4 2021</t>
  </si>
  <si>
    <t>JE2018834</t>
  </si>
  <si>
    <t>1214</t>
  </si>
  <si>
    <t>BNPP ERE ECH/PREL ABONDEMENT 1 1WJT8GG</t>
  </si>
  <si>
    <t>1218</t>
  </si>
  <si>
    <t>DGFIP IMPOT ECH/CVAE 0520211329DEF 44S31125AXPI2GSDT</t>
  </si>
  <si>
    <t>1223</t>
  </si>
  <si>
    <t>C3S URSSAF PACA/428796858 WV990 00430 20210505 19S31134B3URLISDT</t>
  </si>
  <si>
    <t>BNPEUR-052021-35</t>
  </si>
  <si>
    <t>BNP PARIBAS ASSET MANAGEMENT FRANCE ECH BP6315 PAM ERE 01 REF/AR1942490 LIB</t>
  </si>
  <si>
    <t>JE2019255</t>
  </si>
  <si>
    <t>Paie France 05 2021</t>
  </si>
  <si>
    <t>ADESATT (XXX)</t>
  </si>
  <si>
    <t>Taxe d'apprentissage</t>
  </si>
  <si>
    <t>Effort construction</t>
  </si>
  <si>
    <t>Formation continue</t>
  </si>
  <si>
    <t>Abondement à reverser</t>
  </si>
  <si>
    <t>JE2019549</t>
  </si>
  <si>
    <t>Prov Taxes 5 2021</t>
  </si>
  <si>
    <t>JE2019551</t>
  </si>
  <si>
    <t>Reclass C3S solde 2020</t>
  </si>
  <si>
    <t>JE2019552</t>
  </si>
  <si>
    <t>Corriger Solde FC TA 2020</t>
  </si>
  <si>
    <t>JE2019550</t>
  </si>
  <si>
    <t>BNPEUR-062021-04</t>
  </si>
  <si>
    <t>BNPP ERE ECH/PREL ABONDEMENT 1 1Y6XTU8</t>
  </si>
  <si>
    <t>JE2020298</t>
  </si>
  <si>
    <t>Reclass paie taxes 06 2021</t>
  </si>
  <si>
    <t>Reclass Paie France ADESATT (XXX)</t>
  </si>
  <si>
    <t>Reclass Paie France Abondement à reverser</t>
  </si>
  <si>
    <t>Reclass Paie France Effort construction</t>
  </si>
  <si>
    <t>Reclass Paie France Formation continue</t>
  </si>
  <si>
    <t>Reclass Paie France Taxe d'apprentissage</t>
  </si>
  <si>
    <t>JE2020300</t>
  </si>
  <si>
    <t>Prov Taxes 6 2021</t>
  </si>
  <si>
    <t>JE2020301</t>
  </si>
  <si>
    <t>BNPEUR-072021-5</t>
  </si>
  <si>
    <t>PRLV SEPA/BNPP ERE ECH PREL  ABONDEMENT  1 1Z1OM1O</t>
  </si>
  <si>
    <t>BNPEUR-072021-39</t>
  </si>
  <si>
    <t>BNP PARIBAS SA BP6315 SA ERE 01</t>
  </si>
  <si>
    <t>JE2023461</t>
  </si>
  <si>
    <t>Reclass JE2023338 Paie France 07 2021</t>
  </si>
  <si>
    <t>Reclass ADESATT (XXX)</t>
  </si>
  <si>
    <t>Reclass Abondement à reverser</t>
  </si>
  <si>
    <t>Reclass Effort construction</t>
  </si>
  <si>
    <t>Reclass Formation continue</t>
  </si>
  <si>
    <t>Reclass Taxe d'apprentissage</t>
  </si>
  <si>
    <t>JE2023464</t>
  </si>
  <si>
    <t>Paie 07 2021</t>
  </si>
  <si>
    <t>JE2023491</t>
  </si>
  <si>
    <t>Prov Taxes 7 2021</t>
  </si>
  <si>
    <t>JE2023492</t>
  </si>
  <si>
    <t>BNPEUR-082021-5</t>
  </si>
  <si>
    <t>BNPP ERE ECH PREL  ABONDEMENT  1 1ZYJ7S1</t>
  </si>
  <si>
    <t>BNPEUR-082021-8</t>
  </si>
  <si>
    <t>UR ILE DE FRANCE (116) UR 116000001489654093 MAI 21788617793000060821 41S31217EP40VDSDT</t>
  </si>
  <si>
    <t>JE2024011</t>
  </si>
  <si>
    <t>Paie France</t>
  </si>
  <si>
    <t>JE2024386</t>
  </si>
  <si>
    <t>Prov Taxes 8 2021</t>
  </si>
  <si>
    <t>JE2024387</t>
  </si>
  <si>
    <t>BNPEUR-092021-4</t>
  </si>
  <si>
    <t>BNPP ERE ECH PREL  ABONDEMENT  1 20KLFTM</t>
  </si>
  <si>
    <t>JE2025037</t>
  </si>
  <si>
    <t>Paie France 09 2021</t>
  </si>
  <si>
    <t>JE2025198</t>
  </si>
  <si>
    <t>Prov Taxes 9 2021</t>
  </si>
  <si>
    <t>JE2025200</t>
  </si>
  <si>
    <t>Adj AGEFIPH 2020</t>
  </si>
  <si>
    <t>JE2025340</t>
  </si>
  <si>
    <t>CORRECTION AGEFIPH PROV 2020</t>
  </si>
  <si>
    <t>Bardat, Lata</t>
  </si>
  <si>
    <t>JE2025199</t>
  </si>
  <si>
    <t>BNPEUR-102021-6</t>
  </si>
  <si>
    <t>BNPP ERE ECH PREL  ABONDEMENT  1 2170AR4</t>
  </si>
  <si>
    <t>1372</t>
  </si>
  <si>
    <t>2eme acompte TA &amp; FC</t>
  </si>
  <si>
    <t>2eme acompte FC</t>
  </si>
  <si>
    <t>BNPEUR-102021-30</t>
  </si>
  <si>
    <t>BNP PARIBAS ASSET MANAGEMENT BP6315 PAM ERE 01</t>
  </si>
  <si>
    <t>JE2026417</t>
  </si>
  <si>
    <t>Formation continue CIF CDD</t>
  </si>
  <si>
    <t>JE2026488</t>
  </si>
  <si>
    <t>Prov Taxes 10 2021</t>
  </si>
  <si>
    <t>JE2026489</t>
  </si>
  <si>
    <t>BNPEUR-112021-3</t>
  </si>
  <si>
    <t>BNPP ERE PREL ABONDEMENT 1 21QLFUV</t>
  </si>
  <si>
    <t>JE2027062</t>
  </si>
  <si>
    <t>Paie France 11 2021</t>
  </si>
  <si>
    <t>JE2027230</t>
  </si>
  <si>
    <t>Rappro paie 11 2021</t>
  </si>
  <si>
    <t>Rappro paie 09 2021</t>
  </si>
  <si>
    <t>Rappro paie 05 2021</t>
  </si>
  <si>
    <t>Rappro paie 04 2021</t>
  </si>
  <si>
    <t>JE2027438</t>
  </si>
  <si>
    <t>Prov Taxes 11 2021</t>
  </si>
  <si>
    <t>JE2027439</t>
  </si>
  <si>
    <t>BNPEUR-122021-3</t>
  </si>
  <si>
    <t>PREL  ABONDEMENT  1 229LHLS</t>
  </si>
  <si>
    <t>BNPEUR-122021-11</t>
  </si>
  <si>
    <t>Effort construction - PEEC Action Lodgement</t>
  </si>
  <si>
    <t>BNPEUR-122021-35</t>
  </si>
  <si>
    <t>BP6315 PAM ERE 01  1221408441</t>
  </si>
  <si>
    <t>JE2027864</t>
  </si>
  <si>
    <t>Paie France 11 2021 regul</t>
  </si>
  <si>
    <t>JE2027953</t>
  </si>
  <si>
    <t>Reclass JE2027830 Paie France</t>
  </si>
  <si>
    <t>Reclass Formation continue CIF CDD</t>
  </si>
  <si>
    <t>JE2028810</t>
  </si>
  <si>
    <t>Prov Taxes 12 2021</t>
  </si>
  <si>
    <t>JE2029638</t>
  </si>
  <si>
    <t>Payroll tax and WH tax on board fees 2021</t>
  </si>
  <si>
    <t>20% Forfait social on 60K€ board fees paid 2021</t>
  </si>
  <si>
    <t>12.8WH tax on 60K€ board fees paid 2021</t>
  </si>
  <si>
    <t>JE2029754</t>
  </si>
  <si>
    <t>CVAE excedent 2021</t>
  </si>
  <si>
    <t>JE2028811</t>
  </si>
  <si>
    <t>BNPEUR-012022-7</t>
  </si>
  <si>
    <t>BNPP ERE ECH PREL  ABONDEMENT  1 230VHL9</t>
  </si>
  <si>
    <t>JE2029972</t>
  </si>
  <si>
    <t>Reclass Paie France</t>
  </si>
  <si>
    <t>URSSAF d'Ile de France (116 000001489654093)</t>
  </si>
  <si>
    <t>URSSAF d'Ile de France (340 103059436000000)</t>
  </si>
  <si>
    <t>URSSAF d'Ile de France (910 41865373001011)</t>
  </si>
  <si>
    <t>JE2030073</t>
  </si>
  <si>
    <t>Prov Taxes 1 2022</t>
  </si>
  <si>
    <t>JE2030186</t>
  </si>
  <si>
    <t>Prov Taxes 2021</t>
  </si>
  <si>
    <t>JE2030197</t>
  </si>
  <si>
    <t>Prov Organic 2021</t>
  </si>
  <si>
    <t>JE2030074</t>
  </si>
  <si>
    <t>BNPEUR-022022-7</t>
  </si>
  <si>
    <t>BNPP ERE ECH PREL  ABONDEMENT  1 23Q73EI</t>
  </si>
  <si>
    <t>BNPEUR-022022-26</t>
  </si>
  <si>
    <t>BNP PARIBAS ASSET MANAGEMENT FRANCE ECH BP6315 PAM ERE 01 REF/AR2114733 LIB/SCOR/1222400348</t>
  </si>
  <si>
    <t>71481</t>
  </si>
  <si>
    <t>ATLAS SOUTENIR LES COMPETENCES ECH P04E00299281</t>
  </si>
  <si>
    <t>JE2030410</t>
  </si>
  <si>
    <t>Paie France 02 2022</t>
  </si>
  <si>
    <t>JE2030587</t>
  </si>
  <si>
    <t>Prov Taxes 2 2022</t>
  </si>
  <si>
    <t>JE2030588</t>
  </si>
  <si>
    <t>BNPEUR-032022-7</t>
  </si>
  <si>
    <t>BNPP ERE  PREL  ABONDEMENT  1 24JYRP7</t>
  </si>
  <si>
    <t>JE2030990</t>
  </si>
  <si>
    <t>Regul comptes paie 03/22</t>
  </si>
  <si>
    <t>Reclass Urssaf 02/22 from 220800 to 215100</t>
  </si>
  <si>
    <t>Reclass Urssaf 03/22 from 220800 to 215100</t>
  </si>
  <si>
    <t>JE2030984</t>
  </si>
  <si>
    <t>Paie France 03 2022</t>
  </si>
  <si>
    <t>Taxe d'apprentissage libératoire</t>
  </si>
  <si>
    <t>DEP1084</t>
  </si>
  <si>
    <t>VIR D ABONDEMENT SUITE VV REJET 91272677</t>
  </si>
  <si>
    <t>BNPEUR-042022-3</t>
  </si>
  <si>
    <t>BNPP ERE  PREL  ABONDEMENT  1 25FIUMM</t>
  </si>
  <si>
    <t>BNPEUR-042022-9</t>
  </si>
  <si>
    <t>ADESATT 2021 42879685800085 5829C</t>
  </si>
  <si>
    <t>JE2031941</t>
  </si>
  <si>
    <t>Paie France 04 2022</t>
  </si>
  <si>
    <t>BNPEUR-052022-4</t>
  </si>
  <si>
    <t>BNPP ERE ECH PREL  ABONDEMENT  1 26GIV6A</t>
  </si>
  <si>
    <t>DEP1109</t>
  </si>
  <si>
    <t>VIR D ABONDEMENT SUITE VV REJET/ETEI/91874626/ORDP/BNP PARIBAS</t>
  </si>
  <si>
    <t>BNPEUR-052022-18</t>
  </si>
  <si>
    <t>C3S URSSAF PACA ECH428796858 WV990 01037 20220513</t>
  </si>
  <si>
    <t>JE2032612</t>
  </si>
  <si>
    <t>Paie France 05 2022</t>
  </si>
  <si>
    <t>JE2032842</t>
  </si>
  <si>
    <t>Delta prov &amp; paiement C3S 2021</t>
  </si>
  <si>
    <t>JE2032996</t>
  </si>
  <si>
    <t>Reclass declaration DOETH AGEFIPH 2021</t>
  </si>
  <si>
    <t>BNPEUR-062022-4</t>
  </si>
  <si>
    <t>PREL  ABONDEMENT  1 27XA2HK</t>
  </si>
  <si>
    <t>BNPEUR-062022-40</t>
  </si>
  <si>
    <t>PRLV SEPA/D.G.F.I.P. IMPOT 91045/  IMPOT CFE</t>
  </si>
  <si>
    <t>BNPEUR-062022-50</t>
  </si>
  <si>
    <t>PRLV SEPA/D.G.F.I.P. IMPOT 75720/ IMPOT CFE</t>
  </si>
  <si>
    <t>JE2033207</t>
  </si>
  <si>
    <t>Paie France 06/22</t>
  </si>
  <si>
    <t>Paye FR 06/22 - Taxe d'apprentissage libÃ©ratoire</t>
  </si>
  <si>
    <t>DEP1127</t>
  </si>
  <si>
    <t>REMISE CHEQUES//Remboursement Pénalités de retard CFE</t>
  </si>
  <si>
    <t>JE2033415</t>
  </si>
  <si>
    <t>Paie France 06/22- Reclass to 220800</t>
  </si>
  <si>
    <t>Paye FR 06/22 - ADESATT (XXX)</t>
  </si>
  <si>
    <t>Paye FR 06/22 - Abondement Ãƒ  reverser</t>
  </si>
  <si>
    <t>Paye FR 06/22 - Effort construction</t>
  </si>
  <si>
    <t>Paye FR 06/22 - Formation continue</t>
  </si>
  <si>
    <t>JE2033454</t>
  </si>
  <si>
    <t>Prov Taxes 6/2022 Hors CVAE</t>
  </si>
  <si>
    <t>Prov Taxes 6/2022</t>
  </si>
  <si>
    <t>JE2033464</t>
  </si>
  <si>
    <t>Reclass Remboursement pénalités retard CFE</t>
  </si>
  <si>
    <t>Reclass Remboursement pénalités retard CFE -DEP1127</t>
  </si>
  <si>
    <t>JE2033489</t>
  </si>
  <si>
    <t>Annul JE2032842- C3S Organic 2022</t>
  </si>
  <si>
    <t>JE2033715</t>
  </si>
  <si>
    <t>Reclass DGFIP IMPOT ECH/150622 /CVAE 0620221329AC</t>
  </si>
  <si>
    <t>Total - 220800 - Other Tax Payable</t>
  </si>
  <si>
    <t>JE2023970</t>
  </si>
  <si>
    <t>Q4 Quarterization AJE</t>
  </si>
  <si>
    <t>CNY Deferred COGS True-UpQ0419AJE5</t>
  </si>
  <si>
    <t>JE2025044</t>
  </si>
  <si>
    <t>Q0419AJE9 Subcontractor</t>
  </si>
  <si>
    <t>125 - COR Software - IT Client</t>
  </si>
  <si>
    <t>JE2512</t>
  </si>
  <si>
    <t>COGS NYC Accenture - January 2020</t>
  </si>
  <si>
    <t>JE3876</t>
  </si>
  <si>
    <t>COGS NYC Accenture - Jan 2020 R</t>
  </si>
  <si>
    <t>COGS NYC Accenture - Jan 2020</t>
  </si>
  <si>
    <t>JE2014665</t>
  </si>
  <si>
    <t>reclass JE2264</t>
  </si>
  <si>
    <t>JE3254</t>
  </si>
  <si>
    <t>COGS NYC Accenture - Feb 2020</t>
  </si>
  <si>
    <t>JE3875</t>
  </si>
  <si>
    <t>COGS NYC Accenture - Mar 2020</t>
  </si>
  <si>
    <t>JE2023995</t>
  </si>
  <si>
    <t>Q1 Quarterization AJE</t>
  </si>
  <si>
    <t>CNY Deferred COGS True-UpQ0120AJE10</t>
  </si>
  <si>
    <t>JE2025045</t>
  </si>
  <si>
    <t>Q0120AJE15 Subcontractor</t>
  </si>
  <si>
    <t>JE4350</t>
  </si>
  <si>
    <t>COGS NYC Accenture - Apr 2020 R</t>
  </si>
  <si>
    <t>JE4351</t>
  </si>
  <si>
    <t>COGS NYC Accenture Accrual - Apr 2020</t>
  </si>
  <si>
    <t>INV025925</t>
  </si>
  <si>
    <t>Accenture Middle East S2C Wave 2 End ok stabilizat</t>
  </si>
  <si>
    <t>Accenture Middle East Bv</t>
  </si>
  <si>
    <t>JE2014667</t>
  </si>
  <si>
    <t>reclass JE4199</t>
  </si>
  <si>
    <t>JE7754</t>
  </si>
  <si>
    <t>COGS NYC Accenture Accrual - May 2020</t>
  </si>
  <si>
    <t>INV025818</t>
  </si>
  <si>
    <t>OJC UK GKN February/march/may</t>
  </si>
  <si>
    <t>Olivier Jullian Consultant Ltd</t>
  </si>
  <si>
    <t>INV025812</t>
  </si>
  <si>
    <t>Accenture - Design/Architectural/Req Anal/Tech Con</t>
  </si>
  <si>
    <t>Accenture LLP</t>
  </si>
  <si>
    <t>JE2002487</t>
  </si>
  <si>
    <t>COGS NYC ACCENTURE -</t>
  </si>
  <si>
    <t>COGS NYC Accenture - Jun 2020</t>
  </si>
  <si>
    <t>INV025858</t>
  </si>
  <si>
    <t>Optibuy AFF20945</t>
  </si>
  <si>
    <t>OptiBuy Sp. z o. o.</t>
  </si>
  <si>
    <t>INV025861</t>
  </si>
  <si>
    <t>Optibuy Kroeber AFF20945</t>
  </si>
  <si>
    <t>JE2009472</t>
  </si>
  <si>
    <t>COGS NYC ACCENTURE - Jun 2020 True-Up</t>
  </si>
  <si>
    <t>COGS NYC Accenture - Jun 2020 True-Up Lead 14098</t>
  </si>
  <si>
    <t>COGS NYC Accenture - Jun 2020 True-Up Lead 21371</t>
  </si>
  <si>
    <t>JE2023996</t>
  </si>
  <si>
    <t>Q2 Quarterization AJE</t>
  </si>
  <si>
    <t>CNY Deferred COGS True-UpQ0220AJE10</t>
  </si>
  <si>
    <t>JE2025046</t>
  </si>
  <si>
    <t>Q0220AJE14 Subcontractor</t>
  </si>
  <si>
    <t>INV025861 - Cr</t>
  </si>
  <si>
    <t>Optibuy Kroeber AFF20945 - CR</t>
  </si>
  <si>
    <t>Optibuy Kroeber AFF20945 - corr taux TVA</t>
  </si>
  <si>
    <t>INV025861 - 2</t>
  </si>
  <si>
    <t>INV025996</t>
  </si>
  <si>
    <t>OJC Rolex livraison production 162 AFF22736</t>
  </si>
  <si>
    <t>Ojc Conseil (Fr)</t>
  </si>
  <si>
    <t>JE2008219</t>
  </si>
  <si>
    <t>COGS NYC ACCENTURE - July 2020</t>
  </si>
  <si>
    <t>COGS NYC Accenture - July 2020</t>
  </si>
  <si>
    <t>JE2009473</t>
  </si>
  <si>
    <t>COGS NYC ACCENTURE - Jul 2020 True-Up</t>
  </si>
  <si>
    <t>COGS NYC Accenture - Jul 2020 True-Up Lead 14098</t>
  </si>
  <si>
    <t>COGS NYC Accenture - Jul 2020 True-Up Lead 21371</t>
  </si>
  <si>
    <t>JE2010646</t>
  </si>
  <si>
    <t>FF COGS Jul 2020 Accrual</t>
  </si>
  <si>
    <t>JE2011112</t>
  </si>
  <si>
    <t>Accrual reversal against invoices received - Jul 2020</t>
  </si>
  <si>
    <t>Accenture - Reversal of Accrual INV025925 Received</t>
  </si>
  <si>
    <t>OptiBuy - Reversal of Accrual INV025858 Received</t>
  </si>
  <si>
    <t>INV026259</t>
  </si>
  <si>
    <t>OJC Lisi  AFF22753</t>
  </si>
  <si>
    <t>OJC LISI AFF2275</t>
  </si>
  <si>
    <t>JE2008220</t>
  </si>
  <si>
    <t>COGS NYC ACCENTURE - August 2020</t>
  </si>
  <si>
    <t>COGS NYC Accenture - August 2020</t>
  </si>
  <si>
    <t>JE2009474</t>
  </si>
  <si>
    <t>COGS NYC ACCENTURE - Aug 2020 True-Up</t>
  </si>
  <si>
    <t>COGS NYC Accenture - Aug 2020 True-Up Lead 14098</t>
  </si>
  <si>
    <t>COGS NYC Accenture - Aug 2020 True-Up Lead 21371</t>
  </si>
  <si>
    <t>JE2010647</t>
  </si>
  <si>
    <t>FF COGS Aug 2020 Accrual</t>
  </si>
  <si>
    <t>INV026606</t>
  </si>
  <si>
    <t>OJC Rolex Lead 23804</t>
  </si>
  <si>
    <t>JE2009475</t>
  </si>
  <si>
    <t>COGS NYC ACCENTURE - Sep 2020</t>
  </si>
  <si>
    <t>COGS NYC Accenture - Sep 2020 Lead 14098</t>
  </si>
  <si>
    <t>COGS NYC Accenture - Sep 2020 Lead 21371</t>
  </si>
  <si>
    <t>JE2010652</t>
  </si>
  <si>
    <t>FF COGS Sep 2020 Accrual</t>
  </si>
  <si>
    <t>JE2023997</t>
  </si>
  <si>
    <t>Q3 Quarterization AJE</t>
  </si>
  <si>
    <t>CNY Deferred COGS True-UpQ0320AJE8</t>
  </si>
  <si>
    <t>JE2025047</t>
  </si>
  <si>
    <t>Q0320AJE15 Subcontractor</t>
  </si>
  <si>
    <t>INV027485</t>
  </si>
  <si>
    <t>Accenture - Design/Architectural/Requirement Ph2.B</t>
  </si>
  <si>
    <t>INV027487</t>
  </si>
  <si>
    <t>Accenture - Design/Architectural/Requirement  Ph2.</t>
  </si>
  <si>
    <t>INV027488</t>
  </si>
  <si>
    <t>Accenture - Design/Architectural/Requirement Ph2.D</t>
  </si>
  <si>
    <t>INV027489</t>
  </si>
  <si>
    <t>INV027490</t>
  </si>
  <si>
    <t>INV027491</t>
  </si>
  <si>
    <t>INV027492</t>
  </si>
  <si>
    <t>INV027493</t>
  </si>
  <si>
    <t>Accenture - Design/Architectural/Requirement Ph2.M</t>
  </si>
  <si>
    <t>JE2011448</t>
  </si>
  <si>
    <t>COGS NYC ACCENTURE - October 2020</t>
  </si>
  <si>
    <t>COGS NYC Accenture - October 2020 Lead 14098</t>
  </si>
  <si>
    <t>COGS NYC Accenture - October 2020 Lead 21371</t>
  </si>
  <si>
    <t>JE2011806</t>
  </si>
  <si>
    <t>FNP ss traitance octobre FF</t>
  </si>
  <si>
    <t>FNP SS TRAITANCE SAAB WAVE 2</t>
  </si>
  <si>
    <t>FNP SS TRAITANCE SAAB WAVE 3</t>
  </si>
  <si>
    <t>FNP SS TRAITANCE KOERBER</t>
  </si>
  <si>
    <t>FNP SS TRAITANCE ROLEX</t>
  </si>
  <si>
    <t>FNP SS TRAITANCE PSA</t>
  </si>
  <si>
    <t>FNP SS TRAITANCE EPFL LOTI</t>
  </si>
  <si>
    <t>FNP SS TRAITANCE KOERBER FABIO PERINI</t>
  </si>
  <si>
    <t>INV027183</t>
  </si>
  <si>
    <t>STRETCH Ahlsell 23661 project phase 1</t>
  </si>
  <si>
    <t>Stretch Procurement AB</t>
  </si>
  <si>
    <t>INV027257</t>
  </si>
  <si>
    <t>Optibuy Koerber Af.20945</t>
  </si>
  <si>
    <t>INV027092</t>
  </si>
  <si>
    <t>OJC-ROLEX-af23804 Evo 2020</t>
  </si>
  <si>
    <t>INV027456</t>
  </si>
  <si>
    <t>Consus - Design Signoff</t>
  </si>
  <si>
    <t>Consus - Design Signoff (Cairn)</t>
  </si>
  <si>
    <t>Consus Global Pvt Ltd</t>
  </si>
  <si>
    <t>JE2014669</t>
  </si>
  <si>
    <t>reclass expense account of INV027456</t>
  </si>
  <si>
    <t>INV027256</t>
  </si>
  <si>
    <t>OJC LISI Aff 24623 Evo 35%</t>
  </si>
  <si>
    <t>INV027732</t>
  </si>
  <si>
    <t>OPTIBUY Koerber Aff20945</t>
  </si>
  <si>
    <t>JE2011722</t>
  </si>
  <si>
    <t>Accrued Expenses 11.2020</t>
  </si>
  <si>
    <t>INV027429</t>
  </si>
  <si>
    <t>OJC GRUPO ANTOLIN Aff25045</t>
  </si>
  <si>
    <t>JE2012321</t>
  </si>
  <si>
    <t>COGS NYC ACCENTURE - November 2020</t>
  </si>
  <si>
    <t>COGS NYC Accenture - November 2020 Lead 14098</t>
  </si>
  <si>
    <t>COGS NYC Accenture - November 2020 Lead 21371</t>
  </si>
  <si>
    <t>INV027606</t>
  </si>
  <si>
    <t>OJC EPFL 100% à la commande</t>
  </si>
  <si>
    <t>INV028495</t>
  </si>
  <si>
    <t>OJC FR LISI Aff16005 livraison recette lot 2A</t>
  </si>
  <si>
    <t>INV027608</t>
  </si>
  <si>
    <t>CYRIAS PSA-MKA Aff24491-24053</t>
  </si>
  <si>
    <t>Cyrias</t>
  </si>
  <si>
    <t>INV027494</t>
  </si>
  <si>
    <t>Accenture - Design/Architectural/Requirement Ph2.U</t>
  </si>
  <si>
    <t>INV027604</t>
  </si>
  <si>
    <t>OJC Lisi Aff24081 Evos Best 11/20</t>
  </si>
  <si>
    <t>INV027629</t>
  </si>
  <si>
    <t>Koerber decembre</t>
  </si>
  <si>
    <t>JE2011723</t>
  </si>
  <si>
    <t>INV027688</t>
  </si>
  <si>
    <t>JE2013230</t>
  </si>
  <si>
    <t>COGS NYC Accenture - Dec 2020</t>
  </si>
  <si>
    <t>JE2014842</t>
  </si>
  <si>
    <t>Accenture City of NY COGS Accrual</t>
  </si>
  <si>
    <t>JE2014890</t>
  </si>
  <si>
    <t>ajustement cut off FF cogs</t>
  </si>
  <si>
    <t>ss traitance cout differe FF dec</t>
  </si>
  <si>
    <t>ext cca ss traitance FF</t>
  </si>
  <si>
    <t>ext fnp ss traitance FF</t>
  </si>
  <si>
    <t>FNP ss traitance FF dec</t>
  </si>
  <si>
    <t>JE2018283</t>
  </si>
  <si>
    <t>Dec 2020 CNY PS Revenue &amp; COGS Catch-Up</t>
  </si>
  <si>
    <t>JE2018285</t>
  </si>
  <si>
    <t>Dec 2021 PS Revenue &amp; COGS Catch-Up</t>
  </si>
  <si>
    <t>JE2024001</t>
  </si>
  <si>
    <t>CNY Deferred COGS True-UpQ0420AJE7</t>
  </si>
  <si>
    <t>JE2025048</t>
  </si>
  <si>
    <t>Q0420AJE18 Subcontractor</t>
  </si>
  <si>
    <t>JE2016947</t>
  </si>
  <si>
    <t>Ext FF Cogs Dec 20</t>
  </si>
  <si>
    <t>ext ss traitance cout differe FF dec</t>
  </si>
  <si>
    <t>Ext FNP ss traitance FF dec</t>
  </si>
  <si>
    <t>INV028215</t>
  </si>
  <si>
    <t>Accenture - Design/Architectural/Requirement</t>
  </si>
  <si>
    <t>JE2016386</t>
  </si>
  <si>
    <t>COGS NYC Accenture - Jan 2021</t>
  </si>
  <si>
    <t>JE2016948</t>
  </si>
  <si>
    <t>Cut off Soustraitance 01 2021</t>
  </si>
  <si>
    <t>Cut off Soustraitance differé 01 2021</t>
  </si>
  <si>
    <t>Cut off Soustraitance FNP 01 2021</t>
  </si>
  <si>
    <t>JE2016949</t>
  </si>
  <si>
    <t>INV028257</t>
  </si>
  <si>
    <t>CAPGEMINI PSA Aff24491 Kick off implém</t>
  </si>
  <si>
    <t>CAPGEMINI TECHNOLOGY SERVICES</t>
  </si>
  <si>
    <t>INV028492</t>
  </si>
  <si>
    <t>CAPGEMINI PSA MKA aff24491  Design Phase Validatio</t>
  </si>
  <si>
    <t>INV028361</t>
  </si>
  <si>
    <t>Stretch Procurement Aff23661 Ahlsell accept</t>
  </si>
  <si>
    <t>JE2016387</t>
  </si>
  <si>
    <t>COGS NYC Accenture - Feb 2021</t>
  </si>
  <si>
    <t>JE2016950</t>
  </si>
  <si>
    <t>Cut off Soustraitance 02 2021</t>
  </si>
  <si>
    <t>Cut off Soustraitance differé 02 2021</t>
  </si>
  <si>
    <t>Cut off Soustraitance FNP 02 2021</t>
  </si>
  <si>
    <t>JE2016951</t>
  </si>
  <si>
    <t>INV028496</t>
  </si>
  <si>
    <t>OJC FR SAGEMCOM Aff25279 3 Evos</t>
  </si>
  <si>
    <t>INV028581</t>
  </si>
  <si>
    <t>CYRIAS Effia Aff22961 30% recette et 40% PV</t>
  </si>
  <si>
    <t>INV028801</t>
  </si>
  <si>
    <t>Accenture-NYC Ph2Source-to-ContractReadinessCKList</t>
  </si>
  <si>
    <t>JE2017665</t>
  </si>
  <si>
    <t>COGS NYC Accenture - Mar 2021</t>
  </si>
  <si>
    <t>JE2017666</t>
  </si>
  <si>
    <t>Cut off Soustraitance 03 2021</t>
  </si>
  <si>
    <t>Cut off Soustraitance differé 03 2021</t>
  </si>
  <si>
    <t>Cut off Soustraitance FNP 03 2021</t>
  </si>
  <si>
    <t>JE2018025</t>
  </si>
  <si>
    <t>Cut off Soustraitance compl 03 2021</t>
  </si>
  <si>
    <t>JE2018273</t>
  </si>
  <si>
    <t>March 2021 PS COGS Accrual</t>
  </si>
  <si>
    <t>JE2018282</t>
  </si>
  <si>
    <t>March 2021 PS Revenue &amp; COGS Catch-Up</t>
  </si>
  <si>
    <t>March 2021 CNY PS COGS Catch-Up</t>
  </si>
  <si>
    <t>JE2018284</t>
  </si>
  <si>
    <t>JE2029372</t>
  </si>
  <si>
    <t>Reverse Q1 2021 FF</t>
  </si>
  <si>
    <t>JE2029374</t>
  </si>
  <si>
    <t>Reposting Q1 2021 FF</t>
  </si>
  <si>
    <t>JE2017667</t>
  </si>
  <si>
    <t>JE2018026</t>
  </si>
  <si>
    <t>INV030480</t>
  </si>
  <si>
    <t>BENGS Lead 22654 [DALKIA] FF 03/2021</t>
  </si>
  <si>
    <t>Bengs</t>
  </si>
  <si>
    <t>JE2029373</t>
  </si>
  <si>
    <t>JE2029375</t>
  </si>
  <si>
    <t>INV028795</t>
  </si>
  <si>
    <t>CYRIAS PSA Aff24491-24053 Janv-Mars21</t>
  </si>
  <si>
    <t>INV028823</t>
  </si>
  <si>
    <t>OPTIBUY Koerber Aff20945 Hypercare</t>
  </si>
  <si>
    <t>INV028824</t>
  </si>
  <si>
    <t>JE2018940</t>
  </si>
  <si>
    <t>Cut off Soustraitance 04 2021</t>
  </si>
  <si>
    <t>Cut off Soustraitance differé 04 2021</t>
  </si>
  <si>
    <t>Cut off Soustraitance FNP 04 2021</t>
  </si>
  <si>
    <t>JE2018945</t>
  </si>
  <si>
    <t>COGS NYC Accenture - Apr 2021</t>
  </si>
  <si>
    <t>JE2019004</t>
  </si>
  <si>
    <t>April 2021 PS COGS Accrual</t>
  </si>
  <si>
    <t>JE2018941</t>
  </si>
  <si>
    <t>INV030413</t>
  </si>
  <si>
    <t>BENGS Lead 22654 [DALKIA]</t>
  </si>
  <si>
    <t>INV029159</t>
  </si>
  <si>
    <t>OJC FR LISI Aff25492 livraison recette</t>
  </si>
  <si>
    <t>INV030318</t>
  </si>
  <si>
    <t>Fluxym CAD-Downstream TOM-Proj Plan (MO1.1)</t>
  </si>
  <si>
    <t>FLUXYM CANADA INC</t>
  </si>
  <si>
    <t>INV030245</t>
  </si>
  <si>
    <t>OJC FR Rolex Aff26827 forfait</t>
  </si>
  <si>
    <t>INV030319</t>
  </si>
  <si>
    <t>Consus - Cairn UAT Signoff [Implementation]</t>
  </si>
  <si>
    <t>INV030314</t>
  </si>
  <si>
    <t>OPTIBUY Koerber Aff26909 R2P (PM) Hypercare</t>
  </si>
  <si>
    <t>INV030323</t>
  </si>
  <si>
    <t>OPTIBUY Koerber Aff25231 R2P Hypercare &amp; Implement</t>
  </si>
  <si>
    <t>INV030347</t>
  </si>
  <si>
    <t>OJC Lisi PV Lot 2C</t>
  </si>
  <si>
    <t>JE2019594</t>
  </si>
  <si>
    <t>Cut off Soustraitance 05 2021</t>
  </si>
  <si>
    <t>Cut off Soustraitance differé 05 2021</t>
  </si>
  <si>
    <t>Cut off Soustraitance FNP 05 2021</t>
  </si>
  <si>
    <t>JE2019616</t>
  </si>
  <si>
    <t>COGS NYC Accenture - May 2021</t>
  </si>
  <si>
    <t>JE2019669</t>
  </si>
  <si>
    <t>May 2021 PS COGS Accrual</t>
  </si>
  <si>
    <t>JE2019595</t>
  </si>
  <si>
    <t>INV031631</t>
  </si>
  <si>
    <t>BENGS Dalkia Aff22654 5/2021</t>
  </si>
  <si>
    <t>INV031579</t>
  </si>
  <si>
    <t>Optibuy LLC MOF</t>
  </si>
  <si>
    <t>Optibuy LLC</t>
  </si>
  <si>
    <t>INV031650</t>
  </si>
  <si>
    <t>Optibuy LLC - MOF FF</t>
  </si>
  <si>
    <t>INV030448</t>
  </si>
  <si>
    <t>OJC Lisi 35% Lead 22178</t>
  </si>
  <si>
    <t>INV030488</t>
  </si>
  <si>
    <t>OJC Projet « Best » LISI Af.24623 Evolutions Livré</t>
  </si>
  <si>
    <t>INV031566</t>
  </si>
  <si>
    <t>Stretch Procurement AB Ahlsell Aff23661</t>
  </si>
  <si>
    <t>INV031567</t>
  </si>
  <si>
    <t>INV031578</t>
  </si>
  <si>
    <t>OJC FR Rolex Aff26826 30% commande</t>
  </si>
  <si>
    <t>INV031591</t>
  </si>
  <si>
    <t>OJC FR Lisi Commande 35% AFF21286</t>
  </si>
  <si>
    <t>INV031592</t>
  </si>
  <si>
    <t>OJC FR Lisi Aff22753 0.35 liv prod</t>
  </si>
  <si>
    <t>INV031593</t>
  </si>
  <si>
    <t>OJC FR LISI Aff 24623 liv prod 35%</t>
  </si>
  <si>
    <t>INV031594</t>
  </si>
  <si>
    <t>OJC FR Lisi Aff26198 100% liv prod</t>
  </si>
  <si>
    <t>INV031595</t>
  </si>
  <si>
    <t>OJC FR Lisi Aff26198 0.35 liv prod</t>
  </si>
  <si>
    <t>INV031628</t>
  </si>
  <si>
    <t>OJC FR Sagemcom Aff27192 100% liv prod</t>
  </si>
  <si>
    <t>INV031743</t>
  </si>
  <si>
    <t>Accenture-NYC Ph2Source-to-Contract(a) WorkSysTest</t>
  </si>
  <si>
    <t>INV034147</t>
  </si>
  <si>
    <t>KPMG BELGIUM Professional service ministery of fin</t>
  </si>
  <si>
    <t>KPMG BELGIUM</t>
  </si>
  <si>
    <t>INV031683</t>
  </si>
  <si>
    <t>CYRIAS PSA Aff24491-24053 4-5/2021</t>
  </si>
  <si>
    <t>INV031684</t>
  </si>
  <si>
    <t>CYRIAS ADP Aff22458 a régler par ADP</t>
  </si>
  <si>
    <t>INV031685</t>
  </si>
  <si>
    <t>CYRIAS - ADP Aff22458 MDI15025</t>
  </si>
  <si>
    <t>INV031686</t>
  </si>
  <si>
    <t>INV031727</t>
  </si>
  <si>
    <t>Fluxym CAD-PH TOM-DownstreamAssessExecRpt (A2.1)</t>
  </si>
  <si>
    <t>INV032267</t>
  </si>
  <si>
    <t>INETUM MOF 05/2021</t>
  </si>
  <si>
    <t>INETUM MIDDLE EAST SOFTWARE HOUSE LLC</t>
  </si>
  <si>
    <t>JE2021109</t>
  </si>
  <si>
    <t>Cut off Soustraitance 06 2021</t>
  </si>
  <si>
    <t>Cut off Soustraitance differé 06 2021</t>
  </si>
  <si>
    <t>Cut off Soustraitance FNP 06 2021</t>
  </si>
  <si>
    <t>JE2022671</t>
  </si>
  <si>
    <t>Accrual for Subcontractor Costs- MOF - June 2021</t>
  </si>
  <si>
    <t>To Reverse Accrual for Subcontractor Costs- MOF - June 2021</t>
  </si>
  <si>
    <t>Jadidi, Sarah</t>
  </si>
  <si>
    <t>JE2022673</t>
  </si>
  <si>
    <t>US subcontractor deferred cost for June 21</t>
  </si>
  <si>
    <t>JE2029376</t>
  </si>
  <si>
    <t>Reversal Q2 2021 FF</t>
  </si>
  <si>
    <t>JE2029378</t>
  </si>
  <si>
    <t>Reposting Q2 2021 FF</t>
  </si>
  <si>
    <t>JE2021110</t>
  </si>
  <si>
    <t>JE2022672</t>
  </si>
  <si>
    <t>JE2029377</t>
  </si>
  <si>
    <t>JE2029379</t>
  </si>
  <si>
    <t>INV032214</t>
  </si>
  <si>
    <t>JSQUAD LANGUAGE SERVICES OPC PVT LTD Arabic transl</t>
  </si>
  <si>
    <t>JSQUAD LANGUAGE SERVICES OPC PVT LTD</t>
  </si>
  <si>
    <t>INV032088</t>
  </si>
  <si>
    <t>Consus - Cairn Milestone: Go-Live</t>
  </si>
  <si>
    <t>INV032034</t>
  </si>
  <si>
    <t>OJC FR Rolex Aff26826 MEP 70%</t>
  </si>
  <si>
    <t>INV032219</t>
  </si>
  <si>
    <t>JSQUAD LANGUAGE SERVICES OPC PVT LTD MOF Aff25351</t>
  </si>
  <si>
    <t>JE2023612</t>
  </si>
  <si>
    <t>Cut off Soustraitance 07 2021</t>
  </si>
  <si>
    <t>Cut off Soustraitance differé 07 2021</t>
  </si>
  <si>
    <t>Cut off Soustraitance FNP 07 2021</t>
  </si>
  <si>
    <t>JE2023651</t>
  </si>
  <si>
    <t>July 2021 PS COGS Accrual</t>
  </si>
  <si>
    <t>JE2023652</t>
  </si>
  <si>
    <t>July 2021 PS COGA Accrual</t>
  </si>
  <si>
    <t>JE2023613</t>
  </si>
  <si>
    <t>INV032465</t>
  </si>
  <si>
    <t>Fluyxm CAD-PH TOM-Downstream TOM–FinalExecSumTR3.1</t>
  </si>
  <si>
    <t>INV033204</t>
  </si>
  <si>
    <t>INV034556</t>
  </si>
  <si>
    <t>Consus-Cairn Milestone: End of 4 week Hypercare</t>
  </si>
  <si>
    <t>JE2024384</t>
  </si>
  <si>
    <t>Cut off FF Soustraitance 08 2021</t>
  </si>
  <si>
    <t>Cut off FF Soustraitance differé 08 2021</t>
  </si>
  <si>
    <t>Cut off FF Soustraitance FNP 08 2021</t>
  </si>
  <si>
    <t>JE2024469</t>
  </si>
  <si>
    <t>Aug 2021 PS COGS Accrual</t>
  </si>
  <si>
    <t>JE2024562</t>
  </si>
  <si>
    <t>Aug 2021 PS COGA Accrual</t>
  </si>
  <si>
    <t>JE2024385</t>
  </si>
  <si>
    <t>INV032596</t>
  </si>
  <si>
    <t>Optibuy LLC - MOF FF 09/2021</t>
  </si>
  <si>
    <t>INV032601</t>
  </si>
  <si>
    <t>OPTIBUY LLC EXPENSES MOF</t>
  </si>
  <si>
    <t>INV032688</t>
  </si>
  <si>
    <t>Stretch Procurement AB Ahlsell Aff23661 8/21</t>
  </si>
  <si>
    <t>INV032756</t>
  </si>
  <si>
    <t>Optibuy LLC MOF Milestone 2 09/2021 - Delivery of</t>
  </si>
  <si>
    <t>INV032757</t>
  </si>
  <si>
    <t>Optibuy LLC MOF Milestone 3 09/2021- Delivery of S</t>
  </si>
  <si>
    <t>INV032985</t>
  </si>
  <si>
    <t>Accenture-NYC Ph2Source-to-Contract(a)SysAccept</t>
  </si>
  <si>
    <t>INV033061</t>
  </si>
  <si>
    <t>Fluxym-BNY TOM UpstreamAssesExecRpt (A2.2)</t>
  </si>
  <si>
    <t>JE2025259</t>
  </si>
  <si>
    <t>Sep 2021 PS COGS Accrual</t>
  </si>
  <si>
    <t>JE2025352</t>
  </si>
  <si>
    <t>JE2025461</t>
  </si>
  <si>
    <t>FF reclass 09 2021</t>
  </si>
  <si>
    <t>JE2025595</t>
  </si>
  <si>
    <t>Cut off FF Soustraitance 09 2021</t>
  </si>
  <si>
    <t>Cut off FF Soustraitance differé 09 2021</t>
  </si>
  <si>
    <t>INV033633</t>
  </si>
  <si>
    <t>FluxymCad-ChangeMgmtStakeholderAssessmentDoc(CM2)</t>
  </si>
  <si>
    <t>JE2025596</t>
  </si>
  <si>
    <t>INV033006</t>
  </si>
  <si>
    <t>Stretch Procurement AB Ahlsell Fas 2 - M2 - UAT Si</t>
  </si>
  <si>
    <t>INV033145</t>
  </si>
  <si>
    <t>OptiBuy Sp. z o. o. UAT Validation aff25231 Koerbe</t>
  </si>
  <si>
    <t>INV033150</t>
  </si>
  <si>
    <t>OptiBuy Sp. z o. o. Aff20945 koerber</t>
  </si>
  <si>
    <t>INV035118</t>
  </si>
  <si>
    <t>OptiBuy  Koerber Aff28296 SLM 2 (Evaluation)</t>
  </si>
  <si>
    <t>CRE034094</t>
  </si>
  <si>
    <t>INV033511</t>
  </si>
  <si>
    <t>Optis- Consulting Svc FF Oct 2021</t>
  </si>
  <si>
    <t>OPTIS Consulting Network Inc.</t>
  </si>
  <si>
    <t>INV033590</t>
  </si>
  <si>
    <t>INETUM MOF 10/2021</t>
  </si>
  <si>
    <t>INV033591</t>
  </si>
  <si>
    <t>JE2026636</t>
  </si>
  <si>
    <t>Oct 2021 PS COGS Accrual</t>
  </si>
  <si>
    <t>JE2026671</t>
  </si>
  <si>
    <t>Cut off FF Soustraitance 10 2021</t>
  </si>
  <si>
    <t>Cut off FF Soustraitance differé 10 2021</t>
  </si>
  <si>
    <t>JE2026778</t>
  </si>
  <si>
    <t>Oct 2021  Fixed Fee Accrual</t>
  </si>
  <si>
    <t>CRE033538</t>
  </si>
  <si>
    <t>INETUM MOF 05/2021 CN</t>
  </si>
  <si>
    <t>INV033596</t>
  </si>
  <si>
    <t>tretch Procurement AB Ahlsell Phase 2 - M3 - Hype</t>
  </si>
  <si>
    <t>INV033794</t>
  </si>
  <si>
    <t>FluxymCAD-Upstream TOM FinalExecSUM (TR3.2)</t>
  </si>
  <si>
    <t>JE2026672</t>
  </si>
  <si>
    <t>INV033839</t>
  </si>
  <si>
    <t>CYRIAS Lead 24491 &amp; 24053 - BUILD - PSA MKA - PMO</t>
  </si>
  <si>
    <t>INV034086</t>
  </si>
  <si>
    <t>Optis- Consulting Svc FF NOV/2021</t>
  </si>
  <si>
    <t>INV034074</t>
  </si>
  <si>
    <t>OJC-Af.16005-3 mois (Période de garantie) après la</t>
  </si>
  <si>
    <t>JE2027594</t>
  </si>
  <si>
    <t>Nov 2021 PS COGS Accrual</t>
  </si>
  <si>
    <t>JE2027597</t>
  </si>
  <si>
    <t>Nov 2021  Fixed Fee Accrual</t>
  </si>
  <si>
    <t>JE2027633</t>
  </si>
  <si>
    <t>Cut off FF Soustraitance 11 2021</t>
  </si>
  <si>
    <t>Cut off FF Soustraitance differé 11 2021</t>
  </si>
  <si>
    <t>JE2027634</t>
  </si>
  <si>
    <t>INV034470</t>
  </si>
  <si>
    <t>Cyrias ADP P2P</t>
  </si>
  <si>
    <t>INV034375</t>
  </si>
  <si>
    <t>INV034376</t>
  </si>
  <si>
    <t>Optibuy Koerber Project -13652-4 lead 28296 SLM 2</t>
  </si>
  <si>
    <t>INV034377</t>
  </si>
  <si>
    <t>Optibuy Koerber Project - R2P (Catalog) L 12115-4</t>
  </si>
  <si>
    <t>INV034378</t>
  </si>
  <si>
    <t>Optibuy Koerber Project - R2P (Catalog) Pharma (Ha</t>
  </si>
  <si>
    <t>INV034388</t>
  </si>
  <si>
    <t>OptiBuy Sp. z o. o. Aff10317-4 koerber go live</t>
  </si>
  <si>
    <t>INV034634</t>
  </si>
  <si>
    <t>Optbuy Aff27320 Hikma 10%KO</t>
  </si>
  <si>
    <t>JE2027873</t>
  </si>
  <si>
    <t>AP Cleanup Entry for Ivlaua Inc</t>
  </si>
  <si>
    <t>INV034712</t>
  </si>
  <si>
    <t>CYRIAS ADP Aff27587a régler par ADP</t>
  </si>
  <si>
    <t>JE2028725</t>
  </si>
  <si>
    <t>Dec 2021 PS COGS Accrual</t>
  </si>
  <si>
    <t>JE2028726</t>
  </si>
  <si>
    <t>Dec 2021 Fixed Fee Accrual</t>
  </si>
  <si>
    <t>JE2028754</t>
  </si>
  <si>
    <t>Cut off FF Soustraitance 12 2021</t>
  </si>
  <si>
    <t>Cut off FF Soustraitance differé 12 2021</t>
  </si>
  <si>
    <t>JE2029380</t>
  </si>
  <si>
    <t>Adj soustraitance FF 12 2021</t>
  </si>
  <si>
    <t>JE2029462</t>
  </si>
  <si>
    <t>JE2029690</t>
  </si>
  <si>
    <t>AJE Adj soustraitance FF 12 2021</t>
  </si>
  <si>
    <t>Adj soustraitance FF 12 2021 PSA lead 24991</t>
  </si>
  <si>
    <t>JE2028755</t>
  </si>
  <si>
    <t>JE2029381</t>
  </si>
  <si>
    <t>JE2029691</t>
  </si>
  <si>
    <t>INV037277</t>
  </si>
  <si>
    <t>KPMG BELGIUM 12/2021</t>
  </si>
  <si>
    <t>INV035300</t>
  </si>
  <si>
    <t>Fluxym Canada-BNYM_TOM  Change Request TOM</t>
  </si>
  <si>
    <t>JE2030174</t>
  </si>
  <si>
    <t>Jan 2022 PS COGS Accrual</t>
  </si>
  <si>
    <t>JE2030175</t>
  </si>
  <si>
    <t>Jan 2022 Fixed Fee Accrual</t>
  </si>
  <si>
    <t>JE2030180</t>
  </si>
  <si>
    <t>Cut off FF Soustraitance 01 2022</t>
  </si>
  <si>
    <t>Cut off FF Soustraitance differé 01 2022</t>
  </si>
  <si>
    <t>JE2030181</t>
  </si>
  <si>
    <t>INV035386</t>
  </si>
  <si>
    <t>INETUM MOF 01/2022 M ABEDLKADER</t>
  </si>
  <si>
    <t>INV035443</t>
  </si>
  <si>
    <t>OJC FR EPFL Aff29059</t>
  </si>
  <si>
    <t>INV036491</t>
  </si>
  <si>
    <t>OJC FR Lisi Aff28225</t>
  </si>
  <si>
    <t>INV036492</t>
  </si>
  <si>
    <t>OJC FR Sagemcom Aff29104 3 evos 100% à la MEP</t>
  </si>
  <si>
    <t>CRE036512</t>
  </si>
  <si>
    <t>INV037841</t>
  </si>
  <si>
    <t>CGI-Delivery of POC Proj Plan 02/17/22-02/18/22</t>
  </si>
  <si>
    <t>CGI Technologies And Solutions Inc</t>
  </si>
  <si>
    <t>JE2030671</t>
  </si>
  <si>
    <t>Cut off FF Soustraitance 02 2022</t>
  </si>
  <si>
    <t>Cut off FF Soustraitance differé 02 2022</t>
  </si>
  <si>
    <t>JE2030673</t>
  </si>
  <si>
    <t>Feb 2022 PS COGS Accrual</t>
  </si>
  <si>
    <t>JE2030674</t>
  </si>
  <si>
    <t>Feb 2022 Fixed Fee Accrual</t>
  </si>
  <si>
    <t>Feb2022 Fixed Fee Accrual</t>
  </si>
  <si>
    <t>INV036881</t>
  </si>
  <si>
    <t>Stretch Procurement AB Consulting fee 11/2021_02/2</t>
  </si>
  <si>
    <t>JE2030672</t>
  </si>
  <si>
    <t>INV037123</t>
  </si>
  <si>
    <t>INETUM MOF Go-live for the Pilot (15%)</t>
  </si>
  <si>
    <t>INV037124</t>
  </si>
  <si>
    <t>INETUM MOF  Delivery of GAP specification for P2P</t>
  </si>
  <si>
    <t>INV037125</t>
  </si>
  <si>
    <t>INETUM MOF Deliv GAP spec for Sourcing for Wave 1</t>
  </si>
  <si>
    <t>INV037842</t>
  </si>
  <si>
    <t>CGI-DeliveryOfSolutionDesign  02/21/22-03/23/22</t>
  </si>
  <si>
    <t>INV037351</t>
  </si>
  <si>
    <t>OJC Conseil (FR) Sagemcom Aff29104 3/22</t>
  </si>
  <si>
    <t>INV037352</t>
  </si>
  <si>
    <t>OptiBuy Sp. z o. o. Aff27320 projet HIKMA</t>
  </si>
  <si>
    <t>JE2031168</t>
  </si>
  <si>
    <t>March 2022 PS COGS Accrual</t>
  </si>
  <si>
    <t>JE2031169</t>
  </si>
  <si>
    <t>Mar 2022 Fixed Fee Accrual</t>
  </si>
  <si>
    <t>JE2031386</t>
  </si>
  <si>
    <t>Cut off FF Soustraitance 03 2022</t>
  </si>
  <si>
    <t>Cut off FF Soustraitance differé 03 2022</t>
  </si>
  <si>
    <t>JE2031387</t>
  </si>
  <si>
    <t>INV037468</t>
  </si>
  <si>
    <t>INETUM Oracle Integration Specialist February and</t>
  </si>
  <si>
    <t>INV037471</t>
  </si>
  <si>
    <t>OptiBuy Sp. z o. o. Hypercare 3/2022</t>
  </si>
  <si>
    <t>INV037472</t>
  </si>
  <si>
    <t>OptiBuy Sp. z o. o. Koerber Hypercare 3/2022</t>
  </si>
  <si>
    <t>INV037473</t>
  </si>
  <si>
    <t>OptiBuy Sp. z o. o. Koerber Aff20945 Hypercare 3/2</t>
  </si>
  <si>
    <t>INV037474</t>
  </si>
  <si>
    <t>OptiBuy Koerber OptiBuy 3/22</t>
  </si>
  <si>
    <t>INV037469</t>
  </si>
  <si>
    <t>Inetum - repeat training 15%</t>
  </si>
  <si>
    <t>INV037622</t>
  </si>
  <si>
    <t>OptiBuy LLC. Project MOF UAT extension 4/2022</t>
  </si>
  <si>
    <t>INV037470</t>
  </si>
  <si>
    <t>inetum - training wave 1</t>
  </si>
  <si>
    <t>INV037824</t>
  </si>
  <si>
    <t>Accenture-NYC DoITT-Ph3.M1-Source-to-Contract WkPl</t>
  </si>
  <si>
    <t>INV037778</t>
  </si>
  <si>
    <t>CAPGEMINI PSA PSA MKA sourcing project implementat</t>
  </si>
  <si>
    <t>INV037779</t>
  </si>
  <si>
    <t>INV037843</t>
  </si>
  <si>
    <t>CGI-CompleteSolBuild&amp;Setup  03/07/22-04/19/22</t>
  </si>
  <si>
    <t>INV037867</t>
  </si>
  <si>
    <t>OptiBuy Sp. z o. o. Project MOF UAT extension 4/20</t>
  </si>
  <si>
    <t>INV037840</t>
  </si>
  <si>
    <t>Accenture-NYC DoITT-Ph3.D1-Source-to-ContractCon</t>
  </si>
  <si>
    <t>CRE037878</t>
  </si>
  <si>
    <t>INV038288</t>
  </si>
  <si>
    <t>Optibuy LLC Go-live for the Pilot Application MOF</t>
  </si>
  <si>
    <t>JE2032198</t>
  </si>
  <si>
    <t>April 2022 PS FF COGS Accrual</t>
  </si>
  <si>
    <t>April 2022 PS COGS Accrual</t>
  </si>
  <si>
    <t>Chen, Nancy</t>
  </si>
  <si>
    <t>CGI Invoice April reclass</t>
  </si>
  <si>
    <t>Accenture Invoice Reclass April</t>
  </si>
  <si>
    <t>JE2032219</t>
  </si>
  <si>
    <t>Cut off FF Soustraitance 04 2022</t>
  </si>
  <si>
    <t>Cut off FF Soustraitance differé 04 2022</t>
  </si>
  <si>
    <t>JE2032221</t>
  </si>
  <si>
    <t>Apr 2022 Fixed Fee Accrual</t>
  </si>
  <si>
    <t>April 2022 subcontractor Invoice Reclass</t>
  </si>
  <si>
    <t>April 2022 Fixed Fee Accrual</t>
  </si>
  <si>
    <t>JE2032220</t>
  </si>
  <si>
    <t>INV038794</t>
  </si>
  <si>
    <t>KPMG BELGIUM Handelbanken aff28144 Delivery of the</t>
  </si>
  <si>
    <t>INV038311</t>
  </si>
  <si>
    <t>CGI-DelPilot User/FRB Trng 04/18/22-04/22/22</t>
  </si>
  <si>
    <t>JE2032784</t>
  </si>
  <si>
    <t>May 2022 PS FF COGS Accrual</t>
  </si>
  <si>
    <t>JE2032819</t>
  </si>
  <si>
    <t>May 2022 Fixed Fee Accrual</t>
  </si>
  <si>
    <t>May 2022 subcontractor Invoice Reclass</t>
  </si>
  <si>
    <t>May 2022 FF Fee expense</t>
  </si>
  <si>
    <t>JE2032857</t>
  </si>
  <si>
    <t>Cut off FF Soustraitance 05 2022</t>
  </si>
  <si>
    <t>Cut off FF Soustraitance differé 05 2022</t>
  </si>
  <si>
    <t>JE2032858</t>
  </si>
  <si>
    <t>INV038534</t>
  </si>
  <si>
    <t>INETUM Oracle Integration Specialist May 2022</t>
  </si>
  <si>
    <t>INV038593</t>
  </si>
  <si>
    <t>OptiBuy Sp. z o. o. Koerber Aff25231 5/22</t>
  </si>
  <si>
    <t>INV038853</t>
  </si>
  <si>
    <t>CGI-MayPOCPilotSpt/FRB 04/25/22-05/31/22</t>
  </si>
  <si>
    <t>INV039024</t>
  </si>
  <si>
    <t>CYRIAS ADP Aff régler par ADP</t>
  </si>
  <si>
    <t>INV039049</t>
  </si>
  <si>
    <t>Accenture-NYC DoITT-Ph3.D2-Source-to-Contract BDD</t>
  </si>
  <si>
    <t>INV039050</t>
  </si>
  <si>
    <t>Accenture-NYC DoITT-Ph3.D3-Source-to-Contract IDD</t>
  </si>
  <si>
    <t>INV039051</t>
  </si>
  <si>
    <t>Accenture-NYC DoITT-Ph3.D4-Source-to-Contract CPDD</t>
  </si>
  <si>
    <t>INV039052</t>
  </si>
  <si>
    <t>Accenture-NYC DoITT-Ph3.D5-Test Plan</t>
  </si>
  <si>
    <t>JE2033486</t>
  </si>
  <si>
    <t>Cut off FF Soustraitance 06 2022</t>
  </si>
  <si>
    <t>Cut off FF Soustraitance differé 06 2022</t>
  </si>
  <si>
    <t>JE2033527</t>
  </si>
  <si>
    <t>Jun 2022 (DMCC) Fixed Fee Accrual</t>
  </si>
  <si>
    <t>Reclass Credit Memo to Def Cost</t>
  </si>
  <si>
    <t>Reclass Invoice bill to Def Cost</t>
  </si>
  <si>
    <t>JE2033532</t>
  </si>
  <si>
    <t>Jun 2022 PS FF COGS Accrual</t>
  </si>
  <si>
    <t>Reclass CGI Invoices to Defer</t>
  </si>
  <si>
    <t>Reclass Accenture invoice to Defer</t>
  </si>
  <si>
    <t>Total - 501125 - COR Implementation / Subcontractors FF</t>
  </si>
  <si>
    <t>JE7106</t>
  </si>
  <si>
    <t>Delware Franchise Tax - E-CHECK 0159215034</t>
  </si>
  <si>
    <t>935 - Admin</t>
  </si>
  <si>
    <t>CA Franchise Tax BO - Conf# 64043531</t>
  </si>
  <si>
    <t>JE7109</t>
  </si>
  <si>
    <t>CA - Franchise Tax Board</t>
  </si>
  <si>
    <t>Delware Franchise Tax - CK# 0115176882</t>
  </si>
  <si>
    <t>Delware 2nd Estimate - Franchise Tax 2019</t>
  </si>
  <si>
    <t>JE7100</t>
  </si>
  <si>
    <t>NYS Corporation State Tax - CK# 3890</t>
  </si>
  <si>
    <t>NYS DTF tax payment #47483520</t>
  </si>
  <si>
    <t>CA - Secretary of State</t>
  </si>
  <si>
    <t>JE2026857</t>
  </si>
  <si>
    <t>Reclass Sales Tax NYS</t>
  </si>
  <si>
    <t>JE7101</t>
  </si>
  <si>
    <t>DE - Franchise Tax 2019</t>
  </si>
  <si>
    <t>Delware 3rd Estimate - Franchise Tax 2019</t>
  </si>
  <si>
    <t>AJE4-Accrued Expenses 12.2019 - Delware</t>
  </si>
  <si>
    <t>JE2001695</t>
  </si>
  <si>
    <t>2019 AJE-12A</t>
  </si>
  <si>
    <t>Cancellation IS/frais augm capital - Correction of JE already booked in Nav</t>
  </si>
  <si>
    <t>Reclas Frais Income tax on Fees 33%</t>
  </si>
  <si>
    <t>JE2026923</t>
  </si>
  <si>
    <t>JE2003492</t>
  </si>
  <si>
    <t>ACC EXP 12.2019 II R</t>
  </si>
  <si>
    <t>Accrued Expenses 12.2019 - Delware - Reversal</t>
  </si>
  <si>
    <t>JE2006099</t>
  </si>
  <si>
    <t>(Cost Center Reclass)</t>
  </si>
  <si>
    <t>US Treasury - Refund for Overpayment</t>
  </si>
  <si>
    <t>JE3816</t>
  </si>
  <si>
    <t>Delware 4th Qtrs Estimate - Franchise Tax 2019</t>
  </si>
  <si>
    <t>CA Special Tax BOE - Conf# 74141619</t>
  </si>
  <si>
    <t>JE2005994</t>
  </si>
  <si>
    <t>Delware 4th Qtrs Estimate - Franchise Tax 2019 (Cost Center Reclass)</t>
  </si>
  <si>
    <t>JE2006071</t>
  </si>
  <si>
    <t>JE2027138</t>
  </si>
  <si>
    <t>Reclass department  910 (invalid) to 905</t>
  </si>
  <si>
    <t>JE7332</t>
  </si>
  <si>
    <t>Delware - Franchise Tax Q1 2020</t>
  </si>
  <si>
    <t>JE2006111</t>
  </si>
  <si>
    <t>Delware - Franchise Tax Q1 2020 (Cost Center Reclass)</t>
  </si>
  <si>
    <t>JE2002483</t>
  </si>
  <si>
    <t>CA 0620</t>
  </si>
  <si>
    <t>State of California - Refund</t>
  </si>
  <si>
    <t>JE2005665</t>
  </si>
  <si>
    <t>CA 0620 (Cost Center Reclass)</t>
  </si>
  <si>
    <t>JE2002303</t>
  </si>
  <si>
    <t>ACH09</t>
  </si>
  <si>
    <t>Delware - Franchise Tax Q1 2020 (Late Fee)</t>
  </si>
  <si>
    <t>JE2005659</t>
  </si>
  <si>
    <t>ACH09 (Cost Center Reclass)</t>
  </si>
  <si>
    <t>JE2002502</t>
  </si>
  <si>
    <t>TAX PROVISION 2018</t>
  </si>
  <si>
    <t>Tax provision 2019 - Texas</t>
  </si>
  <si>
    <t>JE2012788</t>
  </si>
  <si>
    <t>Delaware Quarterly Tax Payment</t>
  </si>
  <si>
    <t>JE2011802</t>
  </si>
  <si>
    <t>CA - Refund Income tax 2019</t>
  </si>
  <si>
    <t>CA - Refund income tax 2019</t>
  </si>
  <si>
    <t>JE2012340</t>
  </si>
  <si>
    <t>TX - Franchise Tax 2020 Penalty fees</t>
  </si>
  <si>
    <t>JE2017138</t>
  </si>
  <si>
    <t>Reclass penalty fees DE 2020</t>
  </si>
  <si>
    <t>JE2026927</t>
  </si>
  <si>
    <t>Reclass Corporation tax UK</t>
  </si>
  <si>
    <t>Reclass JE2013905 2019 Corp Tax</t>
  </si>
  <si>
    <t>Reclass JE2015047 2020 Corp Tax</t>
  </si>
  <si>
    <t>JE2017135</t>
  </si>
  <si>
    <t>DE - Franchise Tax final Payment 2020</t>
  </si>
  <si>
    <t>JE2018440</t>
  </si>
  <si>
    <t>vorläuf. GewSt März 2021 0</t>
  </si>
  <si>
    <t>0 Umglied,, falsches GuV Konto</t>
  </si>
  <si>
    <t>Adj for 2019 Corporation tax</t>
  </si>
  <si>
    <t>Adj for 2020 Corporation tax</t>
  </si>
  <si>
    <t>JE2025602</t>
  </si>
  <si>
    <t>Income Tax 2020 - Payments</t>
  </si>
  <si>
    <t>Income Tax 2020 - Payments AL CPT</t>
  </si>
  <si>
    <t>Income Tax 2020 - Payments AL</t>
  </si>
  <si>
    <t>Income Tax 2020 - Payments DC</t>
  </si>
  <si>
    <t>Income Tax 2020 - Payments GA</t>
  </si>
  <si>
    <t>Income Tax 2020 - Payments TN</t>
  </si>
  <si>
    <t>Income Tax 2020 - Payments CO - check 3938</t>
  </si>
  <si>
    <t>Income Tax 2020 - Payments ME - check 3939</t>
  </si>
  <si>
    <t>Income Tax 2020 - Payments OR - check 3940</t>
  </si>
  <si>
    <t>JE2026805</t>
  </si>
  <si>
    <t>VT payment Income tax 12.31.2021</t>
  </si>
  <si>
    <t>JE2026808</t>
  </si>
  <si>
    <t>MN - Income Tax Return 2020</t>
  </si>
  <si>
    <t>JE2027293</t>
  </si>
  <si>
    <t>CO - Late filing fees 2021 TR</t>
  </si>
  <si>
    <t>JE2027579</t>
  </si>
  <si>
    <t>AL - Busness Tax 2020 Penalty</t>
  </si>
  <si>
    <t>JE2027581</t>
  </si>
  <si>
    <t>MN - Franchise Tax Penalty 2020</t>
  </si>
  <si>
    <t>JE2027583</t>
  </si>
  <si>
    <t>TN - Franchise Tax 2020 Penalty</t>
  </si>
  <si>
    <t>JE2027576</t>
  </si>
  <si>
    <t>NC - Income Tax late penalty - 2020 filing</t>
  </si>
  <si>
    <t>JE2027577</t>
  </si>
  <si>
    <t>NC - Franchise Tax Late Fees - 2020</t>
  </si>
  <si>
    <t>JE7104</t>
  </si>
  <si>
    <t>Foreign Tax</t>
  </si>
  <si>
    <t>930 - G&amp;A - Management</t>
  </si>
  <si>
    <t>Reverse 2018 Withhlding Tax Reserve</t>
  </si>
  <si>
    <t>998 - I/C Expense G&amp;A</t>
  </si>
  <si>
    <t>JE2001655</t>
  </si>
  <si>
    <t>2019 AJE-12</t>
  </si>
  <si>
    <t>Accrue estimated withholding tax for 2019</t>
  </si>
  <si>
    <t>JE2001657</t>
  </si>
  <si>
    <t>2019 AJE-42</t>
  </si>
  <si>
    <t>JE2026856</t>
  </si>
  <si>
    <t>Sales Tax accrual reclassification</t>
  </si>
  <si>
    <t>JE2027408</t>
  </si>
  <si>
    <t>PE italy Risk 2016-2019</t>
  </si>
  <si>
    <t>PE italy risk 2016-2019</t>
  </si>
  <si>
    <t>JE2015080</t>
  </si>
  <si>
    <t>JE2101</t>
  </si>
  <si>
    <t>JE2102</t>
  </si>
  <si>
    <t>JE2103</t>
  </si>
  <si>
    <t>JE2104</t>
  </si>
  <si>
    <t>JE2105</t>
  </si>
  <si>
    <t>JE2005689</t>
  </si>
  <si>
    <t>Foreign Tax (Cost Center Reclass)</t>
  </si>
  <si>
    <t>JE2005690</t>
  </si>
  <si>
    <t>JE2005691</t>
  </si>
  <si>
    <t>JE2005692</t>
  </si>
  <si>
    <t>JE2005693</t>
  </si>
  <si>
    <t>JE2126</t>
  </si>
  <si>
    <t>JE2005701</t>
  </si>
  <si>
    <t>JE2127</t>
  </si>
  <si>
    <t>JE2128</t>
  </si>
  <si>
    <t>JE2129</t>
  </si>
  <si>
    <t>JE2005702</t>
  </si>
  <si>
    <t>JE2005703</t>
  </si>
  <si>
    <t>JE2005704</t>
  </si>
  <si>
    <t>PYMT1050</t>
  </si>
  <si>
    <t>apply je</t>
  </si>
  <si>
    <t>Flucticiel Amérique Du Nord Inc.</t>
  </si>
  <si>
    <t>JE4363</t>
  </si>
  <si>
    <t>JE2006097</t>
  </si>
  <si>
    <t>JE3953</t>
  </si>
  <si>
    <t>JE2006023</t>
  </si>
  <si>
    <t>JE4364</t>
  </si>
  <si>
    <t>JE2006098</t>
  </si>
  <si>
    <t>JE2023975</t>
  </si>
  <si>
    <t>Withholding Tax AccrualQ0120AJE5</t>
  </si>
  <si>
    <t>JE2023977</t>
  </si>
  <si>
    <t>Withholding Tax AccrualQ0120AJE6</t>
  </si>
  <si>
    <t>JE4356</t>
  </si>
  <si>
    <t>JE4357</t>
  </si>
  <si>
    <t>JE2006095</t>
  </si>
  <si>
    <t>JE2006096</t>
  </si>
  <si>
    <t>JE2023976</t>
  </si>
  <si>
    <t>JE4014</t>
  </si>
  <si>
    <t>JE4015</t>
  </si>
  <si>
    <t>JE4016</t>
  </si>
  <si>
    <t>JE4017</t>
  </si>
  <si>
    <t>JE4018</t>
  </si>
  <si>
    <t>JE4019</t>
  </si>
  <si>
    <t>JE4020</t>
  </si>
  <si>
    <t>JE2006025</t>
  </si>
  <si>
    <t>JE2006026</t>
  </si>
  <si>
    <t>JE2006027</t>
  </si>
  <si>
    <t>JE2006028</t>
  </si>
  <si>
    <t>JE2006029</t>
  </si>
  <si>
    <t>JE2006030</t>
  </si>
  <si>
    <t>JE2006031</t>
  </si>
  <si>
    <t>JE7609</t>
  </si>
  <si>
    <t>JE7610</t>
  </si>
  <si>
    <t>JE2005654</t>
  </si>
  <si>
    <t>JE2005655</t>
  </si>
  <si>
    <t>JE2006189</t>
  </si>
  <si>
    <t>JE2004415</t>
  </si>
  <si>
    <t>Add entries to match trial balance (Cost Center Reclass)</t>
  </si>
  <si>
    <t>PYMT988</t>
  </si>
  <si>
    <t>PYMT991</t>
  </si>
  <si>
    <t>Credit Memo</t>
  </si>
  <si>
    <t>CM2500294</t>
  </si>
  <si>
    <t>Qst credit</t>
  </si>
  <si>
    <t>Credit Memo for Over charged QST</t>
  </si>
  <si>
    <t>Gildan Activewear Inc.</t>
  </si>
  <si>
    <t>CM2500295</t>
  </si>
  <si>
    <t>Credit Memo excess QST charged</t>
  </si>
  <si>
    <t>Fluxym Canada Inc.</t>
  </si>
  <si>
    <t>PYMT986</t>
  </si>
  <si>
    <t>IN2002074WHT</t>
  </si>
  <si>
    <t>PYMT987</t>
  </si>
  <si>
    <t>Malakoff Corporation Berhad</t>
  </si>
  <si>
    <t>PYMT1054</t>
  </si>
  <si>
    <t>Consus Global Philippines Inc</t>
  </si>
  <si>
    <t>JE2005505</t>
  </si>
  <si>
    <t>EFT939</t>
  </si>
  <si>
    <t>PYMT1055</t>
  </si>
  <si>
    <t>CGI</t>
  </si>
  <si>
    <t>JE2023989</t>
  </si>
  <si>
    <t>Withholding Tax AccrualQ0220AJE6</t>
  </si>
  <si>
    <t>JE2024347</t>
  </si>
  <si>
    <t>sales taxAJE06</t>
  </si>
  <si>
    <t>Sales Tax reconciliation - NY reclass sales tax not due and not collected</t>
  </si>
  <si>
    <t>JE2027181</t>
  </si>
  <si>
    <t>Reclass CVAE to income tax - Q2-2020</t>
  </si>
  <si>
    <t>PYMT1061</t>
  </si>
  <si>
    <t>Consus Consulting Group</t>
  </si>
  <si>
    <t>JE2023990</t>
  </si>
  <si>
    <t>PYMT1064</t>
  </si>
  <si>
    <t>WIPRO LIMITED</t>
  </si>
  <si>
    <t>PYMT1059</t>
  </si>
  <si>
    <t>JE2003348</t>
  </si>
  <si>
    <t>vorl. RSt GewSt 06_2020 0</t>
  </si>
  <si>
    <t>JE2003349</t>
  </si>
  <si>
    <t>PYMT1066</t>
  </si>
  <si>
    <t>PYMT1067</t>
  </si>
  <si>
    <t>PYMT1068</t>
  </si>
  <si>
    <t>PYMT1098</t>
  </si>
  <si>
    <t>JE2003345</t>
  </si>
  <si>
    <t>vorl. RSt GewSt 07_2020 0</t>
  </si>
  <si>
    <t>PYMT1065</t>
  </si>
  <si>
    <t>PYMT1104906</t>
  </si>
  <si>
    <t>KPMG ADVISORY (CHINA) LIMITED</t>
  </si>
  <si>
    <t>PYMT1072</t>
  </si>
  <si>
    <t>Jollibee Foods Corporation</t>
  </si>
  <si>
    <t>PYMT1073</t>
  </si>
  <si>
    <t>PYMT110458</t>
  </si>
  <si>
    <t>PYMT11036</t>
  </si>
  <si>
    <t>PYMT11037</t>
  </si>
  <si>
    <t>PYMT1087</t>
  </si>
  <si>
    <t>Welspun Group</t>
  </si>
  <si>
    <t>PYMT1083</t>
  </si>
  <si>
    <t>PYMT11024</t>
  </si>
  <si>
    <t>tax on ,2350,2349,1871   59,336usd</t>
  </si>
  <si>
    <t>Sercotel, S.A. De C.V. (America Movil)</t>
  </si>
  <si>
    <t>PYMT11025</t>
  </si>
  <si>
    <t>JE2023992</t>
  </si>
  <si>
    <t>Withholding Tax AccrualQ0320AJE4</t>
  </si>
  <si>
    <t>JE2027184</t>
  </si>
  <si>
    <t>Reclass CVAE to income Tax - Q3-2020</t>
  </si>
  <si>
    <t>JE2023993</t>
  </si>
  <si>
    <t>PYMT1093</t>
  </si>
  <si>
    <t>PYMT110460</t>
  </si>
  <si>
    <t>PYMT1085</t>
  </si>
  <si>
    <t>PYMT11027</t>
  </si>
  <si>
    <t>2368, 2512, partial 2590 tax is 50,800 20% (gross is 254,000.00)</t>
  </si>
  <si>
    <t>Sercotel - Claro Colombia</t>
  </si>
  <si>
    <t>PYMT11029</t>
  </si>
  <si>
    <t>PYMT1104617</t>
  </si>
  <si>
    <t>PYMT11039</t>
  </si>
  <si>
    <t>PYMT1104879</t>
  </si>
  <si>
    <t>tax</t>
  </si>
  <si>
    <t>PYMT1095</t>
  </si>
  <si>
    <t>PYMT1096</t>
  </si>
  <si>
    <t>PYMT11026</t>
  </si>
  <si>
    <t>Foreign tax   20% of 127,000</t>
  </si>
  <si>
    <t>PYMT1094</t>
  </si>
  <si>
    <t>Intalere</t>
  </si>
  <si>
    <t>PYMT1099</t>
  </si>
  <si>
    <t>PYMT1104907</t>
  </si>
  <si>
    <t>RBC - Royal Bank Of Canada</t>
  </si>
  <si>
    <t>PYMT1104614</t>
  </si>
  <si>
    <t>PYMT1104615</t>
  </si>
  <si>
    <t>PYMT1104876</t>
  </si>
  <si>
    <t>PYMT990</t>
  </si>
  <si>
    <t>WHT</t>
  </si>
  <si>
    <t>JE2017144</t>
  </si>
  <si>
    <t>Reversal 2019 Foreign Witholding tax accrual</t>
  </si>
  <si>
    <t>JE2017145</t>
  </si>
  <si>
    <t>Reclass FX (unproperly classified during data migration)</t>
  </si>
  <si>
    <t>Reclass Sales Tax Payable Canada</t>
  </si>
  <si>
    <t>Invoice</t>
  </si>
  <si>
    <t>IN2002912</t>
  </si>
  <si>
    <t>13% HST</t>
  </si>
  <si>
    <t>Shared Services Canada</t>
  </si>
  <si>
    <t>JE2013244</t>
  </si>
  <si>
    <t>Foreign Withholding taxes accrual 12.31.2020</t>
  </si>
  <si>
    <t>IN2002882A</t>
  </si>
  <si>
    <t>IN2002882</t>
  </si>
  <si>
    <t>JE2023978</t>
  </si>
  <si>
    <t>JE2024349</t>
  </si>
  <si>
    <t>sales taxAJE01</t>
  </si>
  <si>
    <t>Sales Tax reconcilitiona - Reclass CM2500295</t>
  </si>
  <si>
    <t>JE2027185</t>
  </si>
  <si>
    <t>Reclass CVAE to Income Tax - Q4-2020</t>
  </si>
  <si>
    <t>JE2027409</t>
  </si>
  <si>
    <t>PE italy Risk 2020</t>
  </si>
  <si>
    <t>PE italy risk 2020</t>
  </si>
  <si>
    <t>PYMT1104859</t>
  </si>
  <si>
    <t>2701</t>
  </si>
  <si>
    <t>PYMT1104871</t>
  </si>
  <si>
    <t>PYMT1104872</t>
  </si>
  <si>
    <t>tax on 2924,1178,751,1610</t>
  </si>
  <si>
    <t>PYMT1104884</t>
  </si>
  <si>
    <t>Maxis Broadband Sdn Bhd</t>
  </si>
  <si>
    <t>PYMT1104888</t>
  </si>
  <si>
    <t>PYMT1104909</t>
  </si>
  <si>
    <t>PYMT1104903</t>
  </si>
  <si>
    <t>PYMT1104905</t>
  </si>
  <si>
    <t>PYMT1105004</t>
  </si>
  <si>
    <t>PYMT1105033</t>
  </si>
  <si>
    <t>2.2 wht</t>
  </si>
  <si>
    <t>PYMT1105036</t>
  </si>
  <si>
    <t>2847</t>
  </si>
  <si>
    <t>PYMT1105038</t>
  </si>
  <si>
    <t>PYMT1105130</t>
  </si>
  <si>
    <t>WELSPUN INDIA LIMITED</t>
  </si>
  <si>
    <t>PYMT1105173</t>
  </si>
  <si>
    <t>Foreign tax  2737,2738</t>
  </si>
  <si>
    <t>PYMT1105175</t>
  </si>
  <si>
    <t>Foreign tax  2751</t>
  </si>
  <si>
    <t>PYMT1105219</t>
  </si>
  <si>
    <t>Foreign tax tax KPMG Millicom pmt 3/3/2021 83,819.26</t>
  </si>
  <si>
    <t>KPMG ADVISORY, TAX &amp; LEGAL SAS</t>
  </si>
  <si>
    <t>PYMT1105319</t>
  </si>
  <si>
    <t>PYMT1105321</t>
  </si>
  <si>
    <t>PYMT1105323</t>
  </si>
  <si>
    <t>PYMT1105325</t>
  </si>
  <si>
    <t>PYMT1105327</t>
  </si>
  <si>
    <t>PYMT1105365</t>
  </si>
  <si>
    <t>JE2013245</t>
  </si>
  <si>
    <t>PYMT1105367</t>
  </si>
  <si>
    <t>JE2017192</t>
  </si>
  <si>
    <t>Foreign Withholding taxes accrual 03.31.2021</t>
  </si>
  <si>
    <t>JE2028964</t>
  </si>
  <si>
    <t>Reclass CVAE to income tax - Q121</t>
  </si>
  <si>
    <t>PYMT1105406</t>
  </si>
  <si>
    <t>PYMT1105489</t>
  </si>
  <si>
    <t>PYMT1105498</t>
  </si>
  <si>
    <t>PYMT1105500</t>
  </si>
  <si>
    <t>PYMT1105518</t>
  </si>
  <si>
    <t>PYMT1105520</t>
  </si>
  <si>
    <t>JE2017193</t>
  </si>
  <si>
    <t>JE2018827</t>
  </si>
  <si>
    <t>Foreign Withholding taxes accrual 04.30.2021</t>
  </si>
  <si>
    <t>JE2027139</t>
  </si>
  <si>
    <t>PYMT1105601</t>
  </si>
  <si>
    <t>PYMT1105603</t>
  </si>
  <si>
    <t>PYMT1105626</t>
  </si>
  <si>
    <t>3209</t>
  </si>
  <si>
    <t>PYMT1105681</t>
  </si>
  <si>
    <t>JE2018828</t>
  </si>
  <si>
    <t>JE2019465</t>
  </si>
  <si>
    <t>Foreign Withholding taxes accrual 05.31.2021</t>
  </si>
  <si>
    <t>PYMT1105696</t>
  </si>
  <si>
    <t>PYMT1105712</t>
  </si>
  <si>
    <t>PYMT1105721</t>
  </si>
  <si>
    <t>PYMT1105777</t>
  </si>
  <si>
    <t>PYMT11058141</t>
  </si>
  <si>
    <t>PYMT11058144</t>
  </si>
  <si>
    <t>JE2019466</t>
  </si>
  <si>
    <t>PYMT11058163</t>
  </si>
  <si>
    <t>PYMT11058165</t>
  </si>
  <si>
    <t>JE2020337</t>
  </si>
  <si>
    <t>Foreign Withholding taxes accrual 06.30.2021</t>
  </si>
  <si>
    <t>JE2028965</t>
  </si>
  <si>
    <t>Reclass CVAE to income tax - Q221</t>
  </si>
  <si>
    <t>PYMT11058231</t>
  </si>
  <si>
    <t>PYMT11058228</t>
  </si>
  <si>
    <t>PYMT11058264</t>
  </si>
  <si>
    <t>PYMT11058265</t>
  </si>
  <si>
    <t>PYMT11058307</t>
  </si>
  <si>
    <t>PYMT11058324</t>
  </si>
  <si>
    <t>PYMT11058326</t>
  </si>
  <si>
    <t>PYMT11058330</t>
  </si>
  <si>
    <t>PYMT11058355</t>
  </si>
  <si>
    <t>Consus (US)</t>
  </si>
  <si>
    <t>JE2020338</t>
  </si>
  <si>
    <t>JE2023399</t>
  </si>
  <si>
    <t>Foreign Withholding taxes accrual 07.31.21</t>
  </si>
  <si>
    <t>PYMT11058369</t>
  </si>
  <si>
    <t>PYMT11058383</t>
  </si>
  <si>
    <t>Foreign tax 8-18 40k payment</t>
  </si>
  <si>
    <t>PYMT11058385</t>
  </si>
  <si>
    <t>INFOSYS LIMITED</t>
  </si>
  <si>
    <t>PYMT11058387</t>
  </si>
  <si>
    <t>PYMT11058399</t>
  </si>
  <si>
    <t>PYMT11058405</t>
  </si>
  <si>
    <t>PYMT11058403</t>
  </si>
  <si>
    <t>PYMT11058487</t>
  </si>
  <si>
    <t>JE2023400</t>
  </si>
  <si>
    <t>PYMT11058493</t>
  </si>
  <si>
    <t>JE2024269</t>
  </si>
  <si>
    <t>Foreign Withholding taxes accrual 08.31.21</t>
  </si>
  <si>
    <t>JE2024898</t>
  </si>
  <si>
    <t>Reclass to correct sales tax account</t>
  </si>
  <si>
    <t>PYMT11058536</t>
  </si>
  <si>
    <t>Foreign tax/invoice amount 44,502.00 3351A</t>
  </si>
  <si>
    <t>PYMT11058586</t>
  </si>
  <si>
    <t>PYMT11058610</t>
  </si>
  <si>
    <t>PYMT11058644</t>
  </si>
  <si>
    <t>PYMT11058646</t>
  </si>
  <si>
    <t>PYMT11058651</t>
  </si>
  <si>
    <t>PYMT11058662</t>
  </si>
  <si>
    <t>JE2024270</t>
  </si>
  <si>
    <t>PYMT11058664</t>
  </si>
  <si>
    <t>PYMT11058666</t>
  </si>
  <si>
    <t>PYMT11058667</t>
  </si>
  <si>
    <t>JE2025160</t>
  </si>
  <si>
    <t>Foreign Withholding taxes accrual 09.30.2021</t>
  </si>
  <si>
    <t>JE2028967</t>
  </si>
  <si>
    <t>Reclass CVAE to income tax - Q321</t>
  </si>
  <si>
    <t>PYMT11058755</t>
  </si>
  <si>
    <t>CIMB SDN BHD</t>
  </si>
  <si>
    <t>PYMT11058771</t>
  </si>
  <si>
    <t>PYMT11058790</t>
  </si>
  <si>
    <t>PYMT11058801</t>
  </si>
  <si>
    <t>JE2025161</t>
  </si>
  <si>
    <t>JE2026429</t>
  </si>
  <si>
    <t>Foreign Withholding taxes accrual 10.31.2021</t>
  </si>
  <si>
    <t>PYMT11058846</t>
  </si>
  <si>
    <t>PYMT11058910</t>
  </si>
  <si>
    <t>PYMT11058928</t>
  </si>
  <si>
    <t>ACCENTURE SOLUTIONS PVT LTD</t>
  </si>
  <si>
    <t>PYMT11058948</t>
  </si>
  <si>
    <t>PYMT11058949</t>
  </si>
  <si>
    <t>ref:9-21-21 payment--partial tax on $448 remaining tax on 3477, $120 tax on 3562, $32 bank fee--not applied originally due to no remittance advice</t>
  </si>
  <si>
    <t>JE2026430</t>
  </si>
  <si>
    <t>JE2027295</t>
  </si>
  <si>
    <t>Foreign Withholding taxes accrual 11.30.2021</t>
  </si>
  <si>
    <t>PYMT11059098</t>
  </si>
  <si>
    <t>WHT IN2003621</t>
  </si>
  <si>
    <t>PYMT11059156</t>
  </si>
  <si>
    <t>PYMT11059120</t>
  </si>
  <si>
    <t>3839 Tax</t>
  </si>
  <si>
    <t>PYMT11059142</t>
  </si>
  <si>
    <t>JE2027296</t>
  </si>
  <si>
    <t>JE2028882</t>
  </si>
  <si>
    <t>JE2028968</t>
  </si>
  <si>
    <t>Reclass CVAE to income tax - Q421</t>
  </si>
  <si>
    <t>JE2029102</t>
  </si>
  <si>
    <t>Prov pour impot PE Italy</t>
  </si>
  <si>
    <t>Prov impot PE italy 2021</t>
  </si>
  <si>
    <t>JE1229</t>
  </si>
  <si>
    <t>JE1919</t>
  </si>
  <si>
    <t>vorl. GewSt RSt 03_2020</t>
  </si>
  <si>
    <t>JE2037</t>
  </si>
  <si>
    <t>vorl. GewSt RSt 04_2020</t>
  </si>
  <si>
    <t>JE7211</t>
  </si>
  <si>
    <t>vorl. GewSt RSt 05_2020</t>
  </si>
  <si>
    <t>JE2008558</t>
  </si>
  <si>
    <t>89 0 vorl. RSt GewSt 08_2020</t>
  </si>
  <si>
    <t>JE2008630</t>
  </si>
  <si>
    <t>95 0</t>
  </si>
  <si>
    <t>JE2011215</t>
  </si>
  <si>
    <t>vorl. RSt GewSt 10_2020 0</t>
  </si>
  <si>
    <t>JE2011766</t>
  </si>
  <si>
    <t>vorl. RSt GewSt 11_2020 0</t>
  </si>
  <si>
    <t>JE2013382</t>
  </si>
  <si>
    <t>Storno vorl. RSt GewSt 1-11 _2020 0</t>
  </si>
  <si>
    <t>JE2013391</t>
  </si>
  <si>
    <t>Gewerbesteuer-Rückstellung 0</t>
  </si>
  <si>
    <t>JE2015697</t>
  </si>
  <si>
    <t>vorläuf. GewSt Jan 2021 0</t>
  </si>
  <si>
    <t>JE2015996</t>
  </si>
  <si>
    <t>vorläuf. GewSt Feb 2021 0</t>
  </si>
  <si>
    <t>JE2017945</t>
  </si>
  <si>
    <t>Prov vorläuf. GewSt Mar 2021 0</t>
  </si>
  <si>
    <t>Interest Payabel on Income Tax Interest u/s 234B</t>
  </si>
  <si>
    <t>Interest Payabel on Income Tax Interest u/s 234C</t>
  </si>
  <si>
    <t>JE2017946</t>
  </si>
  <si>
    <t>0 vorläuf. GewSt April 2021</t>
  </si>
  <si>
    <t>vorläuf. Mai 2021</t>
  </si>
  <si>
    <t>Income tax for Year 2019</t>
  </si>
  <si>
    <t>Income tax true up for 2020</t>
  </si>
  <si>
    <t>vorläuf. GewSt Juni 2021</t>
  </si>
  <si>
    <t>JE2027631</t>
  </si>
  <si>
    <t>Penalty Fees late filing 2020 Tax Return</t>
  </si>
  <si>
    <t>940175 - Deferred Tax Expense</t>
  </si>
  <si>
    <t>JE2026938</t>
  </si>
  <si>
    <t>JE2011125</t>
  </si>
  <si>
    <t>2019 Audit Adjusting Entry</t>
  </si>
  <si>
    <t>Deferred Tax (Audit adjustment March 2019)</t>
  </si>
  <si>
    <t>JE2015528</t>
  </si>
  <si>
    <t>Audit Entry for FY 19-20 Deferred tax</t>
  </si>
  <si>
    <t>JE2015595</t>
  </si>
  <si>
    <t>Deferred Tax provision 2020</t>
  </si>
  <si>
    <t>Deferred Tax provision 2019</t>
  </si>
  <si>
    <t>Deferred Tax Entry for Year 2020 After Audit</t>
  </si>
  <si>
    <t>JE2024335</t>
  </si>
  <si>
    <t>Tax Entry Correction for Audit 2020</t>
  </si>
  <si>
    <t>Deferred tax Entry 2020-Correction</t>
  </si>
  <si>
    <t>JE2026885</t>
  </si>
  <si>
    <t>US GAAP reclass RD tax credit</t>
  </si>
  <si>
    <t>RECLASS RD TAXCREDIT 2020</t>
  </si>
  <si>
    <t>JE2026942</t>
  </si>
  <si>
    <t>JE2026943</t>
  </si>
  <si>
    <t>Deferred Tax True Up FY 20-21 post Audit</t>
  </si>
  <si>
    <t>JE2030710</t>
  </si>
  <si>
    <t>Deferred Tax provision 2021 Q2</t>
  </si>
  <si>
    <t>JE2030712</t>
  </si>
  <si>
    <t>Deferred Tax provision 2021 Q3</t>
  </si>
  <si>
    <t>JE2029587</t>
  </si>
  <si>
    <t>Deferred Tax provision 2021</t>
  </si>
  <si>
    <t>JE2030711</t>
  </si>
  <si>
    <t>JE2030713</t>
  </si>
  <si>
    <t>Total - 940175 - Deferred Tax Expense</t>
  </si>
  <si>
    <t>Tax Return</t>
  </si>
  <si>
    <t>FR Tax 2021 Provision</t>
  </si>
  <si>
    <t>FR Tax 2021 Provision - Italy PE</t>
  </si>
  <si>
    <t>Current Tax Liability - Income Tax</t>
  </si>
  <si>
    <t xml:space="preserve">Total Tax Liability </t>
  </si>
  <si>
    <t>True-up</t>
  </si>
  <si>
    <t>In Local Currency</t>
  </si>
  <si>
    <t>6/152022</t>
  </si>
  <si>
    <t>T/A to TR</t>
  </si>
  <si>
    <t>R&amp;D Tax Credit (145400)</t>
  </si>
  <si>
    <t>cash paid CVAE</t>
  </si>
  <si>
    <t>need to reclass from the Other Payable Account to Income Tax Payable</t>
  </si>
  <si>
    <t>Per PL</t>
  </si>
  <si>
    <t>Other Tax Payable (220080)</t>
  </si>
  <si>
    <t>120151 - 
Withhoding tax receivable</t>
  </si>
  <si>
    <t>120200 - 
Income Tax Receivable</t>
  </si>
  <si>
    <t>135300 - 
Deferred tax assets ST</t>
  </si>
  <si>
    <t>145500 - 
Deferred Tax Asset - Long Term</t>
  </si>
  <si>
    <t>220200 - 
Income Tax Payable</t>
  </si>
  <si>
    <t>240500 - 
contingent Liability</t>
  </si>
  <si>
    <t>940100 - 
State income tax</t>
  </si>
  <si>
    <t>940150 - 
Federal Income Tax</t>
  </si>
  <si>
    <t>reclass tax refund received to offset against income tax receivable, payable</t>
  </si>
  <si>
    <t>940125 - 
Foreign income tax</t>
  </si>
  <si>
    <t>240650 - 
Deferred Tax Liability - LT</t>
  </si>
  <si>
    <t>write-off tax refundable</t>
  </si>
  <si>
    <t>Targeted Balance</t>
  </si>
  <si>
    <t>Current Balance</t>
  </si>
  <si>
    <t>R&amp;D Credit Receivable</t>
  </si>
  <si>
    <t>Other tax liability</t>
  </si>
  <si>
    <t>From Jan 2021 to Jun 2022</t>
  </si>
  <si>
    <t>?</t>
  </si>
  <si>
    <t>Taxes - P&amp;L Movement &amp; BS 220800</t>
  </si>
  <si>
    <t>Entry Type</t>
  </si>
  <si>
    <t>Location</t>
  </si>
  <si>
    <t>Expected annual cost</t>
  </si>
  <si>
    <t>Apprenticeship Tax</t>
  </si>
  <si>
    <t>Payroll entry</t>
  </si>
  <si>
    <t>Other P&amp;L</t>
  </si>
  <si>
    <t>Accrual</t>
  </si>
  <si>
    <t>Training Tax</t>
  </si>
  <si>
    <t>Construction Tax</t>
  </si>
  <si>
    <t>Adesatt</t>
  </si>
  <si>
    <t>PEE Abondement</t>
  </si>
  <si>
    <t>Property &amp; City Taxes</t>
  </si>
  <si>
    <t>Invoice/Avis</t>
  </si>
  <si>
    <t>Massy</t>
  </si>
  <si>
    <t>32589.6€ par Q</t>
  </si>
  <si>
    <t>Paris</t>
  </si>
  <si>
    <t>Montpellier</t>
  </si>
  <si>
    <t>Reclass to Utilities</t>
  </si>
  <si>
    <t>Business Tax</t>
  </si>
  <si>
    <t>CFE Invoice/Avis</t>
  </si>
  <si>
    <t>CFE Other P&amp;L</t>
  </si>
  <si>
    <t>CFE Accrual</t>
  </si>
  <si>
    <t>Total US GAAP</t>
  </si>
  <si>
    <t>CVAE Invoice/Avis</t>
  </si>
  <si>
    <t>CVAE Other P&amp;L</t>
  </si>
  <si>
    <t>CVAE Accrual</t>
  </si>
  <si>
    <t>Total FR GAAP</t>
  </si>
  <si>
    <t>Disability Tax</t>
  </si>
  <si>
    <t>Organic</t>
  </si>
  <si>
    <t>Rattrapage Organic 06 22</t>
  </si>
  <si>
    <t>=(70613/12*6)-(36450/12*5)</t>
  </si>
  <si>
    <t>Office Tax</t>
  </si>
  <si>
    <t>Car Tax</t>
  </si>
  <si>
    <t>Atlas FC 2021</t>
  </si>
  <si>
    <t>From Payroll journals</t>
  </si>
  <si>
    <t>Atlas TA 2021</t>
  </si>
  <si>
    <t>Atlas FC 2022</t>
  </si>
  <si>
    <t>Atlas TA 2022</t>
  </si>
  <si>
    <t>Adesatt 2021</t>
  </si>
  <si>
    <t>Adesatt 2022</t>
  </si>
  <si>
    <t>Abondement 2020</t>
  </si>
  <si>
    <t>From Payroll &amp; bank journals</t>
  </si>
  <si>
    <t>Abondement 2021</t>
  </si>
  <si>
    <t>Abondement 2022</t>
  </si>
  <si>
    <t>Provision Effort Contruction 2020</t>
  </si>
  <si>
    <t>Provision Effort Contruction 2021</t>
  </si>
  <si>
    <t>Provision Effort Contruction 2022</t>
  </si>
  <si>
    <t>Provision Taxe Fonciere 2022</t>
  </si>
  <si>
    <t>Manual accrual</t>
  </si>
  <si>
    <t>Provision TVS 2021</t>
  </si>
  <si>
    <t>Provision TVS 2022</t>
  </si>
  <si>
    <t>Provision Taxes sur les Bureaux 2021</t>
  </si>
  <si>
    <t>Provision Taxes sur les Bureaux 2022</t>
  </si>
  <si>
    <t>Provision Organic 2021</t>
  </si>
  <si>
    <t>Provision Organic 2022</t>
  </si>
  <si>
    <t>Provision AGEFIPH 2021</t>
  </si>
  <si>
    <t>Provision AGEFIPH 2022</t>
  </si>
  <si>
    <t>Provision CFE 2022</t>
  </si>
  <si>
    <t>Acompte CFE 2022</t>
  </si>
  <si>
    <t>URSSAF</t>
  </si>
  <si>
    <t>WH tax on board fees 2021</t>
  </si>
  <si>
    <t>Taxable Income</t>
  </si>
  <si>
    <t>paid</t>
  </si>
  <si>
    <t>Corporate Tax</t>
  </si>
  <si>
    <t>Payments</t>
  </si>
  <si>
    <t>March</t>
  </si>
  <si>
    <t>paid in full</t>
  </si>
  <si>
    <t>To pay</t>
  </si>
  <si>
    <t>To Pay</t>
  </si>
  <si>
    <t>Ending Tax Payable</t>
  </si>
  <si>
    <t>CIT</t>
  </si>
  <si>
    <t>to be paid</t>
  </si>
  <si>
    <t>2022 payments</t>
  </si>
  <si>
    <t>Sales Tax Payable</t>
  </si>
  <si>
    <t>VAT Payable</t>
  </si>
  <si>
    <t>Reclass tax provision accrual from sales tax to tax payable</t>
  </si>
  <si>
    <t>Write-off tax refundable</t>
  </si>
  <si>
    <t>Total 2021 CVAE</t>
  </si>
  <si>
    <t>Per Tax Provision</t>
  </si>
  <si>
    <t>Mois/Month</t>
  </si>
  <si>
    <t>Fr</t>
  </si>
  <si>
    <t>Site</t>
  </si>
  <si>
    <t>Total prevu</t>
  </si>
  <si>
    <t>Acomptes</t>
  </si>
  <si>
    <t>Factures</t>
  </si>
  <si>
    <t>Provision</t>
  </si>
  <si>
    <t>Bouveche</t>
  </si>
  <si>
    <t>Parc Orsay</t>
  </si>
  <si>
    <t>Denfert</t>
  </si>
  <si>
    <t>Invoice is for prior period, and so doesn't affect overall provision</t>
  </si>
  <si>
    <t>Accounting Period: End Date</t>
  </si>
  <si>
    <t>Account (Line): Number</t>
  </si>
  <si>
    <t>Account (Line): Name</t>
  </si>
  <si>
    <t>Location: Name</t>
  </si>
  <si>
    <t>Department: Department Number</t>
  </si>
  <si>
    <t>Debit</t>
  </si>
  <si>
    <t>Credit</t>
  </si>
  <si>
    <t>PY Return to Provision True-Ups</t>
  </si>
  <si>
    <t>Benefit</t>
  </si>
  <si>
    <t>Local Currency</t>
  </si>
  <si>
    <t>Detriment</t>
  </si>
  <si>
    <t>Balance sheet reclass - 2022 CVAE Payable</t>
  </si>
  <si>
    <t>Open:</t>
  </si>
  <si>
    <t>To confirm with EY on France material realized FX - AETR or discrete</t>
  </si>
  <si>
    <t>US (5472 Refund)</t>
  </si>
  <si>
    <t>Federal</t>
  </si>
  <si>
    <t>State</t>
  </si>
  <si>
    <t>CRA</t>
  </si>
  <si>
    <t>Quebec</t>
  </si>
  <si>
    <t>Provision for Income Taxes</t>
  </si>
  <si>
    <t>M&amp;E</t>
  </si>
  <si>
    <t>Book Depreciation</t>
  </si>
  <si>
    <t>Tax Depreciation</t>
  </si>
  <si>
    <t>Quebec Bonus Depreciation</t>
  </si>
  <si>
    <t>Deferred rent</t>
  </si>
  <si>
    <t>Non Capital Losses</t>
  </si>
  <si>
    <t>Taxable Income after NOL</t>
  </si>
  <si>
    <t>Registration</t>
  </si>
  <si>
    <t>Tax Payable (paid 6/30/2022)</t>
  </si>
  <si>
    <t>COMPUTATION OF CIT FOR 2021</t>
  </si>
  <si>
    <t xml:space="preserve">Particulars </t>
  </si>
  <si>
    <t>Amount in SEK</t>
  </si>
  <si>
    <t xml:space="preserve">Profit before tax </t>
  </si>
  <si>
    <t xml:space="preserve">Add: Non-Deductible Expenses </t>
  </si>
  <si>
    <t>Customer Entertainment</t>
  </si>
  <si>
    <t>Fines</t>
  </si>
  <si>
    <t>Loss previous year</t>
  </si>
  <si>
    <t>Taxable Profit</t>
  </si>
  <si>
    <t>Total non-deductible expenses</t>
  </si>
  <si>
    <t>Tax @ 20,6% on above</t>
  </si>
  <si>
    <t>Pension cost</t>
  </si>
  <si>
    <t>Pension tax 24,26%</t>
  </si>
  <si>
    <t xml:space="preserve">CONSIDERED AS PAYROLL TAX </t>
  </si>
  <si>
    <t>Less : Advance Tax previous year</t>
  </si>
  <si>
    <t>Tjanstepension 2021</t>
  </si>
  <si>
    <t>Net Tax Payable/ (Refundable)</t>
  </si>
  <si>
    <t>Corporation tax payable</t>
  </si>
  <si>
    <t>Existing provision</t>
  </si>
  <si>
    <t>Adjustment to post</t>
  </si>
  <si>
    <t>Per Tax Return</t>
  </si>
  <si>
    <t>SEK</t>
  </si>
  <si>
    <t>2021 Tax Provision - Germany</t>
  </si>
  <si>
    <t>IND</t>
  </si>
  <si>
    <t>Total Discrete</t>
  </si>
  <si>
    <t>1st advance payments</t>
  </si>
  <si>
    <t>paid in excess of the accrual</t>
  </si>
  <si>
    <t>Long term asset 145400</t>
  </si>
  <si>
    <t>Outstanding 2021 balance</t>
  </si>
  <si>
    <t>accounted</t>
  </si>
  <si>
    <t>Finance</t>
  </si>
  <si>
    <t>payroll tax</t>
  </si>
  <si>
    <t>per bank statement</t>
  </si>
  <si>
    <t>FOUND</t>
  </si>
  <si>
    <t>sales tax payable</t>
  </si>
  <si>
    <t>not paid - confirmed with Christelle</t>
  </si>
  <si>
    <t>Reclass tax paymentfrom sales tax to income tax payable</t>
  </si>
  <si>
    <t>needs to be tracked separately</t>
  </si>
  <si>
    <t>Sales Tax Payable - payments</t>
  </si>
  <si>
    <t>Sales Tax Payable - 2021 accruals</t>
  </si>
  <si>
    <t>Sales Tax Payable - 2022 accruals</t>
  </si>
  <si>
    <t>Reclass</t>
  </si>
  <si>
    <t>73K EUR</t>
  </si>
  <si>
    <t>103K EUR</t>
  </si>
  <si>
    <t>CVAE accrued in 2021</t>
  </si>
  <si>
    <t>2021 CVAE Expense</t>
  </si>
  <si>
    <t>Final CVAE Liability</t>
  </si>
  <si>
    <t xml:space="preserve">Total </t>
  </si>
  <si>
    <t>payment</t>
  </si>
  <si>
    <t>Target</t>
  </si>
  <si>
    <t>2021 CVAE True-up</t>
  </si>
  <si>
    <t xml:space="preserve">2022 CVAE </t>
  </si>
  <si>
    <t>Targeted Expense</t>
  </si>
  <si>
    <t xml:space="preserve">Q1 </t>
  </si>
  <si>
    <t>Q2 Booking</t>
  </si>
  <si>
    <t>130150 - Unpaid Prepaid</t>
  </si>
  <si>
    <t>FIN48</t>
  </si>
  <si>
    <t>Preliminary (for DT)</t>
  </si>
  <si>
    <t xml:space="preserve">Withholding Taxes </t>
  </si>
  <si>
    <t>Italy PE</t>
  </si>
  <si>
    <t>First Half</t>
  </si>
  <si>
    <t>Tax Payable Proofs True-Ups (pass booking it for now, immaterial)</t>
  </si>
  <si>
    <t>JE2034145</t>
  </si>
  <si>
    <t>135700 - Deferred Rent Asset - ST</t>
  </si>
  <si>
    <t>215655 - Accrued Commission - other countries</t>
  </si>
  <si>
    <t>215505 - Accrued bonus - other countries</t>
  </si>
  <si>
    <t>End of Sep 2022</t>
  </si>
  <si>
    <t>640710 - Air to Rebill</t>
  </si>
  <si>
    <t>610207 - Bonus Netherland</t>
  </si>
  <si>
    <t>610210 - Bonus Denmark</t>
  </si>
  <si>
    <t>610351 - Commission Denmark</t>
  </si>
  <si>
    <t>610357 - Commission Netherland</t>
  </si>
  <si>
    <t>620570 - Various Contributions</t>
  </si>
  <si>
    <t>610202 - Bonus Switzerland</t>
  </si>
  <si>
    <t>WELSPUN CORP LIMITED</t>
  </si>
  <si>
    <t>Operating Profit</t>
  </si>
  <si>
    <t>CVAE/CFE</t>
  </si>
  <si>
    <t>Q3 RTP</t>
  </si>
  <si>
    <t>2022 CVAE H1</t>
  </si>
  <si>
    <t>2022 CVAE Paid H1</t>
  </si>
  <si>
    <t>2022 CVAE Q3</t>
  </si>
  <si>
    <t>2022 CVAE Paid Q3</t>
  </si>
  <si>
    <t>Tax &lt;Payable&gt;/Receivable</t>
  </si>
  <si>
    <t>OPEN</t>
  </si>
  <si>
    <t>EST</t>
  </si>
  <si>
    <t>FILED</t>
  </si>
  <si>
    <t>From Jan 2021 to Dec 2021</t>
  </si>
  <si>
    <t>2020 Tax Payment</t>
  </si>
  <si>
    <t>2021 Tax Payment</t>
  </si>
  <si>
    <t>Calculation Corporation Taxes - DE</t>
  </si>
  <si>
    <t>Account DR</t>
  </si>
  <si>
    <t>Account CR</t>
  </si>
  <si>
    <t>% rate</t>
  </si>
  <si>
    <t>Already applied</t>
  </si>
  <si>
    <t>To post</t>
  </si>
  <si>
    <t>VERSION 7/25</t>
  </si>
  <si>
    <t>N/A for Q2</t>
  </si>
  <si>
    <t>Quarterly Provision - FIN 18</t>
  </si>
  <si>
    <t>YTD</t>
  </si>
  <si>
    <t>Excluded entities w/ Separate AETR</t>
  </si>
  <si>
    <t>Return to Index</t>
  </si>
  <si>
    <t>WW Rate</t>
  </si>
  <si>
    <t xml:space="preserve">France </t>
  </si>
  <si>
    <t xml:space="preserve">US </t>
  </si>
  <si>
    <t>Q1</t>
  </si>
  <si>
    <t>Q2</t>
  </si>
  <si>
    <t>Q3</t>
  </si>
  <si>
    <t>Actual YTD Consol PBT without Discrete Income (Loss)</t>
  </si>
  <si>
    <t>PBC-2</t>
  </si>
  <si>
    <r>
      <t xml:space="preserve">Less: </t>
    </r>
    <r>
      <rPr>
        <b/>
        <sz val="10"/>
        <color rgb="FFFF0000"/>
        <rFont val="Calibri"/>
        <family val="2"/>
        <scheme val="minor"/>
      </rPr>
      <t>B</t>
    </r>
    <r>
      <rPr>
        <sz val="10"/>
        <rFont val="Calibri"/>
        <family val="2"/>
        <scheme val="minor"/>
      </rPr>
      <t xml:space="preserve"> Entity PBT</t>
    </r>
  </si>
  <si>
    <t>A-3</t>
  </si>
  <si>
    <t>Less: B Entity PBT</t>
  </si>
  <si>
    <r>
      <t>Actual YTD PBT (</t>
    </r>
    <r>
      <rPr>
        <b/>
        <sz val="10"/>
        <color rgb="FFFF0000"/>
        <rFont val="Calibri"/>
        <family val="2"/>
        <scheme val="minor"/>
      </rPr>
      <t>A</t>
    </r>
    <r>
      <rPr>
        <sz val="10"/>
        <rFont val="Calibri"/>
        <family val="2"/>
        <scheme val="minor"/>
      </rPr>
      <t xml:space="preserve"> entities)</t>
    </r>
  </si>
  <si>
    <t>Calc</t>
  </si>
  <si>
    <t>Actual YTD PBT (A entities)</t>
  </si>
  <si>
    <t>Projected AETR</t>
  </si>
  <si>
    <t>Total Tax Provision (includable Entities)</t>
  </si>
  <si>
    <t>a</t>
  </si>
  <si>
    <t>Total Tax Provision (France Separate AETR)</t>
  </si>
  <si>
    <t>Note: France CVAE recorded discretely. France AETR is 0% at Q2 due to full valuation allowance.</t>
  </si>
  <si>
    <t>Total Tax Provision (US Separate AETR)</t>
  </si>
  <si>
    <t>Note:  US included in WW Rate for Q2</t>
  </si>
  <si>
    <t>Total Tax Provision All Entities</t>
  </si>
  <si>
    <t>check</t>
  </si>
  <si>
    <t>YTD Discrete Items</t>
  </si>
  <si>
    <t>Q1 Items</t>
  </si>
  <si>
    <t>Tax Notice</t>
  </si>
  <si>
    <t>A-2</t>
  </si>
  <si>
    <t xml:space="preserve">Foreign Withholding Tax </t>
  </si>
  <si>
    <t>A-3b</t>
  </si>
  <si>
    <t>Q1 Passed Journal Entries - Immaterial</t>
  </si>
  <si>
    <t>Other - Immaterial</t>
  </si>
  <si>
    <t>Q2 Items</t>
  </si>
  <si>
    <t>Q2 France CVAE (1/2 Year Accrual)</t>
  </si>
  <si>
    <t>A-4</t>
  </si>
  <si>
    <t>ASC 740-10 UTB Interest</t>
  </si>
  <si>
    <t>PBC-10</t>
  </si>
  <si>
    <t>Italy PE reserve</t>
  </si>
  <si>
    <t>PBC-8</t>
  </si>
  <si>
    <t>France - RTP</t>
  </si>
  <si>
    <t>Q3 Items</t>
  </si>
  <si>
    <t>SBC Excess Benefit to P&amp;L</t>
  </si>
  <si>
    <t>Federal RTP</t>
  </si>
  <si>
    <t>Foreign Payable True-Up</t>
  </si>
  <si>
    <t>A-9</t>
  </si>
  <si>
    <t>A-3a</t>
  </si>
  <si>
    <t>YTD Tax Expense after Discrete Items</t>
  </si>
  <si>
    <t>Summary</t>
  </si>
  <si>
    <t>Q4</t>
  </si>
  <si>
    <t>Tax Expense / (Benefit)</t>
  </si>
  <si>
    <t>Discrete Expense / (Benefit)</t>
  </si>
  <si>
    <t>Above</t>
  </si>
  <si>
    <t>Total Tax Expense / (Benefit)</t>
  </si>
  <si>
    <t>Consolidated YTD PBT without Discrete Income (Loss)</t>
  </si>
  <si>
    <t>Discrete Income/(Loss)</t>
  </si>
  <si>
    <t>Consolidated YTD PBT</t>
  </si>
  <si>
    <t>Effective Tax Rate</t>
  </si>
  <si>
    <t>Target Income Tax Expense</t>
  </si>
  <si>
    <t>Income Tax Expense per TB</t>
  </si>
  <si>
    <t>Additional JE to be booked</t>
  </si>
  <si>
    <t>Per Revised FS</t>
  </si>
  <si>
    <t>FYE 12/31/2022</t>
  </si>
  <si>
    <t>FY22 Q2 Provision</t>
  </si>
  <si>
    <t>Q3 France CVAE (Q3 Only)</t>
  </si>
  <si>
    <t>Italy PE reserve (1/2 Year Accrual)</t>
  </si>
  <si>
    <t>ACCRUAL</t>
  </si>
  <si>
    <t>ACTUAL PMT</t>
  </si>
  <si>
    <t>Customer</t>
  </si>
  <si>
    <t>Open Balance subject to WHT</t>
  </si>
  <si>
    <t>Rate</t>
  </si>
  <si>
    <t>Q1 WHT</t>
  </si>
  <si>
    <t>Q2 WHT</t>
  </si>
  <si>
    <t>Q3 WHT</t>
  </si>
  <si>
    <t>ACC LIMITED</t>
  </si>
  <si>
    <t>AMBUJA CEMENT LIMITED</t>
  </si>
  <si>
    <t>Consus Global DWC LLC</t>
  </si>
  <si>
    <t>Consus Global LLC</t>
  </si>
  <si>
    <t>TECH MAHINDRA LIMITED</t>
  </si>
  <si>
    <t>UPL LTD.</t>
  </si>
  <si>
    <t>UPL MANAGEMENT DMCC</t>
  </si>
  <si>
    <t>Reserved</t>
  </si>
  <si>
    <t>KPMG GLOBAL SERVICES PVT LTD</t>
  </si>
  <si>
    <t>PRICEWATERHOUSECOOPERS PRIVATE LIMITED</t>
  </si>
  <si>
    <t xml:space="preserve">UPL </t>
  </si>
  <si>
    <t>Jan Reversal</t>
  </si>
  <si>
    <t>CHECK</t>
  </si>
  <si>
    <t>2021 Reversal</t>
  </si>
  <si>
    <t>Total Q3</t>
  </si>
  <si>
    <t>ATTORNEY-CLIENT PRIVILEGE</t>
  </si>
  <si>
    <t xml:space="preserve">   </t>
  </si>
  <si>
    <r>
      <rPr>
        <b/>
        <sz val="11"/>
        <color rgb="FF0070C0"/>
        <rFont val="Calibri"/>
        <family val="2"/>
        <scheme val="minor"/>
      </rPr>
      <t>1. Minimum scenario</t>
    </r>
    <r>
      <rPr>
        <b/>
        <sz val="11"/>
        <color theme="1"/>
        <rFont val="Calibri"/>
        <family val="2"/>
        <scheme val="minor"/>
      </rPr>
      <t xml:space="preserve"> </t>
    </r>
    <r>
      <rPr>
        <sz val="8"/>
        <rFont val="Arial"/>
        <family val="2"/>
      </rPr>
      <t xml:space="preserve">reflects the financial risk that would derive in case of assessment for FY17-FY20 by Italian Tax Authorities applying the </t>
    </r>
    <r>
      <rPr>
        <b/>
        <sz val="11"/>
        <color theme="1"/>
        <rFont val="Calibri"/>
        <family val="2"/>
        <scheme val="minor"/>
      </rPr>
      <t xml:space="preserve">least punitive penalties. </t>
    </r>
  </si>
  <si>
    <t>DRAFT FOR DISCUSSIONS</t>
  </si>
  <si>
    <r>
      <rPr>
        <b/>
        <sz val="11"/>
        <color rgb="FF0070C0"/>
        <rFont val="Calibri"/>
        <family val="2"/>
        <scheme val="minor"/>
      </rPr>
      <t>2. Worst-case scenario</t>
    </r>
    <r>
      <rPr>
        <b/>
        <sz val="11"/>
        <color theme="1"/>
        <rFont val="Calibri"/>
        <family val="2"/>
        <scheme val="minor"/>
      </rPr>
      <t xml:space="preserve"> </t>
    </r>
    <r>
      <rPr>
        <sz val="8"/>
        <rFont val="Arial"/>
        <family val="2"/>
      </rPr>
      <t xml:space="preserve">reflects the financial risk that would derive in case of assessment for FY17-FY20 by Italian Tax Authroties applying the </t>
    </r>
    <r>
      <rPr>
        <b/>
        <sz val="11"/>
        <color theme="1"/>
        <rFont val="Calibri"/>
        <family val="2"/>
        <scheme val="minor"/>
      </rPr>
      <t>most punitive penalties.</t>
    </r>
  </si>
  <si>
    <t>ALL FIGURES ARE FOR ILLUSTRATION PURPOSES ONLY</t>
  </si>
  <si>
    <r>
      <rPr>
        <b/>
        <i/>
        <u/>
        <sz val="10"/>
        <color theme="1"/>
        <rFont val="Calibri"/>
        <family val="2"/>
        <scheme val="minor"/>
      </rPr>
      <t>N.B</t>
    </r>
    <r>
      <rPr>
        <i/>
        <sz val="10"/>
        <color theme="1"/>
        <rFont val="Calibri"/>
        <family val="2"/>
        <scheme val="minor"/>
      </rPr>
      <t>: each scenario could give rise to a</t>
    </r>
    <r>
      <rPr>
        <b/>
        <i/>
        <sz val="10"/>
        <color theme="1"/>
        <rFont val="Calibri"/>
        <family val="2"/>
        <scheme val="minor"/>
      </rPr>
      <t xml:space="preserve"> so-called </t>
    </r>
    <r>
      <rPr>
        <b/>
        <i/>
        <sz val="10"/>
        <color rgb="FF0070C0"/>
        <rFont val="Calibri"/>
        <family val="2"/>
        <scheme val="minor"/>
      </rPr>
      <t>"acquiescence" of tax settlement</t>
    </r>
    <r>
      <rPr>
        <b/>
        <i/>
        <sz val="10"/>
        <color theme="1"/>
        <rFont val="Calibri"/>
        <family val="2"/>
        <scheme val="minor"/>
      </rPr>
      <t>,</t>
    </r>
    <r>
      <rPr>
        <i/>
        <sz val="10"/>
        <color theme="1"/>
        <rFont val="Calibri"/>
        <family val="2"/>
        <scheme val="minor"/>
      </rPr>
      <t xml:space="preserve"> following which the authorities would reduce any penalty to</t>
    </r>
    <r>
      <rPr>
        <b/>
        <i/>
        <sz val="10"/>
        <color theme="1"/>
        <rFont val="Calibri"/>
        <family val="2"/>
        <scheme val="minor"/>
      </rPr>
      <t xml:space="preserve"> 1/3 of their amount. </t>
    </r>
  </si>
  <si>
    <t>COMPUTATIONS BASED ON INFORMATION, DATA AND TP METHOD GIVEN BY IVALUA</t>
  </si>
  <si>
    <t xml:space="preserve">ASSUMPTIONS: </t>
  </si>
  <si>
    <t xml:space="preserve">   (i) Additional fixed tax penalties may apply in case of assessment;</t>
  </si>
  <si>
    <t xml:space="preserve">   (ii) The below does not preclude from criminal implications;</t>
  </si>
  <si>
    <t>Baseline (€)</t>
  </si>
  <si>
    <t xml:space="preserve">  (iii) Interest computation may be different depending on the date of payment of taxes in case of tax assessment/disclosure. </t>
  </si>
  <si>
    <t>2020 turnover</t>
  </si>
  <si>
    <t xml:space="preserve">turnover </t>
  </si>
  <si>
    <t xml:space="preserve">  (iv) Ivalua complied with the Italian social security contributions and withholding obligations in relation to salaries paid to the Italian employees. </t>
  </si>
  <si>
    <t>Cost</t>
  </si>
  <si>
    <t xml:space="preserve">salary cost </t>
  </si>
  <si>
    <t xml:space="preserve"> (v) Sales and supplies of services have been rendered by Ivalua to VAT Italian customers (B2B transactions) only and the intra-EU regime applied through the reverse charge mechanism.</t>
  </si>
  <si>
    <t>Relevant TP Method</t>
  </si>
  <si>
    <t>Cost+8%</t>
  </si>
  <si>
    <t xml:space="preserve">Assumed tax base </t>
  </si>
  <si>
    <t>Minimum scenario</t>
  </si>
  <si>
    <t>up to 2019</t>
  </si>
  <si>
    <t>FY</t>
  </si>
  <si>
    <t xml:space="preserve">Statute of limitation </t>
  </si>
  <si>
    <t>in case of omitted tax return</t>
  </si>
  <si>
    <t>Tax risks by nature (€)</t>
  </si>
  <si>
    <t>income tax</t>
  </si>
  <si>
    <t>operationnal</t>
  </si>
  <si>
    <t xml:space="preserve">January 31, 2022* </t>
  </si>
  <si>
    <t>* Initially December 31, 2020 - Due to the COVID emergency, tax assessment which statute of limitation expired on December 31, 2020 can be served until January 31, 2022</t>
  </si>
  <si>
    <r>
      <rPr>
        <b/>
        <sz val="11"/>
        <color theme="1"/>
        <rFont val="Calibri"/>
        <family val="2"/>
        <scheme val="minor"/>
      </rPr>
      <t>IRES</t>
    </r>
    <r>
      <rPr>
        <sz val="8"/>
        <rFont val="Arial"/>
        <family val="2"/>
      </rPr>
      <t xml:space="preserve"> (federal income tax)</t>
    </r>
  </si>
  <si>
    <t>December 31, 2021</t>
  </si>
  <si>
    <t>120% maximum penalties</t>
  </si>
  <si>
    <t>December 31, 2024</t>
  </si>
  <si>
    <t>4% interest on IRES</t>
  </si>
  <si>
    <t>December 31, 2025</t>
  </si>
  <si>
    <t>December 31, 2026</t>
  </si>
  <si>
    <r>
      <rPr>
        <b/>
        <sz val="11"/>
        <color theme="1"/>
        <rFont val="Calibri"/>
        <family val="2"/>
        <scheme val="minor"/>
      </rPr>
      <t>IRAP</t>
    </r>
    <r>
      <rPr>
        <sz val="8"/>
        <rFont val="Arial"/>
        <family val="2"/>
      </rPr>
      <t xml:space="preserve"> (local income tax)</t>
    </r>
  </si>
  <si>
    <t>December 31, 2027</t>
  </si>
  <si>
    <t>December 31, 2028</t>
  </si>
  <si>
    <t>4% interest on IRAP</t>
  </si>
  <si>
    <t>December 31, 2029</t>
  </si>
  <si>
    <t>December 31, 2030</t>
  </si>
  <si>
    <r>
      <t xml:space="preserve">Withholding tax </t>
    </r>
    <r>
      <rPr>
        <b/>
        <i/>
        <sz val="9"/>
        <color rgb="FFFF0000"/>
        <rFont val="Calibri"/>
        <family val="2"/>
        <scheme val="minor"/>
      </rPr>
      <t>(see iv)</t>
    </r>
  </si>
  <si>
    <r>
      <rPr>
        <b/>
        <sz val="11"/>
        <color theme="1"/>
        <rFont val="Calibri"/>
        <family val="2"/>
        <scheme val="minor"/>
      </rPr>
      <t>VAT</t>
    </r>
    <r>
      <rPr>
        <sz val="8"/>
        <rFont val="Arial"/>
        <family val="2"/>
      </rPr>
      <t xml:space="preserve"> penalties for late filing</t>
    </r>
  </si>
  <si>
    <t>Additional VAT penalty</t>
  </si>
  <si>
    <t>Overall financial risk for FY16-FY22 in absence of regularization</t>
  </si>
  <si>
    <t>In case of acquiescence or tax settlement (i.e. penalties divided by 3)</t>
  </si>
  <si>
    <t>ok</t>
  </si>
  <si>
    <t>Maximum scenario</t>
  </si>
  <si>
    <t>240% maximum penalties</t>
  </si>
  <si>
    <t>Overall financial risk for FY16-FY20 in absence of regularization</t>
  </si>
  <si>
    <t xml:space="preserve">average </t>
  </si>
  <si>
    <t>ok per EY</t>
  </si>
  <si>
    <t>AJE</t>
  </si>
  <si>
    <t>income tax expense</t>
  </si>
  <si>
    <t>operationnal exp</t>
  </si>
  <si>
    <t xml:space="preserve">NC - Contingent liability </t>
  </si>
  <si>
    <t>HI</t>
  </si>
  <si>
    <t>TAX RETURN</t>
  </si>
  <si>
    <t>TAX PROVISION</t>
  </si>
  <si>
    <t>AED</t>
  </si>
  <si>
    <t>BRL</t>
  </si>
  <si>
    <t>RTP</t>
  </si>
  <si>
    <t>300 : Ivalua SAS : 101 : Ivalua France : 202 : Ivalua Canada</t>
  </si>
  <si>
    <t>Multi-Book Balance Sheet</t>
  </si>
  <si>
    <t>US GAAP</t>
  </si>
  <si>
    <t>CANADA GAAP</t>
  </si>
  <si>
    <t>ASSETS</t>
  </si>
  <si>
    <t>Current Assets</t>
  </si>
  <si>
    <t>Bank</t>
  </si>
  <si>
    <t>Total Bank</t>
  </si>
  <si>
    <t>Accounts Receivable</t>
  </si>
  <si>
    <t>110000 - A/R Trade (Net Allowable)</t>
  </si>
  <si>
    <t>Total - 110000 - A/R Trade (Net Allowable)</t>
  </si>
  <si>
    <t>Total Accounts Receivable</t>
  </si>
  <si>
    <t>Unbilled Receivable</t>
  </si>
  <si>
    <t>Total Unbilled Receivable</t>
  </si>
  <si>
    <t>Other Current Asset</t>
  </si>
  <si>
    <t>121000 - VAT Receivable</t>
  </si>
  <si>
    <t>Total - 121000 - VAT Receivable</t>
  </si>
  <si>
    <t>130000 - Prepaid Expense</t>
  </si>
  <si>
    <t>Total - 130000 - Prepaid Expense</t>
  </si>
  <si>
    <t>135000 - Other Current Asset</t>
  </si>
  <si>
    <t>Total - 135000 - Other Current Asset</t>
  </si>
  <si>
    <t>137000 - Deferred Commission</t>
  </si>
  <si>
    <t>Total - 137000 - Deferred Commission</t>
  </si>
  <si>
    <t>Fixed Assets</t>
  </si>
  <si>
    <t>155000 - Property Plant &amp; Equipment</t>
  </si>
  <si>
    <t>Total - 155000 - Property Plant &amp; Equipment</t>
  </si>
  <si>
    <t>156000 - Accum Depreciation Property Plant &amp; Equipment</t>
  </si>
  <si>
    <t>Total - 156000 - Accum Depreciation Property Plant &amp; Equipment</t>
  </si>
  <si>
    <t>Total Fixed Assets</t>
  </si>
  <si>
    <t>145000 - Other Long Term Asset</t>
  </si>
  <si>
    <t>Total - 145000 - Other Long Term Asset</t>
  </si>
  <si>
    <t>145700 - Right -of Use Asset</t>
  </si>
  <si>
    <t>Total - 145700 - Right -of Use Asset</t>
  </si>
  <si>
    <t>Total Other Assets</t>
  </si>
  <si>
    <t>Total ASSETS</t>
  </si>
  <si>
    <t>Liabilities &amp; Equity</t>
  </si>
  <si>
    <t>Current Liabilities</t>
  </si>
  <si>
    <t>200000 - Accounts Payable</t>
  </si>
  <si>
    <t>201001 - Intercompany A/P</t>
  </si>
  <si>
    <t>Total - 201001 - Intercompany A/P</t>
  </si>
  <si>
    <t>Total - 200000 - Accounts Payable</t>
  </si>
  <si>
    <t>Total Accounts Payable</t>
  </si>
  <si>
    <t>Other Current Liability</t>
  </si>
  <si>
    <t>210000 - Accrued Expense</t>
  </si>
  <si>
    <t>Total - 210000 - Accrued Expense</t>
  </si>
  <si>
    <t>215000 - Accrued Payroll Liability</t>
  </si>
  <si>
    <t>Total - 215000 - Accrued Payroll Liability</t>
  </si>
  <si>
    <t>221000 - VAT Payables</t>
  </si>
  <si>
    <t>Total - 221000 - VAT Payables</t>
  </si>
  <si>
    <t>230005 - Deferred Revenue- SAAS</t>
  </si>
  <si>
    <t>Total - 230005 - Deferred Revenue- SAAS</t>
  </si>
  <si>
    <t>230030 - Deferred Revenue Licensing</t>
  </si>
  <si>
    <t>Total - 230030 - Deferred Revenue Licensing</t>
  </si>
  <si>
    <t>230055 - Deferred Revenue Services</t>
  </si>
  <si>
    <t>Total - 230055 - Deferred Revenue Services</t>
  </si>
  <si>
    <t>230080 - Deferred Revenue - Other</t>
  </si>
  <si>
    <t>Total - 230080 - Deferred Revenue - Other</t>
  </si>
  <si>
    <t>Total Other Current Liability</t>
  </si>
  <si>
    <t>Long Term Liabilities</t>
  </si>
  <si>
    <t>240000 - Other Non-Current Liability</t>
  </si>
  <si>
    <t>Total - 240000 - Other Non-Current Liability</t>
  </si>
  <si>
    <t>Total Long Term Liabilities</t>
  </si>
  <si>
    <t>Equity</t>
  </si>
  <si>
    <t>390000 - Stocks &amp; APIC</t>
  </si>
  <si>
    <t>390200 - Common Stock Subsidiary (Internal)</t>
  </si>
  <si>
    <t>Total - 390000 - Stocks &amp; APIC</t>
  </si>
  <si>
    <t>Total - Equity</t>
  </si>
  <si>
    <t>Retained Earnings</t>
  </si>
  <si>
    <t>Total Equity</t>
  </si>
  <si>
    <t>Total Liabilities &amp; Equity</t>
  </si>
  <si>
    <t>CURRENT</t>
  </si>
  <si>
    <t>DEBIT</t>
  </si>
  <si>
    <t>CREDIT</t>
  </si>
  <si>
    <t>SHOULD BE</t>
  </si>
  <si>
    <t>P&amp;L</t>
  </si>
  <si>
    <t>CANADA</t>
  </si>
  <si>
    <t>JE2035917</t>
  </si>
  <si>
    <t>Italy PE reserve (Q3 Only)</t>
  </si>
  <si>
    <t>Singapore - 2021 RTP</t>
  </si>
  <si>
    <t>Canada Tax Payable (Historical balance)</t>
  </si>
  <si>
    <t>Ref</t>
  </si>
  <si>
    <t>PBC 1</t>
  </si>
  <si>
    <t>REALIZED FX (YTD)</t>
  </si>
  <si>
    <t>PROFIT BEFORE TAX (USD)</t>
  </si>
  <si>
    <t>PROFIT / (LOSS) BEFORE TAX (EUR)</t>
  </si>
  <si>
    <t>PERMANENT DIFFERENCES:</t>
  </si>
  <si>
    <t>Amortization on dev technologie</t>
  </si>
  <si>
    <t>per YTD 092 and annualized</t>
  </si>
  <si>
    <t>stock compensation expenses (doesn't exist in FR GAAP) - not included in the FC</t>
  </si>
  <si>
    <t>company car amortization</t>
  </si>
  <si>
    <t>per 21</t>
  </si>
  <si>
    <t>car tax</t>
  </si>
  <si>
    <t>office tax</t>
  </si>
  <si>
    <t>fines</t>
  </si>
  <si>
    <t>extrapolate on known situation for 22</t>
  </si>
  <si>
    <t>income tax credit -not included in the FC</t>
  </si>
  <si>
    <t>R&amp;D Tax Credit Reserve Release</t>
  </si>
  <si>
    <t>PBC 9</t>
  </si>
  <si>
    <t>per YTD 092 and added estimate ofr Q4 assuming no movement on the risk accrual for CIR 17/18/19</t>
  </si>
  <si>
    <t>New board member income tax</t>
  </si>
  <si>
    <t>per YTD 0922 No more coming</t>
  </si>
  <si>
    <t>Pension Liability (T)</t>
  </si>
  <si>
    <t>SUBTOTAL - PERMANENT</t>
  </si>
  <si>
    <t>TEMPORARY DIFFERENCES:</t>
  </si>
  <si>
    <t xml:space="preserve">Unrealized gain/loss - not included in FC </t>
  </si>
  <si>
    <t>Fixed asset capitalizaiton ( more office expenses in USGAAP/less depreication in US GAAP)</t>
  </si>
  <si>
    <t>per 0922 annualized</t>
  </si>
  <si>
    <t xml:space="preserve">Revenue differences </t>
  </si>
  <si>
    <t>from multi book IS YTD0922</t>
  </si>
  <si>
    <t>OCI on Pension</t>
  </si>
  <si>
    <t>organic 2022</t>
  </si>
  <si>
    <t>pension PL increase</t>
  </si>
  <si>
    <t>accrual litigation 2021</t>
  </si>
  <si>
    <t>accrual litigation 2022</t>
  </si>
  <si>
    <t>organic 2021</t>
  </si>
  <si>
    <t>SUBTOTAL - TEMPORARY</t>
  </si>
  <si>
    <t>TAXABLE INCOME (LOSS) BEFORE NOL</t>
  </si>
  <si>
    <t xml:space="preserve">APPORTIONMENT </t>
  </si>
  <si>
    <t>TAXABLE INCOME/(LOSS) BEFORE NOL</t>
  </si>
  <si>
    <t>NOL C/O</t>
  </si>
  <si>
    <t>1M NOL</t>
  </si>
  <si>
    <t>TAXABLE INCOME / (LOSS)</t>
  </si>
  <si>
    <t>CY Charitable Contributions Deduction</t>
  </si>
  <si>
    <t>Contributions Carryover</t>
  </si>
  <si>
    <t>P-6</t>
  </si>
  <si>
    <t>NOL C/O on CC Limitation</t>
  </si>
  <si>
    <t>Total NOL</t>
  </si>
  <si>
    <t>ADJUSTED TAXABLE INCOME / (LOSS)</t>
  </si>
  <si>
    <t>Statutory Tax Rate</t>
  </si>
  <si>
    <t>TOTAL TAX</t>
  </si>
  <si>
    <t>Calc / P 9.2</t>
  </si>
  <si>
    <t>ADJUSTED FOR:</t>
  </si>
  <si>
    <t>TOTAL CURRENT TAX</t>
  </si>
  <si>
    <t xml:space="preserve">FRANCE EBIT </t>
  </si>
  <si>
    <t>OTHER INCOME</t>
  </si>
  <si>
    <t>Refunds</t>
  </si>
  <si>
    <t>210: Ivalua Italy</t>
  </si>
  <si>
    <t>121010 - VAT credit</t>
  </si>
  <si>
    <t>159200 - France : Computer Equipement</t>
  </si>
  <si>
    <t>159400 - France : Intangibles</t>
  </si>
  <si>
    <t>150090 - Investment in Italy</t>
  </si>
  <si>
    <t>215205 - Accrued Payroll Taxes on Commission/ Bonus-other countries</t>
  </si>
  <si>
    <t>395100 - Cumulative Translation Adjustment-Elimination</t>
  </si>
  <si>
    <t>395300 - OCI Related to Investments</t>
  </si>
  <si>
    <t>395200 - OCI Related to Pension</t>
  </si>
  <si>
    <t>Cumulative Translation Adjustment</t>
  </si>
  <si>
    <t>Ivalua - Functional IS (NEW) - Consolidated</t>
  </si>
  <si>
    <t>Consolidated Functional Income Statement</t>
  </si>
  <si>
    <t>Ordinary Income/Expense</t>
  </si>
  <si>
    <t>Revenue</t>
  </si>
  <si>
    <t>Subscription Revenue</t>
  </si>
  <si>
    <t>Total - Subscription Revenue</t>
  </si>
  <si>
    <t>Professional Services and Other Revenue</t>
  </si>
  <si>
    <t>Total - Professional Services and Other Revenue</t>
  </si>
  <si>
    <t>Intercompany Revenue</t>
  </si>
  <si>
    <t>Total - Intercompany Revenue</t>
  </si>
  <si>
    <t>Total - Revenue</t>
  </si>
  <si>
    <t>Cost of Sales</t>
  </si>
  <si>
    <t>COR Subscription Revenue</t>
  </si>
  <si>
    <t>Total - COR Subscription Revenue</t>
  </si>
  <si>
    <t>COR Professional Services and Other Revenue</t>
  </si>
  <si>
    <t>Total - COR Professional Services and Other Revenue</t>
  </si>
  <si>
    <t>Intercompany Cost of Sales</t>
  </si>
  <si>
    <t>Total - Intercompany Cost of Sales</t>
  </si>
  <si>
    <t>Total Cost of Sales</t>
  </si>
  <si>
    <t>Gross Margin</t>
  </si>
  <si>
    <t>Operating Expense</t>
  </si>
  <si>
    <t>Research and development</t>
  </si>
  <si>
    <t>Total - Research and development</t>
  </si>
  <si>
    <t>Sales and marketing</t>
  </si>
  <si>
    <t>Total - Sales and marketing</t>
  </si>
  <si>
    <t>General and administrative</t>
  </si>
  <si>
    <t>619308 - Other Social Charges</t>
  </si>
  <si>
    <t>Total - General and administrative</t>
  </si>
  <si>
    <t>Total Operating Expense</t>
  </si>
  <si>
    <t>Net Ordinary Income</t>
  </si>
  <si>
    <t>Other Income and Expenses</t>
  </si>
  <si>
    <t>770100 - interest and dividend income</t>
  </si>
  <si>
    <t>Other Expense</t>
  </si>
  <si>
    <t>Total - Other Expense</t>
  </si>
  <si>
    <t>Net Other Income (expense)</t>
  </si>
  <si>
    <t>Income(loss) before income tax</t>
  </si>
  <si>
    <t>Income Tax</t>
  </si>
  <si>
    <t>Income tax</t>
  </si>
  <si>
    <t>Total - Income tax</t>
  </si>
  <si>
    <t>Summary - Income Tax</t>
  </si>
  <si>
    <t>Ivalua Italy</t>
  </si>
  <si>
    <t>- No Location -</t>
  </si>
  <si>
    <t>145700 - Income tax receivable - Long Term</t>
  </si>
  <si>
    <t>Income Tax Receivable</t>
  </si>
  <si>
    <t>Operating Lease Right-of-use assets</t>
  </si>
  <si>
    <t>Total - Operating Lease Right-of-use assets</t>
  </si>
  <si>
    <t>Operating lease liabilities</t>
  </si>
  <si>
    <t>Total - Operating lease liabilities</t>
  </si>
  <si>
    <t>Operating lease liabilities, net of current</t>
  </si>
  <si>
    <t>Total - Operating lease liabilities, net of current</t>
  </si>
  <si>
    <t>Accumulated other comprehensive income (loss) (old)</t>
  </si>
  <si>
    <t>Total - Accumulated other comprehensive income (loss) (old)</t>
  </si>
  <si>
    <t>Summary - Accumulated other comprehensive income (loss) - new</t>
  </si>
  <si>
    <t>State income tax</t>
  </si>
  <si>
    <t>100028 - BNL - Italy - 9029 (EUR)</t>
  </si>
  <si>
    <t>121007 - VAT recoverable UK</t>
  </si>
  <si>
    <t>215950 - Wage Garnishment</t>
  </si>
  <si>
    <t>660510 - Office events</t>
  </si>
  <si>
    <t>610600 - Other Compensation</t>
  </si>
  <si>
    <t>619208 - Payroll Taxes - Austria</t>
  </si>
  <si>
    <t>680100 - Bad Debt expense</t>
  </si>
  <si>
    <t>Entity</t>
  </si>
  <si>
    <t>Foreign income tax</t>
  </si>
  <si>
    <t>2023 Tax Provision</t>
  </si>
  <si>
    <t>Cash Payments</t>
  </si>
  <si>
    <t>Cash Refunds</t>
  </si>
  <si>
    <t>Withhoding tax receivable</t>
  </si>
  <si>
    <t>Total - 120151 - Withhoding tax receivable</t>
  </si>
  <si>
    <t>Pune</t>
  </si>
  <si>
    <t>Sydney</t>
  </si>
  <si>
    <t>120301 - Advances Paid</t>
  </si>
  <si>
    <t>2023 Tax Return Payment</t>
  </si>
  <si>
    <t>Base Currency</t>
  </si>
  <si>
    <t>Source Currency</t>
  </si>
  <si>
    <t>Exchange Rate</t>
  </si>
  <si>
    <t>Effective Date</t>
  </si>
  <si>
    <t>CHF</t>
  </si>
  <si>
    <t>To true-up Mecenat and Competitive Emploi credits utilized in the 2021 FR Tax Return</t>
  </si>
  <si>
    <t>CNY</t>
  </si>
  <si>
    <t>DKK</t>
  </si>
  <si>
    <t>MYR</t>
  </si>
  <si>
    <t>NOK</t>
  </si>
  <si>
    <t>NZD</t>
  </si>
  <si>
    <t>PLN</t>
  </si>
  <si>
    <t>QAR</t>
  </si>
  <si>
    <t>TB Balance at Netsuite</t>
  </si>
  <si>
    <t>Ivalua - SEC Consolidated BS by Subsidiary</t>
  </si>
  <si>
    <t>End of Jun 2023</t>
  </si>
  <si>
    <t>121021 - VAT recoverable Sweden</t>
  </si>
  <si>
    <t>670000 - Facilities</t>
  </si>
  <si>
    <t>Total - 670000 - Facilities</t>
  </si>
  <si>
    <t>620100 - IT Certification</t>
  </si>
  <si>
    <t>Returns filed in Q2</t>
  </si>
  <si>
    <t>619212 - Payroll taxes - Switzerland</t>
  </si>
  <si>
    <t>110100 - A/R Contra Account</t>
  </si>
  <si>
    <t>ACCENTURE SOLUTIONS PRIVATE LIMITED (INDIA)</t>
  </si>
  <si>
    <t>JE2042166</t>
  </si>
  <si>
    <t>Total R&amp;D</t>
  </si>
  <si>
    <t>Reserve</t>
  </si>
  <si>
    <t>Non-reserve</t>
  </si>
  <si>
    <t>Total CIR</t>
  </si>
  <si>
    <t>Tax return utilization</t>
  </si>
  <si>
    <t>Non-reserve c/o</t>
  </si>
  <si>
    <t>Reserve c/o</t>
  </si>
  <si>
    <t>Total carryover to 2023</t>
  </si>
  <si>
    <t>Non-reserve R&amp;D after utilization</t>
  </si>
  <si>
    <t>Per TB</t>
  </si>
  <si>
    <t>2023 Prepayment</t>
  </si>
  <si>
    <t>750650 - Amortization on risk accrual</t>
  </si>
  <si>
    <t>Version: 7/18 AM</t>
  </si>
  <si>
    <t>300 : Ivalua SAS : 101 : Ivalua France</t>
  </si>
  <si>
    <t>Trial Balance</t>
  </si>
  <si>
    <t>100600 - Investments &amp; Securities</t>
  </si>
  <si>
    <t>Total - 100600 - Investments &amp; Securities</t>
  </si>
  <si>
    <t>111500 - Intercompany A/R</t>
  </si>
  <si>
    <t>Total - 111500 - Intercompany A/R</t>
  </si>
  <si>
    <t>150000 - Investment in Related Parties</t>
  </si>
  <si>
    <t>Total - 150000 - Investment in Related Parties</t>
  </si>
  <si>
    <t>159000 - Fixed Assets - France</t>
  </si>
  <si>
    <t>Total - 159000 - Fixed Assets - France</t>
  </si>
  <si>
    <t>159600 - Accum Dep - Fixed Asset France</t>
  </si>
  <si>
    <t>Total - 159600 - Accum Dep - Fixed Asset France</t>
  </si>
  <si>
    <t>170000 - Intangibles &amp; Goodwill</t>
  </si>
  <si>
    <t>Total - 170000 - Intangibles &amp; Goodwill</t>
  </si>
  <si>
    <t>175000 - Accum Amort Intangible</t>
  </si>
  <si>
    <t>Total - 175000 - Accum Amort Intangible</t>
  </si>
  <si>
    <t>390700 - Treasury stock</t>
  </si>
  <si>
    <t>393000 - Accumulated Retained Earning</t>
  </si>
  <si>
    <t>Total - 393000 - Accumulated Retained Earning</t>
  </si>
  <si>
    <t>791410 - R&amp;D - Allocation In</t>
  </si>
  <si>
    <t>Total - 791410 - R&amp;D - Allocation In</t>
  </si>
  <si>
    <t>791500 - G&amp;A - Allocation Out</t>
  </si>
  <si>
    <t>Total - 791500 - G&amp;A - Allocation Out</t>
  </si>
  <si>
    <t>791510 - G&amp;A - Allocation In</t>
  </si>
  <si>
    <t>Total - 791510 - G&amp;A - Allocation In</t>
  </si>
  <si>
    <t>Open</t>
  </si>
  <si>
    <t>Tax Quarterlization</t>
  </si>
  <si>
    <t xml:space="preserve">Germany - Sales Tax Payable reclass to Income Tax </t>
  </si>
  <si>
    <t>Net Refundable positions in Income Tax needs to be reclassed to Income Tax Receivable</t>
  </si>
  <si>
    <t>UK (2021)</t>
  </si>
  <si>
    <t>New accounts</t>
  </si>
  <si>
    <t>x</t>
  </si>
  <si>
    <t>NewExercises</t>
  </si>
  <si>
    <t>EMEA</t>
  </si>
  <si>
    <t>APAC</t>
  </si>
  <si>
    <t>R&amp;D</t>
  </si>
  <si>
    <t>Board (Reversal of Liam)</t>
  </si>
  <si>
    <t>Prior period, previously accrued, expensed in PL needs to be reclassed</t>
  </si>
  <si>
    <t>Treasury stock</t>
  </si>
  <si>
    <t>Total - Treasury stock</t>
  </si>
  <si>
    <t>did we make any payments for tax year 2022? No</t>
  </si>
  <si>
    <t>not taxable?</t>
  </si>
  <si>
    <t>Wankhede, Bharat</t>
  </si>
  <si>
    <t>Sukhlecha, Harshit</t>
  </si>
  <si>
    <t>610570 - Vacation bonus Accrual</t>
  </si>
  <si>
    <t>760280 - Realized FX loss - USD investment</t>
  </si>
  <si>
    <t>760290 - Realized FX gain - USD investment</t>
  </si>
  <si>
    <t>100030 - BOA Checking - US - Operating -  x9387</t>
  </si>
  <si>
    <t>100034 - BOA Checking - US - Sweep - x9387</t>
  </si>
  <si>
    <t>121012 - VAT on Purchases</t>
  </si>
  <si>
    <t>155900 - Fixed Assets CIP &amp; Accrual</t>
  </si>
  <si>
    <t>215610 - Accrued Liability - Vacation bonus Payable</t>
  </si>
  <si>
    <t>215160 - Accrued liability - Payroll tax on PTO bonus</t>
  </si>
  <si>
    <t>Liablities</t>
  </si>
  <si>
    <t>Taxes</t>
  </si>
  <si>
    <t>CIR</t>
  </si>
  <si>
    <t>Other Non-CIR True-ups</t>
  </si>
  <si>
    <t>CY2022 (In EUR)</t>
  </si>
  <si>
    <t>Foreign Withholding taxes accrual 12.31.2023</t>
  </si>
  <si>
    <t>Tax Agencies EMEA</t>
  </si>
  <si>
    <t>450300 - Intercompany Contract R&amp;D</t>
  </si>
  <si>
    <t>610040 - Severance</t>
  </si>
  <si>
    <t>610060 - Vacation</t>
  </si>
  <si>
    <t>610080 - Vacation Accrual</t>
  </si>
  <si>
    <t>610090 - Payroll tax accrual - Vacation bonus</t>
  </si>
  <si>
    <t>640920 - Mileage Allowances</t>
  </si>
  <si>
    <t>End of Dec 2023</t>
  </si>
  <si>
    <t>200105 - Vendor Credit Memos</t>
  </si>
  <si>
    <t>205040 - SVB Travel 9903</t>
  </si>
  <si>
    <t>Balance as of 12/31/2023</t>
  </si>
  <si>
    <t>Created From</t>
  </si>
  <si>
    <t>Lead #</t>
  </si>
  <si>
    <t>Lead # for ME</t>
  </si>
  <si>
    <t>669100</t>
  </si>
  <si>
    <t>Franchise Tax</t>
  </si>
  <si>
    <t>Total - 669100 - Business Tax</t>
  </si>
  <si>
    <t>New York</t>
  </si>
  <si>
    <t>669130</t>
  </si>
  <si>
    <t>Total - 669130 - Office Tax</t>
  </si>
  <si>
    <t>Missing Q4 amount, needs to be reclassed</t>
  </si>
  <si>
    <t>450150 - Intercompany TP Royalty &amp; Distribution</t>
  </si>
  <si>
    <t>550150 - Intercompany TP Royalty &amp; disttribution</t>
  </si>
  <si>
    <t>395301 - OCI tax on Investment</t>
  </si>
  <si>
    <t>395201 - OCI tax on Pension</t>
  </si>
  <si>
    <t>610490 - Gratuity/Superannuation</t>
  </si>
  <si>
    <t>619310 - Profit Sharing</t>
  </si>
  <si>
    <t>619311 - payroll tax related to profit sharing</t>
  </si>
  <si>
    <t>615300 - 401K</t>
  </si>
  <si>
    <t>215120 - payroll tax on profit sharing</t>
  </si>
  <si>
    <t>215611 - profit sharing payable</t>
  </si>
  <si>
    <t>620509 - External Training</t>
  </si>
  <si>
    <t>JE2048294</t>
  </si>
  <si>
    <t>MD_2022 Tax &amp; Penalty and Interest</t>
  </si>
  <si>
    <t>MD_2022 Tax Payment</t>
  </si>
  <si>
    <t>MD_2022 Penalty and Interest</t>
  </si>
  <si>
    <t>IN2006103WHT</t>
  </si>
  <si>
    <t>Jan 2024</t>
  </si>
  <si>
    <t>IN2005827WHT</t>
  </si>
  <si>
    <t>IN2005849WHT</t>
  </si>
  <si>
    <t>IN2006078WHT</t>
  </si>
  <si>
    <t>JE2046088</t>
  </si>
  <si>
    <t>JE2046880</t>
  </si>
  <si>
    <t>Foreign Withholding taxes accrual 01.31.2024</t>
  </si>
  <si>
    <t>IN2005833WHT</t>
  </si>
  <si>
    <t>Feb 2024</t>
  </si>
  <si>
    <t>IN2006213WHT</t>
  </si>
  <si>
    <t>IN2006098WHT</t>
  </si>
  <si>
    <t>IN2005958WHT</t>
  </si>
  <si>
    <t>IN2006105WHT</t>
  </si>
  <si>
    <t>IN2006054WHT</t>
  </si>
  <si>
    <t>IN2006149WHT</t>
  </si>
  <si>
    <t>JE2046881</t>
  </si>
  <si>
    <t>JE2047691</t>
  </si>
  <si>
    <t>Foreign Withholding taxes accrual 02.29.2024</t>
  </si>
  <si>
    <t>IN2006238WHT</t>
  </si>
  <si>
    <t>Mar 2024</t>
  </si>
  <si>
    <t>IN2006055WHT</t>
  </si>
  <si>
    <t>IN006227WHT</t>
  </si>
  <si>
    <t>IN2006130WHT</t>
  </si>
  <si>
    <t>JE2047692</t>
  </si>
  <si>
    <t>JE2048565</t>
  </si>
  <si>
    <t>Foreign Withholding taxes accrual 03.31.2024</t>
  </si>
  <si>
    <t>CREV22979</t>
  </si>
  <si>
    <t>CREV23441</t>
  </si>
  <si>
    <t>CREV23442</t>
  </si>
  <si>
    <t>CREV23882</t>
  </si>
  <si>
    <t>CREV23883</t>
  </si>
  <si>
    <t>CREV24399</t>
  </si>
  <si>
    <t>JE2048673</t>
  </si>
  <si>
    <t>CIR Q1 2024</t>
  </si>
  <si>
    <t>CREV22956</t>
  </si>
  <si>
    <t>CREV22970</t>
  </si>
  <si>
    <t>CREV23181</t>
  </si>
  <si>
    <t>CREV23188</t>
  </si>
  <si>
    <t>SE-012024-15</t>
  </si>
  <si>
    <t>1655918918327 559189-1832 240101-241231//BENM/NAME/SKATTEVERKET//INFO/0890119646240516</t>
  </si>
  <si>
    <t>CREV23392</t>
  </si>
  <si>
    <t>CREV23449</t>
  </si>
  <si>
    <t>CREV23393</t>
  </si>
  <si>
    <t>CREV23450</t>
  </si>
  <si>
    <t>BNP-DE-022024-11</t>
  </si>
  <si>
    <t>SCHM/COR//REMI/5290400600000 Faell.bis:15.02.24 Gewerbesteuer</t>
  </si>
  <si>
    <t>CREV23877</t>
  </si>
  <si>
    <t>CREV23867</t>
  </si>
  <si>
    <t>CREV23878</t>
  </si>
  <si>
    <t>CREV23868</t>
  </si>
  <si>
    <t>JE2048479</t>
  </si>
  <si>
    <t>2022 Oregon tax return</t>
  </si>
  <si>
    <t>Penalty (2022 Oregon tax return)</t>
  </si>
  <si>
    <t>Interest( 2022 Oregon tax return)</t>
  </si>
  <si>
    <t>Credit on 2022 Oregon tax return</t>
  </si>
  <si>
    <t>JE2048480</t>
  </si>
  <si>
    <t>Georgia 2022 income tax return.</t>
  </si>
  <si>
    <t>JE2048293</t>
  </si>
  <si>
    <t>2023 Income Tax Payment</t>
  </si>
  <si>
    <t>2023 Income TR - Federal</t>
  </si>
  <si>
    <t>2023 Income TR - Quebec</t>
  </si>
  <si>
    <t>BNP-DE-032024-05</t>
  </si>
  <si>
    <t>StOk Bay f Finanzamt//CSID/DE13ZZZ00000076365</t>
  </si>
  <si>
    <t>JE2048411</t>
  </si>
  <si>
    <t>IAS and BAS payment from Oct 2023 to Dec 2023</t>
  </si>
  <si>
    <t>PAYG income tax instalment</t>
  </si>
  <si>
    <t>JE2048355</t>
  </si>
  <si>
    <t>Advance Tax Payment Q.4 FY 23-24</t>
  </si>
  <si>
    <t>CREV24332</t>
  </si>
  <si>
    <t>CREV24335</t>
  </si>
  <si>
    <t>CREV24397</t>
  </si>
  <si>
    <t>2024 Tax Return Payment</t>
  </si>
  <si>
    <t>501250 - COR Other</t>
  </si>
  <si>
    <t>619480 - Pension</t>
  </si>
  <si>
    <t>610410 - Commission Capitalization and Payroll Tax Affliiates</t>
  </si>
  <si>
    <t>760402 - Unrealized Matching Gain/Loss</t>
  </si>
  <si>
    <t>100029 - CD - US (USD)</t>
  </si>
  <si>
    <t>121024 - VAT on Purchases (IT)</t>
  </si>
  <si>
    <t>221022 - VAT Liability (IT)</t>
  </si>
  <si>
    <t>Jan 2024, Q1 2024, Feb 2024, Mar 2024</t>
  </si>
  <si>
    <t>Entity (Line): Name</t>
  </si>
  <si>
    <t>JE2046869</t>
  </si>
  <si>
    <t>JE2047239</t>
  </si>
  <si>
    <t>Prov Taxes 1/2024</t>
  </si>
  <si>
    <t>Prov CFE Massy 1/2024</t>
  </si>
  <si>
    <t>Business Tax EMEA</t>
  </si>
  <si>
    <t>Prov CFE Paris 1/2024</t>
  </si>
  <si>
    <t>Prov CFE Montpellier 1/2024</t>
  </si>
  <si>
    <t>JE2047240</t>
  </si>
  <si>
    <t>JE2047849</t>
  </si>
  <si>
    <t>Prov Taxes 2/2024</t>
  </si>
  <si>
    <t>Prov CFE Massy 2/2024</t>
  </si>
  <si>
    <t>Prov CFE Paris 2/2024</t>
  </si>
  <si>
    <t>Prov CFE Montpellier 2/2024</t>
  </si>
  <si>
    <t>JE2047850</t>
  </si>
  <si>
    <t>JE2048295</t>
  </si>
  <si>
    <t>Delaware Franchise Tax</t>
  </si>
  <si>
    <t>JE2048296</t>
  </si>
  <si>
    <t>Delaware Franchise Tax 2023</t>
  </si>
  <si>
    <t>JE2048297</t>
  </si>
  <si>
    <t>Tax Return Expense</t>
  </si>
  <si>
    <t>JE2048665</t>
  </si>
  <si>
    <t>Prov Taxes 3/2024</t>
  </si>
  <si>
    <t>Prov CFE Massy 3/2024</t>
  </si>
  <si>
    <t>Prov CFE Paris 3/2024</t>
  </si>
  <si>
    <t>Prov CFE Montpellier 3/2024</t>
  </si>
  <si>
    <t>INV050115</t>
  </si>
  <si>
    <t>100 Wall Street - NY Office Utilities for JAN/2024</t>
  </si>
  <si>
    <t>100 Wall Street - NY Office Tax for JAN/2024</t>
  </si>
  <si>
    <t>100 Wall Street Investment LLC</t>
  </si>
  <si>
    <t>0</t>
  </si>
  <si>
    <t>INV050032</t>
  </si>
  <si>
    <t>SEC QUARTIER ROYAMOUNT - Parking JAN/2024</t>
  </si>
  <si>
    <t>SEC QUARTIER ROYALMOUNT - Tax JAN/2024</t>
  </si>
  <si>
    <t>SEC QUARTIER ROYALMOUNT</t>
  </si>
  <si>
    <t>Mont Royal</t>
  </si>
  <si>
    <t>Prov Taxe sur les bureaux Massy 1/2024</t>
  </si>
  <si>
    <t>NEXITY</t>
  </si>
  <si>
    <t>Prov Taxe sur les bureaux Paris 1/2024</t>
  </si>
  <si>
    <t>Mega International</t>
  </si>
  <si>
    <t>JE2047769</t>
  </si>
  <si>
    <t>CCA 2 2024</t>
  </si>
  <si>
    <t>SEC QUARTIER ROYALMOUNT - Tax FEB/2024</t>
  </si>
  <si>
    <t>INV050443</t>
  </si>
  <si>
    <t>JE2047819</t>
  </si>
  <si>
    <t>100 Wall Street - NY Office Tax for FEB/2024</t>
  </si>
  <si>
    <t>INV050508</t>
  </si>
  <si>
    <t>Prov Taxe sur les bureaux Massy 2/2024</t>
  </si>
  <si>
    <t>Prov Taxe sur les bureaux Paris 2/2024</t>
  </si>
  <si>
    <t>JE2048508</t>
  </si>
  <si>
    <t>CCA 3 2024</t>
  </si>
  <si>
    <t>NEXITY Massy Office - TAXES BUREAU FY/2024</t>
  </si>
  <si>
    <t>INV051376</t>
  </si>
  <si>
    <t>MEGA International - TAXE Bureau FY 2024</t>
  </si>
  <si>
    <t>INV051378</t>
  </si>
  <si>
    <t>JE2048530</t>
  </si>
  <si>
    <t>SEC QUARTIER ROYALMOUNT - Tax MAR/2024</t>
  </si>
  <si>
    <t>INV051084</t>
  </si>
  <si>
    <t>JE2048581</t>
  </si>
  <si>
    <t>100 Wall Street - NY Office Tax for MAR/2024</t>
  </si>
  <si>
    <t>INV051146</t>
  </si>
  <si>
    <t>JE2049392</t>
  </si>
  <si>
    <t>CVAE Q1 2024 US GAAP</t>
  </si>
  <si>
    <t>JE2049468</t>
  </si>
  <si>
    <t>Q1'24 Global Tax Provision</t>
  </si>
  <si>
    <t>JE2049500</t>
  </si>
  <si>
    <t>reclass accounts</t>
  </si>
  <si>
    <t>JE2049440</t>
  </si>
  <si>
    <t>Canada Tax provision</t>
  </si>
  <si>
    <t>Federal Income Tax</t>
  </si>
  <si>
    <t>JE2049442</t>
  </si>
  <si>
    <t>Q1 tax provision</t>
  </si>
  <si>
    <t>JE2049443</t>
  </si>
  <si>
    <t>JE2049444</t>
  </si>
  <si>
    <t>JE2049445</t>
  </si>
  <si>
    <t>JE2049446</t>
  </si>
  <si>
    <t>JE2049450</t>
  </si>
  <si>
    <t>JE2049451</t>
  </si>
  <si>
    <t>JE2049452</t>
  </si>
  <si>
    <t>2024 Tax Provision</t>
  </si>
  <si>
    <t>JE2049390</t>
  </si>
  <si>
    <t>Reclass CIR Q1 2024 US GAAP</t>
  </si>
  <si>
    <t>JE2049501</t>
  </si>
  <si>
    <t>JE2049502</t>
  </si>
  <si>
    <t>JE2049393</t>
  </si>
  <si>
    <t>Income tax provision</t>
  </si>
  <si>
    <t>JE2049431</t>
  </si>
  <si>
    <t>Reclass prepayment skatteverket Q1 2024</t>
  </si>
  <si>
    <t>profit sharing</t>
  </si>
  <si>
    <t>Other Long Term Asset (LT)</t>
  </si>
  <si>
    <t>Total - 145400 - Other Long Term Asset (LT)</t>
  </si>
  <si>
    <t>Deferred Tax Asset - Long Term</t>
  </si>
  <si>
    <t>Total - 145500 - Deferred Tax Asset - Long Term</t>
  </si>
  <si>
    <t>Deferred tax assets ST</t>
  </si>
  <si>
    <t>Total - 135300 - Deferred tax assets ST</t>
  </si>
  <si>
    <t>610481 - Pension provision</t>
  </si>
  <si>
    <t>2023 Tax Return Refund</t>
  </si>
  <si>
    <t>2025 Tax Return Payment</t>
  </si>
  <si>
    <t>OCI tax on Pension</t>
  </si>
  <si>
    <t>Total - 395201 - OCI tax on Pension</t>
  </si>
  <si>
    <t>OCI tax on Investment</t>
  </si>
  <si>
    <t>Total - 395301 - OCI tax on Investment</t>
  </si>
  <si>
    <t>JE2050059</t>
  </si>
  <si>
    <t>Indiana DOR_2022 Tax &amp; Penalty and Interest</t>
  </si>
  <si>
    <t>Indiana DOR_2022 Tax Payment</t>
  </si>
  <si>
    <t>May 2024</t>
  </si>
  <si>
    <t>Indiana DOR_2022 Penalty and Interest</t>
  </si>
  <si>
    <t>JE2050060</t>
  </si>
  <si>
    <t>Oregon DOR_2022 Tax &amp; Penalty and Interest</t>
  </si>
  <si>
    <t>Oregon DOR_2022 Tax Payment</t>
  </si>
  <si>
    <t>Oregon DOR_2022 Penalty and Interest</t>
  </si>
  <si>
    <t>JE2050058</t>
  </si>
  <si>
    <t>IL_2022 Tax &amp; Penalty and Interest</t>
  </si>
  <si>
    <t>IL_2022 Tax Payment</t>
  </si>
  <si>
    <t>IL_2022 Penalty and Interest</t>
  </si>
  <si>
    <t>JE2050061</t>
  </si>
  <si>
    <t>Wisconsin DOR_2022 Tax &amp; Penalty and Interest</t>
  </si>
  <si>
    <t>Wisconsin DOR_2022 Penalty and Interest</t>
  </si>
  <si>
    <t>BNPEUR-062024-11</t>
  </si>
  <si>
    <t>1er acompte IS 2024</t>
  </si>
  <si>
    <t>Jun 2024</t>
  </si>
  <si>
    <t>JE2051250</t>
  </si>
  <si>
    <t>Reclass CVAE 1er acompte 2024</t>
  </si>
  <si>
    <t>JE2051419</t>
  </si>
  <si>
    <t>Reclass solde CVAE 2023</t>
  </si>
  <si>
    <t>JE2048566</t>
  </si>
  <si>
    <t>Apr 2024</t>
  </si>
  <si>
    <t>IN2006129WHT</t>
  </si>
  <si>
    <t>IN2006128WHT</t>
  </si>
  <si>
    <t>IN2006343WHT</t>
  </si>
  <si>
    <t>JE2049577</t>
  </si>
  <si>
    <t>Foreign Withholding taxes accrual 04.30.2024</t>
  </si>
  <si>
    <t>JE2049578</t>
  </si>
  <si>
    <t>IN2006445WHT</t>
  </si>
  <si>
    <t>IN2006340WHT</t>
  </si>
  <si>
    <t>IN2006266WHT</t>
  </si>
  <si>
    <t>IN2005923WHT</t>
  </si>
  <si>
    <t>IN2006208WHT</t>
  </si>
  <si>
    <t>SUN PHARMACEUTICAL INDUSTRIES LTD</t>
  </si>
  <si>
    <t>JE2050284</t>
  </si>
  <si>
    <t>Foreign Withholding taxes accrual 05.31.2024</t>
  </si>
  <si>
    <t>JE2050285</t>
  </si>
  <si>
    <t>IN2006424WHT</t>
  </si>
  <si>
    <t>IN2006608WHT</t>
  </si>
  <si>
    <t>PYMT110600454</t>
  </si>
  <si>
    <t>JE2051023</t>
  </si>
  <si>
    <t>Foreign Withholding taxes accrual 06.30.2024</t>
  </si>
  <si>
    <t>JE2051564</t>
  </si>
  <si>
    <t>Canada Tax provision Q2</t>
  </si>
  <si>
    <t>JE2051565</t>
  </si>
  <si>
    <t>Q2 tax provision</t>
  </si>
  <si>
    <t>JE2051566</t>
  </si>
  <si>
    <t>JE2051567</t>
  </si>
  <si>
    <t>JE2051568</t>
  </si>
  <si>
    <t>JE2051569</t>
  </si>
  <si>
    <t>JE2051571</t>
  </si>
  <si>
    <t>Singapore</t>
  </si>
  <si>
    <t>CREV24400</t>
  </si>
  <si>
    <t>JE2049245</t>
  </si>
  <si>
    <t>2024 Tax payments</t>
  </si>
  <si>
    <t>FED_2024_Q1 ES( 1120 Corporation Income Tax Return)</t>
  </si>
  <si>
    <t>JE2049373</t>
  </si>
  <si>
    <t>2023 US TR Extensions - MD</t>
  </si>
  <si>
    <t>2023 US TR Extensions - MD(Comptroller of Maryland)</t>
  </si>
  <si>
    <t>JE2049375</t>
  </si>
  <si>
    <t>2023 US TR Extensions - SCDOR</t>
  </si>
  <si>
    <t>JE2049243</t>
  </si>
  <si>
    <t>2023 Tax payments</t>
  </si>
  <si>
    <t>NC_2023 TR Extension( Franchise Tax Payment)</t>
  </si>
  <si>
    <t>IN_2023_TR Extension</t>
  </si>
  <si>
    <t>CO_2023_Corporation Income Tax Payment</t>
  </si>
  <si>
    <t>KY_Corporation Extension 2023</t>
  </si>
  <si>
    <t>TX_2023 TR Extension( WEBFILE TAX PYMT)</t>
  </si>
  <si>
    <t>NYC_2023 TR Extension(NYC DEPT OF FINA-TAXPAYMENT)</t>
  </si>
  <si>
    <t>CT_2023 TR Extension(STATE OF CT DRS)</t>
  </si>
  <si>
    <t>JE2049241</t>
  </si>
  <si>
    <t>NY State Tax Department 2023 Ext</t>
  </si>
  <si>
    <t>NYS DTF CT-TAX PAYMNT NYS DTF C Tax</t>
  </si>
  <si>
    <t>JE2049242</t>
  </si>
  <si>
    <t>PA_2023 TR Extension</t>
  </si>
  <si>
    <t>Pennsylvania Department of Revenue 2023 Extension</t>
  </si>
  <si>
    <t>JE2049449</t>
  </si>
  <si>
    <t>income tax extension payment returned</t>
  </si>
  <si>
    <t>CREV25032</t>
  </si>
  <si>
    <t>CREV25033</t>
  </si>
  <si>
    <t>CREV25537</t>
  </si>
  <si>
    <t>CREV25538</t>
  </si>
  <si>
    <t>JE2050742</t>
  </si>
  <si>
    <t>Tax Payments_ Q2 2024</t>
  </si>
  <si>
    <t>NY_Department of Taxation and Finance</t>
  </si>
  <si>
    <t>NJ_State of New Jersy_ CBT</t>
  </si>
  <si>
    <t>NYC_NYC Department of Finance</t>
  </si>
  <si>
    <t>MA_Massachusetts Department of Revenue</t>
  </si>
  <si>
    <t>AL_ Albama Department of Revenue</t>
  </si>
  <si>
    <t>FED_Federal Tax Payment</t>
  </si>
  <si>
    <t>JE2050743</t>
  </si>
  <si>
    <t>NCDOR_ North Carolina Department of Revenue Q2 2024</t>
  </si>
  <si>
    <t>DEP1668</t>
  </si>
  <si>
    <t>OUTBOUND FIELD MARKETING SERVICES L</t>
  </si>
  <si>
    <t>CREV25917</t>
  </si>
  <si>
    <t>JE2051071</t>
  </si>
  <si>
    <t>CIR Q2 2024</t>
  </si>
  <si>
    <t>Redwood City</t>
  </si>
  <si>
    <t>Advance Tax Payment Q.3 FY 23-24</t>
  </si>
  <si>
    <t>CREV24333</t>
  </si>
  <si>
    <t>CREV24336</t>
  </si>
  <si>
    <t>CREV24398</t>
  </si>
  <si>
    <t>JE2049333</t>
  </si>
  <si>
    <t>2022 Albama Taxes</t>
  </si>
  <si>
    <t>Interest On AL Taxes</t>
  </si>
  <si>
    <t>Late Payment Penalty on AL Tax</t>
  </si>
  <si>
    <t>Late Payment Estimate</t>
  </si>
  <si>
    <t>CREV25080</t>
  </si>
  <si>
    <t>CREV25046</t>
  </si>
  <si>
    <t>CREV25030</t>
  </si>
  <si>
    <t>CREV25081</t>
  </si>
  <si>
    <t>CREV25047</t>
  </si>
  <si>
    <t>CREV25031</t>
  </si>
  <si>
    <t>JE2050299</t>
  </si>
  <si>
    <t>Income tax Payment Dec 2023</t>
  </si>
  <si>
    <t>BNP-DE-052024-11</t>
  </si>
  <si>
    <t>STADT MUENCHEN//CSID/DE34LHM00000015556</t>
  </si>
  <si>
    <t>BNPEUR-052024-17</t>
  </si>
  <si>
    <t>2023 Copt Tax payment DGFIP IMPOT</t>
  </si>
  <si>
    <t>JE2050204</t>
  </si>
  <si>
    <t>IAS and BAS payment from Jan 2024 to March 2024</t>
  </si>
  <si>
    <t>CREV25535</t>
  </si>
  <si>
    <t>CREV25528</t>
  </si>
  <si>
    <t>CREV25548</t>
  </si>
  <si>
    <t>CREV25589</t>
  </si>
  <si>
    <t>CREV25536</t>
  </si>
  <si>
    <t>CREV25529</t>
  </si>
  <si>
    <t>CREV25549</t>
  </si>
  <si>
    <t>CREV25590</t>
  </si>
  <si>
    <t>JE2050877</t>
  </si>
  <si>
    <t>Income tax Payment June 2024</t>
  </si>
  <si>
    <t>JE2050793</t>
  </si>
  <si>
    <t>Advance Tax Payment Q1 2024-2025</t>
  </si>
  <si>
    <t>CREV25915</t>
  </si>
  <si>
    <t>CREV25876</t>
  </si>
  <si>
    <t>CREV25936</t>
  </si>
  <si>
    <t>JE2051533</t>
  </si>
  <si>
    <t>Reclass_CHECK5484 HMRC Cumbernauld</t>
  </si>
  <si>
    <t>London</t>
  </si>
  <si>
    <t>From Jan 2024 to Jun 2024</t>
  </si>
  <si>
    <t>610070 - Vacation bonus</t>
  </si>
  <si>
    <t>610900 - Allowance</t>
  </si>
  <si>
    <t>640750 - Gas, Mileage, Parking &amp; Tolls to be Rebilled</t>
  </si>
  <si>
    <t>650300 - Leased IT Equipment</t>
  </si>
  <si>
    <t>End of June 2024</t>
  </si>
  <si>
    <t>100035 - RBC bank -Canada - 9018</t>
  </si>
  <si>
    <t>100036 - CD HSBC Euro</t>
  </si>
  <si>
    <t>121006 - VAT recoverable germany</t>
  </si>
  <si>
    <t>159501 - Networking Equipment - Expensed in US GAAP</t>
  </si>
  <si>
    <t>BNP-DE-062024-11</t>
  </si>
  <si>
    <t>STADT MUENCHEN//CSID</t>
  </si>
  <si>
    <t>Total - 220250 - Sales Tax Payable</t>
  </si>
  <si>
    <t>Balance as of 06/31/2024</t>
  </si>
  <si>
    <t>GL detail Memo - Leo ( Jan 2024 to June 2024 )</t>
  </si>
  <si>
    <t>GL detail Memo - Leo ( Jan 2024 to Jun 2024 )</t>
  </si>
  <si>
    <t>JE2051715</t>
  </si>
  <si>
    <t>To record global Q2 2024 tax provision</t>
  </si>
  <si>
    <t>JE2051713</t>
  </si>
  <si>
    <t>To reclass CIR to account Other LT Asset due to its refundable nature</t>
  </si>
  <si>
    <t>CREV26336</t>
  </si>
  <si>
    <t>JE2051714</t>
  </si>
  <si>
    <t>To reclass Ivalua Germany's 2022 Trade Tax payment to Tax Payable</t>
  </si>
  <si>
    <t>JE2051716</t>
  </si>
  <si>
    <t>To record global Q2 2024 tax provision (DTA on PS)</t>
  </si>
  <si>
    <t>JE2051719</t>
  </si>
  <si>
    <t>tax impact on OCI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</si>
</sst>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3" formatCode="_ * #,##0.00_ ;_ * \-#,##0.00_ ;_ * &quot;-&quot;??_ ;_ @_ "/>
    <numFmt numFmtId="164" formatCode="&quot;$&quot;#,##0_);\(&quot;$&quot;#,##0\)"/>
    <numFmt numFmtId="165" formatCode="&quot;$&quot;#,##0.00_);\(&quot;$&quot;#,##0.00\)"/>
    <numFmt numFmtId="166" formatCode="_(* #,##0_);_(* \(#,##0\);_(* &quot;-&quot;_);_(@_)"/>
    <numFmt numFmtId="167" formatCode="_(&quot;$&quot;* #,##0.00_);_(&quot;$&quot;* \(#,##0.00\);_(&quot;$&quot;* &quot;-&quot;??_);_(@_)"/>
    <numFmt numFmtId="168" formatCode="_(* #,##0.00_);_(* \(#,##0.00\);_(* &quot;-&quot;??_);_(@_)"/>
    <numFmt numFmtId="169" formatCode="&quot;$&quot;#,##0.00"/>
    <numFmt numFmtId="170" formatCode="_(* #,##0_);_(* \(#,##0\);_(* &quot;-&quot;??_);_(@_)"/>
    <numFmt numFmtId="171" formatCode="_(* #,##0.00000_);_(* \(#,##0.00000\);_(* &quot;-&quot;??_);_(@_)"/>
    <numFmt numFmtId="172" formatCode="_-* #,##0.00_-;\-* #,##0.00_-;_-* &quot;-&quot;??_-;_-@_-"/>
    <numFmt numFmtId="173" formatCode="d/m/yyyy"/>
    <numFmt numFmtId="174" formatCode="&quot;€&quot;#,##0.00"/>
    <numFmt numFmtId="175" formatCode="&quot;€&quot;#,##0.00_);\(&quot;€&quot;#,##0.00\)"/>
    <numFmt numFmtId="176" formatCode="0.0"/>
    <numFmt numFmtId="177" formatCode="_-* #,##0.00\ [$€-40C]_-;\-* #,##0.00\ [$€-40C]_-;_-* &quot;-&quot;??\ [$€-40C]_-;_-@_-"/>
    <numFmt numFmtId="178" formatCode="#,##0.00&quot;%&quot;_);\(#,##0.00\)&quot;%&quot;"/>
    <numFmt numFmtId="179" formatCode="_-* #,##0_-;\-* #,##0_-;_-* &quot;-&quot;??_-;_-@_-"/>
    <numFmt numFmtId="180" formatCode="&quot;Rs.&quot;#,##0.00"/>
    <numFmt numFmtId="181" formatCode="&quot;kr&quot;#,##0.00"/>
    <numFmt numFmtId="182" formatCode="&quot;AED&quot;#,##0.00"/>
    <numFmt numFmtId="183" formatCode="&quot;£&quot;#,##0.00"/>
    <numFmt numFmtId="184" formatCode="&quot;S$&quot;#,##0.00"/>
  </numFmts>
  <fonts count="163" x14ac:knownFonts="1">
    <font>
      <sz val="8"/>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name val="Arial"/>
      <family val="2"/>
    </font>
    <font>
      <b/>
      <sz val="14"/>
      <name val="Arial"/>
      <family val="2"/>
    </font>
    <font>
      <b/>
      <sz val="7"/>
      <name val="Arial"/>
      <family val="2"/>
    </font>
    <font>
      <b/>
      <sz val="8"/>
      <color indexed="8"/>
      <name val="Arial"/>
      <family val="2"/>
    </font>
    <font>
      <sz val="8"/>
      <color indexed="8"/>
      <name val="Arial"/>
      <family val="2"/>
    </font>
    <font>
      <b/>
      <sz val="10"/>
      <color indexed="8"/>
      <name val="Arial"/>
      <family val="2"/>
    </font>
    <font>
      <sz val="10"/>
      <color indexed="8"/>
      <name val="Arial"/>
      <family val="2"/>
    </font>
    <font>
      <sz val="10"/>
      <name val="Arial"/>
      <family val="2"/>
    </font>
    <font>
      <b/>
      <sz val="8"/>
      <name val="Arial"/>
      <family val="2"/>
    </font>
    <font>
      <sz val="8"/>
      <name val="Arial"/>
      <family val="2"/>
    </font>
    <font>
      <b/>
      <sz val="8"/>
      <color indexed="8"/>
      <name val="Arial"/>
      <family val="2"/>
    </font>
    <font>
      <sz val="8"/>
      <color indexed="8"/>
      <name val="Arial"/>
      <family val="2"/>
    </font>
    <font>
      <sz val="9"/>
      <color indexed="81"/>
      <name val="Tahoma"/>
      <family val="2"/>
    </font>
    <font>
      <b/>
      <sz val="9"/>
      <color indexed="81"/>
      <name val="Tahoma"/>
      <family val="2"/>
    </font>
    <font>
      <sz val="10"/>
      <color indexed="8"/>
      <name val="Arial"/>
      <family val="2"/>
    </font>
    <font>
      <b/>
      <sz val="10"/>
      <color indexed="8"/>
      <name val="Arial"/>
      <family val="2"/>
    </font>
    <font>
      <sz val="8"/>
      <color indexed="48"/>
      <name val="Arial"/>
      <family val="2"/>
    </font>
    <font>
      <b/>
      <sz val="12"/>
      <name val="Arial"/>
      <family val="2"/>
    </font>
    <font>
      <b/>
      <sz val="14"/>
      <name val="Arial"/>
      <family val="2"/>
    </font>
    <font>
      <b/>
      <sz val="7"/>
      <name val="Arial"/>
      <family val="2"/>
    </font>
    <font>
      <sz val="10"/>
      <name val="Calibri"/>
      <family val="2"/>
      <scheme val="minor"/>
    </font>
    <font>
      <b/>
      <sz val="10"/>
      <color theme="1"/>
      <name val="Calibri"/>
      <family val="2"/>
      <scheme val="minor"/>
    </font>
    <font>
      <sz val="10"/>
      <color theme="1"/>
      <name val="Calibri"/>
      <family val="2"/>
      <scheme val="minor"/>
    </font>
    <font>
      <sz val="12"/>
      <color rgb="FF222222"/>
      <name val="Arial"/>
      <family val="2"/>
    </font>
    <font>
      <sz val="10"/>
      <color rgb="FF1F497D"/>
      <name val="Verdana"/>
      <family val="2"/>
    </font>
    <font>
      <u/>
      <sz val="10"/>
      <color rgb="FF1F497D"/>
      <name val="Verdana"/>
      <family val="2"/>
    </font>
    <font>
      <b/>
      <sz val="10"/>
      <color rgb="FF1F497D"/>
      <name val="Verdana"/>
      <family val="2"/>
    </font>
    <font>
      <sz val="10"/>
      <color rgb="FF222222"/>
      <name val="Verdana"/>
      <family val="2"/>
    </font>
    <font>
      <u/>
      <sz val="10"/>
      <color rgb="FF222222"/>
      <name val="Verdana"/>
      <family val="2"/>
    </font>
    <font>
      <sz val="7"/>
      <color rgb="FF222222"/>
      <name val="Times New Roman"/>
      <family val="1"/>
    </font>
    <font>
      <i/>
      <sz val="10"/>
      <color rgb="FF0000FF"/>
      <name val="Verdana"/>
      <family val="2"/>
    </font>
    <font>
      <sz val="10"/>
      <color rgb="FF222222"/>
      <name val="MS PGothic"/>
      <family val="2"/>
    </font>
    <font>
      <b/>
      <sz val="10"/>
      <color rgb="FF666699"/>
      <name val="Verdana"/>
      <family val="2"/>
    </font>
    <font>
      <sz val="10"/>
      <color rgb="FF666699"/>
      <name val="Verdana"/>
      <family val="2"/>
    </font>
    <font>
      <u/>
      <sz val="8"/>
      <color theme="10"/>
      <name val="Arial"/>
      <family val="2"/>
    </font>
    <font>
      <sz val="7"/>
      <color rgb="FF1F497D"/>
      <name val="Arial"/>
      <family val="2"/>
    </font>
    <font>
      <vertAlign val="superscript"/>
      <sz val="10"/>
      <color rgb="FF1F497D"/>
      <name val="Verdana"/>
      <family val="2"/>
    </font>
    <font>
      <sz val="8"/>
      <name val="Arial"/>
      <family val="2"/>
    </font>
    <font>
      <b/>
      <sz val="12"/>
      <color theme="1"/>
      <name val="Calibri"/>
      <family val="2"/>
      <scheme val="minor"/>
    </font>
    <font>
      <b/>
      <sz val="11"/>
      <color theme="1"/>
      <name val="Calibri"/>
      <family val="2"/>
    </font>
    <font>
      <sz val="10"/>
      <name val="Times New Roman"/>
      <family val="1"/>
    </font>
    <font>
      <sz val="10"/>
      <name val="Times New Roman"/>
      <family val="1"/>
    </font>
    <font>
      <sz val="11"/>
      <color theme="1"/>
      <name val="Calibri"/>
      <family val="2"/>
    </font>
    <font>
      <b/>
      <sz val="7"/>
      <color theme="1"/>
      <name val="Arial"/>
      <family val="2"/>
    </font>
    <font>
      <sz val="8"/>
      <color rgb="FF000000"/>
      <name val="Arial"/>
      <family val="2"/>
    </font>
    <font>
      <b/>
      <sz val="16"/>
      <color theme="3"/>
      <name val="Calibri"/>
      <family val="2"/>
      <scheme val="minor"/>
    </font>
    <font>
      <sz val="12"/>
      <name val="Calibri"/>
      <family val="2"/>
      <scheme val="minor"/>
    </font>
    <font>
      <b/>
      <u/>
      <sz val="12"/>
      <name val="Calibri"/>
      <family val="2"/>
      <scheme val="minor"/>
    </font>
    <font>
      <b/>
      <sz val="10"/>
      <color rgb="FF3F3F3F"/>
      <name val="Calibri"/>
      <family val="2"/>
      <scheme val="minor"/>
    </font>
    <font>
      <b/>
      <sz val="12"/>
      <color rgb="FF3F3F3F"/>
      <name val="Calibri"/>
      <family val="2"/>
      <scheme val="minor"/>
    </font>
    <font>
      <b/>
      <sz val="10"/>
      <name val="Calibri"/>
      <family val="2"/>
      <scheme val="minor"/>
    </font>
    <font>
      <b/>
      <sz val="12"/>
      <name val="Calibri"/>
      <family val="2"/>
      <scheme val="minor"/>
    </font>
    <font>
      <sz val="12"/>
      <color theme="1"/>
      <name val="Calibri"/>
      <family val="2"/>
      <scheme val="minor"/>
    </font>
    <font>
      <strike/>
      <sz val="8"/>
      <name val="Arial"/>
      <family val="2"/>
    </font>
    <font>
      <strike/>
      <sz val="8"/>
      <color indexed="8"/>
      <name val="Arial"/>
      <family val="2"/>
    </font>
    <font>
      <b/>
      <sz val="14"/>
      <name val="Arial"/>
      <family val="2"/>
    </font>
    <font>
      <b/>
      <sz val="12"/>
      <name val="Arial"/>
      <family val="2"/>
    </font>
    <font>
      <b/>
      <sz val="7"/>
      <name val="Arial"/>
      <family val="2"/>
    </font>
    <font>
      <b/>
      <sz val="8"/>
      <color indexed="8"/>
      <name val="Arial"/>
      <family val="2"/>
    </font>
    <font>
      <sz val="8"/>
      <color indexed="8"/>
      <name val="Arial"/>
      <family val="2"/>
    </font>
    <font>
      <sz val="8"/>
      <name val="Arial"/>
      <family val="2"/>
    </font>
    <font>
      <sz val="11"/>
      <name val="Calibri"/>
      <family val="2"/>
      <scheme val="minor"/>
    </font>
    <font>
      <sz val="10"/>
      <color rgb="FFFF0000"/>
      <name val="Calibri"/>
      <family val="2"/>
      <scheme val="minor"/>
    </font>
    <font>
      <b/>
      <sz val="10"/>
      <color theme="0"/>
      <name val="Calibri"/>
      <family val="2"/>
      <scheme val="minor"/>
    </font>
    <font>
      <u/>
      <sz val="10"/>
      <color theme="10"/>
      <name val="Calibri"/>
      <family val="2"/>
      <scheme val="minor"/>
    </font>
    <font>
      <sz val="10"/>
      <color indexed="10"/>
      <name val="Calibri"/>
      <family val="2"/>
      <scheme val="minor"/>
    </font>
    <font>
      <b/>
      <sz val="10"/>
      <color rgb="FFFF0000"/>
      <name val="Calibri"/>
      <family val="2"/>
      <scheme val="minor"/>
    </font>
    <font>
      <i/>
      <sz val="10"/>
      <name val="Calibri"/>
      <family val="2"/>
      <scheme val="minor"/>
    </font>
    <font>
      <b/>
      <sz val="10"/>
      <color rgb="FF00B0F0"/>
      <name val="Calibri"/>
      <family val="2"/>
      <scheme val="minor"/>
    </font>
    <font>
      <b/>
      <u/>
      <sz val="10"/>
      <name val="Calibri"/>
      <family val="2"/>
      <scheme val="minor"/>
    </font>
    <font>
      <b/>
      <i/>
      <sz val="10"/>
      <color theme="1"/>
      <name val="Calibri"/>
      <family val="2"/>
      <scheme val="minor"/>
    </font>
    <font>
      <i/>
      <sz val="10"/>
      <color rgb="FFFF0000"/>
      <name val="Calibri"/>
      <family val="2"/>
      <scheme val="minor"/>
    </font>
    <font>
      <sz val="11"/>
      <color rgb="FF202124"/>
      <name val="Roboto"/>
    </font>
    <font>
      <b/>
      <u/>
      <sz val="11"/>
      <color rgb="FFFF0000"/>
      <name val="Calibri"/>
      <family val="2"/>
      <scheme val="minor"/>
    </font>
    <font>
      <b/>
      <sz val="11"/>
      <color rgb="FF0070C0"/>
      <name val="Calibri"/>
      <family val="2"/>
      <scheme val="minor"/>
    </font>
    <font>
      <i/>
      <u/>
      <sz val="9"/>
      <color rgb="FFFF0000"/>
      <name val="Calibri"/>
      <family val="2"/>
      <scheme val="minor"/>
    </font>
    <font>
      <i/>
      <sz val="10"/>
      <color theme="1"/>
      <name val="Calibri"/>
      <family val="2"/>
      <scheme val="minor"/>
    </font>
    <font>
      <b/>
      <i/>
      <u/>
      <sz val="10"/>
      <color theme="1"/>
      <name val="Calibri"/>
      <family val="2"/>
      <scheme val="minor"/>
    </font>
    <font>
      <b/>
      <i/>
      <sz val="10"/>
      <color rgb="FF0070C0"/>
      <name val="Calibri"/>
      <family val="2"/>
      <scheme val="minor"/>
    </font>
    <font>
      <i/>
      <sz val="9"/>
      <color rgb="FFFF0000"/>
      <name val="Calibri"/>
      <family val="2"/>
      <scheme val="minor"/>
    </font>
    <font>
      <b/>
      <u/>
      <sz val="11"/>
      <color theme="1"/>
      <name val="Calibri"/>
      <family val="2"/>
      <scheme val="minor"/>
    </font>
    <font>
      <i/>
      <sz val="11"/>
      <color theme="1"/>
      <name val="Calibri"/>
      <family val="2"/>
      <scheme val="minor"/>
    </font>
    <font>
      <i/>
      <sz val="9"/>
      <color theme="1"/>
      <name val="Calibri"/>
      <family val="2"/>
      <scheme val="minor"/>
    </font>
    <font>
      <b/>
      <i/>
      <sz val="9"/>
      <color rgb="FFFF0000"/>
      <name val="Calibri"/>
      <family val="2"/>
      <scheme val="minor"/>
    </font>
    <font>
      <sz val="9"/>
      <color theme="1"/>
      <name val="Calibri"/>
      <family val="2"/>
      <scheme val="minor"/>
    </font>
    <font>
      <b/>
      <i/>
      <u/>
      <sz val="11"/>
      <color rgb="FF0070C0"/>
      <name val="Calibri"/>
      <family val="2"/>
      <scheme val="minor"/>
    </font>
    <font>
      <b/>
      <u/>
      <sz val="11"/>
      <color rgb="FF0070C0"/>
      <name val="Calibri"/>
      <family val="2"/>
      <scheme val="minor"/>
    </font>
    <font>
      <b/>
      <sz val="11"/>
      <color theme="5" tint="-0.249977111117893"/>
      <name val="Calibri"/>
      <family val="2"/>
      <scheme val="minor"/>
    </font>
    <font>
      <sz val="11"/>
      <color theme="5" tint="-0.249977111117893"/>
      <name val="Calibri"/>
      <family val="2"/>
      <scheme val="minor"/>
    </font>
    <font>
      <sz val="18"/>
      <color rgb="FF6F6F6F"/>
      <name val="Open Sans"/>
      <family val="2"/>
    </font>
    <font>
      <sz val="10"/>
      <color rgb="FF262626"/>
      <name val="Open Sans"/>
      <family val="2"/>
    </font>
    <font>
      <sz val="11"/>
      <color indexed="8"/>
      <name val="Calibri"/>
      <family val="2"/>
      <scheme val="minor"/>
    </font>
    <font>
      <sz val="10"/>
      <color indexed="8"/>
      <name val="Calibri"/>
      <family val="2"/>
      <scheme val="minor"/>
    </font>
    <font>
      <u/>
      <sz val="10"/>
      <color rgb="FFFF0000"/>
      <name val="Calibri"/>
      <family val="2"/>
      <scheme val="minor"/>
    </font>
    <font>
      <b/>
      <sz val="10"/>
      <color indexed="8"/>
      <name val="Calibri"/>
      <family val="2"/>
      <scheme val="minor"/>
    </font>
    <font>
      <b/>
      <sz val="8"/>
      <color indexed="8"/>
      <name val="Arial"/>
      <family val="2"/>
    </font>
    <font>
      <sz val="8"/>
      <color indexed="8"/>
      <name val="Arial"/>
      <family val="2"/>
    </font>
    <font>
      <b/>
      <sz val="7"/>
      <name val="Arial"/>
      <family val="2"/>
    </font>
    <font>
      <b/>
      <sz val="12"/>
      <name val="Arial"/>
      <family val="2"/>
    </font>
    <font>
      <b/>
      <sz val="14"/>
      <name val="Arial"/>
      <family val="2"/>
    </font>
    <font>
      <sz val="8"/>
      <name val="Arial"/>
      <family val="2"/>
    </font>
    <font>
      <sz val="8"/>
      <color indexed="8"/>
      <name val="Arial"/>
      <family val="2"/>
    </font>
    <font>
      <sz val="8"/>
      <name val="Arial"/>
      <family val="2"/>
    </font>
    <font>
      <sz val="8"/>
      <name val="Arial"/>
      <family val="2"/>
    </font>
    <font>
      <b/>
      <sz val="8"/>
      <color indexed="8"/>
      <name val="Arial"/>
      <family val="2"/>
    </font>
    <font>
      <sz val="8"/>
      <color indexed="8"/>
      <name val="Arial"/>
      <family val="2"/>
    </font>
    <font>
      <b/>
      <sz val="8"/>
      <color theme="0"/>
      <name val="Arial"/>
      <family val="2"/>
    </font>
    <font>
      <sz val="8"/>
      <name val="Arial"/>
      <family val="2"/>
    </font>
    <font>
      <b/>
      <sz val="8"/>
      <color indexed="8"/>
      <name val="Arial"/>
      <family val="2"/>
    </font>
    <font>
      <sz val="8"/>
      <color indexed="8"/>
      <name val="Arial"/>
      <family val="2"/>
    </font>
    <font>
      <b/>
      <sz val="10"/>
      <color indexed="8"/>
      <name val="Arial"/>
      <family val="2"/>
    </font>
    <font>
      <sz val="8"/>
      <name val="Arial"/>
      <family val="2"/>
    </font>
    <font>
      <b/>
      <sz val="12"/>
      <name val="Arial"/>
      <family val="2"/>
    </font>
    <font>
      <b/>
      <sz val="14"/>
      <name val="Arial"/>
      <family val="2"/>
    </font>
    <font>
      <b/>
      <sz val="7"/>
      <name val="Arial"/>
      <family val="2"/>
    </font>
    <font>
      <b/>
      <sz val="7"/>
      <color theme="0"/>
      <name val="Arial"/>
      <family val="2"/>
    </font>
    <font>
      <sz val="8"/>
      <color theme="0"/>
      <name val="Arial"/>
      <family val="2"/>
    </font>
    <font>
      <b/>
      <sz val="8"/>
      <color indexed="8"/>
      <name val="Arial"/>
      <family val="2"/>
    </font>
    <font>
      <sz val="8"/>
      <color indexed="8"/>
      <name val="Arial"/>
      <family val="2"/>
    </font>
    <font>
      <sz val="12"/>
      <color theme="0"/>
      <name val="Aharoni"/>
      <charset val="177"/>
    </font>
    <font>
      <b/>
      <sz val="12"/>
      <color theme="0"/>
      <name val="Aharoni"/>
      <charset val="177"/>
    </font>
    <font>
      <sz val="10"/>
      <color indexed="8"/>
      <name val="Arial"/>
    </font>
    <font>
      <b/>
      <sz val="10"/>
      <color indexed="8"/>
      <name val="Arial"/>
    </font>
    <font>
      <b/>
      <sz val="8"/>
      <color indexed="8"/>
      <name val="Arial"/>
    </font>
    <font>
      <sz val="8"/>
      <color indexed="8"/>
      <name val="Arial"/>
    </font>
    <font>
      <sz val="8"/>
      <color indexed="48"/>
      <name val="Arial"/>
    </font>
  </fonts>
  <fills count="6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0D0D0"/>
        <bgColor indexed="64"/>
      </patternFill>
    </fill>
    <fill>
      <patternFill patternType="solid">
        <fgColor rgb="FFFFFF00"/>
        <bgColor indexed="64"/>
      </patternFill>
    </fill>
    <fill>
      <patternFill patternType="solid">
        <fgColor rgb="FF00B0F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rgb="FF92D050"/>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FFC0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D0D0D0"/>
        <bgColor rgb="FFD0D0D0"/>
      </patternFill>
    </fill>
    <fill>
      <patternFill patternType="solid">
        <fgColor theme="0" tint="-0.34998626667073579"/>
        <bgColor indexed="64"/>
      </patternFill>
    </fill>
    <fill>
      <patternFill patternType="solid">
        <fgColor rgb="FF0070C0"/>
        <bgColor indexed="64"/>
      </patternFill>
    </fill>
    <fill>
      <patternFill patternType="solid">
        <fgColor theme="1" tint="0.499984740745262"/>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rgb="FFFFFF99"/>
        <bgColor indexed="64"/>
      </patternFill>
    </fill>
    <fill>
      <patternFill patternType="solid">
        <fgColor theme="2"/>
        <bgColor indexed="64"/>
      </patternFill>
    </fill>
    <fill>
      <patternFill patternType="solid">
        <fgColor theme="0"/>
        <bgColor indexed="64"/>
      </patternFill>
    </fill>
    <fill>
      <patternFill patternType="solid">
        <fgColor theme="8"/>
        <bgColor indexed="64"/>
      </patternFill>
    </fill>
    <fill>
      <patternFill patternType="solid">
        <fgColor rgb="FFF1F7ED"/>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1" tint="4.9989318521683403E-2"/>
        <bgColor indexed="64"/>
      </patternFill>
    </fill>
    <fill>
      <patternFill patternType="solid">
        <fgColor theme="4" tint="-0.499984740745262"/>
        <bgColor indexed="64"/>
      </patternFill>
    </fill>
  </fills>
  <borders count="6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dashed">
        <color rgb="FFCCCCCC"/>
      </top>
      <bottom/>
      <diagonal/>
    </border>
    <border>
      <left/>
      <right/>
      <top style="dotted">
        <color rgb="FF969696"/>
      </top>
      <bottom/>
      <diagonal/>
    </border>
    <border>
      <left/>
      <right/>
      <top style="dotted">
        <color rgb="FFC0C0C0"/>
      </top>
      <bottom/>
      <diagonal/>
    </border>
    <border>
      <left/>
      <right/>
      <top style="thin">
        <color rgb="FF969696"/>
      </top>
      <bottom/>
      <diagonal/>
    </border>
    <border>
      <left/>
      <right/>
      <top style="thin">
        <color rgb="FF969696"/>
      </top>
      <bottom style="thin">
        <color rgb="FF969696"/>
      </bottom>
      <diagonal/>
    </border>
    <border>
      <left/>
      <right/>
      <top/>
      <bottom style="thin">
        <color rgb="FF969696"/>
      </bottom>
      <diagonal/>
    </border>
    <border>
      <left/>
      <right/>
      <top style="double">
        <color rgb="FF969696"/>
      </top>
      <bottom style="double">
        <color rgb="FF969696"/>
      </bottom>
      <diagonal/>
    </border>
    <border>
      <left/>
      <right style="thin">
        <color indexed="64"/>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bottom style="double">
        <color indexed="64"/>
      </bottom>
      <diagonal/>
    </border>
    <border>
      <left/>
      <right/>
      <top style="thin">
        <color auto="1"/>
      </top>
      <bottom style="double">
        <color auto="1"/>
      </bottom>
      <diagonal/>
    </border>
    <border>
      <left/>
      <right/>
      <top style="thin">
        <color indexed="64"/>
      </top>
      <bottom/>
      <diagonal/>
    </border>
    <border>
      <left/>
      <right/>
      <top style="thin">
        <color indexed="64"/>
      </top>
      <bottom style="medium">
        <color indexed="64"/>
      </bottom>
      <diagonal/>
    </border>
    <border>
      <left/>
      <right style="medium">
        <color rgb="FF0070C0"/>
      </right>
      <top/>
      <bottom/>
      <diagonal/>
    </border>
    <border>
      <left style="medium">
        <color rgb="FF0070C0"/>
      </left>
      <right/>
      <top style="medium">
        <color rgb="FF0070C0"/>
      </top>
      <bottom/>
      <diagonal/>
    </border>
    <border>
      <left/>
      <right/>
      <top style="medium">
        <color rgb="FF0070C0"/>
      </top>
      <bottom/>
      <diagonal/>
    </border>
    <border>
      <left/>
      <right style="medium">
        <color rgb="FF0070C0"/>
      </right>
      <top style="medium">
        <color rgb="FF0070C0"/>
      </top>
      <bottom/>
      <diagonal/>
    </border>
    <border>
      <left style="medium">
        <color rgb="FF0070C0"/>
      </left>
      <right/>
      <top/>
      <bottom/>
      <diagonal/>
    </border>
    <border>
      <left style="medium">
        <color rgb="FF0070C0"/>
      </left>
      <right/>
      <top/>
      <bottom style="medium">
        <color rgb="FF0070C0"/>
      </bottom>
      <diagonal/>
    </border>
    <border>
      <left/>
      <right/>
      <top/>
      <bottom style="medium">
        <color rgb="FF0070C0"/>
      </bottom>
      <diagonal/>
    </border>
    <border>
      <left/>
      <right style="medium">
        <color rgb="FF0070C0"/>
      </right>
      <top/>
      <bottom style="medium">
        <color rgb="FF0070C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8"/>
      </top>
      <bottom/>
      <diagonal/>
    </border>
    <border>
      <left/>
      <right/>
      <top style="thin">
        <color auto="1"/>
      </top>
      <bottom/>
      <diagonal/>
    </border>
    <border>
      <left/>
      <right/>
      <top/>
      <bottom style="thin">
        <color indexed="8"/>
      </bottom>
      <diagonal/>
    </border>
    <border>
      <left/>
      <right/>
      <top/>
      <bottom style="double">
        <color indexed="8"/>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406">
    <xf numFmtId="0" fontId="0" fillId="0" borderId="0"/>
    <xf numFmtId="168" fontId="20" fillId="0" borderId="0" applyFont="0" applyFill="0" applyBorder="0" applyAlignment="0" applyProtection="0"/>
    <xf numFmtId="0" fontId="21" fillId="0" borderId="0" applyNumberFormat="0" applyFill="0" applyBorder="0" applyAlignment="0" applyProtection="0"/>
    <xf numFmtId="0" fontId="22" fillId="0" borderId="1" applyNumberFormat="0" applyFill="0" applyAlignment="0" applyProtection="0"/>
    <xf numFmtId="0" fontId="23" fillId="0" borderId="2" applyNumberFormat="0" applyFill="0" applyAlignment="0" applyProtection="0"/>
    <xf numFmtId="0" fontId="24" fillId="0" borderId="3" applyNumberFormat="0" applyFill="0" applyAlignment="0" applyProtection="0"/>
    <xf numFmtId="0" fontId="24" fillId="0" borderId="0" applyNumberFormat="0" applyFill="0" applyBorder="0" applyAlignment="0" applyProtection="0"/>
    <xf numFmtId="0" fontId="25" fillId="2" borderId="0" applyNumberFormat="0" applyBorder="0" applyAlignment="0" applyProtection="0"/>
    <xf numFmtId="0" fontId="26" fillId="3" borderId="0" applyNumberFormat="0" applyBorder="0" applyAlignment="0" applyProtection="0"/>
    <xf numFmtId="0" fontId="27" fillId="4" borderId="0" applyNumberFormat="0" applyBorder="0" applyAlignment="0" applyProtection="0"/>
    <xf numFmtId="0" fontId="28" fillId="5" borderId="4" applyNumberFormat="0" applyAlignment="0" applyProtection="0"/>
    <xf numFmtId="0" fontId="29" fillId="6" borderId="5" applyNumberFormat="0" applyAlignment="0" applyProtection="0"/>
    <xf numFmtId="0" fontId="30" fillId="6" borderId="4" applyNumberFormat="0" applyAlignment="0" applyProtection="0"/>
    <xf numFmtId="0" fontId="31" fillId="0" borderId="6" applyNumberFormat="0" applyFill="0" applyAlignment="0" applyProtection="0"/>
    <xf numFmtId="0" fontId="32" fillId="7" borderId="7" applyNumberFormat="0" applyAlignment="0" applyProtection="0"/>
    <xf numFmtId="0" fontId="33" fillId="0" borderId="0" applyNumberFormat="0" applyFill="0" applyBorder="0" applyAlignment="0" applyProtection="0"/>
    <xf numFmtId="0" fontId="20" fillId="8" borderId="8" applyNumberFormat="0" applyFont="0" applyAlignment="0" applyProtection="0"/>
    <xf numFmtId="0" fontId="34" fillId="0" borderId="0" applyNumberFormat="0" applyFill="0" applyBorder="0" applyAlignment="0" applyProtection="0"/>
    <xf numFmtId="0" fontId="35" fillId="0" borderId="9" applyNumberFormat="0" applyFill="0" applyAlignment="0" applyProtection="0"/>
    <xf numFmtId="0" fontId="36" fillId="9"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36" fillId="13"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36" fillId="17" borderId="0" applyNumberFormat="0" applyBorder="0" applyAlignment="0" applyProtection="0"/>
    <xf numFmtId="0" fontId="20" fillId="18" borderId="0" applyNumberFormat="0" applyBorder="0" applyAlignment="0" applyProtection="0"/>
    <xf numFmtId="0" fontId="20" fillId="19" borderId="0" applyNumberFormat="0" applyBorder="0" applyAlignment="0" applyProtection="0"/>
    <xf numFmtId="0" fontId="20" fillId="20" borderId="0" applyNumberFormat="0" applyBorder="0" applyAlignment="0" applyProtection="0"/>
    <xf numFmtId="0" fontId="36" fillId="21" borderId="0" applyNumberFormat="0" applyBorder="0" applyAlignment="0" applyProtection="0"/>
    <xf numFmtId="0" fontId="20" fillId="22" borderId="0" applyNumberFormat="0" applyBorder="0" applyAlignment="0" applyProtection="0"/>
    <xf numFmtId="0" fontId="20" fillId="23" borderId="0" applyNumberFormat="0" applyBorder="0" applyAlignment="0" applyProtection="0"/>
    <xf numFmtId="0" fontId="20" fillId="24" borderId="0" applyNumberFormat="0" applyBorder="0" applyAlignment="0" applyProtection="0"/>
    <xf numFmtId="0" fontId="36" fillId="25" borderId="0" applyNumberFormat="0" applyBorder="0" applyAlignment="0" applyProtection="0"/>
    <xf numFmtId="0" fontId="20" fillId="26" borderId="0" applyNumberFormat="0" applyBorder="0" applyAlignment="0" applyProtection="0"/>
    <xf numFmtId="0" fontId="20" fillId="27" borderId="0" applyNumberFormat="0" applyBorder="0" applyAlignment="0" applyProtection="0"/>
    <xf numFmtId="0" fontId="20" fillId="28" borderId="0" applyNumberFormat="0" applyBorder="0" applyAlignment="0" applyProtection="0"/>
    <xf numFmtId="0" fontId="36" fillId="29" borderId="0" applyNumberFormat="0" applyBorder="0" applyAlignment="0" applyProtection="0"/>
    <xf numFmtId="0" fontId="20" fillId="30" borderId="0" applyNumberFormat="0" applyBorder="0" applyAlignment="0" applyProtection="0"/>
    <xf numFmtId="0" fontId="20" fillId="31" borderId="0" applyNumberFormat="0" applyBorder="0" applyAlignment="0" applyProtection="0"/>
    <xf numFmtId="0" fontId="20" fillId="32" borderId="0" applyNumberFormat="0" applyBorder="0" applyAlignment="0" applyProtection="0"/>
    <xf numFmtId="0" fontId="19" fillId="8" borderId="8" applyNumberFormat="0" applyFont="0" applyAlignment="0" applyProtection="0"/>
    <xf numFmtId="0" fontId="19" fillId="10" borderId="0" applyNumberFormat="0" applyBorder="0" applyAlignment="0" applyProtection="0"/>
    <xf numFmtId="0" fontId="19" fillId="11" borderId="0" applyNumberFormat="0" applyBorder="0" applyAlignment="0" applyProtection="0"/>
    <xf numFmtId="0" fontId="19" fillId="12" borderId="0" applyNumberFormat="0" applyBorder="0" applyAlignment="0" applyProtection="0"/>
    <xf numFmtId="0" fontId="19" fillId="14" borderId="0" applyNumberFormat="0" applyBorder="0" applyAlignment="0" applyProtection="0"/>
    <xf numFmtId="0" fontId="19" fillId="15" borderId="0" applyNumberFormat="0" applyBorder="0" applyAlignment="0" applyProtection="0"/>
    <xf numFmtId="0" fontId="19" fillId="16" borderId="0" applyNumberFormat="0" applyBorder="0" applyAlignment="0" applyProtection="0"/>
    <xf numFmtId="0" fontId="19" fillId="18"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19" fillId="22"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9" fillId="26" borderId="0" applyNumberFormat="0" applyBorder="0" applyAlignment="0" applyProtection="0"/>
    <xf numFmtId="0" fontId="19" fillId="27" borderId="0" applyNumberFormat="0" applyBorder="0" applyAlignment="0" applyProtection="0"/>
    <xf numFmtId="0" fontId="19" fillId="28" borderId="0" applyNumberFormat="0" applyBorder="0" applyAlignment="0" applyProtection="0"/>
    <xf numFmtId="0" fontId="19" fillId="30" borderId="0" applyNumberFormat="0" applyBorder="0" applyAlignment="0" applyProtection="0"/>
    <xf numFmtId="0" fontId="19" fillId="31" borderId="0" applyNumberFormat="0" applyBorder="0" applyAlignment="0" applyProtection="0"/>
    <xf numFmtId="0" fontId="19" fillId="32" borderId="0" applyNumberFormat="0" applyBorder="0" applyAlignment="0" applyProtection="0"/>
    <xf numFmtId="0" fontId="46" fillId="0" borderId="0"/>
    <xf numFmtId="0" fontId="18" fillId="8" borderId="8" applyNumberFormat="0" applyFont="0" applyAlignment="0" applyProtection="0"/>
    <xf numFmtId="0" fontId="18" fillId="10" borderId="0" applyNumberFormat="0" applyBorder="0" applyAlignment="0" applyProtection="0"/>
    <xf numFmtId="0" fontId="18" fillId="11" borderId="0" applyNumberFormat="0" applyBorder="0" applyAlignment="0" applyProtection="0"/>
    <xf numFmtId="0" fontId="18" fillId="12"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8" borderId="0" applyNumberFormat="0" applyBorder="0" applyAlignment="0" applyProtection="0"/>
    <xf numFmtId="0" fontId="18" fillId="19" borderId="0" applyNumberFormat="0" applyBorder="0" applyAlignment="0" applyProtection="0"/>
    <xf numFmtId="0" fontId="18" fillId="20" borderId="0" applyNumberFormat="0" applyBorder="0" applyAlignment="0" applyProtection="0"/>
    <xf numFmtId="0" fontId="18" fillId="22" borderId="0" applyNumberFormat="0" applyBorder="0" applyAlignment="0" applyProtection="0"/>
    <xf numFmtId="0" fontId="18" fillId="23" borderId="0" applyNumberFormat="0" applyBorder="0" applyAlignment="0" applyProtection="0"/>
    <xf numFmtId="0" fontId="18" fillId="24" borderId="0" applyNumberFormat="0" applyBorder="0" applyAlignment="0" applyProtection="0"/>
    <xf numFmtId="0" fontId="18" fillId="26" borderId="0" applyNumberFormat="0" applyBorder="0" applyAlignment="0" applyProtection="0"/>
    <xf numFmtId="0" fontId="18" fillId="27" borderId="0" applyNumberFormat="0" applyBorder="0" applyAlignment="0" applyProtection="0"/>
    <xf numFmtId="0" fontId="18" fillId="28" borderId="0" applyNumberFormat="0" applyBorder="0" applyAlignment="0" applyProtection="0"/>
    <xf numFmtId="0" fontId="18" fillId="30" borderId="0" applyNumberFormat="0" applyBorder="0" applyAlignment="0" applyProtection="0"/>
    <xf numFmtId="0" fontId="18" fillId="31" borderId="0" applyNumberFormat="0" applyBorder="0" applyAlignment="0" applyProtection="0"/>
    <xf numFmtId="0" fontId="18" fillId="32" borderId="0" applyNumberFormat="0" applyBorder="0" applyAlignment="0" applyProtection="0"/>
    <xf numFmtId="0" fontId="17" fillId="8" borderId="8" applyNumberFormat="0" applyFont="0" applyAlignment="0" applyProtection="0"/>
    <xf numFmtId="0" fontId="17" fillId="10" borderId="0" applyNumberFormat="0" applyBorder="0" applyAlignment="0" applyProtection="0"/>
    <xf numFmtId="0" fontId="17" fillId="11" borderId="0" applyNumberFormat="0" applyBorder="0" applyAlignment="0" applyProtection="0"/>
    <xf numFmtId="0" fontId="17" fillId="12"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7" fillId="18"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7" fillId="22" borderId="0" applyNumberFormat="0" applyBorder="0" applyAlignment="0" applyProtection="0"/>
    <xf numFmtId="0" fontId="17" fillId="23" borderId="0" applyNumberFormat="0" applyBorder="0" applyAlignment="0" applyProtection="0"/>
    <xf numFmtId="0" fontId="17" fillId="24" borderId="0" applyNumberFormat="0" applyBorder="0" applyAlignment="0" applyProtection="0"/>
    <xf numFmtId="0" fontId="17" fillId="26" borderId="0" applyNumberFormat="0" applyBorder="0" applyAlignment="0" applyProtection="0"/>
    <xf numFmtId="0" fontId="17" fillId="27" borderId="0" applyNumberFormat="0" applyBorder="0" applyAlignment="0" applyProtection="0"/>
    <xf numFmtId="0" fontId="17" fillId="28" borderId="0" applyNumberFormat="0" applyBorder="0" applyAlignment="0" applyProtection="0"/>
    <xf numFmtId="0" fontId="17" fillId="30" borderId="0" applyNumberFormat="0" applyBorder="0" applyAlignment="0" applyProtection="0"/>
    <xf numFmtId="0" fontId="17" fillId="31" borderId="0" applyNumberFormat="0" applyBorder="0" applyAlignment="0" applyProtection="0"/>
    <xf numFmtId="0" fontId="17" fillId="32" borderId="0" applyNumberFormat="0" applyBorder="0" applyAlignment="0" applyProtection="0"/>
    <xf numFmtId="168" fontId="44" fillId="0" borderId="0" applyFont="0" applyFill="0" applyBorder="0" applyAlignment="0" applyProtection="0"/>
    <xf numFmtId="0" fontId="71" fillId="0" borderId="0" applyNumberFormat="0" applyFill="0" applyBorder="0" applyAlignment="0" applyProtection="0"/>
    <xf numFmtId="0" fontId="16" fillId="8" borderId="8" applyNumberFormat="0" applyFont="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6" fillId="26" borderId="0" applyNumberFormat="0" applyBorder="0" applyAlignment="0" applyProtection="0"/>
    <xf numFmtId="0" fontId="16" fillId="27" borderId="0" applyNumberFormat="0" applyBorder="0" applyAlignment="0" applyProtection="0"/>
    <xf numFmtId="0" fontId="16" fillId="28" borderId="0" applyNumberFormat="0" applyBorder="0" applyAlignment="0" applyProtection="0"/>
    <xf numFmtId="0" fontId="16" fillId="30" borderId="0" applyNumberFormat="0" applyBorder="0" applyAlignment="0" applyProtection="0"/>
    <xf numFmtId="0" fontId="16" fillId="31" borderId="0" applyNumberFormat="0" applyBorder="0" applyAlignment="0" applyProtection="0"/>
    <xf numFmtId="0" fontId="16" fillId="32" borderId="0" applyNumberFormat="0" applyBorder="0" applyAlignment="0" applyProtection="0"/>
    <xf numFmtId="168" fontId="15" fillId="0" borderId="0" applyFont="0" applyFill="0" applyBorder="0" applyAlignment="0" applyProtection="0"/>
    <xf numFmtId="0" fontId="15" fillId="8" borderId="8" applyNumberFormat="0" applyFont="0" applyAlignment="0" applyProtection="0"/>
    <xf numFmtId="0" fontId="15" fillId="10"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20" borderId="0" applyNumberFormat="0" applyBorder="0" applyAlignment="0" applyProtection="0"/>
    <xf numFmtId="0" fontId="15" fillId="22" borderId="0" applyNumberFormat="0" applyBorder="0" applyAlignment="0" applyProtection="0"/>
    <xf numFmtId="0" fontId="15" fillId="23" borderId="0" applyNumberFormat="0" applyBorder="0" applyAlignment="0" applyProtection="0"/>
    <xf numFmtId="0" fontId="15" fillId="24" borderId="0" applyNumberFormat="0" applyBorder="0" applyAlignment="0" applyProtection="0"/>
    <xf numFmtId="0" fontId="15" fillId="26" borderId="0" applyNumberFormat="0" applyBorder="0" applyAlignment="0" applyProtection="0"/>
    <xf numFmtId="0" fontId="15" fillId="27" borderId="0" applyNumberFormat="0" applyBorder="0" applyAlignment="0" applyProtection="0"/>
    <xf numFmtId="0" fontId="15" fillId="28" borderId="0" applyNumberFormat="0" applyBorder="0" applyAlignment="0" applyProtection="0"/>
    <xf numFmtId="0" fontId="15" fillId="30" borderId="0" applyNumberFormat="0" applyBorder="0" applyAlignment="0" applyProtection="0"/>
    <xf numFmtId="0" fontId="15" fillId="31" borderId="0" applyNumberFormat="0" applyBorder="0" applyAlignment="0" applyProtection="0"/>
    <xf numFmtId="0" fontId="15" fillId="32" borderId="0" applyNumberFormat="0" applyBorder="0" applyAlignment="0" applyProtection="0"/>
    <xf numFmtId="0" fontId="77" fillId="0" borderId="0"/>
    <xf numFmtId="172" fontId="78" fillId="0" borderId="0" applyFont="0" applyFill="0" applyBorder="0" applyAlignment="0" applyProtection="0"/>
    <xf numFmtId="172" fontId="78" fillId="0" borderId="0" applyFont="0" applyFill="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4" fillId="26" borderId="0" applyNumberFormat="0" applyBorder="0" applyAlignment="0" applyProtection="0"/>
    <xf numFmtId="0" fontId="14" fillId="27" borderId="0" applyNumberFormat="0" applyBorder="0" applyAlignment="0" applyProtection="0"/>
    <xf numFmtId="0" fontId="14" fillId="28" borderId="0" applyNumberFormat="0" applyBorder="0" applyAlignment="0" applyProtection="0"/>
    <xf numFmtId="0" fontId="14" fillId="30" borderId="0" applyNumberFormat="0" applyBorder="0" applyAlignment="0" applyProtection="0"/>
    <xf numFmtId="0" fontId="14" fillId="31" borderId="0" applyNumberFormat="0" applyBorder="0" applyAlignment="0" applyProtection="0"/>
    <xf numFmtId="0" fontId="14" fillId="32" borderId="0" applyNumberFormat="0" applyBorder="0" applyAlignment="0" applyProtection="0"/>
    <xf numFmtId="0" fontId="14" fillId="8" borderId="8" applyNumberFormat="0" applyFont="0" applyAlignment="0" applyProtection="0"/>
    <xf numFmtId="0" fontId="97" fillId="0" borderId="0"/>
    <xf numFmtId="0" fontId="13" fillId="8" borderId="8" applyNumberFormat="0" applyFont="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13" fillId="24" borderId="0" applyNumberFormat="0" applyBorder="0" applyAlignment="0" applyProtection="0"/>
    <xf numFmtId="0" fontId="13" fillId="26" borderId="0" applyNumberFormat="0" applyBorder="0" applyAlignment="0" applyProtection="0"/>
    <xf numFmtId="0" fontId="13" fillId="27" borderId="0" applyNumberFormat="0" applyBorder="0" applyAlignment="0" applyProtection="0"/>
    <xf numFmtId="0" fontId="13" fillId="28" borderId="0" applyNumberFormat="0" applyBorder="0" applyAlignment="0" applyProtection="0"/>
    <xf numFmtId="0" fontId="13" fillId="30" borderId="0" applyNumberFormat="0" applyBorder="0" applyAlignment="0" applyProtection="0"/>
    <xf numFmtId="0" fontId="13" fillId="31" borderId="0" applyNumberFormat="0" applyBorder="0" applyAlignment="0" applyProtection="0"/>
    <xf numFmtId="0" fontId="13" fillId="32" borderId="0" applyNumberFormat="0" applyBorder="0" applyAlignment="0" applyProtection="0"/>
    <xf numFmtId="167" fontId="46" fillId="0" borderId="0" applyFont="0" applyFill="0" applyBorder="0" applyAlignment="0" applyProtection="0"/>
    <xf numFmtId="0" fontId="12" fillId="0" borderId="0"/>
    <xf numFmtId="168" fontId="12" fillId="0" borderId="0" applyFont="0" applyFill="0" applyBorder="0" applyAlignment="0" applyProtection="0"/>
    <xf numFmtId="9" fontId="12" fillId="0" borderId="0" applyFont="0" applyFill="0" applyBorder="0" applyAlignment="0" applyProtection="0"/>
    <xf numFmtId="0" fontId="128" fillId="0" borderId="0"/>
    <xf numFmtId="168" fontId="128" fillId="0" borderId="0" applyFont="0" applyFill="0" applyBorder="0" applyAlignment="0" applyProtection="0"/>
    <xf numFmtId="0" fontId="11" fillId="8" borderId="8" applyNumberFormat="0" applyFont="0" applyAlignment="0" applyProtection="0"/>
    <xf numFmtId="0" fontId="11" fillId="10"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0"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4"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28"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32" borderId="0" applyNumberFormat="0" applyBorder="0" applyAlignment="0" applyProtection="0"/>
    <xf numFmtId="0" fontId="137" fillId="0" borderId="0"/>
    <xf numFmtId="0" fontId="10" fillId="8" borderId="8" applyNumberFormat="0" applyFont="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139" fillId="0" borderId="0"/>
    <xf numFmtId="0" fontId="9" fillId="8" borderId="8" applyNumberFormat="0" applyFont="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40" fillId="0" borderId="0"/>
    <xf numFmtId="0" fontId="8" fillId="8" borderId="8" applyNumberFormat="0" applyFont="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7" fillId="8" borderId="8"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6" fillId="8" borderId="8" applyNumberFormat="0" applyFont="0" applyAlignment="0" applyProtection="0"/>
    <xf numFmtId="168" fontId="6" fillId="0" borderId="0" applyFont="0" applyFill="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5" fillId="8" borderId="8"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4" fillId="8" borderId="8"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144" fillId="0" borderId="0"/>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46" fillId="0" borderId="0"/>
    <xf numFmtId="0" fontId="148"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48">
    <xf numFmtId="0" fontId="0" fillId="0" borderId="0" xfId="0"/>
    <xf numFmtId="0" fontId="39" fillId="33" borderId="0" xfId="0" applyFont="1" applyFill="1" applyAlignment="1">
      <alignment horizontal="left"/>
    </xf>
    <xf numFmtId="0" fontId="39" fillId="33" borderId="0" xfId="0" applyFont="1" applyFill="1" applyAlignment="1">
      <alignment horizontal="right"/>
    </xf>
    <xf numFmtId="0" fontId="40" fillId="0" borderId="0" xfId="0" applyFont="1" applyAlignment="1">
      <alignment horizontal="left" vertical="center"/>
    </xf>
    <xf numFmtId="0" fontId="41" fillId="0" borderId="0" xfId="0" applyFont="1" applyAlignment="1">
      <alignment horizontal="left" vertical="center"/>
    </xf>
    <xf numFmtId="14" fontId="41" fillId="0" borderId="0" xfId="0" applyNumberFormat="1" applyFont="1" applyAlignment="1">
      <alignment horizontal="left" vertical="center"/>
    </xf>
    <xf numFmtId="165" fontId="41" fillId="0" borderId="0" xfId="0" applyNumberFormat="1" applyFont="1" applyAlignment="1">
      <alignment horizontal="right" vertical="center"/>
    </xf>
    <xf numFmtId="4" fontId="41" fillId="0" borderId="0" xfId="0" applyNumberFormat="1" applyFont="1" applyAlignment="1">
      <alignment horizontal="right" vertical="center"/>
    </xf>
    <xf numFmtId="0" fontId="40" fillId="0" borderId="0" xfId="0" applyFont="1" applyAlignment="1">
      <alignment horizontal="left" indent="1"/>
    </xf>
    <xf numFmtId="0" fontId="40" fillId="0" borderId="10" xfId="0" applyFont="1" applyBorder="1" applyAlignment="1">
      <alignment horizontal="left" indent="1"/>
    </xf>
    <xf numFmtId="0" fontId="40" fillId="0" borderId="10" xfId="0" applyFont="1" applyBorder="1" applyAlignment="1">
      <alignment horizontal="left" vertical="center"/>
    </xf>
    <xf numFmtId="14" fontId="40" fillId="0" borderId="10" xfId="0" applyNumberFormat="1" applyFont="1" applyBorder="1" applyAlignment="1">
      <alignment horizontal="left" vertical="center"/>
    </xf>
    <xf numFmtId="165" fontId="40" fillId="0" borderId="10" xfId="0" applyNumberFormat="1" applyFont="1" applyBorder="1" applyAlignment="1">
      <alignment horizontal="right" vertical="center"/>
    </xf>
    <xf numFmtId="4" fontId="40" fillId="0" borderId="10" xfId="0" applyNumberFormat="1" applyFont="1" applyBorder="1" applyAlignment="1">
      <alignment horizontal="right" vertical="center"/>
    </xf>
    <xf numFmtId="0" fontId="0" fillId="34" borderId="0" xfId="0" applyFill="1"/>
    <xf numFmtId="0" fontId="0" fillId="35" borderId="0" xfId="0" applyFill="1"/>
    <xf numFmtId="0" fontId="43" fillId="36" borderId="0" xfId="0" applyFont="1" applyFill="1" applyAlignment="1">
      <alignment horizontal="left" indent="3"/>
    </xf>
    <xf numFmtId="0" fontId="0" fillId="36" borderId="0" xfId="0" applyFill="1"/>
    <xf numFmtId="168" fontId="0" fillId="0" borderId="0" xfId="1" applyFont="1" applyFill="1"/>
    <xf numFmtId="0" fontId="42" fillId="0" borderId="0" xfId="0" applyFont="1" applyAlignment="1">
      <alignment horizontal="left" vertical="center"/>
    </xf>
    <xf numFmtId="169" fontId="42" fillId="0" borderId="0" xfId="0" applyNumberFormat="1" applyFont="1" applyAlignment="1">
      <alignment horizontal="right" vertical="center"/>
    </xf>
    <xf numFmtId="0" fontId="43" fillId="0" borderId="0" xfId="0" applyFont="1" applyAlignment="1">
      <alignment horizontal="left" indent="3"/>
    </xf>
    <xf numFmtId="0" fontId="41" fillId="0" borderId="0" xfId="0" applyFont="1" applyAlignment="1">
      <alignment horizontal="left" indent="2"/>
    </xf>
    <xf numFmtId="0" fontId="0" fillId="37" borderId="0" xfId="0" applyFill="1"/>
    <xf numFmtId="168" fontId="0" fillId="0" borderId="0" xfId="1" applyFont="1"/>
    <xf numFmtId="165" fontId="0" fillId="0" borderId="0" xfId="0" applyNumberFormat="1"/>
    <xf numFmtId="168" fontId="0" fillId="0" borderId="0" xfId="0" applyNumberFormat="1"/>
    <xf numFmtId="168" fontId="0" fillId="37" borderId="0" xfId="1" applyFont="1" applyFill="1"/>
    <xf numFmtId="0" fontId="48" fillId="0" borderId="0" xfId="62" applyFont="1" applyAlignment="1">
      <alignment horizontal="left" vertical="center"/>
    </xf>
    <xf numFmtId="14" fontId="48" fillId="0" borderId="0" xfId="62" applyNumberFormat="1" applyFont="1" applyAlignment="1">
      <alignment horizontal="left" vertical="center"/>
    </xf>
    <xf numFmtId="165" fontId="48" fillId="0" borderId="0" xfId="62" applyNumberFormat="1" applyFont="1" applyAlignment="1">
      <alignment horizontal="right" vertical="center"/>
    </xf>
    <xf numFmtId="165" fontId="41" fillId="0" borderId="0" xfId="62" applyNumberFormat="1" applyFont="1" applyAlignment="1">
      <alignment horizontal="right" vertical="center"/>
    </xf>
    <xf numFmtId="0" fontId="56" fillId="33" borderId="0" xfId="62" applyFont="1" applyFill="1" applyAlignment="1">
      <alignment horizontal="left"/>
    </xf>
    <xf numFmtId="0" fontId="56" fillId="33" borderId="0" xfId="62" applyFont="1" applyFill="1" applyAlignment="1">
      <alignment horizontal="right"/>
    </xf>
    <xf numFmtId="0" fontId="52" fillId="0" borderId="0" xfId="62" applyFont="1" applyAlignment="1">
      <alignment horizontal="left" vertical="center"/>
    </xf>
    <xf numFmtId="14" fontId="52" fillId="0" borderId="0" xfId="62" applyNumberFormat="1" applyFont="1" applyAlignment="1">
      <alignment horizontal="left" vertical="center"/>
    </xf>
    <xf numFmtId="165" fontId="52" fillId="0" borderId="0" xfId="62" applyNumberFormat="1" applyFont="1" applyAlignment="1">
      <alignment horizontal="right" vertical="center"/>
    </xf>
    <xf numFmtId="0" fontId="51" fillId="0" borderId="0" xfId="62" applyFont="1" applyAlignment="1">
      <alignment horizontal="left" indent="1"/>
    </xf>
    <xf numFmtId="0" fontId="51" fillId="0" borderId="0" xfId="62" applyFont="1" applyAlignment="1">
      <alignment horizontal="left" vertical="center"/>
    </xf>
    <xf numFmtId="14" fontId="51" fillId="0" borderId="0" xfId="62" applyNumberFormat="1" applyFont="1" applyAlignment="1">
      <alignment horizontal="left" vertical="center"/>
    </xf>
    <xf numFmtId="165" fontId="51" fillId="0" borderId="0" xfId="62" applyNumberFormat="1" applyFont="1" applyAlignment="1">
      <alignment horizontal="right" vertical="center"/>
    </xf>
    <xf numFmtId="0" fontId="51" fillId="0" borderId="0" xfId="62" applyFont="1" applyAlignment="1">
      <alignment horizontal="left" indent="2"/>
    </xf>
    <xf numFmtId="39" fontId="51" fillId="0" borderId="0" xfId="62" applyNumberFormat="1" applyFont="1" applyAlignment="1">
      <alignment horizontal="right" vertical="center"/>
    </xf>
    <xf numFmtId="0" fontId="51" fillId="0" borderId="0" xfId="62" applyFont="1" applyAlignment="1">
      <alignment horizontal="left" indent="3"/>
    </xf>
    <xf numFmtId="0" fontId="48" fillId="0" borderId="0" xfId="62" applyFont="1" applyAlignment="1">
      <alignment horizontal="left" indent="4"/>
    </xf>
    <xf numFmtId="0" fontId="51" fillId="0" borderId="12" xfId="62" applyFont="1" applyBorder="1" applyAlignment="1">
      <alignment horizontal="left" indent="3"/>
    </xf>
    <xf numFmtId="0" fontId="51" fillId="0" borderId="12" xfId="62" applyFont="1" applyBorder="1" applyAlignment="1">
      <alignment horizontal="left" vertical="center"/>
    </xf>
    <xf numFmtId="14" fontId="51" fillId="0" borderId="12" xfId="62" applyNumberFormat="1" applyFont="1" applyBorder="1" applyAlignment="1">
      <alignment horizontal="left" vertical="center"/>
    </xf>
    <xf numFmtId="39" fontId="51" fillId="0" borderId="12" xfId="62" applyNumberFormat="1" applyFont="1" applyBorder="1" applyAlignment="1">
      <alignment horizontal="right" vertical="center"/>
    </xf>
    <xf numFmtId="0" fontId="51" fillId="0" borderId="12" xfId="62" applyFont="1" applyBorder="1" applyAlignment="1">
      <alignment horizontal="left" indent="2"/>
    </xf>
    <xf numFmtId="0" fontId="51" fillId="0" borderId="13" xfId="62" applyFont="1" applyBorder="1" applyAlignment="1">
      <alignment horizontal="left" indent="1"/>
    </xf>
    <xf numFmtId="0" fontId="51" fillId="0" borderId="13" xfId="62" applyFont="1" applyBorder="1" applyAlignment="1">
      <alignment horizontal="left" vertical="center"/>
    </xf>
    <xf numFmtId="14" fontId="51" fillId="0" borderId="13" xfId="62" applyNumberFormat="1" applyFont="1" applyBorder="1" applyAlignment="1">
      <alignment horizontal="left" vertical="center"/>
    </xf>
    <xf numFmtId="39" fontId="51" fillId="0" borderId="13" xfId="62" applyNumberFormat="1" applyFont="1" applyBorder="1" applyAlignment="1">
      <alignment horizontal="right" vertical="center"/>
    </xf>
    <xf numFmtId="0" fontId="52" fillId="0" borderId="14" xfId="62" applyFont="1" applyBorder="1" applyAlignment="1">
      <alignment horizontal="left" vertical="center"/>
    </xf>
    <xf numFmtId="14" fontId="52" fillId="0" borderId="14" xfId="62" applyNumberFormat="1" applyFont="1" applyBorder="1" applyAlignment="1">
      <alignment horizontal="left" vertical="center"/>
    </xf>
    <xf numFmtId="39" fontId="52" fillId="0" borderId="14" xfId="62" applyNumberFormat="1" applyFont="1" applyBorder="1" applyAlignment="1">
      <alignment horizontal="right" vertical="center"/>
    </xf>
    <xf numFmtId="0" fontId="47" fillId="0" borderId="0" xfId="62" applyFont="1" applyAlignment="1">
      <alignment horizontal="left" vertical="center"/>
    </xf>
    <xf numFmtId="0" fontId="51" fillId="0" borderId="15" xfId="62" applyFont="1" applyBorder="1" applyAlignment="1">
      <alignment horizontal="left" vertical="center"/>
    </xf>
    <xf numFmtId="14" fontId="51" fillId="0" borderId="15" xfId="62" applyNumberFormat="1" applyFont="1" applyBorder="1" applyAlignment="1">
      <alignment horizontal="left" vertical="center"/>
    </xf>
    <xf numFmtId="39" fontId="51" fillId="0" borderId="15" xfId="62" applyNumberFormat="1" applyFont="1" applyBorder="1" applyAlignment="1">
      <alignment horizontal="right" vertical="center"/>
    </xf>
    <xf numFmtId="0" fontId="52" fillId="0" borderId="16" xfId="62" applyFont="1" applyBorder="1" applyAlignment="1">
      <alignment horizontal="left" vertical="center"/>
    </xf>
    <xf numFmtId="14" fontId="52" fillId="0" borderId="16" xfId="62" applyNumberFormat="1" applyFont="1" applyBorder="1" applyAlignment="1">
      <alignment horizontal="left" vertical="center"/>
    </xf>
    <xf numFmtId="39" fontId="52" fillId="0" borderId="16" xfId="62" applyNumberFormat="1" applyFont="1" applyBorder="1" applyAlignment="1">
      <alignment horizontal="right" vertical="center"/>
    </xf>
    <xf numFmtId="0" fontId="53" fillId="0" borderId="11" xfId="62" applyFont="1" applyBorder="1" applyAlignment="1">
      <alignment horizontal="left" vertical="center"/>
    </xf>
    <xf numFmtId="14" fontId="53" fillId="0" borderId="11" xfId="62" applyNumberFormat="1" applyFont="1" applyBorder="1" applyAlignment="1">
      <alignment horizontal="left" vertical="center"/>
    </xf>
    <xf numFmtId="165" fontId="53" fillId="0" borderId="11" xfId="62" applyNumberFormat="1" applyFont="1" applyBorder="1" applyAlignment="1">
      <alignment horizontal="right" vertical="center"/>
    </xf>
    <xf numFmtId="170" fontId="0" fillId="0" borderId="0" xfId="1" applyNumberFormat="1" applyFont="1"/>
    <xf numFmtId="0" fontId="57" fillId="0" borderId="0" xfId="0" applyFont="1"/>
    <xf numFmtId="0" fontId="58" fillId="0" borderId="18" xfId="0" applyFont="1" applyBorder="1"/>
    <xf numFmtId="0" fontId="58" fillId="0" borderId="18" xfId="0" applyFont="1" applyBorder="1" applyAlignment="1">
      <alignment horizontal="center"/>
    </xf>
    <xf numFmtId="0" fontId="58" fillId="0" borderId="0" xfId="0" applyFont="1"/>
    <xf numFmtId="0" fontId="59" fillId="0" borderId="0" xfId="0" applyFont="1"/>
    <xf numFmtId="170" fontId="59" fillId="0" borderId="0" xfId="1" applyNumberFormat="1" applyFont="1" applyFill="1"/>
    <xf numFmtId="168" fontId="59" fillId="0" borderId="0" xfId="1" applyFont="1" applyFill="1"/>
    <xf numFmtId="0" fontId="59" fillId="0" borderId="18" xfId="0" applyFont="1" applyBorder="1"/>
    <xf numFmtId="170" fontId="59" fillId="0" borderId="18" xfId="1" applyNumberFormat="1" applyFont="1" applyFill="1" applyBorder="1"/>
    <xf numFmtId="170" fontId="58" fillId="0" borderId="0" xfId="1" applyNumberFormat="1" applyFont="1" applyFill="1" applyBorder="1"/>
    <xf numFmtId="170" fontId="57" fillId="0" borderId="0" xfId="1" applyNumberFormat="1" applyFont="1" applyFill="1"/>
    <xf numFmtId="164" fontId="57" fillId="0" borderId="18" xfId="0" applyNumberFormat="1" applyFont="1" applyBorder="1"/>
    <xf numFmtId="170" fontId="57" fillId="0" borderId="0" xfId="0" applyNumberFormat="1" applyFont="1"/>
    <xf numFmtId="165" fontId="57" fillId="0" borderId="0" xfId="0" applyNumberFormat="1" applyFont="1"/>
    <xf numFmtId="0" fontId="45" fillId="0" borderId="0" xfId="0" applyFont="1"/>
    <xf numFmtId="4" fontId="0" fillId="0" borderId="0" xfId="0" applyNumberFormat="1"/>
    <xf numFmtId="0" fontId="0" fillId="0" borderId="0" xfId="0" applyAlignment="1">
      <alignment horizontal="center"/>
    </xf>
    <xf numFmtId="0" fontId="0" fillId="35" borderId="0" xfId="0" applyFill="1" applyAlignment="1">
      <alignment horizontal="center"/>
    </xf>
    <xf numFmtId="10" fontId="0" fillId="0" borderId="0" xfId="0" applyNumberFormat="1"/>
    <xf numFmtId="0" fontId="0" fillId="38" borderId="0" xfId="0" applyFill="1"/>
    <xf numFmtId="9" fontId="0" fillId="0" borderId="0" xfId="0" applyNumberFormat="1"/>
    <xf numFmtId="0" fontId="0" fillId="36" borderId="0" xfId="0" applyFill="1" applyAlignment="1">
      <alignment horizontal="center"/>
    </xf>
    <xf numFmtId="0" fontId="0" fillId="0" borderId="0" xfId="0" applyAlignment="1">
      <alignment horizontal="right"/>
    </xf>
    <xf numFmtId="16" fontId="0" fillId="0" borderId="0" xfId="0" applyNumberFormat="1"/>
    <xf numFmtId="168" fontId="0" fillId="38" borderId="0" xfId="1" applyFont="1" applyFill="1"/>
    <xf numFmtId="0" fontId="41" fillId="34" borderId="0" xfId="0" applyFont="1" applyFill="1" applyAlignment="1">
      <alignment horizontal="left" vertical="center"/>
    </xf>
    <xf numFmtId="171" fontId="0" fillId="0" borderId="0" xfId="1" applyNumberFormat="1" applyFont="1"/>
    <xf numFmtId="170" fontId="0" fillId="37" borderId="0" xfId="1" applyNumberFormat="1" applyFont="1" applyFill="1"/>
    <xf numFmtId="0" fontId="0" fillId="39" borderId="0" xfId="0" applyFill="1"/>
    <xf numFmtId="168" fontId="0" fillId="39" borderId="0" xfId="1" applyFont="1" applyFill="1"/>
    <xf numFmtId="168" fontId="0" fillId="39" borderId="0" xfId="0" applyNumberFormat="1" applyFill="1"/>
    <xf numFmtId="168" fontId="0" fillId="34" borderId="0" xfId="1" applyFont="1" applyFill="1"/>
    <xf numFmtId="0" fontId="0" fillId="0" borderId="0" xfId="0" applyAlignment="1">
      <alignment vertical="center" wrapText="1"/>
    </xf>
    <xf numFmtId="0" fontId="61" fillId="0" borderId="0" xfId="0" applyFont="1" applyAlignment="1">
      <alignment vertical="center" wrapText="1"/>
    </xf>
    <xf numFmtId="0" fontId="60" fillId="0" borderId="0" xfId="0" applyFont="1" applyAlignment="1">
      <alignment vertical="center" wrapText="1"/>
    </xf>
    <xf numFmtId="0" fontId="63" fillId="0" borderId="0" xfId="0" applyFont="1" applyAlignment="1">
      <alignment vertical="center" wrapText="1"/>
    </xf>
    <xf numFmtId="0" fontId="71" fillId="0" borderId="0" xfId="102" applyAlignment="1">
      <alignment vertical="center" wrapText="1"/>
    </xf>
    <xf numFmtId="0" fontId="64" fillId="0" borderId="0" xfId="0" applyFont="1" applyAlignment="1">
      <alignment vertical="center" wrapText="1"/>
    </xf>
    <xf numFmtId="0" fontId="65" fillId="0" borderId="0" xfId="0" applyFont="1" applyAlignment="1">
      <alignment vertical="center" wrapText="1"/>
    </xf>
    <xf numFmtId="0" fontId="67" fillId="0" borderId="0" xfId="0" applyFont="1" applyAlignment="1">
      <alignment vertical="center" wrapText="1"/>
    </xf>
    <xf numFmtId="0" fontId="69" fillId="0" borderId="0" xfId="0" applyFont="1" applyAlignment="1">
      <alignment vertical="center" wrapText="1"/>
    </xf>
    <xf numFmtId="0" fontId="70" fillId="0" borderId="0" xfId="0" applyFont="1" applyAlignment="1">
      <alignment vertical="center" wrapText="1"/>
    </xf>
    <xf numFmtId="14" fontId="0" fillId="0" borderId="0" xfId="0" applyNumberFormat="1"/>
    <xf numFmtId="15" fontId="0" fillId="0" borderId="0" xfId="0" applyNumberFormat="1"/>
    <xf numFmtId="14" fontId="0" fillId="34" borderId="0" xfId="0" applyNumberFormat="1" applyFill="1"/>
    <xf numFmtId="0" fontId="61" fillId="0" borderId="0" xfId="0" applyFont="1" applyAlignment="1">
      <alignment horizontal="left" vertical="center" wrapText="1" indent="10"/>
    </xf>
    <xf numFmtId="165" fontId="41" fillId="34" borderId="0" xfId="0" applyNumberFormat="1" applyFont="1" applyFill="1" applyAlignment="1">
      <alignment horizontal="right" vertical="center"/>
    </xf>
    <xf numFmtId="4" fontId="41" fillId="34" borderId="0" xfId="0" applyNumberFormat="1" applyFont="1" applyFill="1" applyAlignment="1">
      <alignment horizontal="right" vertical="center"/>
    </xf>
    <xf numFmtId="4" fontId="41" fillId="40" borderId="0" xfId="0" applyNumberFormat="1" applyFont="1" applyFill="1" applyAlignment="1">
      <alignment horizontal="right" vertical="center"/>
    </xf>
    <xf numFmtId="168" fontId="0" fillId="0" borderId="0" xfId="122" applyFont="1"/>
    <xf numFmtId="168" fontId="0" fillId="0" borderId="18" xfId="122" applyFont="1" applyBorder="1"/>
    <xf numFmtId="168" fontId="74" fillId="0" borderId="0" xfId="1" applyFont="1"/>
    <xf numFmtId="168" fontId="0" fillId="0" borderId="0" xfId="122" applyFont="1" applyFill="1"/>
    <xf numFmtId="0" fontId="41" fillId="0" borderId="0" xfId="62" applyFont="1" applyAlignment="1">
      <alignment horizontal="left" vertical="center"/>
    </xf>
    <xf numFmtId="0" fontId="46" fillId="38" borderId="0" xfId="62" applyFill="1"/>
    <xf numFmtId="168" fontId="46" fillId="0" borderId="0" xfId="62" applyNumberFormat="1"/>
    <xf numFmtId="168" fontId="0" fillId="38" borderId="0" xfId="122" applyFont="1" applyFill="1"/>
    <xf numFmtId="0" fontId="46" fillId="0" borderId="0" xfId="62" applyAlignment="1">
      <alignment horizontal="right"/>
    </xf>
    <xf numFmtId="0" fontId="46" fillId="0" borderId="0" xfId="62"/>
    <xf numFmtId="168" fontId="0" fillId="34" borderId="0" xfId="122" applyFont="1" applyFill="1"/>
    <xf numFmtId="4" fontId="41" fillId="41" borderId="0" xfId="0" applyNumberFormat="1" applyFont="1" applyFill="1" applyAlignment="1">
      <alignment horizontal="right" vertical="center"/>
    </xf>
    <xf numFmtId="0" fontId="41" fillId="42" borderId="0" xfId="0" applyFont="1" applyFill="1" applyAlignment="1">
      <alignment horizontal="left" wrapText="1" indent="2"/>
    </xf>
    <xf numFmtId="0" fontId="41" fillId="0" borderId="0" xfId="0" applyFont="1" applyAlignment="1">
      <alignment horizontal="left" wrapText="1" indent="3"/>
    </xf>
    <xf numFmtId="0" fontId="0" fillId="36" borderId="0" xfId="0" applyFill="1" applyAlignment="1">
      <alignment wrapText="1"/>
    </xf>
    <xf numFmtId="4" fontId="41" fillId="42" borderId="0" xfId="0" applyNumberFormat="1" applyFont="1" applyFill="1" applyAlignment="1">
      <alignment horizontal="left" wrapText="1" indent="3"/>
    </xf>
    <xf numFmtId="4" fontId="41" fillId="0" borderId="0" xfId="0" applyNumberFormat="1" applyFont="1" applyAlignment="1">
      <alignment horizontal="left" wrapText="1" indent="3"/>
    </xf>
    <xf numFmtId="0" fontId="41" fillId="36" borderId="0" xfId="0" applyFont="1" applyFill="1" applyAlignment="1">
      <alignment horizontal="left" wrapText="1" indent="2"/>
    </xf>
    <xf numFmtId="0" fontId="0" fillId="42" borderId="0" xfId="0" applyFill="1" applyAlignment="1">
      <alignment wrapText="1"/>
    </xf>
    <xf numFmtId="0" fontId="41" fillId="42" borderId="0" xfId="0" applyFont="1" applyFill="1" applyAlignment="1">
      <alignment horizontal="left" wrapText="1" indent="3"/>
    </xf>
    <xf numFmtId="0" fontId="0" fillId="0" borderId="0" xfId="0" applyAlignment="1">
      <alignment wrapText="1"/>
    </xf>
    <xf numFmtId="0" fontId="41" fillId="36" borderId="17" xfId="0" applyFont="1" applyFill="1" applyBorder="1" applyAlignment="1">
      <alignment horizontal="left" wrapText="1" indent="2"/>
    </xf>
    <xf numFmtId="0" fontId="0" fillId="42" borderId="0" xfId="0" applyFill="1"/>
    <xf numFmtId="4" fontId="0" fillId="42" borderId="0" xfId="0" applyNumberFormat="1" applyFill="1"/>
    <xf numFmtId="0" fontId="41" fillId="0" borderId="0" xfId="0" applyFont="1" applyAlignment="1">
      <alignment horizontal="left" wrapText="1" indent="2"/>
    </xf>
    <xf numFmtId="0" fontId="41" fillId="36" borderId="0" xfId="0" applyFont="1" applyFill="1" applyAlignment="1">
      <alignment horizontal="left" wrapText="1" indent="3"/>
    </xf>
    <xf numFmtId="0" fontId="0" fillId="42" borderId="0" xfId="0" applyFill="1" applyAlignment="1">
      <alignment horizontal="center"/>
    </xf>
    <xf numFmtId="4" fontId="41" fillId="38" borderId="0" xfId="0" applyNumberFormat="1" applyFont="1" applyFill="1" applyAlignment="1">
      <alignment horizontal="right" vertical="center"/>
    </xf>
    <xf numFmtId="4" fontId="46" fillId="0" borderId="0" xfId="62" applyNumberFormat="1"/>
    <xf numFmtId="0" fontId="0" fillId="0" borderId="0" xfId="62" applyFont="1"/>
    <xf numFmtId="14" fontId="0" fillId="38" borderId="0" xfId="0" applyNumberFormat="1" applyFill="1"/>
    <xf numFmtId="0" fontId="41" fillId="38" borderId="0" xfId="0" applyFont="1" applyFill="1" applyAlignment="1">
      <alignment horizontal="left" vertical="center"/>
    </xf>
    <xf numFmtId="0" fontId="0" fillId="0" borderId="20" xfId="0" applyBorder="1"/>
    <xf numFmtId="14" fontId="0" fillId="0" borderId="20" xfId="0" applyNumberFormat="1" applyBorder="1"/>
    <xf numFmtId="0" fontId="75" fillId="0" borderId="0" xfId="0" applyFont="1"/>
    <xf numFmtId="14" fontId="0" fillId="43" borderId="20" xfId="0" applyNumberFormat="1" applyFill="1" applyBorder="1" applyAlignment="1">
      <alignment horizontal="center" wrapText="1"/>
    </xf>
    <xf numFmtId="14" fontId="0" fillId="43" borderId="20" xfId="0" applyNumberFormat="1" applyFill="1" applyBorder="1"/>
    <xf numFmtId="0" fontId="0" fillId="43" borderId="20" xfId="0" applyFill="1" applyBorder="1"/>
    <xf numFmtId="0" fontId="76" fillId="0" borderId="20" xfId="0" applyFont="1" applyBorder="1"/>
    <xf numFmtId="4" fontId="0" fillId="44" borderId="20" xfId="0" applyNumberFormat="1" applyFill="1" applyBorder="1"/>
    <xf numFmtId="4" fontId="0" fillId="0" borderId="20" xfId="0" applyNumberFormat="1" applyBorder="1"/>
    <xf numFmtId="0" fontId="0" fillId="45" borderId="21" xfId="0" applyFill="1" applyBorder="1"/>
    <xf numFmtId="0" fontId="0" fillId="45" borderId="23" xfId="0" applyFill="1" applyBorder="1"/>
    <xf numFmtId="4" fontId="0" fillId="45" borderId="23" xfId="0" applyNumberFormat="1" applyFill="1" applyBorder="1"/>
    <xf numFmtId="4" fontId="0" fillId="45" borderId="20" xfId="0" applyNumberFormat="1" applyFill="1" applyBorder="1"/>
    <xf numFmtId="4" fontId="0" fillId="0" borderId="21" xfId="0" applyNumberFormat="1" applyBorder="1"/>
    <xf numFmtId="4" fontId="0" fillId="0" borderId="24" xfId="0" applyNumberFormat="1" applyBorder="1"/>
    <xf numFmtId="0" fontId="0" fillId="0" borderId="21" xfId="0" applyBorder="1"/>
    <xf numFmtId="4" fontId="0" fillId="0" borderId="22" xfId="0" applyNumberFormat="1" applyBorder="1"/>
    <xf numFmtId="0" fontId="0" fillId="46" borderId="20" xfId="0" applyFill="1" applyBorder="1"/>
    <xf numFmtId="0" fontId="0" fillId="46" borderId="21" xfId="0" applyFill="1" applyBorder="1"/>
    <xf numFmtId="4" fontId="0" fillId="46" borderId="20" xfId="0" applyNumberFormat="1" applyFill="1" applyBorder="1"/>
    <xf numFmtId="4" fontId="0" fillId="46" borderId="22" xfId="0" applyNumberFormat="1" applyFill="1" applyBorder="1"/>
    <xf numFmtId="4" fontId="0" fillId="46" borderId="24" xfId="0" applyNumberFormat="1" applyFill="1" applyBorder="1"/>
    <xf numFmtId="0" fontId="35" fillId="0" borderId="0" xfId="0" applyFont="1"/>
    <xf numFmtId="0" fontId="0" fillId="0" borderId="0" xfId="0" quotePrefix="1"/>
    <xf numFmtId="0" fontId="0" fillId="44" borderId="0" xfId="0" applyFill="1"/>
    <xf numFmtId="14" fontId="0" fillId="43" borderId="25" xfId="0" applyNumberFormat="1" applyFill="1" applyBorder="1"/>
    <xf numFmtId="0" fontId="0" fillId="43" borderId="25" xfId="0" applyFill="1" applyBorder="1"/>
    <xf numFmtId="0" fontId="35" fillId="0" borderId="20" xfId="0" applyFont="1" applyBorder="1"/>
    <xf numFmtId="0" fontId="0" fillId="44" borderId="20" xfId="0" applyFill="1" applyBorder="1"/>
    <xf numFmtId="0" fontId="0" fillId="45" borderId="20" xfId="0" applyFill="1" applyBorder="1"/>
    <xf numFmtId="0" fontId="0" fillId="0" borderId="26" xfId="0" applyBorder="1"/>
    <xf numFmtId="0" fontId="46" fillId="34" borderId="0" xfId="62" applyFill="1"/>
    <xf numFmtId="4" fontId="0" fillId="35" borderId="20" xfId="0" applyNumberFormat="1" applyFill="1" applyBorder="1"/>
    <xf numFmtId="4" fontId="0" fillId="35" borderId="0" xfId="0" applyNumberFormat="1" applyFill="1"/>
    <xf numFmtId="168" fontId="0" fillId="35" borderId="0" xfId="1" applyFont="1" applyFill="1"/>
    <xf numFmtId="168" fontId="0" fillId="0" borderId="0" xfId="1" applyFont="1" applyFill="1" applyBorder="1"/>
    <xf numFmtId="0" fontId="0" fillId="0" borderId="33" xfId="0" applyBorder="1"/>
    <xf numFmtId="168" fontId="0" fillId="0" borderId="0" xfId="1" applyFont="1" applyBorder="1"/>
    <xf numFmtId="0" fontId="0" fillId="0" borderId="17" xfId="0" applyBorder="1" applyAlignment="1">
      <alignment horizontal="center"/>
    </xf>
    <xf numFmtId="173" fontId="0" fillId="0" borderId="0" xfId="0" applyNumberFormat="1"/>
    <xf numFmtId="0" fontId="79" fillId="0" borderId="0" xfId="0" applyFont="1"/>
    <xf numFmtId="0" fontId="0" fillId="0" borderId="34" xfId="0" applyBorder="1"/>
    <xf numFmtId="17" fontId="0" fillId="0" borderId="34" xfId="0" applyNumberFormat="1" applyBorder="1"/>
    <xf numFmtId="4" fontId="0" fillId="0" borderId="34" xfId="0" applyNumberFormat="1" applyBorder="1"/>
    <xf numFmtId="17" fontId="0" fillId="0" borderId="0" xfId="0" applyNumberFormat="1"/>
    <xf numFmtId="0" fontId="80" fillId="47" borderId="0" xfId="0" applyFont="1" applyFill="1" applyAlignment="1">
      <alignment horizontal="left"/>
    </xf>
    <xf numFmtId="0" fontId="80" fillId="47" borderId="0" xfId="0" applyFont="1" applyFill="1" applyAlignment="1">
      <alignment horizontal="right"/>
    </xf>
    <xf numFmtId="173" fontId="81" fillId="0" borderId="0" xfId="0" applyNumberFormat="1" applyFont="1" applyAlignment="1">
      <alignment horizontal="left" vertical="center"/>
    </xf>
    <xf numFmtId="0" fontId="81" fillId="0" borderId="0" xfId="0" applyFont="1" applyAlignment="1">
      <alignment horizontal="left" vertical="center"/>
    </xf>
    <xf numFmtId="174" fontId="81" fillId="0" borderId="0" xfId="0" applyNumberFormat="1" applyFont="1" applyAlignment="1">
      <alignment horizontal="right" vertical="center"/>
    </xf>
    <xf numFmtId="17" fontId="81" fillId="0" borderId="0" xfId="0" applyNumberFormat="1" applyFont="1" applyAlignment="1">
      <alignment horizontal="left" vertical="center"/>
    </xf>
    <xf numFmtId="175" fontId="81" fillId="0" borderId="0" xfId="0" applyNumberFormat="1" applyFont="1" applyAlignment="1">
      <alignment horizontal="right" vertical="center"/>
    </xf>
    <xf numFmtId="165" fontId="41" fillId="41" borderId="0" xfId="0" applyNumberFormat="1" applyFont="1" applyFill="1" applyAlignment="1">
      <alignment horizontal="right" vertical="center"/>
    </xf>
    <xf numFmtId="165" fontId="0" fillId="34" borderId="0" xfId="122" applyNumberFormat="1" applyFont="1" applyFill="1"/>
    <xf numFmtId="165" fontId="46" fillId="0" borderId="0" xfId="62" applyNumberFormat="1"/>
    <xf numFmtId="14" fontId="46" fillId="0" borderId="0" xfId="62" applyNumberFormat="1"/>
    <xf numFmtId="3" fontId="0" fillId="0" borderId="0" xfId="0" applyNumberFormat="1"/>
    <xf numFmtId="0" fontId="83" fillId="0" borderId="29" xfId="62" applyFont="1" applyBorder="1"/>
    <xf numFmtId="0" fontId="84" fillId="0" borderId="0" xfId="62" applyFont="1" applyAlignment="1">
      <alignment horizontal="center"/>
    </xf>
    <xf numFmtId="168" fontId="84" fillId="0" borderId="30" xfId="1" applyFont="1" applyBorder="1" applyAlignment="1">
      <alignment horizontal="left"/>
    </xf>
    <xf numFmtId="0" fontId="85" fillId="6" borderId="27" xfId="11" applyFont="1" applyBorder="1" applyAlignment="1">
      <alignment horizontal="center" vertical="center"/>
    </xf>
    <xf numFmtId="0" fontId="86" fillId="6" borderId="28" xfId="11" applyFont="1" applyBorder="1" applyAlignment="1">
      <alignment horizontal="center" vertical="center"/>
    </xf>
    <xf numFmtId="168" fontId="86" fillId="6" borderId="38" xfId="1" applyFont="1" applyFill="1" applyBorder="1" applyAlignment="1">
      <alignment horizontal="center" vertical="center"/>
    </xf>
    <xf numFmtId="0" fontId="57" fillId="0" borderId="29" xfId="62" applyFont="1" applyBorder="1"/>
    <xf numFmtId="0" fontId="87" fillId="0" borderId="0" xfId="62" applyFont="1"/>
    <xf numFmtId="168" fontId="87" fillId="0" borderId="38" xfId="1" applyFont="1" applyBorder="1" applyAlignment="1">
      <alignment horizontal="center"/>
    </xf>
    <xf numFmtId="0" fontId="88" fillId="0" borderId="0" xfId="62" applyFont="1" applyAlignment="1">
      <alignment horizontal="left"/>
    </xf>
    <xf numFmtId="170" fontId="88" fillId="0" borderId="39" xfId="1" applyNumberFormat="1" applyFont="1" applyBorder="1" applyAlignment="1">
      <alignment horizontal="center"/>
    </xf>
    <xf numFmtId="0" fontId="89" fillId="0" borderId="0" xfId="0" applyFont="1"/>
    <xf numFmtId="3" fontId="89" fillId="0" borderId="0" xfId="0" applyNumberFormat="1" applyFont="1"/>
    <xf numFmtId="170" fontId="83" fillId="34" borderId="39" xfId="1" applyNumberFormat="1" applyFont="1" applyFill="1" applyBorder="1" applyAlignment="1"/>
    <xf numFmtId="0" fontId="83" fillId="0" borderId="0" xfId="62" applyFont="1"/>
    <xf numFmtId="170" fontId="83" fillId="0" borderId="39" xfId="1" applyNumberFormat="1" applyFont="1" applyBorder="1" applyAlignment="1"/>
    <xf numFmtId="0" fontId="83" fillId="0" borderId="40" xfId="62" applyFont="1" applyBorder="1"/>
    <xf numFmtId="0" fontId="83" fillId="0" borderId="18" xfId="62" applyFont="1" applyBorder="1"/>
    <xf numFmtId="170" fontId="83" fillId="0" borderId="41" xfId="1" applyNumberFormat="1" applyFont="1" applyBorder="1" applyAlignment="1">
      <alignment horizontal="center"/>
    </xf>
    <xf numFmtId="43" fontId="89" fillId="0" borderId="0" xfId="0" applyNumberFormat="1" applyFont="1"/>
    <xf numFmtId="0" fontId="83" fillId="0" borderId="42" xfId="62" applyFont="1" applyBorder="1"/>
    <xf numFmtId="0" fontId="88" fillId="0" borderId="23" xfId="62" applyFont="1" applyBorder="1"/>
    <xf numFmtId="170" fontId="88" fillId="0" borderId="43" xfId="1" applyNumberFormat="1" applyFont="1" applyBorder="1" applyAlignment="1">
      <alignment horizontal="center"/>
    </xf>
    <xf numFmtId="3" fontId="89" fillId="34" borderId="0" xfId="0" applyNumberFormat="1" applyFont="1" applyFill="1"/>
    <xf numFmtId="0" fontId="83" fillId="0" borderId="0" xfId="62" applyFont="1" applyAlignment="1">
      <alignment horizontal="left"/>
    </xf>
    <xf numFmtId="170" fontId="88" fillId="38" borderId="39" xfId="1" applyNumberFormat="1" applyFont="1" applyFill="1" applyBorder="1" applyAlignment="1">
      <alignment horizontal="center"/>
    </xf>
    <xf numFmtId="0" fontId="83" fillId="0" borderId="31" xfId="62" applyFont="1" applyBorder="1"/>
    <xf numFmtId="0" fontId="83" fillId="0" borderId="32" xfId="62" applyFont="1" applyBorder="1"/>
    <xf numFmtId="170" fontId="83" fillId="0" borderId="44" xfId="1" applyNumberFormat="1" applyFont="1" applyBorder="1" applyAlignment="1"/>
    <xf numFmtId="0" fontId="88" fillId="0" borderId="31" xfId="62" applyFont="1" applyBorder="1"/>
    <xf numFmtId="0" fontId="88" fillId="0" borderId="28" xfId="62" applyFont="1" applyBorder="1" applyAlignment="1">
      <alignment horizontal="left"/>
    </xf>
    <xf numFmtId="170" fontId="88" fillId="0" borderId="19" xfId="1" applyNumberFormat="1" applyFont="1" applyBorder="1" applyAlignment="1">
      <alignment horizontal="center"/>
    </xf>
    <xf numFmtId="3" fontId="89" fillId="38" borderId="0" xfId="0" applyNumberFormat="1" applyFont="1" applyFill="1"/>
    <xf numFmtId="170" fontId="0" fillId="0" borderId="0" xfId="0" applyNumberFormat="1"/>
    <xf numFmtId="170" fontId="0" fillId="34" borderId="0" xfId="0" applyNumberFormat="1" applyFill="1"/>
    <xf numFmtId="168" fontId="90" fillId="0" borderId="0" xfId="0" applyNumberFormat="1" applyFont="1"/>
    <xf numFmtId="168" fontId="0" fillId="0" borderId="0" xfId="62" applyNumberFormat="1" applyFont="1"/>
    <xf numFmtId="4" fontId="91" fillId="0" borderId="0" xfId="0" applyNumberFormat="1" applyFont="1" applyAlignment="1">
      <alignment horizontal="right" vertical="center"/>
    </xf>
    <xf numFmtId="165" fontId="0" fillId="34" borderId="0" xfId="0" applyNumberFormat="1" applyFill="1"/>
    <xf numFmtId="170" fontId="0" fillId="34" borderId="0" xfId="1" applyNumberFormat="1" applyFont="1" applyFill="1"/>
    <xf numFmtId="176" fontId="0" fillId="0" borderId="0" xfId="0" applyNumberFormat="1"/>
    <xf numFmtId="0" fontId="0" fillId="41" borderId="0" xfId="0" applyFill="1"/>
    <xf numFmtId="0" fontId="94" fillId="33" borderId="0" xfId="0" applyFont="1" applyFill="1" applyAlignment="1">
      <alignment horizontal="left"/>
    </xf>
    <xf numFmtId="0" fontId="94" fillId="33" borderId="0" xfId="0" applyFont="1" applyFill="1" applyAlignment="1">
      <alignment horizontal="right"/>
    </xf>
    <xf numFmtId="0" fontId="95" fillId="0" borderId="0" xfId="0" applyFont="1" applyAlignment="1">
      <alignment horizontal="left" vertical="center"/>
    </xf>
    <xf numFmtId="169" fontId="95" fillId="0" borderId="0" xfId="0" applyNumberFormat="1" applyFont="1" applyAlignment="1">
      <alignment horizontal="right" vertical="center"/>
    </xf>
    <xf numFmtId="0" fontId="96" fillId="0" borderId="0" xfId="0" applyFont="1" applyAlignment="1">
      <alignment horizontal="left" indent="2"/>
    </xf>
    <xf numFmtId="169" fontId="96" fillId="0" borderId="0" xfId="0" applyNumberFormat="1" applyFont="1" applyAlignment="1">
      <alignment horizontal="right" vertical="center"/>
    </xf>
    <xf numFmtId="0" fontId="96" fillId="0" borderId="0" xfId="0" applyFont="1" applyAlignment="1">
      <alignment horizontal="left" indent="3"/>
    </xf>
    <xf numFmtId="0" fontId="95" fillId="0" borderId="0" xfId="0" applyFont="1" applyAlignment="1">
      <alignment horizontal="left" indent="1"/>
    </xf>
    <xf numFmtId="165" fontId="0" fillId="41" borderId="0" xfId="0" applyNumberFormat="1" applyFill="1"/>
    <xf numFmtId="170" fontId="0" fillId="0" borderId="0" xfId="1" applyNumberFormat="1" applyFont="1" applyBorder="1"/>
    <xf numFmtId="170" fontId="0" fillId="0" borderId="0" xfId="1" applyNumberFormat="1" applyFont="1" applyFill="1" applyBorder="1"/>
    <xf numFmtId="170" fontId="0" fillId="0" borderId="18" xfId="1" applyNumberFormat="1" applyFont="1" applyBorder="1"/>
    <xf numFmtId="170" fontId="0" fillId="0" borderId="18" xfId="1" applyNumberFormat="1" applyFont="1" applyFill="1" applyBorder="1"/>
    <xf numFmtId="170" fontId="0" fillId="0" borderId="0" xfId="1" applyNumberFormat="1" applyFont="1" applyFill="1"/>
    <xf numFmtId="170" fontId="0" fillId="0" borderId="0" xfId="1" applyNumberFormat="1" applyFont="1" applyAlignment="1">
      <alignment horizontal="right"/>
    </xf>
    <xf numFmtId="170" fontId="0" fillId="0" borderId="19" xfId="1" applyNumberFormat="1" applyFont="1" applyFill="1" applyBorder="1"/>
    <xf numFmtId="170" fontId="0" fillId="45" borderId="0" xfId="1" applyNumberFormat="1" applyFont="1" applyFill="1"/>
    <xf numFmtId="4" fontId="0" fillId="43" borderId="20" xfId="0" applyNumberFormat="1" applyFill="1" applyBorder="1"/>
    <xf numFmtId="4" fontId="98" fillId="44" borderId="0" xfId="0" applyNumberFormat="1" applyFont="1" applyFill="1"/>
    <xf numFmtId="10" fontId="0" fillId="0" borderId="20" xfId="0" applyNumberFormat="1" applyBorder="1"/>
    <xf numFmtId="168" fontId="0" fillId="0" borderId="20" xfId="1" applyFont="1" applyBorder="1"/>
    <xf numFmtId="168" fontId="0" fillId="45" borderId="20" xfId="1" applyFont="1" applyFill="1" applyBorder="1"/>
    <xf numFmtId="4" fontId="90" fillId="0" borderId="0" xfId="0" applyNumberFormat="1" applyFont="1"/>
    <xf numFmtId="37" fontId="87" fillId="0" borderId="0" xfId="185" applyNumberFormat="1" applyFont="1"/>
    <xf numFmtId="0" fontId="57" fillId="0" borderId="0" xfId="185" applyFont="1"/>
    <xf numFmtId="0" fontId="57" fillId="48" borderId="0" xfId="185" applyFont="1" applyFill="1"/>
    <xf numFmtId="0" fontId="99" fillId="0" borderId="0" xfId="185" applyFont="1" applyAlignment="1">
      <alignment horizontal="center"/>
    </xf>
    <xf numFmtId="0" fontId="87" fillId="0" borderId="0" xfId="185" applyFont="1" applyAlignment="1">
      <alignment horizontal="center"/>
    </xf>
    <xf numFmtId="37" fontId="101" fillId="0" borderId="0" xfId="185" applyNumberFormat="1" applyFont="1" applyAlignment="1">
      <alignment vertical="top"/>
    </xf>
    <xf numFmtId="0" fontId="100" fillId="49" borderId="22" xfId="185" applyFont="1" applyFill="1" applyBorder="1" applyAlignment="1">
      <alignment horizontal="center"/>
    </xf>
    <xf numFmtId="0" fontId="100" fillId="49" borderId="22" xfId="185" applyFont="1" applyFill="1" applyBorder="1" applyAlignment="1">
      <alignment horizontal="center" wrapText="1"/>
    </xf>
    <xf numFmtId="0" fontId="100" fillId="50" borderId="22" xfId="185" applyFont="1" applyFill="1" applyBorder="1" applyAlignment="1">
      <alignment horizontal="center" wrapText="1"/>
    </xf>
    <xf numFmtId="0" fontId="100" fillId="50" borderId="22" xfId="185" applyFont="1" applyFill="1" applyBorder="1" applyAlignment="1">
      <alignment horizontal="center"/>
    </xf>
    <xf numFmtId="0" fontId="102" fillId="0" borderId="0" xfId="185" applyFont="1" applyAlignment="1">
      <alignment horizontal="center"/>
    </xf>
    <xf numFmtId="37" fontId="57" fillId="51" borderId="0" xfId="185" applyNumberFormat="1" applyFont="1" applyFill="1" applyAlignment="1">
      <alignment horizontal="right"/>
    </xf>
    <xf numFmtId="37" fontId="57" fillId="0" borderId="0" xfId="185" applyNumberFormat="1" applyFont="1" applyAlignment="1">
      <alignment horizontal="right"/>
    </xf>
    <xf numFmtId="37" fontId="57" fillId="0" borderId="0" xfId="185" applyNumberFormat="1" applyFont="1"/>
    <xf numFmtId="0" fontId="57" fillId="50" borderId="0" xfId="185" applyFont="1" applyFill="1"/>
    <xf numFmtId="170" fontId="57" fillId="0" borderId="0" xfId="185" applyNumberFormat="1" applyFont="1" applyAlignment="1">
      <alignment horizontal="right"/>
    </xf>
    <xf numFmtId="170" fontId="57" fillId="50" borderId="0" xfId="185" applyNumberFormat="1" applyFont="1" applyFill="1" applyAlignment="1">
      <alignment horizontal="right"/>
    </xf>
    <xf numFmtId="0" fontId="87" fillId="50" borderId="0" xfId="185" applyFont="1" applyFill="1" applyAlignment="1">
      <alignment horizontal="center"/>
    </xf>
    <xf numFmtId="0" fontId="57" fillId="0" borderId="0" xfId="185" applyFont="1" applyAlignment="1">
      <alignment horizontal="left"/>
    </xf>
    <xf numFmtId="37" fontId="57" fillId="50" borderId="0" xfId="185" applyNumberFormat="1" applyFont="1" applyFill="1" applyAlignment="1">
      <alignment horizontal="right"/>
    </xf>
    <xf numFmtId="10" fontId="57" fillId="51" borderId="18" xfId="185" applyNumberFormat="1" applyFont="1" applyFill="1" applyBorder="1" applyAlignment="1">
      <alignment horizontal="right"/>
    </xf>
    <xf numFmtId="10" fontId="57" fillId="0" borderId="18" xfId="185" applyNumberFormat="1" applyFont="1" applyBorder="1" applyAlignment="1">
      <alignment horizontal="right"/>
    </xf>
    <xf numFmtId="170" fontId="57" fillId="0" borderId="0" xfId="185" applyNumberFormat="1" applyFont="1"/>
    <xf numFmtId="168" fontId="57" fillId="0" borderId="0" xfId="185" applyNumberFormat="1" applyFont="1"/>
    <xf numFmtId="10" fontId="57" fillId="50" borderId="18" xfId="185" applyNumberFormat="1" applyFont="1" applyFill="1" applyBorder="1" applyAlignment="1">
      <alignment horizontal="right"/>
    </xf>
    <xf numFmtId="0" fontId="59" fillId="0" borderId="0" xfId="185" applyFont="1" applyAlignment="1">
      <alignment horizontal="left"/>
    </xf>
    <xf numFmtId="170" fontId="57" fillId="0" borderId="0" xfId="186" applyNumberFormat="1" applyFont="1"/>
    <xf numFmtId="37" fontId="57" fillId="0" borderId="45" xfId="185" applyNumberFormat="1" applyFont="1" applyBorder="1" applyAlignment="1">
      <alignment horizontal="right"/>
    </xf>
    <xf numFmtId="37" fontId="57" fillId="50" borderId="45" xfId="185" applyNumberFormat="1" applyFont="1" applyFill="1" applyBorder="1" applyAlignment="1">
      <alignment horizontal="right"/>
    </xf>
    <xf numFmtId="37" fontId="103" fillId="0" borderId="0" xfId="185" applyNumberFormat="1" applyFont="1" applyAlignment="1">
      <alignment horizontal="center"/>
    </xf>
    <xf numFmtId="0" fontId="104" fillId="0" borderId="0" xfId="185" applyFont="1" applyAlignment="1">
      <alignment horizontal="left"/>
    </xf>
    <xf numFmtId="37" fontId="105" fillId="0" borderId="0" xfId="185" applyNumberFormat="1" applyFont="1" applyAlignment="1">
      <alignment horizontal="left"/>
    </xf>
    <xf numFmtId="170" fontId="103" fillId="0" borderId="0" xfId="186" applyNumberFormat="1" applyFont="1" applyFill="1" applyBorder="1" applyAlignment="1">
      <alignment horizontal="center"/>
    </xf>
    <xf numFmtId="0" fontId="106" fillId="0" borderId="0" xfId="185" applyFont="1" applyAlignment="1">
      <alignment horizontal="left"/>
    </xf>
    <xf numFmtId="9" fontId="87" fillId="0" borderId="0" xfId="187" applyFont="1" applyAlignment="1">
      <alignment horizontal="center"/>
    </xf>
    <xf numFmtId="37" fontId="87" fillId="0" borderId="0" xfId="185" applyNumberFormat="1" applyFont="1" applyAlignment="1">
      <alignment horizontal="center"/>
    </xf>
    <xf numFmtId="0" fontId="107" fillId="0" borderId="0" xfId="185" applyFont="1" applyAlignment="1">
      <alignment horizontal="left"/>
    </xf>
    <xf numFmtId="170" fontId="87" fillId="51" borderId="0" xfId="185" applyNumberFormat="1" applyFont="1" applyFill="1" applyAlignment="1">
      <alignment horizontal="center"/>
    </xf>
    <xf numFmtId="170" fontId="87" fillId="50" borderId="0" xfId="185" applyNumberFormat="1" applyFont="1" applyFill="1" applyAlignment="1">
      <alignment horizontal="center"/>
    </xf>
    <xf numFmtId="170" fontId="87" fillId="0" borderId="0" xfId="185" applyNumberFormat="1" applyFont="1" applyAlignment="1">
      <alignment horizontal="center"/>
    </xf>
    <xf numFmtId="170" fontId="87" fillId="0" borderId="0" xfId="185" applyNumberFormat="1" applyFont="1" applyAlignment="1">
      <alignment horizontal="left"/>
    </xf>
    <xf numFmtId="170" fontId="57" fillId="0" borderId="0" xfId="186" applyNumberFormat="1" applyFont="1" applyFill="1"/>
    <xf numFmtId="170" fontId="57" fillId="0" borderId="0" xfId="185" applyNumberFormat="1" applyFont="1" applyAlignment="1">
      <alignment horizontal="center"/>
    </xf>
    <xf numFmtId="0" fontId="87" fillId="0" borderId="0" xfId="185" applyFont="1" applyAlignment="1">
      <alignment horizontal="left"/>
    </xf>
    <xf numFmtId="170" fontId="57" fillId="0" borderId="46" xfId="185" applyNumberFormat="1" applyFont="1" applyBorder="1" applyAlignment="1">
      <alignment horizontal="right"/>
    </xf>
    <xf numFmtId="170" fontId="99" fillId="0" borderId="0" xfId="185" applyNumberFormat="1" applyFont="1" applyAlignment="1">
      <alignment horizontal="right"/>
    </xf>
    <xf numFmtId="168" fontId="87" fillId="0" borderId="0" xfId="186" applyFont="1" applyAlignment="1">
      <alignment horizontal="center"/>
    </xf>
    <xf numFmtId="0" fontId="87" fillId="38" borderId="0" xfId="185" applyFont="1" applyFill="1"/>
    <xf numFmtId="0" fontId="57" fillId="38" borderId="0" xfId="185" applyFont="1" applyFill="1"/>
    <xf numFmtId="0" fontId="59" fillId="38" borderId="0" xfId="185" applyFont="1" applyFill="1"/>
    <xf numFmtId="0" fontId="100" fillId="49" borderId="20" xfId="185" applyFont="1" applyFill="1" applyBorder="1" applyAlignment="1">
      <alignment horizontal="center"/>
    </xf>
    <xf numFmtId="0" fontId="104" fillId="0" borderId="0" xfId="185" applyFont="1" applyAlignment="1">
      <alignment horizontal="right"/>
    </xf>
    <xf numFmtId="170" fontId="57" fillId="52" borderId="0" xfId="185" applyNumberFormat="1" applyFont="1" applyFill="1"/>
    <xf numFmtId="170" fontId="108" fillId="0" borderId="0" xfId="185" applyNumberFormat="1" applyFont="1"/>
    <xf numFmtId="170" fontId="103" fillId="0" borderId="0" xfId="185" applyNumberFormat="1" applyFont="1" applyAlignment="1">
      <alignment horizontal="center"/>
    </xf>
    <xf numFmtId="170" fontId="57" fillId="0" borderId="18" xfId="185" applyNumberFormat="1" applyFont="1" applyBorder="1"/>
    <xf numFmtId="170" fontId="57" fillId="0" borderId="47" xfId="185" applyNumberFormat="1" applyFont="1" applyBorder="1"/>
    <xf numFmtId="170" fontId="57" fillId="52" borderId="47" xfId="185" applyNumberFormat="1" applyFont="1" applyFill="1" applyBorder="1"/>
    <xf numFmtId="0" fontId="104" fillId="0" borderId="0" xfId="185" applyFont="1"/>
    <xf numFmtId="170" fontId="104" fillId="0" borderId="0" xfId="185" applyNumberFormat="1" applyFont="1"/>
    <xf numFmtId="168" fontId="57" fillId="0" borderId="18" xfId="185" applyNumberFormat="1" applyFont="1" applyBorder="1"/>
    <xf numFmtId="0" fontId="87" fillId="0" borderId="0" xfId="185" applyFont="1"/>
    <xf numFmtId="10" fontId="57" fillId="0" borderId="46" xfId="185" applyNumberFormat="1" applyFont="1" applyBorder="1" applyAlignment="1">
      <alignment horizontal="right"/>
    </xf>
    <xf numFmtId="10" fontId="57" fillId="52" borderId="46" xfId="185" applyNumberFormat="1" applyFont="1" applyFill="1" applyBorder="1" applyAlignment="1">
      <alignment horizontal="right"/>
    </xf>
    <xf numFmtId="0" fontId="59" fillId="0" borderId="0" xfId="185" applyFont="1"/>
    <xf numFmtId="0" fontId="59" fillId="0" borderId="0" xfId="185" applyFont="1" applyAlignment="1">
      <alignment horizontal="right"/>
    </xf>
    <xf numFmtId="0" fontId="57" fillId="0" borderId="0" xfId="185" applyFont="1" applyAlignment="1">
      <alignment horizontal="right"/>
    </xf>
    <xf numFmtId="170" fontId="57" fillId="0" borderId="18" xfId="186" applyNumberFormat="1" applyFont="1" applyFill="1" applyBorder="1"/>
    <xf numFmtId="0" fontId="109" fillId="0" borderId="0" xfId="185" applyFont="1"/>
    <xf numFmtId="0" fontId="57" fillId="53" borderId="0" xfId="185" applyFont="1" applyFill="1"/>
    <xf numFmtId="170" fontId="57" fillId="53" borderId="0" xfId="185" applyNumberFormat="1" applyFont="1" applyFill="1" applyAlignment="1">
      <alignment horizontal="right"/>
    </xf>
    <xf numFmtId="170" fontId="57" fillId="53" borderId="0" xfId="185" applyNumberFormat="1" applyFont="1" applyFill="1"/>
    <xf numFmtId="168" fontId="0" fillId="0" borderId="0" xfId="186" applyFont="1"/>
    <xf numFmtId="0" fontId="46" fillId="0" borderId="0" xfId="0" applyFont="1" applyAlignment="1">
      <alignment horizontal="center"/>
    </xf>
    <xf numFmtId="9" fontId="0" fillId="0" borderId="0" xfId="187" applyFont="1"/>
    <xf numFmtId="168" fontId="0" fillId="34" borderId="0" xfId="186" applyFont="1" applyFill="1"/>
    <xf numFmtId="168" fontId="0" fillId="41" borderId="0" xfId="186" applyFont="1" applyFill="1"/>
    <xf numFmtId="168" fontId="0" fillId="0" borderId="0" xfId="186" applyFont="1" applyAlignment="1">
      <alignment horizontal="right"/>
    </xf>
    <xf numFmtId="168" fontId="0" fillId="0" borderId="46" xfId="186" applyFont="1" applyBorder="1"/>
    <xf numFmtId="168" fontId="0" fillId="0" borderId="46" xfId="0" applyNumberFormat="1" applyBorder="1"/>
    <xf numFmtId="0" fontId="46" fillId="0" borderId="0" xfId="0" applyFont="1"/>
    <xf numFmtId="168" fontId="0" fillId="0" borderId="48" xfId="0" applyNumberFormat="1" applyBorder="1"/>
    <xf numFmtId="0" fontId="46" fillId="36" borderId="0" xfId="0" applyFont="1" applyFill="1"/>
    <xf numFmtId="168" fontId="0" fillId="36" borderId="0" xfId="0" applyNumberFormat="1" applyFill="1"/>
    <xf numFmtId="168" fontId="0" fillId="36" borderId="18" xfId="0" applyNumberFormat="1" applyFill="1" applyBorder="1"/>
    <xf numFmtId="0" fontId="110" fillId="0" borderId="0" xfId="0" applyFont="1"/>
    <xf numFmtId="0" fontId="35" fillId="0" borderId="0" xfId="0" applyFont="1" applyAlignment="1">
      <alignment vertical="top"/>
    </xf>
    <xf numFmtId="0" fontId="35" fillId="0" borderId="0" xfId="0" applyFont="1" applyAlignment="1">
      <alignment horizontal="center"/>
    </xf>
    <xf numFmtId="0" fontId="35" fillId="0" borderId="0" xfId="0" applyFont="1" applyAlignment="1">
      <alignment horizontal="left"/>
    </xf>
    <xf numFmtId="0" fontId="112" fillId="0" borderId="49" xfId="0" applyFont="1" applyBorder="1"/>
    <xf numFmtId="0" fontId="35" fillId="0" borderId="0" xfId="0" applyFont="1" applyAlignment="1">
      <alignment vertical="center"/>
    </xf>
    <xf numFmtId="4" fontId="0" fillId="0" borderId="0" xfId="0" applyNumberFormat="1" applyAlignment="1">
      <alignment horizontal="center"/>
    </xf>
    <xf numFmtId="4" fontId="0" fillId="0" borderId="0" xfId="0" applyNumberFormat="1" applyAlignment="1">
      <alignment horizontal="right"/>
    </xf>
    <xf numFmtId="0" fontId="113" fillId="0" borderId="0" xfId="0" applyFont="1"/>
    <xf numFmtId="0" fontId="107" fillId="0" borderId="0" xfId="0" applyFont="1"/>
    <xf numFmtId="0" fontId="116" fillId="0" borderId="49" xfId="0" applyFont="1" applyBorder="1"/>
    <xf numFmtId="0" fontId="116" fillId="0" borderId="0" xfId="0" applyFont="1"/>
    <xf numFmtId="0" fontId="0" fillId="0" borderId="50" xfId="0" applyBorder="1"/>
    <xf numFmtId="0" fontId="0" fillId="0" borderId="51" xfId="0" applyBorder="1"/>
    <xf numFmtId="0" fontId="0" fillId="0" borderId="52" xfId="0" applyBorder="1"/>
    <xf numFmtId="0" fontId="0" fillId="0" borderId="53" xfId="0" applyBorder="1"/>
    <xf numFmtId="0" fontId="35" fillId="54" borderId="0" xfId="0" applyFont="1" applyFill="1"/>
    <xf numFmtId="0" fontId="35" fillId="0" borderId="18" xfId="0" applyFont="1" applyBorder="1" applyAlignment="1">
      <alignment horizontal="right"/>
    </xf>
    <xf numFmtId="0" fontId="117" fillId="0" borderId="0" xfId="0" applyFont="1" applyAlignment="1">
      <alignment horizontal="right"/>
    </xf>
    <xf numFmtId="0" fontId="35" fillId="0" borderId="0" xfId="0" applyFont="1" applyAlignment="1">
      <alignment horizontal="right"/>
    </xf>
    <xf numFmtId="0" fontId="0" fillId="0" borderId="49" xfId="0" applyBorder="1"/>
    <xf numFmtId="4" fontId="35" fillId="0" borderId="0" xfId="0" applyNumberFormat="1" applyFont="1"/>
    <xf numFmtId="0" fontId="0" fillId="0" borderId="54" xfId="0" applyBorder="1"/>
    <xf numFmtId="0" fontId="35" fillId="0" borderId="55" xfId="0" applyFont="1" applyBorder="1"/>
    <xf numFmtId="4" fontId="35" fillId="0" borderId="55" xfId="0" applyNumberFormat="1" applyFont="1" applyBorder="1"/>
    <xf numFmtId="0" fontId="0" fillId="0" borderId="55" xfId="0" applyBorder="1"/>
    <xf numFmtId="0" fontId="0" fillId="0" borderId="56" xfId="0" applyBorder="1"/>
    <xf numFmtId="0" fontId="0" fillId="55" borderId="0" xfId="0" applyFill="1"/>
    <xf numFmtId="0" fontId="32" fillId="56" borderId="0" xfId="0" applyFont="1" applyFill="1" applyAlignment="1">
      <alignment horizontal="center"/>
    </xf>
    <xf numFmtId="0" fontId="32" fillId="56" borderId="0" xfId="0" applyFont="1" applyFill="1"/>
    <xf numFmtId="0" fontId="118" fillId="57" borderId="18" xfId="0" applyFont="1" applyFill="1" applyBorder="1" applyAlignment="1">
      <alignment horizontal="left"/>
    </xf>
    <xf numFmtId="0" fontId="118" fillId="57" borderId="18" xfId="0" applyFont="1" applyFill="1" applyBorder="1"/>
    <xf numFmtId="0" fontId="119" fillId="0" borderId="0" xfId="0" applyFont="1"/>
    <xf numFmtId="0" fontId="32" fillId="0" borderId="0" xfId="0" applyFont="1" applyAlignment="1">
      <alignment horizontal="center"/>
    </xf>
    <xf numFmtId="0" fontId="32" fillId="0" borderId="0" xfId="0" applyFont="1"/>
    <xf numFmtId="0" fontId="0" fillId="55" borderId="57" xfId="0" applyFill="1" applyBorder="1"/>
    <xf numFmtId="0" fontId="0" fillId="55" borderId="58" xfId="0" applyFill="1" applyBorder="1"/>
    <xf numFmtId="0" fontId="35" fillId="54" borderId="0" xfId="0" applyFont="1" applyFill="1" applyAlignment="1">
      <alignment horizontal="right"/>
    </xf>
    <xf numFmtId="0" fontId="35" fillId="55" borderId="59" xfId="0" applyFont="1" applyFill="1" applyBorder="1" applyAlignment="1">
      <alignment horizontal="right"/>
    </xf>
    <xf numFmtId="0" fontId="0" fillId="55" borderId="60" xfId="0" applyFill="1" applyBorder="1"/>
    <xf numFmtId="0" fontId="118" fillId="57" borderId="0" xfId="0" applyFont="1" applyFill="1" applyAlignment="1">
      <alignment horizontal="left"/>
    </xf>
    <xf numFmtId="0" fontId="118" fillId="57" borderId="0" xfId="0" applyFont="1" applyFill="1"/>
    <xf numFmtId="4" fontId="0" fillId="55" borderId="33" xfId="0" applyNumberFormat="1" applyFill="1" applyBorder="1"/>
    <xf numFmtId="0" fontId="0" fillId="55" borderId="17" xfId="0" applyFill="1" applyBorder="1"/>
    <xf numFmtId="0" fontId="0" fillId="55" borderId="33" xfId="0" applyFill="1" applyBorder="1"/>
    <xf numFmtId="0" fontId="118" fillId="0" borderId="0" xfId="0" applyFont="1"/>
    <xf numFmtId="168" fontId="0" fillId="55" borderId="33" xfId="186" applyFont="1" applyFill="1" applyBorder="1"/>
    <xf numFmtId="9" fontId="0" fillId="55" borderId="33" xfId="187" applyFont="1" applyFill="1" applyBorder="1"/>
    <xf numFmtId="2" fontId="0" fillId="55" borderId="33" xfId="187" applyNumberFormat="1" applyFont="1" applyFill="1" applyBorder="1"/>
    <xf numFmtId="2" fontId="0" fillId="55" borderId="17" xfId="0" applyNumberFormat="1" applyFill="1" applyBorder="1"/>
    <xf numFmtId="2" fontId="0" fillId="55" borderId="33" xfId="0" applyNumberFormat="1" applyFill="1" applyBorder="1"/>
    <xf numFmtId="0" fontId="121" fillId="0" borderId="0" xfId="0" applyFont="1"/>
    <xf numFmtId="4" fontId="0" fillId="0" borderId="18" xfId="0" applyNumberFormat="1" applyBorder="1"/>
    <xf numFmtId="2" fontId="119" fillId="55" borderId="17" xfId="0" applyNumberFormat="1" applyFont="1" applyFill="1" applyBorder="1"/>
    <xf numFmtId="2" fontId="119" fillId="55" borderId="33" xfId="0" applyNumberFormat="1" applyFont="1" applyFill="1" applyBorder="1"/>
    <xf numFmtId="2" fontId="0" fillId="55" borderId="17" xfId="187" applyNumberFormat="1" applyFont="1" applyFill="1" applyBorder="1"/>
    <xf numFmtId="0" fontId="35" fillId="54" borderId="57" xfId="0" applyFont="1" applyFill="1" applyBorder="1"/>
    <xf numFmtId="0" fontId="35" fillId="54" borderId="47" xfId="0" applyFont="1" applyFill="1" applyBorder="1"/>
    <xf numFmtId="4" fontId="35" fillId="54" borderId="47" xfId="0" applyNumberFormat="1" applyFont="1" applyFill="1" applyBorder="1"/>
    <xf numFmtId="4" fontId="35" fillId="55" borderId="33" xfId="0" applyNumberFormat="1" applyFont="1" applyFill="1" applyBorder="1"/>
    <xf numFmtId="0" fontId="122" fillId="0" borderId="59" xfId="0" applyFont="1" applyBorder="1" applyAlignment="1">
      <alignment horizontal="left"/>
    </xf>
    <xf numFmtId="0" fontId="122" fillId="0" borderId="18" xfId="0" applyFont="1" applyBorder="1" applyAlignment="1">
      <alignment horizontal="left"/>
    </xf>
    <xf numFmtId="0" fontId="123" fillId="0" borderId="18" xfId="0" applyFont="1" applyBorder="1"/>
    <xf numFmtId="4" fontId="111" fillId="0" borderId="18" xfId="0" applyNumberFormat="1" applyFont="1" applyBorder="1"/>
    <xf numFmtId="168" fontId="12" fillId="55" borderId="21" xfId="186" applyFont="1" applyFill="1" applyBorder="1"/>
    <xf numFmtId="168" fontId="0" fillId="55" borderId="22" xfId="186" applyFont="1" applyFill="1" applyBorder="1"/>
    <xf numFmtId="168" fontId="0" fillId="55" borderId="21" xfId="186" applyFont="1" applyFill="1" applyBorder="1"/>
    <xf numFmtId="168" fontId="0" fillId="0" borderId="22" xfId="186" applyFont="1" applyBorder="1"/>
    <xf numFmtId="0" fontId="35" fillId="55" borderId="33" xfId="0" applyFont="1" applyFill="1" applyBorder="1" applyAlignment="1">
      <alignment horizontal="right"/>
    </xf>
    <xf numFmtId="4" fontId="35" fillId="55" borderId="59" xfId="0" applyNumberFormat="1" applyFont="1" applyFill="1" applyBorder="1"/>
    <xf numFmtId="0" fontId="0" fillId="55" borderId="59" xfId="0" applyFill="1" applyBorder="1"/>
    <xf numFmtId="4" fontId="111" fillId="0" borderId="60" xfId="0" applyNumberFormat="1" applyFont="1" applyBorder="1"/>
    <xf numFmtId="168" fontId="0" fillId="55" borderId="23" xfId="186" applyFont="1" applyFill="1" applyBorder="1"/>
    <xf numFmtId="168" fontId="0" fillId="55" borderId="20" xfId="186" applyFont="1" applyFill="1" applyBorder="1"/>
    <xf numFmtId="0" fontId="124" fillId="0" borderId="21" xfId="0" applyFont="1" applyBorder="1"/>
    <xf numFmtId="168" fontId="124" fillId="0" borderId="23" xfId="0" applyNumberFormat="1" applyFont="1" applyBorder="1"/>
    <xf numFmtId="168" fontId="124" fillId="0" borderId="20" xfId="0" applyNumberFormat="1" applyFont="1" applyBorder="1"/>
    <xf numFmtId="0" fontId="125" fillId="0" borderId="0" xfId="0" applyFont="1"/>
    <xf numFmtId="177" fontId="0" fillId="0" borderId="33" xfId="0" applyNumberFormat="1" applyBorder="1"/>
    <xf numFmtId="177" fontId="0" fillId="0" borderId="17" xfId="0" applyNumberFormat="1" applyBorder="1"/>
    <xf numFmtId="177" fontId="0" fillId="0" borderId="59" xfId="0" applyNumberFormat="1" applyBorder="1"/>
    <xf numFmtId="177" fontId="0" fillId="0" borderId="60" xfId="0" applyNumberFormat="1" applyBorder="1"/>
    <xf numFmtId="177" fontId="0" fillId="0" borderId="0" xfId="0" applyNumberFormat="1"/>
    <xf numFmtId="0" fontId="95" fillId="0" borderId="12" xfId="0" applyFont="1" applyBorder="1" applyAlignment="1">
      <alignment horizontal="left" indent="1"/>
    </xf>
    <xf numFmtId="0" fontId="95" fillId="0" borderId="11" xfId="0" applyFont="1" applyBorder="1" applyAlignment="1">
      <alignment horizontal="left" vertical="center"/>
    </xf>
    <xf numFmtId="0" fontId="95" fillId="0" borderId="0" xfId="0" applyFont="1" applyAlignment="1">
      <alignment horizontal="left" indent="2"/>
    </xf>
    <xf numFmtId="0" fontId="95" fillId="0" borderId="12" xfId="0" applyFont="1" applyBorder="1" applyAlignment="1">
      <alignment horizontal="left" indent="2"/>
    </xf>
    <xf numFmtId="165" fontId="87" fillId="0" borderId="0" xfId="185" applyNumberFormat="1" applyFont="1" applyAlignment="1">
      <alignment horizontal="center"/>
    </xf>
    <xf numFmtId="0" fontId="95" fillId="0" borderId="0" xfId="0" applyFont="1" applyAlignment="1">
      <alignment horizontal="left" indent="3"/>
    </xf>
    <xf numFmtId="0" fontId="96" fillId="0" borderId="0" xfId="0" applyFont="1" applyAlignment="1">
      <alignment horizontal="left" indent="4"/>
    </xf>
    <xf numFmtId="0" fontId="95" fillId="0" borderId="12" xfId="0" applyFont="1" applyBorder="1" applyAlignment="1">
      <alignment horizontal="left" indent="3"/>
    </xf>
    <xf numFmtId="169" fontId="95" fillId="0" borderId="12" xfId="0" applyNumberFormat="1" applyFont="1" applyBorder="1" applyAlignment="1">
      <alignment horizontal="right" vertical="center"/>
    </xf>
    <xf numFmtId="0" fontId="95" fillId="0" borderId="0" xfId="0" applyFont="1" applyAlignment="1">
      <alignment horizontal="left" indent="4"/>
    </xf>
    <xf numFmtId="0" fontId="96" fillId="0" borderId="0" xfId="0" applyFont="1" applyAlignment="1">
      <alignment horizontal="left" indent="5"/>
    </xf>
    <xf numFmtId="0" fontId="95" fillId="0" borderId="12" xfId="0" applyFont="1" applyBorder="1" applyAlignment="1">
      <alignment horizontal="left" indent="4"/>
    </xf>
    <xf numFmtId="0" fontId="95" fillId="0" borderId="11" xfId="0" applyFont="1" applyBorder="1" applyAlignment="1">
      <alignment horizontal="left" indent="1"/>
    </xf>
    <xf numFmtId="169" fontId="95" fillId="0" borderId="11" xfId="0" applyNumberFormat="1" applyFont="1" applyBorder="1" applyAlignment="1">
      <alignment horizontal="right" vertical="center"/>
    </xf>
    <xf numFmtId="0" fontId="96" fillId="41" borderId="0" xfId="0" applyFont="1" applyFill="1" applyAlignment="1">
      <alignment horizontal="left" indent="4"/>
    </xf>
    <xf numFmtId="169" fontId="96" fillId="41" borderId="0" xfId="0" applyNumberFormat="1" applyFont="1" applyFill="1" applyAlignment="1">
      <alignment horizontal="right" vertical="center"/>
    </xf>
    <xf numFmtId="170" fontId="0" fillId="41" borderId="0" xfId="1" applyNumberFormat="1" applyFont="1" applyFill="1"/>
    <xf numFmtId="170" fontId="0" fillId="41" borderId="0" xfId="0" applyNumberFormat="1" applyFill="1"/>
    <xf numFmtId="0" fontId="126" fillId="0" borderId="0" xfId="0" applyFont="1"/>
    <xf numFmtId="168" fontId="127" fillId="0" borderId="0" xfId="1" applyFont="1"/>
    <xf numFmtId="37" fontId="129" fillId="0" borderId="0" xfId="188" applyNumberFormat="1" applyFont="1"/>
    <xf numFmtId="37" fontId="130" fillId="0" borderId="0" xfId="188" applyNumberFormat="1" applyFont="1" applyAlignment="1">
      <alignment horizontal="center"/>
    </xf>
    <xf numFmtId="37" fontId="100" fillId="49" borderId="44" xfId="188" applyNumberFormat="1" applyFont="1" applyFill="1" applyBorder="1" applyAlignment="1">
      <alignment horizontal="center"/>
    </xf>
    <xf numFmtId="0" fontId="128" fillId="0" borderId="0" xfId="188"/>
    <xf numFmtId="37" fontId="100" fillId="0" borderId="0" xfId="188" applyNumberFormat="1" applyFont="1" applyAlignment="1">
      <alignment horizontal="center"/>
    </xf>
    <xf numFmtId="37" fontId="129" fillId="0" borderId="0" xfId="188" applyNumberFormat="1" applyFont="1" applyAlignment="1">
      <alignment horizontal="left"/>
    </xf>
    <xf numFmtId="37" fontId="99" fillId="0" borderId="0" xfId="188" applyNumberFormat="1" applyFont="1" applyAlignment="1">
      <alignment horizontal="center"/>
    </xf>
    <xf numFmtId="170" fontId="129" fillId="0" borderId="0" xfId="188" applyNumberFormat="1" applyFont="1"/>
    <xf numFmtId="168" fontId="129" fillId="0" borderId="0" xfId="189" applyFont="1"/>
    <xf numFmtId="0" fontId="57" fillId="0" borderId="0" xfId="188" applyFont="1"/>
    <xf numFmtId="37" fontId="131" fillId="0" borderId="0" xfId="188" applyNumberFormat="1" applyFont="1" applyAlignment="1">
      <alignment horizontal="left"/>
    </xf>
    <xf numFmtId="170" fontId="129" fillId="0" borderId="47" xfId="188" applyNumberFormat="1" applyFont="1" applyBorder="1"/>
    <xf numFmtId="37" fontId="103" fillId="0" borderId="0" xfId="188" applyNumberFormat="1" applyFont="1" applyAlignment="1">
      <alignment horizontal="center"/>
    </xf>
    <xf numFmtId="0" fontId="57" fillId="0" borderId="33" xfId="188" applyFont="1" applyBorder="1" applyAlignment="1">
      <alignment horizontal="left" indent="2"/>
    </xf>
    <xf numFmtId="37" fontId="99" fillId="50" borderId="0" xfId="188" applyNumberFormat="1" applyFont="1" applyFill="1" applyAlignment="1">
      <alignment horizontal="center"/>
    </xf>
    <xf numFmtId="170" fontId="129" fillId="50" borderId="0" xfId="188" applyNumberFormat="1" applyFont="1" applyFill="1"/>
    <xf numFmtId="166" fontId="129" fillId="0" borderId="47" xfId="188" applyNumberFormat="1" applyFont="1" applyBorder="1"/>
    <xf numFmtId="0" fontId="57" fillId="0" borderId="0" xfId="188" applyFont="1" applyAlignment="1">
      <alignment horizontal="left" indent="2"/>
    </xf>
    <xf numFmtId="0" fontId="57" fillId="50" borderId="0" xfId="188" applyFont="1" applyFill="1" applyAlignment="1">
      <alignment horizontal="left" indent="2"/>
    </xf>
    <xf numFmtId="170" fontId="129" fillId="55" borderId="0" xfId="188" applyNumberFormat="1" applyFont="1" applyFill="1"/>
    <xf numFmtId="166" fontId="129" fillId="55" borderId="47" xfId="188" applyNumberFormat="1" applyFont="1" applyFill="1" applyBorder="1"/>
    <xf numFmtId="37" fontId="129" fillId="55" borderId="0" xfId="188" applyNumberFormat="1" applyFont="1" applyFill="1"/>
    <xf numFmtId="37" fontId="129" fillId="55" borderId="23" xfId="188" applyNumberFormat="1" applyFont="1" applyFill="1" applyBorder="1"/>
    <xf numFmtId="10" fontId="129" fillId="55" borderId="0" xfId="188" applyNumberFormat="1" applyFont="1" applyFill="1"/>
    <xf numFmtId="170" fontId="128" fillId="0" borderId="0" xfId="188" applyNumberFormat="1"/>
    <xf numFmtId="170" fontId="0" fillId="0" borderId="18" xfId="189" applyNumberFormat="1" applyFont="1" applyBorder="1"/>
    <xf numFmtId="37" fontId="129" fillId="55" borderId="61" xfId="188" applyNumberFormat="1" applyFont="1" applyFill="1" applyBorder="1"/>
    <xf numFmtId="9" fontId="128" fillId="0" borderId="0" xfId="188" applyNumberFormat="1"/>
    <xf numFmtId="168" fontId="129" fillId="55" borderId="0" xfId="188" applyNumberFormat="1" applyFont="1" applyFill="1"/>
    <xf numFmtId="37" fontId="57" fillId="0" borderId="62" xfId="188" applyNumberFormat="1" applyFont="1" applyBorder="1"/>
    <xf numFmtId="10" fontId="129" fillId="0" borderId="63" xfId="188" applyNumberFormat="1" applyFont="1" applyBorder="1"/>
    <xf numFmtId="37" fontId="129" fillId="0" borderId="18" xfId="188" applyNumberFormat="1" applyFont="1" applyBorder="1"/>
    <xf numFmtId="37" fontId="131" fillId="0" borderId="64" xfId="188" applyNumberFormat="1" applyFont="1" applyBorder="1"/>
    <xf numFmtId="0" fontId="44" fillId="0" borderId="0" xfId="188" applyFont="1"/>
    <xf numFmtId="170" fontId="129" fillId="43" borderId="0" xfId="188" applyNumberFormat="1" applyFont="1" applyFill="1"/>
    <xf numFmtId="168" fontId="0" fillId="0" borderId="18" xfId="1" applyFont="1" applyFill="1" applyBorder="1"/>
    <xf numFmtId="170" fontId="0" fillId="0" borderId="0" xfId="1" applyNumberFormat="1" applyFont="1" applyFill="1" applyAlignment="1">
      <alignment horizontal="right"/>
    </xf>
    <xf numFmtId="0" fontId="0" fillId="58" borderId="0" xfId="0" applyFill="1"/>
    <xf numFmtId="0" fontId="0" fillId="0" borderId="0" xfId="0" applyAlignment="1">
      <alignment horizontal="left"/>
    </xf>
    <xf numFmtId="0" fontId="132" fillId="0" borderId="0" xfId="0" applyFont="1" applyAlignment="1">
      <alignment horizontal="left" vertical="center"/>
    </xf>
    <xf numFmtId="0" fontId="132" fillId="0" borderId="0" xfId="0" applyFont="1" applyAlignment="1">
      <alignment horizontal="left" indent="1"/>
    </xf>
    <xf numFmtId="0" fontId="133" fillId="0" borderId="0" xfId="0" applyFont="1" applyAlignment="1">
      <alignment horizontal="left" indent="2"/>
    </xf>
    <xf numFmtId="0" fontId="134" fillId="33" borderId="0" xfId="0" applyFont="1" applyFill="1" applyAlignment="1">
      <alignment horizontal="left"/>
    </xf>
    <xf numFmtId="0" fontId="134" fillId="33" borderId="0" xfId="0" applyFont="1" applyFill="1" applyAlignment="1">
      <alignment horizontal="right"/>
    </xf>
    <xf numFmtId="0" fontId="133" fillId="0" borderId="0" xfId="0" applyFont="1" applyAlignment="1">
      <alignment horizontal="left" vertical="center"/>
    </xf>
    <xf numFmtId="0" fontId="39" fillId="33" borderId="0" xfId="0" applyFont="1" applyFill="1" applyAlignment="1">
      <alignment horizontal="center"/>
    </xf>
    <xf numFmtId="0" fontId="134" fillId="33" borderId="0" xfId="0" applyFont="1" applyFill="1" applyAlignment="1">
      <alignment horizontal="center"/>
    </xf>
    <xf numFmtId="0" fontId="134" fillId="38" borderId="0" xfId="0" applyFont="1" applyFill="1" applyAlignment="1">
      <alignment horizontal="center"/>
    </xf>
    <xf numFmtId="0" fontId="0" fillId="38" borderId="0" xfId="0" applyFill="1" applyAlignment="1">
      <alignment horizontal="center"/>
    </xf>
    <xf numFmtId="14" fontId="0" fillId="0" borderId="0" xfId="0" applyNumberFormat="1" applyAlignment="1">
      <alignment vertical="top"/>
    </xf>
    <xf numFmtId="179" fontId="0" fillId="0" borderId="0" xfId="1" applyNumberFormat="1" applyFont="1" applyFill="1"/>
    <xf numFmtId="179" fontId="0" fillId="0" borderId="0" xfId="1" applyNumberFormat="1" applyFont="1"/>
    <xf numFmtId="179" fontId="0" fillId="0" borderId="0" xfId="0" applyNumberFormat="1"/>
    <xf numFmtId="0" fontId="0" fillId="59" borderId="0" xfId="0" applyFill="1"/>
    <xf numFmtId="170" fontId="0" fillId="59" borderId="0" xfId="0" applyNumberFormat="1" applyFill="1"/>
    <xf numFmtId="179" fontId="0" fillId="0" borderId="46" xfId="0" applyNumberFormat="1" applyBorder="1"/>
    <xf numFmtId="179" fontId="0" fillId="0" borderId="46" xfId="1" applyNumberFormat="1" applyFont="1" applyBorder="1"/>
    <xf numFmtId="170" fontId="0" fillId="0" borderId="18" xfId="0" applyNumberFormat="1" applyBorder="1"/>
    <xf numFmtId="0" fontId="127" fillId="0" borderId="0" xfId="0" applyFont="1"/>
    <xf numFmtId="179" fontId="0" fillId="0" borderId="18" xfId="1" applyNumberFormat="1" applyFont="1" applyBorder="1"/>
    <xf numFmtId="179" fontId="0" fillId="0" borderId="0" xfId="1" applyNumberFormat="1" applyFont="1" applyFill="1" applyBorder="1"/>
    <xf numFmtId="174" fontId="133" fillId="0" borderId="0" xfId="0" applyNumberFormat="1" applyFont="1" applyAlignment="1">
      <alignment horizontal="right" vertical="center"/>
    </xf>
    <xf numFmtId="0" fontId="133" fillId="0" borderId="0" xfId="0" applyFont="1" applyAlignment="1">
      <alignment horizontal="left" indent="1"/>
    </xf>
    <xf numFmtId="0" fontId="132" fillId="0" borderId="10" xfId="0" applyFont="1" applyBorder="1" applyAlignment="1">
      <alignment horizontal="left" vertical="center"/>
    </xf>
    <xf numFmtId="174" fontId="132" fillId="0" borderId="10" xfId="0" applyNumberFormat="1" applyFont="1" applyBorder="1" applyAlignment="1">
      <alignment horizontal="right" vertical="center"/>
    </xf>
    <xf numFmtId="0" fontId="132" fillId="0" borderId="10" xfId="0" applyFont="1" applyBorder="1" applyAlignment="1">
      <alignment horizontal="left" indent="1"/>
    </xf>
    <xf numFmtId="0" fontId="133" fillId="34" borderId="0" xfId="0" applyFont="1" applyFill="1" applyAlignment="1">
      <alignment horizontal="left" indent="1"/>
    </xf>
    <xf numFmtId="174" fontId="133" fillId="34" borderId="0" xfId="0" applyNumberFormat="1" applyFont="1" applyFill="1" applyAlignment="1">
      <alignment horizontal="right" vertical="center"/>
    </xf>
    <xf numFmtId="0" fontId="134" fillId="0" borderId="0" xfId="0" applyFont="1" applyAlignment="1">
      <alignment horizontal="right"/>
    </xf>
    <xf numFmtId="0" fontId="138" fillId="0" borderId="0" xfId="0" applyFont="1" applyAlignment="1">
      <alignment horizontal="left" vertical="center"/>
    </xf>
    <xf numFmtId="0" fontId="142" fillId="0" borderId="0" xfId="249" applyFont="1" applyAlignment="1">
      <alignment horizontal="left" vertical="center"/>
    </xf>
    <xf numFmtId="14" fontId="142" fillId="0" borderId="0" xfId="249" applyNumberFormat="1" applyFont="1" applyAlignment="1">
      <alignment horizontal="left" vertical="center"/>
    </xf>
    <xf numFmtId="165" fontId="142" fillId="0" borderId="0" xfId="249" applyNumberFormat="1" applyFont="1" applyAlignment="1">
      <alignment horizontal="right" vertical="center"/>
    </xf>
    <xf numFmtId="4" fontId="142" fillId="0" borderId="0" xfId="249" applyNumberFormat="1" applyFont="1" applyAlignment="1">
      <alignment horizontal="right" vertical="center"/>
    </xf>
    <xf numFmtId="0" fontId="141" fillId="0" borderId="0" xfId="249" applyFont="1" applyAlignment="1">
      <alignment horizontal="left" indent="1"/>
    </xf>
    <xf numFmtId="0" fontId="0" fillId="0" borderId="29" xfId="0" applyBorder="1"/>
    <xf numFmtId="0" fontId="0" fillId="0" borderId="30" xfId="0" applyBorder="1"/>
    <xf numFmtId="168" fontId="0" fillId="0" borderId="30" xfId="1" applyFont="1" applyFill="1" applyBorder="1"/>
    <xf numFmtId="168" fontId="0" fillId="0" borderId="29" xfId="0" applyNumberFormat="1" applyBorder="1"/>
    <xf numFmtId="0" fontId="45" fillId="0" borderId="29" xfId="0" applyFont="1" applyBorder="1" applyAlignment="1">
      <alignment horizontal="right"/>
    </xf>
    <xf numFmtId="168" fontId="0" fillId="0" borderId="30" xfId="1" applyFont="1" applyBorder="1"/>
    <xf numFmtId="39" fontId="0" fillId="0" borderId="0" xfId="0" applyNumberFormat="1"/>
    <xf numFmtId="168" fontId="0" fillId="0" borderId="30" xfId="0" applyNumberFormat="1" applyBorder="1"/>
    <xf numFmtId="0" fontId="0" fillId="0" borderId="31" xfId="0" applyBorder="1"/>
    <xf numFmtId="0" fontId="0" fillId="0" borderId="32" xfId="0" applyBorder="1"/>
    <xf numFmtId="0" fontId="0" fillId="0" borderId="65" xfId="0" applyBorder="1"/>
    <xf numFmtId="168" fontId="0" fillId="0" borderId="29" xfId="1" applyFont="1" applyFill="1" applyBorder="1"/>
    <xf numFmtId="168" fontId="0" fillId="0" borderId="29" xfId="1" applyFont="1" applyBorder="1"/>
    <xf numFmtId="170" fontId="0" fillId="0" borderId="29" xfId="1" applyNumberFormat="1" applyFont="1" applyFill="1" applyBorder="1"/>
    <xf numFmtId="170" fontId="0" fillId="0" borderId="29" xfId="1" applyNumberFormat="1" applyFont="1" applyBorder="1"/>
    <xf numFmtId="0" fontId="0" fillId="0" borderId="38" xfId="0" applyBorder="1" applyAlignment="1">
      <alignment horizontal="center"/>
    </xf>
    <xf numFmtId="0" fontId="41" fillId="0" borderId="39" xfId="0" applyFont="1" applyBorder="1" applyAlignment="1">
      <alignment horizontal="center"/>
    </xf>
    <xf numFmtId="168" fontId="0" fillId="0" borderId="39" xfId="1" applyFont="1" applyFill="1" applyBorder="1"/>
    <xf numFmtId="0" fontId="0" fillId="0" borderId="39" xfId="0" applyBorder="1" applyAlignment="1">
      <alignment horizontal="center"/>
    </xf>
    <xf numFmtId="170" fontId="0" fillId="0" borderId="39" xfId="0" applyNumberFormat="1" applyBorder="1" applyAlignment="1">
      <alignment horizontal="center"/>
    </xf>
    <xf numFmtId="168" fontId="0" fillId="0" borderId="39" xfId="1" applyFont="1" applyBorder="1" applyAlignment="1">
      <alignment horizontal="center"/>
    </xf>
    <xf numFmtId="168" fontId="0" fillId="0" borderId="39" xfId="1" applyFont="1" applyFill="1" applyBorder="1" applyAlignment="1">
      <alignment horizontal="center"/>
    </xf>
    <xf numFmtId="168" fontId="0" fillId="0" borderId="39" xfId="0" applyNumberFormat="1" applyBorder="1" applyAlignment="1">
      <alignment horizontal="center"/>
    </xf>
    <xf numFmtId="0" fontId="0" fillId="0" borderId="44" xfId="0" applyBorder="1" applyAlignment="1">
      <alignment horizontal="center"/>
    </xf>
    <xf numFmtId="0" fontId="40" fillId="61" borderId="20" xfId="0" applyFont="1" applyFill="1" applyBorder="1" applyAlignment="1">
      <alignment horizontal="left" indent="3"/>
    </xf>
    <xf numFmtId="0" fontId="40" fillId="61" borderId="20" xfId="0" applyFont="1" applyFill="1" applyBorder="1" applyAlignment="1">
      <alignment horizontal="left" indent="2"/>
    </xf>
    <xf numFmtId="0" fontId="45" fillId="61" borderId="20" xfId="0" applyFont="1" applyFill="1" applyBorder="1" applyAlignment="1">
      <alignment horizontal="center"/>
    </xf>
    <xf numFmtId="0" fontId="45" fillId="61" borderId="20" xfId="0" applyFont="1" applyFill="1" applyBorder="1"/>
    <xf numFmtId="0" fontId="143" fillId="60" borderId="29" xfId="0" applyFont="1" applyFill="1" applyBorder="1" applyAlignment="1">
      <alignment horizontal="right"/>
    </xf>
    <xf numFmtId="0" fontId="0" fillId="37" borderId="27" xfId="0" applyFill="1" applyBorder="1"/>
    <xf numFmtId="168" fontId="0" fillId="37" borderId="28" xfId="1" applyFont="1" applyFill="1" applyBorder="1"/>
    <xf numFmtId="168" fontId="0" fillId="37" borderId="27" xfId="1" applyFont="1" applyFill="1" applyBorder="1"/>
    <xf numFmtId="168" fontId="0" fillId="37" borderId="66" xfId="1" applyFont="1" applyFill="1" applyBorder="1"/>
    <xf numFmtId="168" fontId="0" fillId="37" borderId="19" xfId="1" applyFont="1" applyFill="1" applyBorder="1" applyAlignment="1">
      <alignment horizontal="center"/>
    </xf>
    <xf numFmtId="168" fontId="0" fillId="37" borderId="28" xfId="0" applyNumberFormat="1" applyFill="1" applyBorder="1"/>
    <xf numFmtId="170" fontId="0" fillId="37" borderId="28" xfId="0" applyNumberFormat="1" applyFill="1" applyBorder="1"/>
    <xf numFmtId="168" fontId="0" fillId="37" borderId="66" xfId="0" applyNumberFormat="1" applyFill="1" applyBorder="1"/>
    <xf numFmtId="168" fontId="0" fillId="37" borderId="27" xfId="0" applyNumberFormat="1" applyFill="1" applyBorder="1"/>
    <xf numFmtId="168" fontId="0" fillId="37" borderId="19" xfId="0" applyNumberFormat="1" applyFill="1" applyBorder="1"/>
    <xf numFmtId="168" fontId="0" fillId="37" borderId="19" xfId="1" applyFont="1" applyFill="1" applyBorder="1"/>
    <xf numFmtId="0" fontId="0" fillId="37" borderId="28" xfId="0" applyFill="1" applyBorder="1"/>
    <xf numFmtId="0" fontId="0" fillId="37" borderId="66" xfId="0" applyFill="1" applyBorder="1"/>
    <xf numFmtId="0" fontId="41" fillId="37" borderId="19" xfId="0" applyFont="1" applyFill="1" applyBorder="1" applyAlignment="1">
      <alignment horizontal="center"/>
    </xf>
    <xf numFmtId="170" fontId="0" fillId="37" borderId="27" xfId="1" applyNumberFormat="1" applyFont="1" applyFill="1" applyBorder="1"/>
    <xf numFmtId="0" fontId="0" fillId="0" borderId="67" xfId="0" applyBorder="1"/>
    <xf numFmtId="0" fontId="0" fillId="36" borderId="43" xfId="0" applyFill="1" applyBorder="1"/>
    <xf numFmtId="0" fontId="0" fillId="0" borderId="43" xfId="0" applyBorder="1"/>
    <xf numFmtId="0" fontId="0" fillId="39" borderId="43" xfId="0" applyFill="1" applyBorder="1"/>
    <xf numFmtId="168" fontId="0" fillId="0" borderId="43" xfId="0" applyNumberFormat="1" applyBorder="1"/>
    <xf numFmtId="0" fontId="0" fillId="37" borderId="43" xfId="0" applyFill="1" applyBorder="1"/>
    <xf numFmtId="0" fontId="0" fillId="37" borderId="68" xfId="0" applyFill="1" applyBorder="1"/>
    <xf numFmtId="170" fontId="0" fillId="0" borderId="0" xfId="289" applyNumberFormat="1" applyFont="1"/>
    <xf numFmtId="179" fontId="0" fillId="0" borderId="0" xfId="289" applyNumberFormat="1" applyFont="1" applyFill="1" applyBorder="1"/>
    <xf numFmtId="179" fontId="0" fillId="0" borderId="18" xfId="289" applyNumberFormat="1" applyFont="1" applyBorder="1"/>
    <xf numFmtId="170" fontId="0" fillId="59" borderId="0" xfId="289" applyNumberFormat="1" applyFont="1" applyFill="1"/>
    <xf numFmtId="179" fontId="0" fillId="0" borderId="0" xfId="289" applyNumberFormat="1" applyFont="1"/>
    <xf numFmtId="170" fontId="0" fillId="34" borderId="20" xfId="0" applyNumberFormat="1" applyFill="1" applyBorder="1"/>
    <xf numFmtId="179" fontId="0" fillId="0" borderId="20" xfId="0" applyNumberFormat="1" applyBorder="1"/>
    <xf numFmtId="179" fontId="0" fillId="34" borderId="20" xfId="289" applyNumberFormat="1" applyFont="1" applyFill="1" applyBorder="1"/>
    <xf numFmtId="0" fontId="0" fillId="34" borderId="20" xfId="0" applyFill="1" applyBorder="1"/>
    <xf numFmtId="0" fontId="45" fillId="39" borderId="20" xfId="0" applyFont="1" applyFill="1" applyBorder="1"/>
    <xf numFmtId="0" fontId="143" fillId="60" borderId="20" xfId="0" applyFont="1" applyFill="1" applyBorder="1"/>
    <xf numFmtId="0" fontId="143" fillId="62" borderId="20" xfId="0" applyFont="1" applyFill="1" applyBorder="1"/>
    <xf numFmtId="179" fontId="0" fillId="0" borderId="20" xfId="289" applyNumberFormat="1" applyFont="1" applyBorder="1"/>
    <xf numFmtId="0" fontId="46" fillId="0" borderId="0" xfId="366"/>
    <xf numFmtId="0" fontId="39" fillId="33" borderId="0" xfId="366" applyFont="1" applyFill="1" applyAlignment="1">
      <alignment horizontal="center"/>
    </xf>
    <xf numFmtId="179" fontId="0" fillId="34" borderId="20" xfId="0" applyNumberFormat="1" applyFill="1" applyBorder="1"/>
    <xf numFmtId="14" fontId="46" fillId="34" borderId="0" xfId="366" applyNumberFormat="1" applyFill="1"/>
    <xf numFmtId="170" fontId="0" fillId="59" borderId="20" xfId="0" applyNumberFormat="1" applyFill="1" applyBorder="1"/>
    <xf numFmtId="0" fontId="46" fillId="34" borderId="0" xfId="366" applyFill="1"/>
    <xf numFmtId="170" fontId="0" fillId="0" borderId="20" xfId="0" applyNumberFormat="1" applyBorder="1"/>
    <xf numFmtId="14" fontId="46" fillId="0" borderId="0" xfId="366" applyNumberFormat="1"/>
    <xf numFmtId="165" fontId="40" fillId="0" borderId="0" xfId="0" applyNumberFormat="1" applyFont="1" applyAlignment="1">
      <alignment horizontal="right" vertical="center"/>
    </xf>
    <xf numFmtId="170" fontId="0" fillId="34" borderId="18" xfId="289" applyNumberFormat="1" applyFont="1" applyFill="1" applyBorder="1"/>
    <xf numFmtId="0" fontId="145" fillId="0" borderId="0" xfId="0" applyFont="1" applyAlignment="1">
      <alignment horizontal="left" indent="1"/>
    </xf>
    <xf numFmtId="165" fontId="145" fillId="0" borderId="0" xfId="0" applyNumberFormat="1" applyFont="1" applyAlignment="1">
      <alignment horizontal="right" vertical="center"/>
    </xf>
    <xf numFmtId="165" fontId="146" fillId="0" borderId="0" xfId="0" applyNumberFormat="1" applyFont="1" applyAlignment="1">
      <alignment horizontal="right" vertical="center"/>
    </xf>
    <xf numFmtId="0" fontId="145" fillId="0" borderId="0" xfId="0" applyFont="1" applyAlignment="1">
      <alignment horizontal="left" vertical="center"/>
    </xf>
    <xf numFmtId="165" fontId="145" fillId="0" borderId="10" xfId="367" applyNumberFormat="1" applyFont="1" applyBorder="1" applyAlignment="1">
      <alignment horizontal="right" vertical="center"/>
    </xf>
    <xf numFmtId="4" fontId="146" fillId="0" borderId="0" xfId="0" applyNumberFormat="1" applyFont="1" applyAlignment="1">
      <alignment horizontal="right" vertical="center"/>
    </xf>
    <xf numFmtId="4" fontId="145" fillId="0" borderId="10" xfId="367" applyNumberFormat="1" applyFont="1" applyBorder="1" applyAlignment="1">
      <alignment horizontal="right" vertical="center"/>
    </xf>
    <xf numFmtId="0" fontId="145" fillId="0" borderId="10" xfId="367" applyFont="1" applyBorder="1" applyAlignment="1">
      <alignment horizontal="left" indent="1"/>
    </xf>
    <xf numFmtId="14" fontId="146" fillId="0" borderId="0" xfId="0" applyNumberFormat="1" applyFont="1" applyAlignment="1">
      <alignment horizontal="left" vertical="center"/>
    </xf>
    <xf numFmtId="14" fontId="145" fillId="0" borderId="10" xfId="367" applyNumberFormat="1" applyFont="1" applyBorder="1" applyAlignment="1">
      <alignment horizontal="left" vertical="center"/>
    </xf>
    <xf numFmtId="4" fontId="146" fillId="0" borderId="0" xfId="367" applyNumberFormat="1" applyFont="1" applyAlignment="1">
      <alignment horizontal="right" vertical="center"/>
    </xf>
    <xf numFmtId="0" fontId="145" fillId="0" borderId="10" xfId="367" applyFont="1" applyBorder="1" applyAlignment="1">
      <alignment horizontal="left" vertical="center"/>
    </xf>
    <xf numFmtId="0" fontId="146" fillId="0" borderId="0" xfId="0" applyFont="1" applyAlignment="1">
      <alignment horizontal="left" vertical="center"/>
    </xf>
    <xf numFmtId="169" fontId="146" fillId="0" borderId="0" xfId="367" applyNumberFormat="1" applyFont="1" applyAlignment="1">
      <alignment horizontal="right" vertical="center"/>
    </xf>
    <xf numFmtId="0" fontId="146" fillId="0" borderId="0" xfId="367" applyFont="1" applyAlignment="1">
      <alignment horizontal="left" indent="2"/>
    </xf>
    <xf numFmtId="14" fontId="146" fillId="0" borderId="0" xfId="367" applyNumberFormat="1" applyFont="1" applyAlignment="1">
      <alignment horizontal="left" vertical="center"/>
    </xf>
    <xf numFmtId="0" fontId="146" fillId="0" borderId="0" xfId="367" applyFont="1" applyAlignment="1">
      <alignment horizontal="left" vertical="center"/>
    </xf>
    <xf numFmtId="165" fontId="146" fillId="0" borderId="0" xfId="367" applyNumberFormat="1" applyFont="1" applyAlignment="1">
      <alignment horizontal="right" vertical="center"/>
    </xf>
    <xf numFmtId="0" fontId="145" fillId="0" borderId="0" xfId="367" applyFont="1" applyAlignment="1">
      <alignment horizontal="left" vertical="center"/>
    </xf>
    <xf numFmtId="168" fontId="0" fillId="37" borderId="43" xfId="1" applyFont="1" applyFill="1" applyBorder="1"/>
    <xf numFmtId="174" fontId="146" fillId="0" borderId="0" xfId="367" applyNumberFormat="1" applyFont="1" applyAlignment="1">
      <alignment horizontal="right" vertical="center"/>
    </xf>
    <xf numFmtId="0" fontId="145" fillId="0" borderId="0" xfId="367" applyFont="1" applyAlignment="1">
      <alignment horizontal="left" indent="1"/>
    </xf>
    <xf numFmtId="0" fontId="148" fillId="0" borderId="0" xfId="367"/>
    <xf numFmtId="0" fontId="151" fillId="33" borderId="0" xfId="367" applyFont="1" applyFill="1" applyAlignment="1">
      <alignment horizontal="left"/>
    </xf>
    <xf numFmtId="0" fontId="151" fillId="33" borderId="0" xfId="367" applyFont="1" applyFill="1" applyAlignment="1">
      <alignment horizontal="right"/>
    </xf>
    <xf numFmtId="0" fontId="147" fillId="0" borderId="0" xfId="367" applyFont="1" applyAlignment="1">
      <alignment horizontal="left" vertical="center"/>
    </xf>
    <xf numFmtId="169" fontId="147" fillId="0" borderId="0" xfId="367" applyNumberFormat="1" applyFont="1" applyAlignment="1">
      <alignment horizontal="right" vertical="center"/>
    </xf>
    <xf numFmtId="0" fontId="38" fillId="39" borderId="0" xfId="0" applyFont="1" applyFill="1"/>
    <xf numFmtId="14" fontId="38" fillId="39" borderId="0" xfId="0" applyNumberFormat="1" applyFont="1" applyFill="1" applyAlignment="1">
      <alignment vertical="top"/>
    </xf>
    <xf numFmtId="0" fontId="0" fillId="39" borderId="0" xfId="0" applyFill="1" applyAlignment="1">
      <alignment horizontal="left"/>
    </xf>
    <xf numFmtId="0" fontId="152" fillId="63" borderId="27" xfId="0" applyFont="1" applyFill="1" applyBorder="1" applyAlignment="1">
      <alignment horizontal="left"/>
    </xf>
    <xf numFmtId="0" fontId="152" fillId="63" borderId="28" xfId="0" applyFont="1" applyFill="1" applyBorder="1" applyAlignment="1">
      <alignment horizontal="left"/>
    </xf>
    <xf numFmtId="14" fontId="152" fillId="63" borderId="28" xfId="0" applyNumberFormat="1" applyFont="1" applyFill="1" applyBorder="1" applyAlignment="1">
      <alignment vertical="top"/>
    </xf>
    <xf numFmtId="0" fontId="152" fillId="63" borderId="28" xfId="0" applyFont="1" applyFill="1" applyBorder="1" applyAlignment="1">
      <alignment horizontal="right"/>
    </xf>
    <xf numFmtId="0" fontId="153" fillId="63" borderId="28" xfId="0" applyFont="1" applyFill="1" applyBorder="1" applyAlignment="1">
      <alignment horizontal="left"/>
    </xf>
    <xf numFmtId="0" fontId="153" fillId="63" borderId="66" xfId="0" applyFont="1" applyFill="1" applyBorder="1"/>
    <xf numFmtId="0" fontId="141" fillId="0" borderId="20" xfId="249" applyFont="1" applyBorder="1" applyAlignment="1">
      <alignment horizontal="left" indent="1"/>
    </xf>
    <xf numFmtId="0" fontId="142" fillId="0" borderId="20" xfId="249" applyFont="1" applyBorder="1" applyAlignment="1">
      <alignment horizontal="left" vertical="center"/>
    </xf>
    <xf numFmtId="14" fontId="142" fillId="0" borderId="20" xfId="249" applyNumberFormat="1" applyFont="1" applyBorder="1" applyAlignment="1">
      <alignment horizontal="left" vertical="center"/>
    </xf>
    <xf numFmtId="165" fontId="142" fillId="0" borderId="20" xfId="249" applyNumberFormat="1" applyFont="1" applyBorder="1" applyAlignment="1">
      <alignment horizontal="right" vertical="center"/>
    </xf>
    <xf numFmtId="169" fontId="142" fillId="0" borderId="20" xfId="249" applyNumberFormat="1" applyFont="1" applyBorder="1" applyAlignment="1">
      <alignment horizontal="right" vertical="center"/>
    </xf>
    <xf numFmtId="17" fontId="142" fillId="0" borderId="20" xfId="249" applyNumberFormat="1" applyFont="1" applyBorder="1" applyAlignment="1">
      <alignment horizontal="left" vertical="center"/>
    </xf>
    <xf numFmtId="0" fontId="138" fillId="0" borderId="20" xfId="0" applyFont="1" applyBorder="1" applyAlignment="1">
      <alignment horizontal="left" vertical="center"/>
    </xf>
    <xf numFmtId="0" fontId="145" fillId="0" borderId="20" xfId="367" applyFont="1" applyBorder="1" applyAlignment="1">
      <alignment horizontal="left" indent="1"/>
    </xf>
    <xf numFmtId="0" fontId="145" fillId="0" borderId="20" xfId="367" applyFont="1" applyBorder="1" applyAlignment="1">
      <alignment horizontal="left" vertical="center"/>
    </xf>
    <xf numFmtId="14" fontId="145" fillId="0" borderId="20" xfId="367" applyNumberFormat="1" applyFont="1" applyBorder="1" applyAlignment="1">
      <alignment horizontal="left" vertical="center"/>
    </xf>
    <xf numFmtId="165" fontId="145" fillId="0" borderId="20" xfId="367" applyNumberFormat="1" applyFont="1" applyBorder="1" applyAlignment="1">
      <alignment horizontal="right" vertical="center"/>
    </xf>
    <xf numFmtId="0" fontId="146" fillId="0" borderId="20" xfId="367" applyFont="1" applyBorder="1" applyAlignment="1">
      <alignment horizontal="left" vertical="center"/>
    </xf>
    <xf numFmtId="14" fontId="146" fillId="0" borderId="20" xfId="367" applyNumberFormat="1" applyFont="1" applyBorder="1" applyAlignment="1">
      <alignment horizontal="left" vertical="center"/>
    </xf>
    <xf numFmtId="165" fontId="146" fillId="0" borderId="20" xfId="367" applyNumberFormat="1" applyFont="1" applyBorder="1" applyAlignment="1">
      <alignment horizontal="right" vertical="center"/>
    </xf>
    <xf numFmtId="4" fontId="146" fillId="0" borderId="20" xfId="367" applyNumberFormat="1" applyFont="1" applyBorder="1" applyAlignment="1">
      <alignment horizontal="right" vertical="center"/>
    </xf>
    <xf numFmtId="169" fontId="146" fillId="0" borderId="20" xfId="367" applyNumberFormat="1" applyFont="1" applyBorder="1" applyAlignment="1">
      <alignment horizontal="right" vertical="center"/>
    </xf>
    <xf numFmtId="4" fontId="145" fillId="0" borderId="20" xfId="367" applyNumberFormat="1" applyFont="1" applyBorder="1" applyAlignment="1">
      <alignment horizontal="right" vertical="center"/>
    </xf>
    <xf numFmtId="0" fontId="145" fillId="46" borderId="20" xfId="367" applyFont="1" applyFill="1" applyBorder="1" applyAlignment="1">
      <alignment horizontal="left" indent="1"/>
    </xf>
    <xf numFmtId="0" fontId="40" fillId="0" borderId="20" xfId="0" applyFont="1" applyBorder="1" applyAlignment="1">
      <alignment horizontal="left" indent="1"/>
    </xf>
    <xf numFmtId="0" fontId="41" fillId="0" borderId="20" xfId="0" applyFont="1" applyBorder="1" applyAlignment="1">
      <alignment horizontal="left" vertical="center"/>
    </xf>
    <xf numFmtId="14" fontId="41" fillId="0" borderId="20" xfId="0" applyNumberFormat="1" applyFont="1" applyBorder="1" applyAlignment="1">
      <alignment horizontal="left" vertical="center"/>
    </xf>
    <xf numFmtId="165" fontId="41" fillId="0" borderId="20" xfId="0" applyNumberFormat="1" applyFont="1" applyBorder="1" applyAlignment="1">
      <alignment horizontal="right" vertical="center"/>
    </xf>
    <xf numFmtId="169" fontId="41" fillId="0" borderId="20" xfId="0" applyNumberFormat="1" applyFont="1" applyBorder="1" applyAlignment="1">
      <alignment horizontal="right" vertical="center"/>
    </xf>
    <xf numFmtId="182" fontId="41" fillId="0" borderId="20" xfId="0" applyNumberFormat="1" applyFont="1" applyBorder="1" applyAlignment="1">
      <alignment horizontal="right" vertical="center"/>
    </xf>
    <xf numFmtId="174" fontId="41" fillId="0" borderId="20" xfId="0" applyNumberFormat="1" applyFont="1" applyBorder="1" applyAlignment="1">
      <alignment horizontal="right" vertical="center"/>
    </xf>
    <xf numFmtId="183" fontId="41" fillId="0" borderId="20" xfId="0" applyNumberFormat="1" applyFont="1" applyBorder="1" applyAlignment="1">
      <alignment horizontal="right" vertical="center"/>
    </xf>
    <xf numFmtId="180" fontId="41" fillId="0" borderId="20" xfId="0" applyNumberFormat="1" applyFont="1" applyBorder="1" applyAlignment="1">
      <alignment horizontal="right" vertical="center"/>
    </xf>
    <xf numFmtId="184" fontId="41" fillId="0" borderId="20" xfId="0" applyNumberFormat="1" applyFont="1" applyBorder="1" applyAlignment="1">
      <alignment horizontal="right" vertical="center"/>
    </xf>
    <xf numFmtId="0" fontId="40" fillId="0" borderId="20" xfId="0" applyFont="1" applyBorder="1" applyAlignment="1">
      <alignment horizontal="left" vertical="center"/>
    </xf>
    <xf numFmtId="14" fontId="40" fillId="0" borderId="20" xfId="0" applyNumberFormat="1" applyFont="1" applyBorder="1" applyAlignment="1">
      <alignment horizontal="left" vertical="center"/>
    </xf>
    <xf numFmtId="165" fontId="40" fillId="0" borderId="20" xfId="0" applyNumberFormat="1" applyFont="1" applyBorder="1" applyAlignment="1">
      <alignment horizontal="right" vertical="center"/>
    </xf>
    <xf numFmtId="4" fontId="40" fillId="0" borderId="20" xfId="0" applyNumberFormat="1" applyFont="1" applyBorder="1" applyAlignment="1">
      <alignment horizontal="right" vertical="center"/>
    </xf>
    <xf numFmtId="0" fontId="0" fillId="0" borderId="20" xfId="0" applyBorder="1" applyAlignment="1">
      <alignment horizontal="left"/>
    </xf>
    <xf numFmtId="0" fontId="40" fillId="46" borderId="20" xfId="0" applyFont="1" applyFill="1" applyBorder="1" applyAlignment="1">
      <alignment horizontal="left" indent="1"/>
    </xf>
    <xf numFmtId="0" fontId="38" fillId="39" borderId="27" xfId="0" applyFont="1" applyFill="1" applyBorder="1"/>
    <xf numFmtId="0" fontId="38" fillId="39" borderId="28" xfId="0" applyFont="1" applyFill="1" applyBorder="1"/>
    <xf numFmtId="168" fontId="38" fillId="39" borderId="28" xfId="1" applyFont="1" applyFill="1" applyBorder="1" applyAlignment="1"/>
    <xf numFmtId="0" fontId="38" fillId="39" borderId="28" xfId="0" applyFont="1" applyFill="1" applyBorder="1" applyAlignment="1">
      <alignment horizontal="center"/>
    </xf>
    <xf numFmtId="0" fontId="38" fillId="39" borderId="28" xfId="0" applyFont="1" applyFill="1" applyBorder="1" applyAlignment="1">
      <alignment horizontal="left"/>
    </xf>
    <xf numFmtId="0" fontId="0" fillId="39" borderId="66" xfId="0" applyFill="1" applyBorder="1"/>
    <xf numFmtId="0" fontId="152" fillId="63" borderId="66" xfId="0" applyFont="1" applyFill="1" applyBorder="1" applyAlignment="1">
      <alignment horizontal="left"/>
    </xf>
    <xf numFmtId="0" fontId="145" fillId="0" borderId="20" xfId="0" applyFont="1" applyBorder="1" applyAlignment="1">
      <alignment horizontal="left" indent="1"/>
    </xf>
    <xf numFmtId="0" fontId="146" fillId="0" borderId="20" xfId="0" applyFont="1" applyBorder="1" applyAlignment="1">
      <alignment horizontal="left" vertical="center"/>
    </xf>
    <xf numFmtId="14" fontId="146" fillId="0" borderId="20" xfId="0" applyNumberFormat="1" applyFont="1" applyBorder="1" applyAlignment="1">
      <alignment horizontal="left" vertical="center"/>
    </xf>
    <xf numFmtId="165" fontId="146" fillId="0" borderId="20" xfId="0" applyNumberFormat="1" applyFont="1" applyBorder="1" applyAlignment="1">
      <alignment horizontal="right" vertical="center"/>
    </xf>
    <xf numFmtId="169" fontId="146" fillId="0" borderId="20" xfId="0" applyNumberFormat="1" applyFont="1" applyBorder="1" applyAlignment="1">
      <alignment horizontal="right" vertical="center"/>
    </xf>
    <xf numFmtId="0" fontId="145" fillId="0" borderId="20" xfId="0" applyFont="1" applyBorder="1" applyAlignment="1">
      <alignment horizontal="left" vertical="center"/>
    </xf>
    <xf numFmtId="14" fontId="145" fillId="0" borderId="20" xfId="0" applyNumberFormat="1" applyFont="1" applyBorder="1" applyAlignment="1">
      <alignment horizontal="left" vertical="center"/>
    </xf>
    <xf numFmtId="165" fontId="145" fillId="0" borderId="20" xfId="0" applyNumberFormat="1" applyFont="1" applyBorder="1" applyAlignment="1">
      <alignment horizontal="right" vertical="center"/>
    </xf>
    <xf numFmtId="4" fontId="145" fillId="0" borderId="20" xfId="0" applyNumberFormat="1" applyFont="1" applyBorder="1" applyAlignment="1">
      <alignment horizontal="right" vertical="center"/>
    </xf>
    <xf numFmtId="174" fontId="146" fillId="0" borderId="20" xfId="0" applyNumberFormat="1" applyFont="1" applyBorder="1" applyAlignment="1">
      <alignment horizontal="right" vertical="center"/>
    </xf>
    <xf numFmtId="17" fontId="146" fillId="0" borderId="20" xfId="0" applyNumberFormat="1" applyFont="1" applyBorder="1" applyAlignment="1">
      <alignment horizontal="left" vertical="center"/>
    </xf>
    <xf numFmtId="174" fontId="146" fillId="0" borderId="20" xfId="367" applyNumberFormat="1" applyFont="1" applyBorder="1" applyAlignment="1">
      <alignment horizontal="right" vertical="center"/>
    </xf>
    <xf numFmtId="181" fontId="146" fillId="0" borderId="20" xfId="367" applyNumberFormat="1" applyFont="1" applyBorder="1" applyAlignment="1">
      <alignment horizontal="right" vertical="center"/>
    </xf>
    <xf numFmtId="180" fontId="146" fillId="0" borderId="20" xfId="367" applyNumberFormat="1" applyFont="1" applyBorder="1" applyAlignment="1">
      <alignment horizontal="right" vertical="center"/>
    </xf>
    <xf numFmtId="0" fontId="41" fillId="0" borderId="20" xfId="367" applyFont="1" applyBorder="1" applyAlignment="1">
      <alignment horizontal="left" vertical="center"/>
    </xf>
    <xf numFmtId="165" fontId="45" fillId="0" borderId="20" xfId="0" applyNumberFormat="1" applyFont="1" applyBorder="1"/>
    <xf numFmtId="168" fontId="0" fillId="0" borderId="20" xfId="1" applyFont="1" applyFill="1" applyBorder="1"/>
    <xf numFmtId="0" fontId="145" fillId="46" borderId="20" xfId="0" applyFont="1" applyFill="1" applyBorder="1" applyAlignment="1">
      <alignment horizontal="left" indent="1"/>
    </xf>
    <xf numFmtId="0" fontId="154" fillId="0" borderId="0" xfId="0" applyFont="1" applyAlignment="1">
      <alignment horizontal="left" indent="1"/>
    </xf>
    <xf numFmtId="165" fontId="155" fillId="0" borderId="0" xfId="0" applyNumberFormat="1" applyFont="1" applyAlignment="1">
      <alignment horizontal="right" vertical="center"/>
    </xf>
    <xf numFmtId="168" fontId="0" fillId="0" borderId="43" xfId="1" applyFont="1" applyBorder="1"/>
    <xf numFmtId="0" fontId="155" fillId="0" borderId="0" xfId="0" applyFont="1" applyAlignment="1">
      <alignment horizontal="left" vertical="center"/>
    </xf>
    <xf numFmtId="14" fontId="155" fillId="0" borderId="0" xfId="0" applyNumberFormat="1" applyFont="1" applyAlignment="1">
      <alignment horizontal="left" vertical="center"/>
    </xf>
    <xf numFmtId="4" fontId="155" fillId="0" borderId="0" xfId="0" applyNumberFormat="1" applyFont="1" applyAlignment="1">
      <alignment horizontal="right" vertical="center"/>
    </xf>
    <xf numFmtId="0" fontId="155" fillId="0" borderId="20" xfId="0" applyFont="1" applyBorder="1" applyAlignment="1">
      <alignment horizontal="left" vertical="center"/>
    </xf>
    <xf numFmtId="14" fontId="155" fillId="0" borderId="20" xfId="0" applyNumberFormat="1" applyFont="1" applyBorder="1" applyAlignment="1">
      <alignment horizontal="left" vertical="center"/>
    </xf>
    <xf numFmtId="165" fontId="155" fillId="0" borderId="20" xfId="0" applyNumberFormat="1" applyFont="1" applyBorder="1" applyAlignment="1">
      <alignment horizontal="right" vertical="center"/>
    </xf>
    <xf numFmtId="174" fontId="155" fillId="0" borderId="20" xfId="0" applyNumberFormat="1" applyFont="1" applyBorder="1" applyAlignment="1">
      <alignment horizontal="right" vertical="center"/>
    </xf>
    <xf numFmtId="0" fontId="154" fillId="0" borderId="20" xfId="0" applyFont="1" applyBorder="1" applyAlignment="1">
      <alignment horizontal="left" indent="1"/>
    </xf>
    <xf numFmtId="0" fontId="154" fillId="0" borderId="20" xfId="0" applyFont="1" applyBorder="1" applyAlignment="1">
      <alignment horizontal="left" vertical="center"/>
    </xf>
    <xf numFmtId="14" fontId="154" fillId="0" borderId="20" xfId="0" applyNumberFormat="1" applyFont="1" applyBorder="1" applyAlignment="1">
      <alignment horizontal="left" vertical="center"/>
    </xf>
    <xf numFmtId="165" fontId="154" fillId="0" borderId="20" xfId="0" applyNumberFormat="1" applyFont="1" applyBorder="1" applyAlignment="1">
      <alignment horizontal="right" vertical="center"/>
    </xf>
    <xf numFmtId="4" fontId="154" fillId="0" borderId="20" xfId="0" applyNumberFormat="1" applyFont="1" applyBorder="1" applyAlignment="1">
      <alignment horizontal="right" vertical="center"/>
    </xf>
    <xf numFmtId="0" fontId="152" fillId="63" borderId="0" xfId="0" applyFont="1" applyFill="1" applyAlignment="1">
      <alignment horizontal="left"/>
    </xf>
    <xf numFmtId="0" fontId="152" fillId="63" borderId="0" xfId="0" applyFont="1" applyFill="1" applyAlignment="1">
      <alignment horizontal="right"/>
    </xf>
    <xf numFmtId="0" fontId="0" fillId="61" borderId="28" xfId="0" applyFill="1" applyBorder="1"/>
    <xf numFmtId="0" fontId="0" fillId="60" borderId="19" xfId="0" applyFill="1" applyBorder="1"/>
    <xf numFmtId="0" fontId="40" fillId="61" borderId="24" xfId="0" applyFont="1" applyFill="1" applyBorder="1" applyAlignment="1">
      <alignment horizontal="left" indent="3"/>
    </xf>
    <xf numFmtId="0" fontId="40" fillId="61" borderId="24" xfId="0" applyFont="1" applyFill="1" applyBorder="1" applyAlignment="1">
      <alignment horizontal="left" indent="2"/>
    </xf>
    <xf numFmtId="17" fontId="146" fillId="0" borderId="20" xfId="367" applyNumberFormat="1" applyFont="1" applyBorder="1" applyAlignment="1">
      <alignment horizontal="left" vertical="center"/>
    </xf>
    <xf numFmtId="17" fontId="41" fillId="0" borderId="20" xfId="0" applyNumberFormat="1" applyFont="1" applyBorder="1" applyAlignment="1">
      <alignment horizontal="left" vertical="center"/>
    </xf>
    <xf numFmtId="0" fontId="158" fillId="0" borderId="0" xfId="0" applyFont="1" applyAlignment="1">
      <alignment horizontal="left" indent="1"/>
    </xf>
    <xf numFmtId="169" fontId="158" fillId="0" borderId="0" xfId="0" applyNumberFormat="1" applyFont="1" applyAlignment="1">
      <alignment horizontal="right" vertical="center"/>
    </xf>
    <xf numFmtId="0" fontId="158" fillId="0" borderId="0" xfId="0" applyFont="1" applyAlignment="1">
      <alignment horizontal="left" indent="2"/>
    </xf>
    <xf numFmtId="0" fontId="158" fillId="0" borderId="0" xfId="0" applyFont="1" applyAlignment="1">
      <alignment horizontal="left" indent="3"/>
    </xf>
    <xf numFmtId="0" fontId="158" fillId="0" borderId="0" xfId="0" applyFont="1" applyAlignment="1">
      <alignment horizontal="left" indent="4"/>
    </xf>
    <xf numFmtId="4" fontId="158" fillId="0" borderId="0" xfId="0" applyNumberFormat="1" applyFont="1" applyAlignment="1">
      <alignment horizontal="right" vertical="center"/>
    </xf>
    <xf numFmtId="0" fontId="158" fillId="0" borderId="11" xfId="0" applyFont="1" applyBorder="1" applyAlignment="1">
      <alignment horizontal="left" indent="3"/>
    </xf>
    <xf numFmtId="4" fontId="158" fillId="0" borderId="11" xfId="0" applyNumberFormat="1" applyFont="1" applyBorder="1" applyAlignment="1">
      <alignment horizontal="right" vertical="center"/>
    </xf>
    <xf numFmtId="0" fontId="158" fillId="0" borderId="11" xfId="0" applyFont="1" applyBorder="1" applyAlignment="1">
      <alignment horizontal="left" indent="2"/>
    </xf>
    <xf numFmtId="0" fontId="158" fillId="0" borderId="12" xfId="0" applyFont="1" applyBorder="1" applyAlignment="1">
      <alignment horizontal="left" indent="2"/>
    </xf>
    <xf numFmtId="4" fontId="158" fillId="0" borderId="12" xfId="0" applyNumberFormat="1" applyFont="1" applyBorder="1" applyAlignment="1">
      <alignment horizontal="right" vertical="center"/>
    </xf>
    <xf numFmtId="0" fontId="158" fillId="0" borderId="13" xfId="0" applyFont="1" applyBorder="1" applyAlignment="1">
      <alignment horizontal="left" indent="1"/>
    </xf>
    <xf numFmtId="4" fontId="158" fillId="0" borderId="13" xfId="0" applyNumberFormat="1" applyFont="1" applyBorder="1" applyAlignment="1">
      <alignment horizontal="right" vertical="center"/>
    </xf>
    <xf numFmtId="0" fontId="158" fillId="0" borderId="11" xfId="0" applyFont="1" applyBorder="1" applyAlignment="1">
      <alignment horizontal="left" indent="1"/>
    </xf>
    <xf numFmtId="0" fontId="159" fillId="0" borderId="14" xfId="0" applyFont="1" applyBorder="1" applyAlignment="1">
      <alignment horizontal="left" vertical="center"/>
    </xf>
    <xf numFmtId="4" fontId="159" fillId="0" borderId="14" xfId="0" applyNumberFormat="1" applyFont="1" applyBorder="1" applyAlignment="1">
      <alignment horizontal="right" vertical="center"/>
    </xf>
    <xf numFmtId="0" fontId="160" fillId="0" borderId="0" xfId="0" applyFont="1" applyAlignment="1">
      <alignment horizontal="left" vertical="center"/>
    </xf>
    <xf numFmtId="169" fontId="160" fillId="0" borderId="0" xfId="0" applyNumberFormat="1" applyFont="1" applyAlignment="1">
      <alignment horizontal="right" vertical="center"/>
    </xf>
    <xf numFmtId="0" fontId="159" fillId="0" borderId="0" xfId="0" applyFont="1" applyAlignment="1">
      <alignment horizontal="left" vertical="center"/>
    </xf>
    <xf numFmtId="169" fontId="159" fillId="0" borderId="0" xfId="0" applyNumberFormat="1" applyFont="1" applyAlignment="1">
      <alignment horizontal="right" vertical="center"/>
    </xf>
    <xf numFmtId="169" fontId="158" fillId="0" borderId="11" xfId="0" applyNumberFormat="1" applyFont="1" applyBorder="1" applyAlignment="1">
      <alignment horizontal="right" vertical="center"/>
    </xf>
    <xf numFmtId="0" fontId="158" fillId="0" borderId="12" xfId="0" applyFont="1" applyBorder="1" applyAlignment="1">
      <alignment horizontal="left" indent="1"/>
    </xf>
    <xf numFmtId="0" fontId="158" fillId="0" borderId="14" xfId="0" applyFont="1" applyBorder="1" applyAlignment="1">
      <alignment horizontal="left" vertical="center"/>
    </xf>
    <xf numFmtId="4" fontId="158" fillId="0" borderId="14" xfId="0" applyNumberFormat="1" applyFont="1" applyBorder="1" applyAlignment="1">
      <alignment horizontal="right" vertical="center"/>
    </xf>
    <xf numFmtId="0" fontId="158" fillId="0" borderId="0" xfId="0" applyFont="1" applyAlignment="1">
      <alignment horizontal="left" vertical="center"/>
    </xf>
    <xf numFmtId="0" fontId="158" fillId="0" borderId="11" xfId="0" applyFont="1" applyBorder="1" applyAlignment="1">
      <alignment horizontal="left" vertical="center"/>
    </xf>
    <xf numFmtId="0" fontId="159" fillId="0" borderId="11" xfId="0" applyFont="1" applyBorder="1" applyAlignment="1">
      <alignment horizontal="left" indent="1"/>
    </xf>
    <xf numFmtId="4" fontId="159" fillId="0" borderId="11" xfId="0" applyNumberFormat="1" applyFont="1" applyBorder="1" applyAlignment="1">
      <alignment horizontal="right" vertical="center"/>
    </xf>
    <xf numFmtId="0" fontId="161" fillId="0" borderId="11" xfId="0" applyFont="1" applyBorder="1" applyAlignment="1">
      <alignment horizontal="left" indent="1"/>
    </xf>
    <xf numFmtId="169" fontId="161" fillId="0" borderId="11" xfId="0" applyNumberFormat="1" applyFont="1" applyBorder="1" applyAlignment="1">
      <alignment horizontal="right" vertical="center"/>
    </xf>
    <xf numFmtId="0" fontId="158" fillId="0" borderId="15" xfId="0" applyFont="1" applyBorder="1" applyAlignment="1">
      <alignment horizontal="left" vertical="center"/>
    </xf>
    <xf numFmtId="4" fontId="158" fillId="0" borderId="15" xfId="0" applyNumberFormat="1" applyFont="1" applyBorder="1" applyAlignment="1">
      <alignment horizontal="right" vertical="center"/>
    </xf>
    <xf numFmtId="0" fontId="159" fillId="0" borderId="16" xfId="0" applyFont="1" applyBorder="1" applyAlignment="1">
      <alignment horizontal="left" vertical="center"/>
    </xf>
    <xf numFmtId="4" fontId="159" fillId="0" borderId="16" xfId="0" applyNumberFormat="1" applyFont="1" applyBorder="1" applyAlignment="1">
      <alignment horizontal="right" vertical="center"/>
    </xf>
    <xf numFmtId="0" fontId="162" fillId="0" borderId="11" xfId="0" applyFont="1" applyBorder="1" applyAlignment="1">
      <alignment horizontal="left" vertical="center"/>
    </xf>
    <xf numFmtId="169" fontId="162" fillId="0" borderId="11" xfId="0" applyNumberFormat="1" applyFont="1" applyBorder="1" applyAlignment="1">
      <alignment horizontal="right" vertical="center"/>
    </xf>
    <xf numFmtId="0" fontId="158" fillId="0" borderId="20" xfId="0" applyFont="1" applyBorder="1" applyAlignment="1">
      <alignment horizontal="left" indent="1"/>
    </xf>
    <xf numFmtId="169" fontId="158" fillId="0" borderId="20" xfId="0" applyNumberFormat="1" applyFont="1" applyBorder="1" applyAlignment="1">
      <alignment horizontal="right" vertical="center"/>
    </xf>
    <xf numFmtId="0" fontId="158" fillId="0" borderId="20" xfId="0" applyFont="1" applyBorder="1" applyAlignment="1">
      <alignment horizontal="left" indent="2"/>
    </xf>
    <xf numFmtId="0" fontId="158" fillId="0" borderId="20" xfId="0" applyFont="1" applyBorder="1" applyAlignment="1">
      <alignment horizontal="left" indent="3"/>
    </xf>
    <xf numFmtId="0" fontId="158" fillId="0" borderId="20" xfId="0" applyFont="1" applyBorder="1" applyAlignment="1">
      <alignment horizontal="left" indent="4"/>
    </xf>
    <xf numFmtId="4" fontId="158" fillId="0" borderId="20" xfId="0" applyNumberFormat="1" applyFont="1" applyBorder="1" applyAlignment="1">
      <alignment horizontal="right" vertical="center"/>
    </xf>
    <xf numFmtId="0" fontId="159" fillId="0" borderId="20" xfId="0" applyFont="1" applyBorder="1" applyAlignment="1">
      <alignment horizontal="left" vertical="center"/>
    </xf>
    <xf numFmtId="4" fontId="159" fillId="0" borderId="20" xfId="0" applyNumberFormat="1" applyFont="1" applyBorder="1" applyAlignment="1">
      <alignment horizontal="right" vertical="center"/>
    </xf>
    <xf numFmtId="0" fontId="160" fillId="0" borderId="20" xfId="0" applyFont="1" applyBorder="1" applyAlignment="1">
      <alignment horizontal="left" vertical="center"/>
    </xf>
    <xf numFmtId="169" fontId="160" fillId="0" borderId="20" xfId="0" applyNumberFormat="1" applyFont="1" applyBorder="1" applyAlignment="1">
      <alignment horizontal="right" vertical="center"/>
    </xf>
    <xf numFmtId="169" fontId="159" fillId="0" borderId="20" xfId="0" applyNumberFormat="1" applyFont="1" applyBorder="1" applyAlignment="1">
      <alignment horizontal="right" vertical="center"/>
    </xf>
    <xf numFmtId="0" fontId="158" fillId="0" borderId="20" xfId="0" applyFont="1" applyBorder="1" applyAlignment="1">
      <alignment horizontal="left" vertical="center"/>
    </xf>
    <xf numFmtId="0" fontId="159" fillId="0" borderId="20" xfId="0" applyFont="1" applyBorder="1" applyAlignment="1">
      <alignment horizontal="left" indent="1"/>
    </xf>
    <xf numFmtId="0" fontId="161" fillId="0" borderId="20" xfId="0" applyFont="1" applyBorder="1" applyAlignment="1">
      <alignment horizontal="left" indent="1"/>
    </xf>
    <xf numFmtId="169" fontId="161" fillId="0" borderId="20" xfId="0" applyNumberFormat="1" applyFont="1" applyBorder="1" applyAlignment="1">
      <alignment horizontal="right" vertical="center"/>
    </xf>
    <xf numFmtId="0" fontId="162" fillId="0" borderId="20" xfId="0" applyFont="1" applyBorder="1" applyAlignment="1">
      <alignment horizontal="left" vertical="center"/>
    </xf>
    <xf numFmtId="169" fontId="162" fillId="0" borderId="20" xfId="0" applyNumberFormat="1" applyFont="1" applyBorder="1" applyAlignment="1">
      <alignment horizontal="right" vertical="center"/>
    </xf>
    <xf numFmtId="0" fontId="160" fillId="0" borderId="0" xfId="0" applyFont="1" applyAlignment="1">
      <alignment horizontal="left" indent="1"/>
    </xf>
    <xf numFmtId="165" fontId="160" fillId="0" borderId="0" xfId="0" applyNumberFormat="1" applyFont="1" applyAlignment="1">
      <alignment horizontal="right" vertical="center"/>
    </xf>
    <xf numFmtId="0" fontId="160" fillId="0" borderId="0" xfId="0" applyFont="1" applyAlignment="1">
      <alignment horizontal="left" indent="2"/>
    </xf>
    <xf numFmtId="0" fontId="160" fillId="0" borderId="0" xfId="0" applyFont="1" applyAlignment="1">
      <alignment horizontal="left" indent="3"/>
    </xf>
    <xf numFmtId="0" fontId="161" fillId="0" borderId="0" xfId="0" applyFont="1" applyAlignment="1">
      <alignment horizontal="left" indent="4"/>
    </xf>
    <xf numFmtId="165" fontId="161" fillId="0" borderId="0" xfId="0" applyNumberFormat="1" applyFont="1" applyAlignment="1">
      <alignment horizontal="right" vertical="center"/>
    </xf>
    <xf numFmtId="0" fontId="160" fillId="0" borderId="11" xfId="0" applyFont="1" applyBorder="1" applyAlignment="1">
      <alignment horizontal="left" indent="3"/>
    </xf>
    <xf numFmtId="165" fontId="160" fillId="0" borderId="11" xfId="0" applyNumberFormat="1" applyFont="1" applyBorder="1" applyAlignment="1">
      <alignment horizontal="right" vertical="center"/>
    </xf>
    <xf numFmtId="0" fontId="160" fillId="0" borderId="11" xfId="0" applyFont="1" applyBorder="1" applyAlignment="1">
      <alignment horizontal="left" indent="2"/>
    </xf>
    <xf numFmtId="0" fontId="160" fillId="0" borderId="12" xfId="0" applyFont="1" applyBorder="1" applyAlignment="1">
      <alignment horizontal="left" indent="3"/>
    </xf>
    <xf numFmtId="165" fontId="160" fillId="0" borderId="12" xfId="0" applyNumberFormat="1" applyFont="1" applyBorder="1" applyAlignment="1">
      <alignment horizontal="right" vertical="center"/>
    </xf>
    <xf numFmtId="0" fontId="160" fillId="0" borderId="12" xfId="0" applyFont="1" applyBorder="1" applyAlignment="1">
      <alignment horizontal="left" indent="2"/>
    </xf>
    <xf numFmtId="0" fontId="160" fillId="0" borderId="11" xfId="0" applyFont="1" applyBorder="1" applyAlignment="1">
      <alignment horizontal="left" indent="1"/>
    </xf>
    <xf numFmtId="0" fontId="160" fillId="0" borderId="0" xfId="0" applyFont="1" applyAlignment="1">
      <alignment horizontal="left" indent="4"/>
    </xf>
    <xf numFmtId="0" fontId="161" fillId="0" borderId="0" xfId="0" applyFont="1" applyAlignment="1">
      <alignment horizontal="left" indent="5"/>
    </xf>
    <xf numFmtId="0" fontId="160" fillId="0" borderId="11" xfId="0" applyFont="1" applyBorder="1" applyAlignment="1">
      <alignment horizontal="left" indent="4"/>
    </xf>
    <xf numFmtId="178" fontId="160" fillId="0" borderId="11" xfId="0" applyNumberFormat="1" applyFont="1" applyBorder="1" applyAlignment="1">
      <alignment horizontal="right" vertical="center"/>
    </xf>
    <xf numFmtId="0" fontId="161" fillId="0" borderId="0" xfId="0" applyFont="1" applyAlignment="1">
      <alignment horizontal="left" indent="3"/>
    </xf>
    <xf numFmtId="0" fontId="160" fillId="0" borderId="11" xfId="0" applyFont="1" applyBorder="1" applyAlignment="1">
      <alignment horizontal="left" vertical="center"/>
    </xf>
    <xf numFmtId="0" fontId="160" fillId="0" borderId="12" xfId="0" applyFont="1" applyBorder="1" applyAlignment="1">
      <alignment horizontal="left" indent="1"/>
    </xf>
    <xf numFmtId="0" fontId="161" fillId="0" borderId="0" xfId="0" applyFont="1" applyAlignment="1">
      <alignment horizontal="left" indent="2"/>
    </xf>
    <xf numFmtId="0" fontId="156" fillId="60" borderId="27" xfId="0" applyFont="1" applyFill="1" applyBorder="1" applyAlignment="1">
      <alignment horizontal="center"/>
    </xf>
    <xf numFmtId="0" fontId="156" fillId="60" borderId="28" xfId="0" applyFont="1" applyFill="1" applyBorder="1" applyAlignment="1">
      <alignment horizontal="center"/>
    </xf>
    <xf numFmtId="0" fontId="156" fillId="60" borderId="66" xfId="0" applyFont="1" applyFill="1" applyBorder="1" applyAlignment="1">
      <alignment horizontal="center"/>
    </xf>
    <xf numFmtId="0" fontId="157" fillId="60" borderId="27" xfId="0" applyFont="1" applyFill="1" applyBorder="1" applyAlignment="1">
      <alignment horizontal="center"/>
    </xf>
    <xf numFmtId="0" fontId="157" fillId="60" borderId="28" xfId="0" applyFont="1" applyFill="1" applyBorder="1" applyAlignment="1">
      <alignment horizontal="center"/>
    </xf>
    <xf numFmtId="0" fontId="157" fillId="60" borderId="66" xfId="0" applyFont="1" applyFill="1" applyBorder="1" applyAlignment="1">
      <alignment horizontal="center"/>
    </xf>
    <xf numFmtId="0" fontId="156" fillId="60" borderId="35" xfId="0" applyFont="1" applyFill="1" applyBorder="1" applyAlignment="1">
      <alignment horizontal="center"/>
    </xf>
    <xf numFmtId="0" fontId="156" fillId="60" borderId="36" xfId="0" applyFont="1" applyFill="1" applyBorder="1" applyAlignment="1">
      <alignment horizontal="center"/>
    </xf>
    <xf numFmtId="0" fontId="156" fillId="60" borderId="37" xfId="0" applyFont="1" applyFill="1" applyBorder="1" applyAlignment="1">
      <alignment horizontal="center"/>
    </xf>
    <xf numFmtId="0" fontId="0" fillId="0" borderId="0" xfId="0" applyAlignment="1">
      <alignment horizontal="center"/>
    </xf>
    <xf numFmtId="0" fontId="136" fillId="0" borderId="0" xfId="0" applyFont="1" applyAlignment="1">
      <alignment horizontal="center"/>
    </xf>
    <xf numFmtId="0" fontId="135" fillId="0" borderId="0" xfId="0" applyFont="1" applyAlignment="1">
      <alignment horizontal="center"/>
    </xf>
    <xf numFmtId="0" fontId="38" fillId="0" borderId="0" xfId="0" applyFont="1" applyAlignment="1">
      <alignment horizontal="center"/>
    </xf>
    <xf numFmtId="0" fontId="100" fillId="35" borderId="21" xfId="185" applyFont="1" applyFill="1" applyBorder="1" applyAlignment="1">
      <alignment horizontal="center" wrapText="1"/>
    </xf>
    <xf numFmtId="0" fontId="100" fillId="35" borderId="22" xfId="185" applyFont="1" applyFill="1" applyBorder="1" applyAlignment="1">
      <alignment horizontal="center" wrapText="1"/>
    </xf>
    <xf numFmtId="0" fontId="37" fillId="37" borderId="35" xfId="0" applyFont="1" applyFill="1" applyBorder="1" applyAlignment="1">
      <alignment horizontal="center"/>
    </xf>
    <xf numFmtId="0" fontId="37" fillId="37" borderId="36" xfId="0" applyFont="1" applyFill="1" applyBorder="1" applyAlignment="1">
      <alignment horizontal="center"/>
    </xf>
    <xf numFmtId="0" fontId="37" fillId="37" borderId="37" xfId="0" applyFont="1" applyFill="1" applyBorder="1" applyAlignment="1">
      <alignment horizontal="center"/>
    </xf>
    <xf numFmtId="0" fontId="37" fillId="37" borderId="29" xfId="0" applyFont="1" applyFill="1" applyBorder="1" applyAlignment="1">
      <alignment horizontal="center"/>
    </xf>
    <xf numFmtId="0" fontId="37" fillId="37" borderId="0" xfId="0" applyFont="1" applyFill="1" applyAlignment="1">
      <alignment horizontal="center"/>
    </xf>
    <xf numFmtId="0" fontId="37" fillId="37" borderId="30" xfId="0" applyFont="1" applyFill="1" applyBorder="1" applyAlignment="1">
      <alignment horizontal="center"/>
    </xf>
    <xf numFmtId="0" fontId="38" fillId="37" borderId="31" xfId="0" applyFont="1" applyFill="1" applyBorder="1" applyAlignment="1">
      <alignment horizontal="center"/>
    </xf>
    <xf numFmtId="0" fontId="38" fillId="37" borderId="32" xfId="0" applyFont="1" applyFill="1" applyBorder="1" applyAlignment="1">
      <alignment horizontal="center"/>
    </xf>
    <xf numFmtId="0" fontId="38" fillId="37" borderId="65" xfId="0" applyFont="1" applyFill="1" applyBorder="1" applyAlignment="1">
      <alignment horizontal="center"/>
    </xf>
    <xf numFmtId="1" fontId="0" fillId="0" borderId="21" xfId="184" applyNumberFormat="1" applyFont="1" applyBorder="1" applyAlignment="1">
      <alignment horizontal="center"/>
    </xf>
    <xf numFmtId="1" fontId="0" fillId="0" borderId="22" xfId="184" applyNumberFormat="1" applyFont="1"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55" borderId="20" xfId="0" applyFill="1" applyBorder="1" applyAlignment="1">
      <alignment horizontal="center"/>
    </xf>
    <xf numFmtId="9" fontId="0" fillId="43" borderId="20" xfId="0" applyNumberFormat="1" applyFill="1" applyBorder="1" applyAlignment="1">
      <alignment horizontal="right"/>
    </xf>
    <xf numFmtId="0" fontId="92" fillId="0" borderId="0" xfId="0" applyFont="1" applyAlignment="1">
      <alignment horizontal="center"/>
    </xf>
    <xf numFmtId="0" fontId="93" fillId="0" borderId="0" xfId="0" applyFont="1" applyAlignment="1">
      <alignment horizontal="center"/>
    </xf>
    <xf numFmtId="0" fontId="37" fillId="0" borderId="0" xfId="0" applyFont="1" applyAlignment="1">
      <alignment horizontal="center"/>
    </xf>
    <xf numFmtId="0" fontId="82" fillId="0" borderId="35" xfId="2" applyFont="1" applyBorder="1" applyAlignment="1">
      <alignment horizontal="center"/>
    </xf>
    <xf numFmtId="0" fontId="82" fillId="0" borderId="36" xfId="2" applyFont="1" applyBorder="1" applyAlignment="1">
      <alignment horizontal="center"/>
    </xf>
    <xf numFmtId="0" fontId="82" fillId="0" borderId="37" xfId="2" applyFont="1" applyBorder="1" applyAlignment="1">
      <alignment horizontal="center"/>
    </xf>
    <xf numFmtId="0" fontId="82" fillId="0" borderId="29" xfId="3" applyFont="1" applyBorder="1" applyAlignment="1">
      <alignment horizontal="center"/>
    </xf>
    <xf numFmtId="0" fontId="82" fillId="0" borderId="0" xfId="3" applyFont="1" applyBorder="1" applyAlignment="1">
      <alignment horizontal="center"/>
    </xf>
    <xf numFmtId="0" fontId="82" fillId="0" borderId="30" xfId="3" applyFont="1" applyBorder="1" applyAlignment="1">
      <alignment horizontal="center"/>
    </xf>
    <xf numFmtId="0" fontId="38" fillId="61" borderId="27" xfId="0" applyFont="1" applyFill="1" applyBorder="1" applyAlignment="1">
      <alignment horizontal="center"/>
    </xf>
    <xf numFmtId="0" fontId="38" fillId="61" borderId="28" xfId="0" applyFont="1" applyFill="1" applyBorder="1" applyAlignment="1">
      <alignment horizontal="center"/>
    </xf>
    <xf numFmtId="0" fontId="38" fillId="39" borderId="27" xfId="0" applyFont="1" applyFill="1" applyBorder="1" applyAlignment="1">
      <alignment horizontal="center"/>
    </xf>
    <xf numFmtId="0" fontId="38" fillId="39" borderId="28" xfId="0" applyFont="1" applyFill="1" applyBorder="1" applyAlignment="1">
      <alignment horizontal="center"/>
    </xf>
    <xf numFmtId="0" fontId="38" fillId="39" borderId="66" xfId="0" applyFont="1" applyFill="1" applyBorder="1" applyAlignment="1">
      <alignment horizontal="center"/>
    </xf>
    <xf numFmtId="0" fontId="150" fillId="0" borderId="0" xfId="367" applyFont="1" applyAlignment="1">
      <alignment horizontal="center"/>
    </xf>
    <xf numFmtId="0" fontId="149" fillId="0" borderId="0" xfId="367" applyFont="1" applyAlignment="1">
      <alignment horizontal="center"/>
    </xf>
    <xf numFmtId="0" fontId="55" fillId="0" borderId="0" xfId="62" applyFont="1" applyAlignment="1">
      <alignment horizontal="center"/>
    </xf>
    <xf numFmtId="0" fontId="54" fillId="0" borderId="0" xfId="62" applyFont="1" applyAlignment="1">
      <alignment horizontal="center"/>
    </xf>
  </cellXfs>
  <cellStyles count="406">
    <cellStyle name="20% - Accent1" xfId="20" builtinId="30" customBuiltin="1"/>
    <cellStyle name="20% - Accent1 10" xfId="211" xr:uid="{4BF1C586-B936-4F19-8B1B-3001A3DDCB26}"/>
    <cellStyle name="20% - Accent1 11" xfId="231" xr:uid="{30B8D171-8EAE-46D8-9F80-B79EC85944B3}"/>
    <cellStyle name="20% - Accent1 12" xfId="251" xr:uid="{D8F5FC3E-F4EF-42A0-A63E-56396EF21DB1}"/>
    <cellStyle name="20% - Accent1 13" xfId="270" xr:uid="{BA46917D-E2D5-4A53-A45F-B4A5E27211DD}"/>
    <cellStyle name="20% - Accent1 14" xfId="290" xr:uid="{0CB4EBB3-8E6E-4E34-B794-2FB7A80FD8B8}"/>
    <cellStyle name="20% - Accent1 15" xfId="309" xr:uid="{836AC9C5-934A-4689-96AD-D498CCAA036F}"/>
    <cellStyle name="20% - Accent1 16" xfId="328" xr:uid="{9EA1A4CF-345A-49C9-87D4-E1B413BAB5DE}"/>
    <cellStyle name="20% - Accent1 17" xfId="348" xr:uid="{7C6BD2AC-999C-4AAE-B992-C69BE7FE308B}"/>
    <cellStyle name="20% - Accent1 18" xfId="369" xr:uid="{C027FCBD-227C-4042-A4C7-9EB2553A12EA}"/>
    <cellStyle name="20% - Accent1 19" xfId="388" xr:uid="{D7C931CA-53A4-4EEE-B809-5FB55AE154A8}"/>
    <cellStyle name="20% - Accent1 2" xfId="44" xr:uid="{00000000-0005-0000-0000-000001000000}"/>
    <cellStyle name="20% - Accent1 3" xfId="64" xr:uid="{0E64A54C-73B4-436C-9550-50A80EC0A3C2}"/>
    <cellStyle name="20% - Accent1 4" xfId="83" xr:uid="{0C41A6FF-0FEC-4ED8-BDBB-A83DFBA83EA9}"/>
    <cellStyle name="20% - Accent1 5" xfId="104" xr:uid="{82103C08-FDDA-4B88-AD7F-515D3CB1C005}"/>
    <cellStyle name="20% - Accent1 6" xfId="124" xr:uid="{06703442-41C8-40E8-8BDA-526637EBE261}"/>
    <cellStyle name="20% - Accent1 7" xfId="145" xr:uid="{65729A93-D086-4C5E-AE4A-CE2795E3B8BE}"/>
    <cellStyle name="20% - Accent1 8" xfId="166" xr:uid="{9A02299F-D4F1-45FC-BB68-2579B4C698AA}"/>
    <cellStyle name="20% - Accent1 9" xfId="191" xr:uid="{C033DDEF-373C-4DC6-9F0D-C6FE72CAD83E}"/>
    <cellStyle name="20% - Accent2" xfId="24" builtinId="34" customBuiltin="1"/>
    <cellStyle name="20% - Accent2 10" xfId="214" xr:uid="{3AAC94BA-7118-46C3-868B-FE8DEA38BBC8}"/>
    <cellStyle name="20% - Accent2 11" xfId="234" xr:uid="{8AF30A2A-ED2E-4697-A65B-BDF4C97E86E8}"/>
    <cellStyle name="20% - Accent2 12" xfId="254" xr:uid="{F0AC398D-7D97-4210-BEF3-37B61F31A061}"/>
    <cellStyle name="20% - Accent2 13" xfId="273" xr:uid="{04B0AC73-ED91-4C43-A649-B018BD907B94}"/>
    <cellStyle name="20% - Accent2 14" xfId="293" xr:uid="{2FC303E7-C843-486F-9642-3BE664C65A4E}"/>
    <cellStyle name="20% - Accent2 15" xfId="312" xr:uid="{7CEB5A58-5BF2-46F3-B3AB-C0B0DC14CA75}"/>
    <cellStyle name="20% - Accent2 16" xfId="331" xr:uid="{22B2AAC8-FE8B-47DA-BBF8-90D40424055E}"/>
    <cellStyle name="20% - Accent2 17" xfId="351" xr:uid="{5B178531-3315-4952-8638-368A7A36DA65}"/>
    <cellStyle name="20% - Accent2 18" xfId="372" xr:uid="{FD39D78D-2D39-44C9-81A3-1E86802C889E}"/>
    <cellStyle name="20% - Accent2 19" xfId="391" xr:uid="{803EE871-BF63-466F-839E-21BA458FA191}"/>
    <cellStyle name="20% - Accent2 2" xfId="47" xr:uid="{00000000-0005-0000-0000-000003000000}"/>
    <cellStyle name="20% - Accent2 3" xfId="67" xr:uid="{1C3341D3-6B32-4C8A-9CF4-9484B7194F56}"/>
    <cellStyle name="20% - Accent2 4" xfId="86" xr:uid="{3B5572BD-6AF3-4EDB-8B1B-5ED39D6B5C2D}"/>
    <cellStyle name="20% - Accent2 5" xfId="107" xr:uid="{572954DA-E281-42AB-902B-2A1AE9ECC634}"/>
    <cellStyle name="20% - Accent2 6" xfId="127" xr:uid="{2734B448-501B-40DB-9AA3-9A6AB05D668A}"/>
    <cellStyle name="20% - Accent2 7" xfId="148" xr:uid="{AB1AA1FE-36C8-46A8-B4CE-AC496769BB7B}"/>
    <cellStyle name="20% - Accent2 8" xfId="169" xr:uid="{C7DDF563-0BB8-45DC-88C0-09B0DED72E96}"/>
    <cellStyle name="20% - Accent2 9" xfId="194" xr:uid="{D7E5E7F0-EDB7-4F7A-86AF-696FCF164F3C}"/>
    <cellStyle name="20% - Accent3" xfId="28" builtinId="38" customBuiltin="1"/>
    <cellStyle name="20% - Accent3 10" xfId="217" xr:uid="{03AFC204-602B-4046-9C8A-DED877F9A7A7}"/>
    <cellStyle name="20% - Accent3 11" xfId="237" xr:uid="{A75A543E-B6BC-4330-84DF-FA84786A4938}"/>
    <cellStyle name="20% - Accent3 12" xfId="257" xr:uid="{A4A28EAD-089E-4F03-B574-64A6C62C354B}"/>
    <cellStyle name="20% - Accent3 13" xfId="276" xr:uid="{E77C8BD3-147B-4EFC-A3FA-104413F89A45}"/>
    <cellStyle name="20% - Accent3 14" xfId="296" xr:uid="{46187938-5993-49E8-8AEC-84346AA24079}"/>
    <cellStyle name="20% - Accent3 15" xfId="315" xr:uid="{C12292CE-6F9E-4B7A-A30F-13AAE55DF217}"/>
    <cellStyle name="20% - Accent3 16" xfId="334" xr:uid="{AF1551F3-2E97-4173-ADCC-4AD4B691AC73}"/>
    <cellStyle name="20% - Accent3 17" xfId="354" xr:uid="{8593D26B-38F1-4714-A9F5-F3C5AFCF8EDC}"/>
    <cellStyle name="20% - Accent3 18" xfId="375" xr:uid="{B35962B0-1A91-4E1D-B04A-5BA4BDBA8020}"/>
    <cellStyle name="20% - Accent3 19" xfId="394" xr:uid="{1301BCEE-3BD0-4DAF-A35B-79AD1C9896F4}"/>
    <cellStyle name="20% - Accent3 2" xfId="50" xr:uid="{00000000-0005-0000-0000-000005000000}"/>
    <cellStyle name="20% - Accent3 3" xfId="70" xr:uid="{CE0177C1-9A0F-48A7-85F8-2ABD7E3D29AC}"/>
    <cellStyle name="20% - Accent3 4" xfId="89" xr:uid="{16740D2A-A04E-4117-BF06-64EE85D04F4B}"/>
    <cellStyle name="20% - Accent3 5" xfId="110" xr:uid="{E73DC2F4-0FE4-458D-87F6-4511345F0F7D}"/>
    <cellStyle name="20% - Accent3 6" xfId="130" xr:uid="{CF46763A-8263-4A24-9B92-E2C7ED033D40}"/>
    <cellStyle name="20% - Accent3 7" xfId="151" xr:uid="{BF895E79-9970-4D94-930B-1A2449956E09}"/>
    <cellStyle name="20% - Accent3 8" xfId="172" xr:uid="{47FC486F-5CF4-4E63-9B77-E449B11B6430}"/>
    <cellStyle name="20% - Accent3 9" xfId="197" xr:uid="{59ECFED7-C6BB-4362-9089-A40F5E27ABF0}"/>
    <cellStyle name="20% - Accent4" xfId="32" builtinId="42" customBuiltin="1"/>
    <cellStyle name="20% - Accent4 10" xfId="220" xr:uid="{E49A0E02-39BA-4EC2-BC57-E88247057E01}"/>
    <cellStyle name="20% - Accent4 11" xfId="240" xr:uid="{D6361B67-99CF-4095-B69A-3F41FA49FA69}"/>
    <cellStyle name="20% - Accent4 12" xfId="260" xr:uid="{B68A6B88-0665-4A3F-8674-31253AEE1590}"/>
    <cellStyle name="20% - Accent4 13" xfId="279" xr:uid="{0713F12A-B4C3-459B-9A66-E6FC4672DD78}"/>
    <cellStyle name="20% - Accent4 14" xfId="299" xr:uid="{9281E56C-3783-4216-9E0B-C4B97D8C7AD6}"/>
    <cellStyle name="20% - Accent4 15" xfId="318" xr:uid="{48524EC3-E58C-4267-AF72-0F2CB122AE7F}"/>
    <cellStyle name="20% - Accent4 16" xfId="337" xr:uid="{B648BB98-667A-4709-BAD9-53AD817FAB78}"/>
    <cellStyle name="20% - Accent4 17" xfId="357" xr:uid="{4233107F-20F9-4758-8F60-188CA997E184}"/>
    <cellStyle name="20% - Accent4 18" xfId="378" xr:uid="{4530A5DB-5729-4C77-8FE1-4421419C3730}"/>
    <cellStyle name="20% - Accent4 19" xfId="397" xr:uid="{6F95038A-5127-4512-A245-AE659176FC6C}"/>
    <cellStyle name="20% - Accent4 2" xfId="53" xr:uid="{00000000-0005-0000-0000-000007000000}"/>
    <cellStyle name="20% - Accent4 3" xfId="73" xr:uid="{A65A449B-1E7E-49C8-8932-B3B61AFE8DFB}"/>
    <cellStyle name="20% - Accent4 4" xfId="92" xr:uid="{232A0BD3-3CFB-4C39-913D-2392D790671B}"/>
    <cellStyle name="20% - Accent4 5" xfId="113" xr:uid="{9EFACBB6-9EBB-4FDA-AC95-6BB7AB309D19}"/>
    <cellStyle name="20% - Accent4 6" xfId="133" xr:uid="{1BB2054F-00F0-476E-B0FF-DD5FF55AEED5}"/>
    <cellStyle name="20% - Accent4 7" xfId="154" xr:uid="{60A7C525-1EE1-4EC9-8098-170BD888D566}"/>
    <cellStyle name="20% - Accent4 8" xfId="175" xr:uid="{4852F734-2AED-4D43-BCAC-D96950C69BED}"/>
    <cellStyle name="20% - Accent4 9" xfId="200" xr:uid="{8A25BFAC-C24C-4FA5-A6EE-3F06EC840928}"/>
    <cellStyle name="20% - Accent5" xfId="36" builtinId="46" customBuiltin="1"/>
    <cellStyle name="20% - Accent5 10" xfId="223" xr:uid="{6D8410A5-A8C8-43B4-AECF-C2C782E165E3}"/>
    <cellStyle name="20% - Accent5 11" xfId="243" xr:uid="{964909AB-889D-4261-84BA-47549706A002}"/>
    <cellStyle name="20% - Accent5 12" xfId="263" xr:uid="{0F5A4868-2C01-41AE-9CCA-EA12A473DD2F}"/>
    <cellStyle name="20% - Accent5 13" xfId="282" xr:uid="{20F7EDD3-A2CA-4865-AF84-D755C504264C}"/>
    <cellStyle name="20% - Accent5 14" xfId="302" xr:uid="{0C5D95FE-A276-4A75-A171-EAF2BE10B53B}"/>
    <cellStyle name="20% - Accent5 15" xfId="321" xr:uid="{B0492FFD-C189-4EED-8FF3-289413AB6467}"/>
    <cellStyle name="20% - Accent5 16" xfId="340" xr:uid="{3E4ECFE5-CEB3-4413-BD0A-C571C202E47F}"/>
    <cellStyle name="20% - Accent5 17" xfId="360" xr:uid="{3892C44B-AB61-4D49-AEEC-76C3D5649F65}"/>
    <cellStyle name="20% - Accent5 18" xfId="381" xr:uid="{7B27B31D-142D-448D-88CC-21A76BA2897D}"/>
    <cellStyle name="20% - Accent5 19" xfId="400" xr:uid="{A65ACF71-0D12-4AAF-A368-988792C028FD}"/>
    <cellStyle name="20% - Accent5 2" xfId="56" xr:uid="{00000000-0005-0000-0000-000009000000}"/>
    <cellStyle name="20% - Accent5 3" xfId="76" xr:uid="{4223BA78-FDE2-4D7A-A72F-295905FC8FC2}"/>
    <cellStyle name="20% - Accent5 4" xfId="95" xr:uid="{67588A89-8865-4BA1-9FFA-F5491F271CB2}"/>
    <cellStyle name="20% - Accent5 5" xfId="116" xr:uid="{554D5201-F903-4E28-AD59-064A99F47E07}"/>
    <cellStyle name="20% - Accent5 6" xfId="136" xr:uid="{34CC4791-A2A2-4D01-ABB4-7D5F8FCE3FB7}"/>
    <cellStyle name="20% - Accent5 7" xfId="157" xr:uid="{F23D62C1-A61C-4036-87E9-A6C4751064D3}"/>
    <cellStyle name="20% - Accent5 8" xfId="178" xr:uid="{25328E1F-C5EF-49B8-AC67-75413AE45EDC}"/>
    <cellStyle name="20% - Accent5 9" xfId="203" xr:uid="{72DC0FB9-0664-41FC-8B7A-7F7F545AC0BE}"/>
    <cellStyle name="20% - Accent6" xfId="40" builtinId="50" customBuiltin="1"/>
    <cellStyle name="20% - Accent6 10" xfId="226" xr:uid="{871F9328-01D5-490D-8AD9-390F0D334080}"/>
    <cellStyle name="20% - Accent6 11" xfId="246" xr:uid="{79699859-802A-4BF0-ABB7-3CAA179983C9}"/>
    <cellStyle name="20% - Accent6 12" xfId="266" xr:uid="{9D3272D4-7203-476B-8D16-353A162EF1BD}"/>
    <cellStyle name="20% - Accent6 13" xfId="285" xr:uid="{BC28E94D-F381-4FF4-9484-638E30F19119}"/>
    <cellStyle name="20% - Accent6 14" xfId="305" xr:uid="{13FA5711-697E-4F66-80E5-D6B9B0294739}"/>
    <cellStyle name="20% - Accent6 15" xfId="324" xr:uid="{A0480B17-95AB-4331-9B2B-0355923DA0AE}"/>
    <cellStyle name="20% - Accent6 16" xfId="343" xr:uid="{D953D495-406E-4539-8A3F-3C66C97D1642}"/>
    <cellStyle name="20% - Accent6 17" xfId="363" xr:uid="{DC2960DC-7656-4B65-BF65-0A53133FF8EF}"/>
    <cellStyle name="20% - Accent6 18" xfId="384" xr:uid="{33F781BA-00E9-4C0E-826B-C1D314F0BC08}"/>
    <cellStyle name="20% - Accent6 19" xfId="403" xr:uid="{ABBE8FB5-3388-43CF-AB59-BE78F93D5316}"/>
    <cellStyle name="20% - Accent6 2" xfId="59" xr:uid="{00000000-0005-0000-0000-00000B000000}"/>
    <cellStyle name="20% - Accent6 3" xfId="79" xr:uid="{C43BBD0C-2E60-455A-AD03-99AFD1F43CAC}"/>
    <cellStyle name="20% - Accent6 4" xfId="98" xr:uid="{2B0B2B9D-70E1-4843-ABCC-EC9B8837C34A}"/>
    <cellStyle name="20% - Accent6 5" xfId="119" xr:uid="{7FB34E25-16AC-4C44-916F-3BF371FB2726}"/>
    <cellStyle name="20% - Accent6 6" xfId="139" xr:uid="{223D2682-9E7C-4C30-83E7-9A638D3B9301}"/>
    <cellStyle name="20% - Accent6 7" xfId="160" xr:uid="{1FA572E9-21F1-4504-BE53-B3E143F55B6B}"/>
    <cellStyle name="20% - Accent6 8" xfId="181" xr:uid="{F7704EB5-284B-4174-9AB0-480E1FCB6A16}"/>
    <cellStyle name="20% - Accent6 9" xfId="206" xr:uid="{85B6FD42-6A6F-467B-90B5-FA84338CB045}"/>
    <cellStyle name="40% - Accent1" xfId="21" builtinId="31" customBuiltin="1"/>
    <cellStyle name="40% - Accent1 10" xfId="212" xr:uid="{45ABF0F5-8F05-4BA5-BFD4-908F410AC144}"/>
    <cellStyle name="40% - Accent1 11" xfId="232" xr:uid="{65E2AC6E-F589-4874-96D0-FCCE1DB8F665}"/>
    <cellStyle name="40% - Accent1 12" xfId="252" xr:uid="{533513AF-324E-4998-A649-CA2FCA2FFA9A}"/>
    <cellStyle name="40% - Accent1 13" xfId="271" xr:uid="{A6E75B64-05EB-4EA4-A0D7-F9F39CB7AF2A}"/>
    <cellStyle name="40% - Accent1 14" xfId="291" xr:uid="{B2386791-2425-4C1A-BB54-3A063170B913}"/>
    <cellStyle name="40% - Accent1 15" xfId="310" xr:uid="{FD2CE68D-2B2F-4E1C-8E18-8D8F14214272}"/>
    <cellStyle name="40% - Accent1 16" xfId="329" xr:uid="{3B448453-A54D-4CA8-A859-B1F07B121EED}"/>
    <cellStyle name="40% - Accent1 17" xfId="349" xr:uid="{B8FC245B-6BD7-4805-90DE-6E8D7906D555}"/>
    <cellStyle name="40% - Accent1 18" xfId="370" xr:uid="{0573391C-F7A3-44C1-B792-E3F413613CDE}"/>
    <cellStyle name="40% - Accent1 19" xfId="389" xr:uid="{1D8140C3-35F0-4360-991E-216817E4DAB2}"/>
    <cellStyle name="40% - Accent1 2" xfId="45" xr:uid="{00000000-0005-0000-0000-00000D000000}"/>
    <cellStyle name="40% - Accent1 3" xfId="65" xr:uid="{7A3470D0-4144-4651-8409-FE974F3629FC}"/>
    <cellStyle name="40% - Accent1 4" xfId="84" xr:uid="{699939DD-78FB-4015-8C39-6CB6F674D513}"/>
    <cellStyle name="40% - Accent1 5" xfId="105" xr:uid="{BF100F29-D273-49B3-96A4-BDCB79F4FB83}"/>
    <cellStyle name="40% - Accent1 6" xfId="125" xr:uid="{6F7D2502-60F6-48F5-B5DE-7CAFE2B4FD4B}"/>
    <cellStyle name="40% - Accent1 7" xfId="146" xr:uid="{76FF4D9E-1685-46AC-99AC-A503FD1A59C7}"/>
    <cellStyle name="40% - Accent1 8" xfId="167" xr:uid="{9BDE2B52-FC4E-4600-B7FC-83BEF3ABA079}"/>
    <cellStyle name="40% - Accent1 9" xfId="192" xr:uid="{8EDC0888-A4C0-49E6-940B-D29E9D745399}"/>
    <cellStyle name="40% - Accent2" xfId="25" builtinId="35" customBuiltin="1"/>
    <cellStyle name="40% - Accent2 10" xfId="215" xr:uid="{B8AB7C6C-274A-4F78-8FCC-C9494097D8E8}"/>
    <cellStyle name="40% - Accent2 11" xfId="235" xr:uid="{4137DF09-D6A6-46CA-A162-22C435CE526D}"/>
    <cellStyle name="40% - Accent2 12" xfId="255" xr:uid="{898DCF05-5E80-406B-A2F4-7C6776424566}"/>
    <cellStyle name="40% - Accent2 13" xfId="274" xr:uid="{21A5958B-4B00-43F9-A9AF-563CC7755067}"/>
    <cellStyle name="40% - Accent2 14" xfId="294" xr:uid="{F9AFAA12-5897-47A5-B4A4-24CCAD4B7484}"/>
    <cellStyle name="40% - Accent2 15" xfId="313" xr:uid="{8E289A28-E95F-40E9-8AD4-5F16CC3FB1D8}"/>
    <cellStyle name="40% - Accent2 16" xfId="332" xr:uid="{832C4BEE-90C8-40F6-8FD4-5E5BEEDE7601}"/>
    <cellStyle name="40% - Accent2 17" xfId="352" xr:uid="{E25D7D23-4526-4963-9A96-22CC49AE9932}"/>
    <cellStyle name="40% - Accent2 18" xfId="373" xr:uid="{DE6E7348-CDF0-4391-ACC2-464F7DA62D97}"/>
    <cellStyle name="40% - Accent2 19" xfId="392" xr:uid="{B18A0C0E-775F-40C1-9E92-90FABBA20CBC}"/>
    <cellStyle name="40% - Accent2 2" xfId="48" xr:uid="{00000000-0005-0000-0000-00000F000000}"/>
    <cellStyle name="40% - Accent2 3" xfId="68" xr:uid="{5B5B304C-6468-4A00-8519-BEE1F27F109C}"/>
    <cellStyle name="40% - Accent2 4" xfId="87" xr:uid="{6D2CE39B-0BB4-4512-902E-77EF54CF4994}"/>
    <cellStyle name="40% - Accent2 5" xfId="108" xr:uid="{4F8E6B4D-F544-4F96-AEE5-1FDDE366F292}"/>
    <cellStyle name="40% - Accent2 6" xfId="128" xr:uid="{B139B661-48C5-4D31-8E63-D969C7D8944B}"/>
    <cellStyle name="40% - Accent2 7" xfId="149" xr:uid="{57241D85-1871-41A3-850D-40E0286A253D}"/>
    <cellStyle name="40% - Accent2 8" xfId="170" xr:uid="{50FA8456-E0E0-4FBC-AD35-A395FC54BC24}"/>
    <cellStyle name="40% - Accent2 9" xfId="195" xr:uid="{D6C928A3-0806-4013-929F-F99EB85754A7}"/>
    <cellStyle name="40% - Accent3" xfId="29" builtinId="39" customBuiltin="1"/>
    <cellStyle name="40% - Accent3 10" xfId="218" xr:uid="{A341D990-32B0-4F43-ADE6-3C44E3EC7F70}"/>
    <cellStyle name="40% - Accent3 11" xfId="238" xr:uid="{3DFD91EF-F67E-444B-830C-F6BDDA28A81D}"/>
    <cellStyle name="40% - Accent3 12" xfId="258" xr:uid="{C7A0C760-1174-4700-84A2-B4DA1D2EA098}"/>
    <cellStyle name="40% - Accent3 13" xfId="277" xr:uid="{98D95CE2-5082-4320-81E6-FDA541BEDD53}"/>
    <cellStyle name="40% - Accent3 14" xfId="297" xr:uid="{0C683809-D1D0-4344-9963-AA716FEE73F2}"/>
    <cellStyle name="40% - Accent3 15" xfId="316" xr:uid="{DC254E62-9EB1-407C-86B9-EEA30F909B29}"/>
    <cellStyle name="40% - Accent3 16" xfId="335" xr:uid="{E08D4FEE-034B-470C-8627-A866C6AC9EF1}"/>
    <cellStyle name="40% - Accent3 17" xfId="355" xr:uid="{72C15A88-D6B2-471E-AD18-DB5027D22101}"/>
    <cellStyle name="40% - Accent3 18" xfId="376" xr:uid="{BC9586E5-F813-4CE7-9EBF-7B83CFDC2893}"/>
    <cellStyle name="40% - Accent3 19" xfId="395" xr:uid="{6ED20F2A-B081-4ED0-ACC7-C76B450A0FE0}"/>
    <cellStyle name="40% - Accent3 2" xfId="51" xr:uid="{00000000-0005-0000-0000-000011000000}"/>
    <cellStyle name="40% - Accent3 3" xfId="71" xr:uid="{AB96036F-53F2-4CE8-86BB-876A05189BC0}"/>
    <cellStyle name="40% - Accent3 4" xfId="90" xr:uid="{BD955718-C4A5-4012-88C2-1F3AEBAF2C21}"/>
    <cellStyle name="40% - Accent3 5" xfId="111" xr:uid="{8ECE7F58-E070-43E9-8D76-77C4431DD2BA}"/>
    <cellStyle name="40% - Accent3 6" xfId="131" xr:uid="{3DBF2537-9D31-4C02-BDC4-C29FACBFAE59}"/>
    <cellStyle name="40% - Accent3 7" xfId="152" xr:uid="{BBFBD2F0-0818-4444-9290-3E0E7FBA1182}"/>
    <cellStyle name="40% - Accent3 8" xfId="173" xr:uid="{7836D57C-93BD-4B2A-BC25-64C16E6AC642}"/>
    <cellStyle name="40% - Accent3 9" xfId="198" xr:uid="{9E35B2A0-14CF-41B3-88CB-8DE7C371ACEB}"/>
    <cellStyle name="40% - Accent4" xfId="33" builtinId="43" customBuiltin="1"/>
    <cellStyle name="40% - Accent4 10" xfId="221" xr:uid="{73EDA6F6-442F-48DF-8713-ADA7E6151F6F}"/>
    <cellStyle name="40% - Accent4 11" xfId="241" xr:uid="{1395875C-6A98-4FEC-9A6B-D5EB47F23D12}"/>
    <cellStyle name="40% - Accent4 12" xfId="261" xr:uid="{4FEF8DA3-B002-4591-8533-7F217DE1F9B0}"/>
    <cellStyle name="40% - Accent4 13" xfId="280" xr:uid="{DC3A78D1-DAA0-4D2B-8D5D-42CF649A3FAE}"/>
    <cellStyle name="40% - Accent4 14" xfId="300" xr:uid="{B3613EBF-8BF7-46FA-8E89-B408D98944C8}"/>
    <cellStyle name="40% - Accent4 15" xfId="319" xr:uid="{D3E2E330-3944-4E6F-8130-8FC443DE021F}"/>
    <cellStyle name="40% - Accent4 16" xfId="338" xr:uid="{44DFFF1C-9E53-40EF-BB73-7FBFED9FEF77}"/>
    <cellStyle name="40% - Accent4 17" xfId="358" xr:uid="{3EAA8CC4-5BB4-4812-A031-D14D05F9E02B}"/>
    <cellStyle name="40% - Accent4 18" xfId="379" xr:uid="{527FA11E-EF8E-4248-811A-32E7A096997F}"/>
    <cellStyle name="40% - Accent4 19" xfId="398" xr:uid="{2AAF879A-C0A4-40FC-AD0F-5F5FAB13C5A0}"/>
    <cellStyle name="40% - Accent4 2" xfId="54" xr:uid="{00000000-0005-0000-0000-000013000000}"/>
    <cellStyle name="40% - Accent4 3" xfId="74" xr:uid="{3887AA6C-D3FB-47EF-B2EE-E0EC8350613C}"/>
    <cellStyle name="40% - Accent4 4" xfId="93" xr:uid="{BC28A2AA-A716-4DF1-993A-0DA9121D3304}"/>
    <cellStyle name="40% - Accent4 5" xfId="114" xr:uid="{8B0A5854-A601-48A9-BBE0-08DD375FCFBB}"/>
    <cellStyle name="40% - Accent4 6" xfId="134" xr:uid="{7C084799-00A1-4BE5-95B6-3A619FFC551D}"/>
    <cellStyle name="40% - Accent4 7" xfId="155" xr:uid="{60C01289-157C-4110-B9D0-09DF43A28A87}"/>
    <cellStyle name="40% - Accent4 8" xfId="176" xr:uid="{9B76069C-7460-4EA6-B3A3-1FBA80575AAD}"/>
    <cellStyle name="40% - Accent4 9" xfId="201" xr:uid="{A0A289B0-C59A-4741-8FF0-155A5D0F123A}"/>
    <cellStyle name="40% - Accent5" xfId="37" builtinId="47" customBuiltin="1"/>
    <cellStyle name="40% - Accent5 10" xfId="224" xr:uid="{2FAE93A2-84E4-4182-BC26-397F58FADBB9}"/>
    <cellStyle name="40% - Accent5 11" xfId="244" xr:uid="{9E9D3B8C-BC6F-44D0-B835-736F3FA8158C}"/>
    <cellStyle name="40% - Accent5 12" xfId="264" xr:uid="{9953C2D0-31FB-45DA-AF46-C8CFF37FE907}"/>
    <cellStyle name="40% - Accent5 13" xfId="283" xr:uid="{6B63F515-353B-4327-8BA1-B9FE95114F0D}"/>
    <cellStyle name="40% - Accent5 14" xfId="303" xr:uid="{8BD18BEE-5533-4C91-9150-FF153562D939}"/>
    <cellStyle name="40% - Accent5 15" xfId="322" xr:uid="{71424AC3-482C-4413-BCDE-E3A6BAFEBD01}"/>
    <cellStyle name="40% - Accent5 16" xfId="341" xr:uid="{08A2E754-6C6F-4DDA-B09E-370065CB16BA}"/>
    <cellStyle name="40% - Accent5 17" xfId="361" xr:uid="{CDA1B968-2D96-4B18-AD2F-30A627E9665F}"/>
    <cellStyle name="40% - Accent5 18" xfId="382" xr:uid="{8859000B-581B-4912-9B4F-038CA2271C1B}"/>
    <cellStyle name="40% - Accent5 19" xfId="401" xr:uid="{85E6AC10-1B8C-400D-8499-1CD23DAF06F0}"/>
    <cellStyle name="40% - Accent5 2" xfId="57" xr:uid="{00000000-0005-0000-0000-000015000000}"/>
    <cellStyle name="40% - Accent5 3" xfId="77" xr:uid="{3C40D807-2B49-4DDB-A4FC-34F72A69A795}"/>
    <cellStyle name="40% - Accent5 4" xfId="96" xr:uid="{84AA4DB5-A939-4722-95E4-895325D0305E}"/>
    <cellStyle name="40% - Accent5 5" xfId="117" xr:uid="{0FD0F112-225E-495F-A0C6-4A40225E0DCF}"/>
    <cellStyle name="40% - Accent5 6" xfId="137" xr:uid="{7C3C1710-4860-4A1D-9972-95D7AD13AD33}"/>
    <cellStyle name="40% - Accent5 7" xfId="158" xr:uid="{DC7E6D85-6670-415B-942E-DAC8B8B51D7A}"/>
    <cellStyle name="40% - Accent5 8" xfId="179" xr:uid="{7AC908C8-919B-405F-AD17-3C975694A0D2}"/>
    <cellStyle name="40% - Accent5 9" xfId="204" xr:uid="{C7DBF34F-354E-45E0-8101-0926CA1A44ED}"/>
    <cellStyle name="40% - Accent6" xfId="41" builtinId="51" customBuiltin="1"/>
    <cellStyle name="40% - Accent6 10" xfId="227" xr:uid="{76258FFE-9398-4215-B1C7-19636ED78BE9}"/>
    <cellStyle name="40% - Accent6 11" xfId="247" xr:uid="{C97AC419-6EA2-49E2-9A87-C0F26C3C05AF}"/>
    <cellStyle name="40% - Accent6 12" xfId="267" xr:uid="{AED86C22-B8BD-4D0C-8300-D7928A9BCBA5}"/>
    <cellStyle name="40% - Accent6 13" xfId="286" xr:uid="{A27EBDCD-E842-45B1-8F41-9D1BEDF96623}"/>
    <cellStyle name="40% - Accent6 14" xfId="306" xr:uid="{E98EBF1D-C8C4-4CA9-8452-D1E44ED9E375}"/>
    <cellStyle name="40% - Accent6 15" xfId="325" xr:uid="{0F7ED585-F3A6-4EE6-A30C-0E1F39CFE6B9}"/>
    <cellStyle name="40% - Accent6 16" xfId="344" xr:uid="{4AA5B269-B258-40D6-96EB-7B5128F37BF1}"/>
    <cellStyle name="40% - Accent6 17" xfId="364" xr:uid="{2E639843-9E37-4237-AA9B-67ECA913A020}"/>
    <cellStyle name="40% - Accent6 18" xfId="385" xr:uid="{070CFA55-8B69-4A73-B011-54AE19D6004B}"/>
    <cellStyle name="40% - Accent6 19" xfId="404" xr:uid="{CA2F964D-4696-4B48-B07F-F5EFC8CAB316}"/>
    <cellStyle name="40% - Accent6 2" xfId="60" xr:uid="{00000000-0005-0000-0000-000017000000}"/>
    <cellStyle name="40% - Accent6 3" xfId="80" xr:uid="{CC4E861F-CD47-4EAC-AD8D-6BEB4C497A8F}"/>
    <cellStyle name="40% - Accent6 4" xfId="99" xr:uid="{C50FFEB9-A60F-445A-A867-6C7313B37151}"/>
    <cellStyle name="40% - Accent6 5" xfId="120" xr:uid="{8211BD27-8B16-4C43-9F40-ED47ED4BB8A1}"/>
    <cellStyle name="40% - Accent6 6" xfId="140" xr:uid="{2E5B49E4-805A-4507-B2BA-9C034F8884C2}"/>
    <cellStyle name="40% - Accent6 7" xfId="161" xr:uid="{326FAE54-3208-4D79-8B95-0DA5FEB5D561}"/>
    <cellStyle name="40% - Accent6 8" xfId="182" xr:uid="{B3ED6ABC-114E-4391-BF67-B3CB9F1B2643}"/>
    <cellStyle name="40% - Accent6 9" xfId="207" xr:uid="{0359D867-34F3-465B-9372-432448B1D923}"/>
    <cellStyle name="60% - Accent1" xfId="22" builtinId="32" customBuiltin="1"/>
    <cellStyle name="60% - Accent1 10" xfId="213" xr:uid="{C8FF1221-4CAC-4195-B8FB-20A26EA63039}"/>
    <cellStyle name="60% - Accent1 11" xfId="233" xr:uid="{C12F3CDD-F177-4EEB-880B-FD6B1DD2E151}"/>
    <cellStyle name="60% - Accent1 12" xfId="253" xr:uid="{8C5B3686-7A21-4A45-AFE2-D235529F874B}"/>
    <cellStyle name="60% - Accent1 13" xfId="272" xr:uid="{82A6CECA-45D4-4144-82A3-2B7B1683C71B}"/>
    <cellStyle name="60% - Accent1 14" xfId="292" xr:uid="{54C481EC-FE15-4D6B-AD6A-872F992E2CB1}"/>
    <cellStyle name="60% - Accent1 15" xfId="311" xr:uid="{77DC6AAE-0051-4664-A2BA-C459E9A2A75A}"/>
    <cellStyle name="60% - Accent1 16" xfId="330" xr:uid="{B568E931-8F81-4C7C-A0D6-384D08786E36}"/>
    <cellStyle name="60% - Accent1 17" xfId="350" xr:uid="{AC500DBE-8154-4DF2-96D6-44F1C34702D5}"/>
    <cellStyle name="60% - Accent1 18" xfId="371" xr:uid="{C60DD172-C85F-452F-A3B7-05DA1F166B54}"/>
    <cellStyle name="60% - Accent1 19" xfId="390" xr:uid="{DE45B0BD-CFC1-493C-977B-206875CF81BF}"/>
    <cellStyle name="60% - Accent1 2" xfId="46" xr:uid="{00000000-0005-0000-0000-000019000000}"/>
    <cellStyle name="60% - Accent1 3" xfId="66" xr:uid="{C7B60129-373F-41EF-9794-1F2591F75A3A}"/>
    <cellStyle name="60% - Accent1 4" xfId="85" xr:uid="{EBDE0EF6-416D-4C2D-BDBF-874BFDEF57F3}"/>
    <cellStyle name="60% - Accent1 5" xfId="106" xr:uid="{1AFDA8F1-2F25-4889-8412-AC5EDE4DC011}"/>
    <cellStyle name="60% - Accent1 6" xfId="126" xr:uid="{2E209DB2-74FB-400E-A29B-2D1CFF6BB04B}"/>
    <cellStyle name="60% - Accent1 7" xfId="147" xr:uid="{077EBBBD-A6C2-49D5-83E6-379AEB7E089A}"/>
    <cellStyle name="60% - Accent1 8" xfId="168" xr:uid="{A145470A-F963-4630-BC2A-78EEB70F6921}"/>
    <cellStyle name="60% - Accent1 9" xfId="193" xr:uid="{A6730EF0-6DA6-47B8-9EDD-91B5DDEBB013}"/>
    <cellStyle name="60% - Accent2" xfId="26" builtinId="36" customBuiltin="1"/>
    <cellStyle name="60% - Accent2 10" xfId="216" xr:uid="{26BCA2D4-6F8A-4812-A59D-1F67F47D2551}"/>
    <cellStyle name="60% - Accent2 11" xfId="236" xr:uid="{697CA863-AF56-477F-BF5F-DE9E4DF5F483}"/>
    <cellStyle name="60% - Accent2 12" xfId="256" xr:uid="{3DC11654-CCA1-4C62-8437-8382781E9009}"/>
    <cellStyle name="60% - Accent2 13" xfId="275" xr:uid="{EF27071C-1939-4652-B5E4-4FCFB5D921DE}"/>
    <cellStyle name="60% - Accent2 14" xfId="295" xr:uid="{0A4FE633-B4E0-4870-9393-E7499DAEFF61}"/>
    <cellStyle name="60% - Accent2 15" xfId="314" xr:uid="{26957A6B-B8D5-4DCB-B74A-E0BC6AE9D400}"/>
    <cellStyle name="60% - Accent2 16" xfId="333" xr:uid="{E3BB999F-CC3F-4978-9B18-88AB9820D71D}"/>
    <cellStyle name="60% - Accent2 17" xfId="353" xr:uid="{8A9D1679-38B6-4655-A293-4B22AD89DA30}"/>
    <cellStyle name="60% - Accent2 18" xfId="374" xr:uid="{DE50F099-46AF-401E-AF66-78D735626843}"/>
    <cellStyle name="60% - Accent2 19" xfId="393" xr:uid="{79EEA6D1-6F7A-43E3-901D-6176E969B530}"/>
    <cellStyle name="60% - Accent2 2" xfId="49" xr:uid="{00000000-0005-0000-0000-00001B000000}"/>
    <cellStyle name="60% - Accent2 3" xfId="69" xr:uid="{F50A57AC-E2EF-41F7-BCDB-E1D8BBB68102}"/>
    <cellStyle name="60% - Accent2 4" xfId="88" xr:uid="{4CD0A1CA-D5E7-4383-92AC-ADA33AE407E5}"/>
    <cellStyle name="60% - Accent2 5" xfId="109" xr:uid="{1D1A6FF7-297A-4133-B196-24CFF9B992FB}"/>
    <cellStyle name="60% - Accent2 6" xfId="129" xr:uid="{C57C8959-DA91-4EC0-952E-149D10A2F140}"/>
    <cellStyle name="60% - Accent2 7" xfId="150" xr:uid="{5CC545D4-85C9-4635-82AD-E3ACC080D5F3}"/>
    <cellStyle name="60% - Accent2 8" xfId="171" xr:uid="{0D37802A-8B84-476E-8DDC-D0A03B71BBE4}"/>
    <cellStyle name="60% - Accent2 9" xfId="196" xr:uid="{216C23B4-3BB7-4401-B68A-F4FEDC01FDA2}"/>
    <cellStyle name="60% - Accent3" xfId="30" builtinId="40" customBuiltin="1"/>
    <cellStyle name="60% - Accent3 10" xfId="219" xr:uid="{368F2CE6-1876-44EA-BBFC-E213390584A7}"/>
    <cellStyle name="60% - Accent3 11" xfId="239" xr:uid="{35C26D5D-CF60-4BDD-9F8B-86F450DE85A4}"/>
    <cellStyle name="60% - Accent3 12" xfId="259" xr:uid="{C5B7A1CC-2C70-4E37-A6D5-928AE67A4CD1}"/>
    <cellStyle name="60% - Accent3 13" xfId="278" xr:uid="{3A6C5DC5-27A8-4D1A-AD87-4C1AA31CEBC8}"/>
    <cellStyle name="60% - Accent3 14" xfId="298" xr:uid="{757EA502-15F3-45E7-B862-B5750CBC885A}"/>
    <cellStyle name="60% - Accent3 15" xfId="317" xr:uid="{DADCB35A-568A-41E9-9C39-A11C58965374}"/>
    <cellStyle name="60% - Accent3 16" xfId="336" xr:uid="{67B45D4F-9D7A-4BE7-A15D-E3C7559EE333}"/>
    <cellStyle name="60% - Accent3 17" xfId="356" xr:uid="{67827B6F-3D6B-44E4-84EE-0785F6D95251}"/>
    <cellStyle name="60% - Accent3 18" xfId="377" xr:uid="{B0CD2426-5779-4AE1-8FC7-F21E9A4893AB}"/>
    <cellStyle name="60% - Accent3 19" xfId="396" xr:uid="{AA9364B5-FD13-423C-8C68-467ABD2C69C0}"/>
    <cellStyle name="60% - Accent3 2" xfId="52" xr:uid="{00000000-0005-0000-0000-00001D000000}"/>
    <cellStyle name="60% - Accent3 3" xfId="72" xr:uid="{0BC77F18-057C-477F-8AFE-27B542B6B264}"/>
    <cellStyle name="60% - Accent3 4" xfId="91" xr:uid="{F15BB78B-AF83-4844-BF62-A8B8D6F615E5}"/>
    <cellStyle name="60% - Accent3 5" xfId="112" xr:uid="{54E4B710-0CBB-4AEE-A64D-F2B6672558AA}"/>
    <cellStyle name="60% - Accent3 6" xfId="132" xr:uid="{9733BA73-4E05-4D72-ABD9-E939A7EC2B20}"/>
    <cellStyle name="60% - Accent3 7" xfId="153" xr:uid="{9AA2A335-18E8-4841-AC8A-422134A62743}"/>
    <cellStyle name="60% - Accent3 8" xfId="174" xr:uid="{3F030DFD-44FE-4D8E-8E4E-E54C0B3E7198}"/>
    <cellStyle name="60% - Accent3 9" xfId="199" xr:uid="{8CFC0B54-96BF-44F9-8677-8095CB2A9DE3}"/>
    <cellStyle name="60% - Accent4" xfId="34" builtinId="44" customBuiltin="1"/>
    <cellStyle name="60% - Accent4 10" xfId="222" xr:uid="{1680E4AB-59FF-4A0C-B683-12741D80BF82}"/>
    <cellStyle name="60% - Accent4 11" xfId="242" xr:uid="{C6D34900-F9F0-4F6E-B35F-238A4504432F}"/>
    <cellStyle name="60% - Accent4 12" xfId="262" xr:uid="{3B561550-7909-4254-B8A0-DE9C1C691C0E}"/>
    <cellStyle name="60% - Accent4 13" xfId="281" xr:uid="{B7E9C4DE-7D5E-40DA-A185-6A4B017B57B3}"/>
    <cellStyle name="60% - Accent4 14" xfId="301" xr:uid="{813BE324-E59B-4306-A72B-686C49C20660}"/>
    <cellStyle name="60% - Accent4 15" xfId="320" xr:uid="{53A0AEDE-537C-4DD7-AD1F-7FAC8EC7A6ED}"/>
    <cellStyle name="60% - Accent4 16" xfId="339" xr:uid="{CB6C0451-6CBD-4AAC-BB36-C9CCF3E10633}"/>
    <cellStyle name="60% - Accent4 17" xfId="359" xr:uid="{B613B6C3-5FC4-43F8-BF97-4A6E3B727C5E}"/>
    <cellStyle name="60% - Accent4 18" xfId="380" xr:uid="{88851B42-4FF4-4F17-A2D0-F66B99057246}"/>
    <cellStyle name="60% - Accent4 19" xfId="399" xr:uid="{70987214-1033-4AFB-BD60-9B65E0D06229}"/>
    <cellStyle name="60% - Accent4 2" xfId="55" xr:uid="{00000000-0005-0000-0000-00001F000000}"/>
    <cellStyle name="60% - Accent4 3" xfId="75" xr:uid="{B05CD3BA-8E39-40BB-A685-E501D6FEDDF8}"/>
    <cellStyle name="60% - Accent4 4" xfId="94" xr:uid="{31B580C6-335A-45B5-9B81-62934DEEC9EC}"/>
    <cellStyle name="60% - Accent4 5" xfId="115" xr:uid="{7873C14F-7580-457D-9195-39F2B8AE1EF2}"/>
    <cellStyle name="60% - Accent4 6" xfId="135" xr:uid="{FBB92334-1A72-4CA6-B33D-C379D8B46F8B}"/>
    <cellStyle name="60% - Accent4 7" xfId="156" xr:uid="{88BF0BFE-024C-4B48-9970-1F17A06AF3A1}"/>
    <cellStyle name="60% - Accent4 8" xfId="177" xr:uid="{8915664C-1056-4300-AF52-1FBD6DD50C70}"/>
    <cellStyle name="60% - Accent4 9" xfId="202" xr:uid="{D6CC6731-7F74-4CE6-A4F8-F004E0C6E3DD}"/>
    <cellStyle name="60% - Accent5" xfId="38" builtinId="48" customBuiltin="1"/>
    <cellStyle name="60% - Accent5 10" xfId="225" xr:uid="{370F475F-80B8-4B76-A3B7-4CDD14324981}"/>
    <cellStyle name="60% - Accent5 11" xfId="245" xr:uid="{FF9DD3CE-73B8-4ECC-83DB-D407DB40395E}"/>
    <cellStyle name="60% - Accent5 12" xfId="265" xr:uid="{A079A157-4A33-40F6-A456-98C927F8EB18}"/>
    <cellStyle name="60% - Accent5 13" xfId="284" xr:uid="{83267392-216D-4C73-BFE2-4E6A634E2E95}"/>
    <cellStyle name="60% - Accent5 14" xfId="304" xr:uid="{D97B3EEF-02FF-4A0B-9EBA-B09E5A01CC56}"/>
    <cellStyle name="60% - Accent5 15" xfId="323" xr:uid="{F74B0A75-5669-4AEB-8EB0-74CFCA2F71CC}"/>
    <cellStyle name="60% - Accent5 16" xfId="342" xr:uid="{1422FBBC-0BAA-4D3A-A7A9-0B9BB41B5F89}"/>
    <cellStyle name="60% - Accent5 17" xfId="362" xr:uid="{157C0AA8-3C47-472F-8FE1-C497E8E38081}"/>
    <cellStyle name="60% - Accent5 18" xfId="383" xr:uid="{1E2D6366-0107-46D0-ABDD-430933FA93C2}"/>
    <cellStyle name="60% - Accent5 19" xfId="402" xr:uid="{E3A32ECB-7967-4FC8-9F6A-59F627FE8126}"/>
    <cellStyle name="60% - Accent5 2" xfId="58" xr:uid="{00000000-0005-0000-0000-000021000000}"/>
    <cellStyle name="60% - Accent5 3" xfId="78" xr:uid="{2029C85A-DD32-4AD2-A158-BE36A35CA122}"/>
    <cellStyle name="60% - Accent5 4" xfId="97" xr:uid="{3AA297A5-D80D-48F0-AAB4-DA168DA3E01E}"/>
    <cellStyle name="60% - Accent5 5" xfId="118" xr:uid="{D0DC6A25-CAC8-4ED9-8412-BA67EF57AD42}"/>
    <cellStyle name="60% - Accent5 6" xfId="138" xr:uid="{86528E70-71A1-43EC-9181-BA8864CBA38D}"/>
    <cellStyle name="60% - Accent5 7" xfId="159" xr:uid="{961CB0C9-E049-4687-874A-E088FF306CF8}"/>
    <cellStyle name="60% - Accent5 8" xfId="180" xr:uid="{EB4FA0B3-80D5-4721-982A-7CFA8E897D56}"/>
    <cellStyle name="60% - Accent5 9" xfId="205" xr:uid="{AF56B6C0-4629-4BE0-B407-A0ADFA2EE2A8}"/>
    <cellStyle name="60% - Accent6" xfId="42" builtinId="52" customBuiltin="1"/>
    <cellStyle name="60% - Accent6 10" xfId="228" xr:uid="{B6C1C2A9-5F59-43A3-8246-6640265694C3}"/>
    <cellStyle name="60% - Accent6 11" xfId="248" xr:uid="{81A75AC6-205F-4572-A0DA-93FC247B6BD6}"/>
    <cellStyle name="60% - Accent6 12" xfId="268" xr:uid="{057CC707-578B-4B4F-B563-9341AFB79F6A}"/>
    <cellStyle name="60% - Accent6 13" xfId="287" xr:uid="{841FD1C1-25B4-40B6-94EB-A9C0C55E4840}"/>
    <cellStyle name="60% - Accent6 14" xfId="307" xr:uid="{4148821E-B36C-4AC2-B88B-C174B15A3D92}"/>
    <cellStyle name="60% - Accent6 15" xfId="326" xr:uid="{80E5A605-2E1D-45E4-890C-6C3948DAE9B3}"/>
    <cellStyle name="60% - Accent6 16" xfId="345" xr:uid="{8EF41FC1-39C9-4174-AC6D-9DB0E77B9543}"/>
    <cellStyle name="60% - Accent6 17" xfId="365" xr:uid="{B781B557-4EAF-40D9-8EF6-286FEFF8DCCF}"/>
    <cellStyle name="60% - Accent6 18" xfId="386" xr:uid="{7BCB4EB0-DE55-42D3-9448-E33F80B74F38}"/>
    <cellStyle name="60% - Accent6 19" xfId="405" xr:uid="{8048FAA0-F4F2-4B2D-822C-1D5652830EE8}"/>
    <cellStyle name="60% - Accent6 2" xfId="61" xr:uid="{00000000-0005-0000-0000-000023000000}"/>
    <cellStyle name="60% - Accent6 3" xfId="81" xr:uid="{28D01FD7-A534-4FEE-B96B-0A6D5C95FFCB}"/>
    <cellStyle name="60% - Accent6 4" xfId="100" xr:uid="{9A2790AA-5FA9-4387-B911-F1773A847B21}"/>
    <cellStyle name="60% - Accent6 5" xfId="121" xr:uid="{7A734947-B010-4732-B184-52A490D19D8A}"/>
    <cellStyle name="60% - Accent6 6" xfId="141" xr:uid="{610E8A3A-9B46-4EB8-ABA5-B18B8061F5ED}"/>
    <cellStyle name="60% - Accent6 7" xfId="162" xr:uid="{D1B2E3B9-91C5-4542-A9A1-3A0CAA196F0A}"/>
    <cellStyle name="60% - Accent6 8" xfId="183" xr:uid="{8BFFDC93-C792-4C25-9940-08C04AD12423}"/>
    <cellStyle name="60% - Accent6 9" xfId="208" xr:uid="{6F951315-A013-419F-A1A1-A4B8CCD828B4}"/>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Comma 10" xfId="101" xr:uid="{F9543269-4E0A-40E4-AB77-AA978EC07FD8}"/>
    <cellStyle name="Comma 13" xfId="144" xr:uid="{DB6BEC63-051C-44A5-A0A9-BF7306883153}"/>
    <cellStyle name="Comma 2" xfId="122" xr:uid="{A3106C38-4AAC-4FE5-A386-36050620E910}"/>
    <cellStyle name="Comma 3" xfId="143" xr:uid="{D76667C9-A485-41E8-ACCE-4BE831A7EC48}"/>
    <cellStyle name="Comma 4" xfId="186" xr:uid="{08BDE45D-D7ED-42BD-B51F-BAC8CF4CF00D}"/>
    <cellStyle name="Comma 5" xfId="189" xr:uid="{6C1F333F-EBE7-41E8-BCB7-6C861551D789}"/>
    <cellStyle name="Comma 6" xfId="289" xr:uid="{C55207F5-C0BD-4D1D-B868-676A9D70D840}"/>
    <cellStyle name="Currency" xfId="184"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02" builtinId="8"/>
    <cellStyle name="Input" xfId="10" builtinId="20" customBuiltin="1"/>
    <cellStyle name="Linked Cell" xfId="13" builtinId="24" customBuiltin="1"/>
    <cellStyle name="Neutral" xfId="9" builtinId="28" customBuiltin="1"/>
    <cellStyle name="Normal" xfId="0" builtinId="0" customBuiltin="1"/>
    <cellStyle name="Normal 10" xfId="346" xr:uid="{46C70831-00FA-42D1-98F2-D0F216EAE68B}"/>
    <cellStyle name="Normal 11" xfId="366" xr:uid="{ACDFEDC4-2723-4B9B-9F07-7FE66B33AA67}"/>
    <cellStyle name="Normal 12" xfId="367" xr:uid="{1DE3628F-3D29-4FC3-A087-779F0BAE7362}"/>
    <cellStyle name="Normal 2" xfId="62" xr:uid="{00000000-0005-0000-0000-000038000000}"/>
    <cellStyle name="Normal 3" xfId="142" xr:uid="{C5A7CB83-9E4D-47F2-A932-6A2B094A7CBE}"/>
    <cellStyle name="Normal 4" xfId="164" xr:uid="{AE04180D-804C-4784-8898-D2368794F859}"/>
    <cellStyle name="Normal 5" xfId="185" xr:uid="{6345939B-A704-4A1D-864F-78D446389F16}"/>
    <cellStyle name="Normal 6" xfId="188" xr:uid="{2B410B0C-1A4A-4DCD-83D0-E06453753155}"/>
    <cellStyle name="Normal 7" xfId="209" xr:uid="{39ECE97A-BB2F-4422-912B-0839B4A7832C}"/>
    <cellStyle name="Normal 8" xfId="229" xr:uid="{A86DCC52-906E-44F3-A79E-484245EC8E52}"/>
    <cellStyle name="Normal 9" xfId="249" xr:uid="{26164936-C956-4C3D-83E2-D37286D18496}"/>
    <cellStyle name="Note" xfId="16" builtinId="10" customBuiltin="1"/>
    <cellStyle name="Note 10" xfId="230" xr:uid="{21A97871-91B1-49AE-80DB-7045F38A55DE}"/>
    <cellStyle name="Note 11" xfId="250" xr:uid="{3CD78962-6EFA-422C-A05F-800E2E42F4DD}"/>
    <cellStyle name="Note 12" xfId="269" xr:uid="{0AD78D00-EBB3-4542-A884-DEFE388C3908}"/>
    <cellStyle name="Note 13" xfId="288" xr:uid="{41409932-BC6F-4C1F-819B-202CC9042E49}"/>
    <cellStyle name="Note 14" xfId="308" xr:uid="{19937844-8CE0-4BE9-9D5F-023CBF21A2DA}"/>
    <cellStyle name="Note 15" xfId="327" xr:uid="{289FE2B4-21B2-42DD-8350-F8F6C5B49827}"/>
    <cellStyle name="Note 16" xfId="347" xr:uid="{1F8DDFB2-F3C6-4B04-B5ED-77416DE613ED}"/>
    <cellStyle name="Note 17" xfId="368" xr:uid="{098D1E70-BD1E-42C5-AA75-107C148A1FF6}"/>
    <cellStyle name="Note 18" xfId="387" xr:uid="{BBD47211-2BC4-4B07-AAAB-6E50D7E75148}"/>
    <cellStyle name="Note 2" xfId="43" xr:uid="{00000000-0005-0000-0000-00003A000000}"/>
    <cellStyle name="Note 2 2" xfId="163" xr:uid="{7D01D38F-316C-496C-8E38-A98FA568E768}"/>
    <cellStyle name="Note 3" xfId="63" xr:uid="{993572F9-E4B9-4E1A-B3F0-49ED50FDC6E9}"/>
    <cellStyle name="Note 4" xfId="82" xr:uid="{83A9DA10-CD6D-4E8B-8951-1FFBA3661ADF}"/>
    <cellStyle name="Note 5" xfId="103" xr:uid="{3F5687FF-5058-402E-96E2-A36A68240809}"/>
    <cellStyle name="Note 6" xfId="123" xr:uid="{B3F8B790-B35D-4269-8F32-FF1F8FAA4226}"/>
    <cellStyle name="Note 7" xfId="165" xr:uid="{BA4B541E-4754-4A65-BAC3-B7550637935F}"/>
    <cellStyle name="Note 8" xfId="190" xr:uid="{2E2518F7-7F8A-442E-A6ED-FAB6E43863E8}"/>
    <cellStyle name="Note 9" xfId="210" xr:uid="{1A4A1FF0-5172-43A1-8502-B287B10C2CE8}"/>
    <cellStyle name="Output" xfId="11" builtinId="21" customBuiltin="1"/>
    <cellStyle name="Percent 2" xfId="187" xr:uid="{E7BB5E36-86C7-44F2-8CFE-9A135EFE961F}"/>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colors>
    <mruColors>
      <color rgb="FF006699"/>
      <color rgb="FF006666"/>
      <color rgb="FF008080"/>
      <color rgb="FF009999"/>
      <color rgb="FF0099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51" Type="http://schemas.microsoft.com/office/2017/10/relationships/person" Target="persons/perso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2.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image" Target="../media/image10.png"/></Relationships>
</file>

<file path=xl/drawings/_rels/drawing9.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0</xdr:row>
      <xdr:rowOff>0</xdr:rowOff>
    </xdr:from>
    <xdr:to>
      <xdr:col>3</xdr:col>
      <xdr:colOff>1200151</xdr:colOff>
      <xdr:row>6</xdr:row>
      <xdr:rowOff>1791</xdr:rowOff>
    </xdr:to>
    <xdr:pic>
      <xdr:nvPicPr>
        <xdr:cNvPr id="2" name="Picture 1">
          <a:extLst>
            <a:ext uri="{FF2B5EF4-FFF2-40B4-BE49-F238E27FC236}">
              <a16:creationId xmlns:a16="http://schemas.microsoft.com/office/drawing/2014/main" id="{61EB9DDD-6001-AB72-3605-B1B00BD1C6E5}"/>
            </a:ext>
          </a:extLst>
        </xdr:cNvPr>
        <xdr:cNvPicPr>
          <a:picLocks noChangeAspect="1"/>
        </xdr:cNvPicPr>
      </xdr:nvPicPr>
      <xdr:blipFill>
        <a:blip xmlns:r="http://schemas.openxmlformats.org/officeDocument/2006/relationships" r:embed="rId1"/>
        <a:stretch>
          <a:fillRect/>
        </a:stretch>
      </xdr:blipFill>
      <xdr:spPr>
        <a:xfrm>
          <a:off x="1304926" y="0"/>
          <a:ext cx="5753100" cy="801891"/>
        </a:xfrm>
        <a:prstGeom prst="rect">
          <a:avLst/>
        </a:prstGeom>
      </xdr:spPr>
    </xdr:pic>
    <xdr:clientData/>
  </xdr:twoCellAnchor>
  <xdr:twoCellAnchor editAs="oneCell">
    <xdr:from>
      <xdr:col>0</xdr:col>
      <xdr:colOff>0</xdr:colOff>
      <xdr:row>0</xdr:row>
      <xdr:rowOff>28575</xdr:rowOff>
    </xdr:from>
    <xdr:to>
      <xdr:col>0</xdr:col>
      <xdr:colOff>1285875</xdr:colOff>
      <xdr:row>6</xdr:row>
      <xdr:rowOff>3782</xdr:rowOff>
    </xdr:to>
    <xdr:pic>
      <xdr:nvPicPr>
        <xdr:cNvPr id="3" name="Picture 2">
          <a:extLst>
            <a:ext uri="{FF2B5EF4-FFF2-40B4-BE49-F238E27FC236}">
              <a16:creationId xmlns:a16="http://schemas.microsoft.com/office/drawing/2014/main" id="{50B1F81E-0CFC-1292-E5C1-D77F6C57A441}"/>
            </a:ext>
          </a:extLst>
        </xdr:cNvPr>
        <xdr:cNvPicPr>
          <a:picLocks noChangeAspect="1"/>
        </xdr:cNvPicPr>
      </xdr:nvPicPr>
      <xdr:blipFill>
        <a:blip xmlns:r="http://schemas.openxmlformats.org/officeDocument/2006/relationships" r:embed="rId2"/>
        <a:stretch>
          <a:fillRect/>
        </a:stretch>
      </xdr:blipFill>
      <xdr:spPr>
        <a:xfrm>
          <a:off x="0" y="28575"/>
          <a:ext cx="1285875" cy="77530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17714</xdr:colOff>
      <xdr:row>56</xdr:row>
      <xdr:rowOff>122809</xdr:rowOff>
    </xdr:to>
    <xdr:pic>
      <xdr:nvPicPr>
        <xdr:cNvPr id="2" name="Picture 1">
          <a:extLst>
            <a:ext uri="{FF2B5EF4-FFF2-40B4-BE49-F238E27FC236}">
              <a16:creationId xmlns:a16="http://schemas.microsoft.com/office/drawing/2014/main" id="{F8E4B511-C571-49C6-C3C1-BE4292D5CDE8}"/>
            </a:ext>
          </a:extLst>
        </xdr:cNvPr>
        <xdr:cNvPicPr>
          <a:picLocks noChangeAspect="1"/>
        </xdr:cNvPicPr>
      </xdr:nvPicPr>
      <xdr:blipFill>
        <a:blip xmlns:r="http://schemas.openxmlformats.org/officeDocument/2006/relationships" r:embed="rId1"/>
        <a:stretch>
          <a:fillRect/>
        </a:stretch>
      </xdr:blipFill>
      <xdr:spPr>
        <a:xfrm>
          <a:off x="0" y="0"/>
          <a:ext cx="10685714" cy="812380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16</xdr:row>
      <xdr:rowOff>0</xdr:rowOff>
    </xdr:from>
    <xdr:to>
      <xdr:col>18</xdr:col>
      <xdr:colOff>53340</xdr:colOff>
      <xdr:row>16</xdr:row>
      <xdr:rowOff>93345</xdr:rowOff>
    </xdr:to>
    <xdr:pic>
      <xdr:nvPicPr>
        <xdr:cNvPr id="2" name="Picture 1" descr="This column is editable">
          <a:extLst>
            <a:ext uri="{FF2B5EF4-FFF2-40B4-BE49-F238E27FC236}">
              <a16:creationId xmlns:a16="http://schemas.microsoft.com/office/drawing/2014/main" id="{5892B500-30DA-41F8-8F02-03AF60061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25225" y="3048000"/>
          <a:ext cx="47625"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16</xdr:row>
      <xdr:rowOff>0</xdr:rowOff>
    </xdr:from>
    <xdr:to>
      <xdr:col>19</xdr:col>
      <xdr:colOff>53340</xdr:colOff>
      <xdr:row>16</xdr:row>
      <xdr:rowOff>93345</xdr:rowOff>
    </xdr:to>
    <xdr:pic>
      <xdr:nvPicPr>
        <xdr:cNvPr id="3" name="Picture 2" descr="This column is editable">
          <a:extLst>
            <a:ext uri="{FF2B5EF4-FFF2-40B4-BE49-F238E27FC236}">
              <a16:creationId xmlns:a16="http://schemas.microsoft.com/office/drawing/2014/main" id="{2D230206-AB69-410E-8F38-6AB12D493D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934825" y="3048000"/>
          <a:ext cx="47625"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16</xdr:col>
      <xdr:colOff>151648</xdr:colOff>
      <xdr:row>33</xdr:row>
      <xdr:rowOff>58536</xdr:rowOff>
    </xdr:to>
    <xdr:pic>
      <xdr:nvPicPr>
        <xdr:cNvPr id="4" name="Picture 3">
          <a:extLst>
            <a:ext uri="{FF2B5EF4-FFF2-40B4-BE49-F238E27FC236}">
              <a16:creationId xmlns:a16="http://schemas.microsoft.com/office/drawing/2014/main" id="{19A90CD8-3FD2-4145-94B8-B6ADC83CCBFA}"/>
            </a:ext>
          </a:extLst>
        </xdr:cNvPr>
        <xdr:cNvPicPr>
          <a:picLocks noChangeAspect="1"/>
        </xdr:cNvPicPr>
      </xdr:nvPicPr>
      <xdr:blipFill>
        <a:blip xmlns:r="http://schemas.openxmlformats.org/officeDocument/2006/relationships" r:embed="rId2"/>
        <a:stretch>
          <a:fillRect/>
        </a:stretch>
      </xdr:blipFill>
      <xdr:spPr>
        <a:xfrm>
          <a:off x="3400425" y="190500"/>
          <a:ext cx="6019048" cy="409904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21</xdr:col>
      <xdr:colOff>499528</xdr:colOff>
      <xdr:row>29</xdr:row>
      <xdr:rowOff>43284</xdr:rowOff>
    </xdr:to>
    <xdr:pic>
      <xdr:nvPicPr>
        <xdr:cNvPr id="2" name="Picture 1">
          <a:extLst>
            <a:ext uri="{FF2B5EF4-FFF2-40B4-BE49-F238E27FC236}">
              <a16:creationId xmlns:a16="http://schemas.microsoft.com/office/drawing/2014/main" id="{24557832-BD68-584D-BA47-ED1CF48E1948}"/>
            </a:ext>
          </a:extLst>
        </xdr:cNvPr>
        <xdr:cNvPicPr>
          <a:picLocks noChangeAspect="1"/>
        </xdr:cNvPicPr>
      </xdr:nvPicPr>
      <xdr:blipFill>
        <a:blip xmlns:r="http://schemas.openxmlformats.org/officeDocument/2006/relationships" r:embed="rId1"/>
        <a:stretch>
          <a:fillRect/>
        </a:stretch>
      </xdr:blipFill>
      <xdr:spPr>
        <a:xfrm>
          <a:off x="0" y="0"/>
          <a:ext cx="11895238" cy="424761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25</xdr:row>
      <xdr:rowOff>158750</xdr:rowOff>
    </xdr:from>
    <xdr:to>
      <xdr:col>13</xdr:col>
      <xdr:colOff>28892</xdr:colOff>
      <xdr:row>67</xdr:row>
      <xdr:rowOff>126755</xdr:rowOff>
    </xdr:to>
    <xdr:pic>
      <xdr:nvPicPr>
        <xdr:cNvPr id="2" name="Image 10">
          <a:extLst>
            <a:ext uri="{FF2B5EF4-FFF2-40B4-BE49-F238E27FC236}">
              <a16:creationId xmlns:a16="http://schemas.microsoft.com/office/drawing/2014/main" id="{CD72D807-65E6-4314-9BD8-EA348656B8AA}"/>
            </a:ext>
          </a:extLst>
        </xdr:cNvPr>
        <xdr:cNvPicPr>
          <a:picLocks noChangeAspect="1"/>
        </xdr:cNvPicPr>
      </xdr:nvPicPr>
      <xdr:blipFill>
        <a:blip xmlns:r="http://schemas.openxmlformats.org/officeDocument/2006/relationships" r:embed="rId1"/>
        <a:stretch>
          <a:fillRect/>
        </a:stretch>
      </xdr:blipFill>
      <xdr:spPr>
        <a:xfrm>
          <a:off x="0" y="4949825"/>
          <a:ext cx="8744267" cy="58716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15</xdr:col>
      <xdr:colOff>65667</xdr:colOff>
      <xdr:row>56</xdr:row>
      <xdr:rowOff>132351</xdr:rowOff>
    </xdr:to>
    <xdr:pic>
      <xdr:nvPicPr>
        <xdr:cNvPr id="2" name="Picture 1">
          <a:extLst>
            <a:ext uri="{FF2B5EF4-FFF2-40B4-BE49-F238E27FC236}">
              <a16:creationId xmlns:a16="http://schemas.microsoft.com/office/drawing/2014/main" id="{53F2CC92-15BB-4F8E-D7C3-2F7B4694784B}"/>
            </a:ext>
          </a:extLst>
        </xdr:cNvPr>
        <xdr:cNvPicPr>
          <a:picLocks noChangeAspect="1"/>
        </xdr:cNvPicPr>
      </xdr:nvPicPr>
      <xdr:blipFill>
        <a:blip xmlns:r="http://schemas.openxmlformats.org/officeDocument/2006/relationships" r:embed="rId1"/>
        <a:stretch>
          <a:fillRect/>
        </a:stretch>
      </xdr:blipFill>
      <xdr:spPr>
        <a:xfrm>
          <a:off x="0" y="142875"/>
          <a:ext cx="8066667" cy="799047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13</xdr:col>
      <xdr:colOff>284848</xdr:colOff>
      <xdr:row>53</xdr:row>
      <xdr:rowOff>103833</xdr:rowOff>
    </xdr:to>
    <xdr:pic>
      <xdr:nvPicPr>
        <xdr:cNvPr id="2" name="Picture 1">
          <a:extLst>
            <a:ext uri="{FF2B5EF4-FFF2-40B4-BE49-F238E27FC236}">
              <a16:creationId xmlns:a16="http://schemas.microsoft.com/office/drawing/2014/main" id="{751C6135-6387-F4FB-A83E-FEF442AFD7EC}"/>
            </a:ext>
          </a:extLst>
        </xdr:cNvPr>
        <xdr:cNvPicPr>
          <a:picLocks noChangeAspect="1"/>
        </xdr:cNvPicPr>
      </xdr:nvPicPr>
      <xdr:blipFill>
        <a:blip xmlns:r="http://schemas.openxmlformats.org/officeDocument/2006/relationships" r:embed="rId1"/>
        <a:stretch>
          <a:fillRect/>
        </a:stretch>
      </xdr:blipFill>
      <xdr:spPr>
        <a:xfrm>
          <a:off x="0" y="142875"/>
          <a:ext cx="7219048" cy="753333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25</xdr:row>
      <xdr:rowOff>158750</xdr:rowOff>
    </xdr:from>
    <xdr:to>
      <xdr:col>11</xdr:col>
      <xdr:colOff>623116</xdr:colOff>
      <xdr:row>68</xdr:row>
      <xdr:rowOff>1025</xdr:rowOff>
    </xdr:to>
    <xdr:pic>
      <xdr:nvPicPr>
        <xdr:cNvPr id="2" name="Image 10">
          <a:extLst>
            <a:ext uri="{FF2B5EF4-FFF2-40B4-BE49-F238E27FC236}">
              <a16:creationId xmlns:a16="http://schemas.microsoft.com/office/drawing/2014/main" id="{61B1110C-3C8C-47FB-BF84-C0A9ADDB847C}"/>
            </a:ext>
          </a:extLst>
        </xdr:cNvPr>
        <xdr:cNvPicPr>
          <a:picLocks noChangeAspect="1"/>
        </xdr:cNvPicPr>
      </xdr:nvPicPr>
      <xdr:blipFill>
        <a:blip xmlns:r="http://schemas.openxmlformats.org/officeDocument/2006/relationships" r:embed="rId1"/>
        <a:stretch>
          <a:fillRect/>
        </a:stretch>
      </xdr:blipFill>
      <xdr:spPr>
        <a:xfrm>
          <a:off x="0" y="3442970"/>
          <a:ext cx="8151812" cy="5439165"/>
        </a:xfrm>
        <a:prstGeom prst="rect">
          <a:avLst/>
        </a:prstGeom>
      </xdr:spPr>
    </xdr:pic>
    <xdr:clientData/>
  </xdr:twoCellAnchor>
  <xdr:twoCellAnchor editAs="oneCell">
    <xdr:from>
      <xdr:col>2</xdr:col>
      <xdr:colOff>687161</xdr:colOff>
      <xdr:row>21</xdr:row>
      <xdr:rowOff>13607</xdr:rowOff>
    </xdr:from>
    <xdr:to>
      <xdr:col>8</xdr:col>
      <xdr:colOff>741023</xdr:colOff>
      <xdr:row>22</xdr:row>
      <xdr:rowOff>118351</xdr:rowOff>
    </xdr:to>
    <xdr:pic>
      <xdr:nvPicPr>
        <xdr:cNvPr id="3" name="Picture 2">
          <a:extLst>
            <a:ext uri="{FF2B5EF4-FFF2-40B4-BE49-F238E27FC236}">
              <a16:creationId xmlns:a16="http://schemas.microsoft.com/office/drawing/2014/main" id="{6535877F-162F-FC82-D3DA-F40EC5820BB3}"/>
            </a:ext>
          </a:extLst>
        </xdr:cNvPr>
        <xdr:cNvPicPr>
          <a:picLocks noChangeAspect="1"/>
        </xdr:cNvPicPr>
      </xdr:nvPicPr>
      <xdr:blipFill>
        <a:blip xmlns:r="http://schemas.openxmlformats.org/officeDocument/2006/relationships" r:embed="rId2"/>
        <a:stretch>
          <a:fillRect/>
        </a:stretch>
      </xdr:blipFill>
      <xdr:spPr>
        <a:xfrm>
          <a:off x="1748518" y="3061607"/>
          <a:ext cx="4523809" cy="24761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141724</xdr:colOff>
      <xdr:row>36</xdr:row>
      <xdr:rowOff>132690</xdr:rowOff>
    </xdr:to>
    <xdr:pic>
      <xdr:nvPicPr>
        <xdr:cNvPr id="2" name="Picture 1">
          <a:extLst>
            <a:ext uri="{FF2B5EF4-FFF2-40B4-BE49-F238E27FC236}">
              <a16:creationId xmlns:a16="http://schemas.microsoft.com/office/drawing/2014/main" id="{AF293705-90BC-3B74-BCC0-25479008A5BB}"/>
            </a:ext>
          </a:extLst>
        </xdr:cNvPr>
        <xdr:cNvPicPr>
          <a:picLocks noChangeAspect="1"/>
        </xdr:cNvPicPr>
      </xdr:nvPicPr>
      <xdr:blipFill>
        <a:blip xmlns:r="http://schemas.openxmlformats.org/officeDocument/2006/relationships" r:embed="rId1"/>
        <a:stretch>
          <a:fillRect/>
        </a:stretch>
      </xdr:blipFill>
      <xdr:spPr>
        <a:xfrm>
          <a:off x="0" y="0"/>
          <a:ext cx="9209524" cy="527619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199000</xdr:colOff>
      <xdr:row>40</xdr:row>
      <xdr:rowOff>18333</xdr:rowOff>
    </xdr:to>
    <xdr:pic>
      <xdr:nvPicPr>
        <xdr:cNvPr id="2" name="Picture 1">
          <a:extLst>
            <a:ext uri="{FF2B5EF4-FFF2-40B4-BE49-F238E27FC236}">
              <a16:creationId xmlns:a16="http://schemas.microsoft.com/office/drawing/2014/main" id="{30A9E303-2E74-8F62-9F1A-5B506BD5E2B5}"/>
            </a:ext>
          </a:extLst>
        </xdr:cNvPr>
        <xdr:cNvPicPr>
          <a:picLocks noChangeAspect="1"/>
        </xdr:cNvPicPr>
      </xdr:nvPicPr>
      <xdr:blipFill>
        <a:blip xmlns:r="http://schemas.openxmlformats.org/officeDocument/2006/relationships" r:embed="rId1"/>
        <a:stretch>
          <a:fillRect/>
        </a:stretch>
      </xdr:blipFill>
      <xdr:spPr>
        <a:xfrm>
          <a:off x="0" y="0"/>
          <a:ext cx="8200000" cy="5733333"/>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Harshit Sukhlecha" id="{55E032D0-C18C-4CF3-8056-7BB02237752D}" userId="S::hsu@ivalua.com::ee0edb15-cf07-47a4-84c6-c0799fc2809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T275" dT="2023-10-08T11:53:44.64" personId="{55E032D0-C18C-4CF3-8056-7BB02237752D}" id="{B0150750-816D-4495-8326-CE05D8BA29AC}">
    <text>Refer JE JE2041678 to understand the difference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7.xml.rels><?xml version="1.0" encoding="UTF-8" standalone="yes"?>
<Relationships xmlns="http://schemas.openxmlformats.org/package/2006/relationships"><Relationship Id="rId3" Type="http://schemas.openxmlformats.org/officeDocument/2006/relationships/hyperlink" Target="mailto:jow@ivalua.com" TargetMode="External"/><Relationship Id="rId2" Type="http://schemas.openxmlformats.org/officeDocument/2006/relationships/hyperlink" Target="mailto:cbv@ivalua.com" TargetMode="External"/><Relationship Id="rId1" Type="http://schemas.openxmlformats.org/officeDocument/2006/relationships/hyperlink" Target="mailto:peter.friedl@alb-friedl.de" TargetMode="External"/><Relationship Id="rId4" Type="http://schemas.openxmlformats.org/officeDocument/2006/relationships/hyperlink" Target="mailto:peter.friedl@alb-friedl.de" TargetMode="Externa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4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F418"/>
  <sheetViews>
    <sheetView tabSelected="1" zoomScale="90" zoomScaleNormal="90" workbookViewId="0">
      <pane xSplit="1" topLeftCell="B1" activePane="topRight" state="frozen"/>
      <selection pane="topRight" activeCell="A7" sqref="A7"/>
    </sheetView>
  </sheetViews>
  <sheetFormatPr defaultColWidth="9.33203125" defaultRowHeight="10" x14ac:dyDescent="0.2"/>
  <cols>
    <col min="1" max="1" width="24.44140625" customWidth="1"/>
    <col min="2" max="13" width="42.6640625" customWidth="1"/>
    <col min="14" max="14" width="42.6640625" style="187" customWidth="1"/>
    <col min="15" max="15" width="42.6640625" hidden="1" customWidth="1"/>
    <col min="16" max="16" width="42.6640625" style="185" customWidth="1"/>
    <col min="17" max="19" width="42.6640625" customWidth="1"/>
    <col min="20" max="20" width="42.6640625" style="185" customWidth="1"/>
    <col min="21" max="23" width="42.6640625" customWidth="1"/>
    <col min="24" max="24" width="42.6640625" hidden="1" customWidth="1"/>
    <col min="25" max="25" width="32.109375" hidden="1" customWidth="1"/>
    <col min="26" max="26" width="14.44140625" customWidth="1"/>
    <col min="27" max="27" width="9.88671875" bestFit="1" customWidth="1"/>
    <col min="32" max="32" width="11.88671875" customWidth="1"/>
  </cols>
  <sheetData>
    <row r="1" spans="1:26" x14ac:dyDescent="0.2">
      <c r="B1" s="809"/>
      <c r="C1" s="809"/>
      <c r="D1" s="809"/>
      <c r="E1" s="809"/>
      <c r="F1" s="809"/>
      <c r="G1" s="809"/>
      <c r="H1" s="809"/>
      <c r="I1" s="809"/>
      <c r="J1" s="809"/>
      <c r="K1" s="809"/>
      <c r="L1" s="809"/>
      <c r="M1" s="809"/>
      <c r="N1" s="809"/>
      <c r="O1" s="809"/>
      <c r="P1" s="809"/>
      <c r="Q1" s="809"/>
      <c r="R1" s="809"/>
      <c r="S1" s="809"/>
      <c r="T1" s="809"/>
      <c r="U1" s="809"/>
      <c r="V1" s="809"/>
      <c r="W1" s="809"/>
      <c r="X1" s="809"/>
      <c r="Y1" s="809"/>
      <c r="Z1" s="809"/>
    </row>
    <row r="2" spans="1:26" x14ac:dyDescent="0.2">
      <c r="B2" s="809"/>
      <c r="C2" s="809"/>
      <c r="D2" s="809"/>
      <c r="E2" s="809"/>
      <c r="F2" s="809"/>
      <c r="G2" s="809"/>
      <c r="H2" s="809"/>
      <c r="I2" s="809"/>
      <c r="J2" s="809"/>
      <c r="K2" s="809"/>
      <c r="L2" s="809"/>
      <c r="M2" s="809"/>
      <c r="N2" s="809"/>
      <c r="O2" s="809"/>
      <c r="P2" s="809"/>
      <c r="Q2" s="809"/>
      <c r="R2" s="809"/>
      <c r="S2" s="809"/>
      <c r="T2" s="809"/>
      <c r="U2" s="809"/>
      <c r="V2" s="809"/>
      <c r="W2" s="809"/>
      <c r="X2" s="809"/>
      <c r="Y2" s="809"/>
      <c r="Z2" s="809"/>
    </row>
    <row r="3" spans="1:26" x14ac:dyDescent="0.2">
      <c r="B3" s="809"/>
      <c r="C3" s="809"/>
      <c r="D3" s="809"/>
      <c r="E3" s="809"/>
      <c r="F3" s="809"/>
      <c r="G3" s="809"/>
      <c r="H3" s="809"/>
      <c r="I3" s="809"/>
      <c r="J3" s="809"/>
      <c r="K3" s="809"/>
      <c r="L3" s="809"/>
      <c r="M3" s="809"/>
      <c r="N3" s="809"/>
      <c r="O3" s="809"/>
      <c r="P3" s="809"/>
      <c r="Q3" s="809"/>
      <c r="R3" s="809"/>
      <c r="S3" s="809"/>
      <c r="T3" s="809"/>
      <c r="U3" s="809"/>
      <c r="V3" s="809"/>
      <c r="W3" s="809"/>
      <c r="X3" s="809"/>
      <c r="Y3" s="809"/>
      <c r="Z3" s="809"/>
    </row>
    <row r="4" spans="1:26" x14ac:dyDescent="0.2">
      <c r="B4" s="809"/>
      <c r="C4" s="809"/>
      <c r="D4" s="809"/>
      <c r="E4" s="809"/>
      <c r="F4" s="809"/>
      <c r="G4" s="809"/>
      <c r="H4" s="809"/>
      <c r="I4" s="809"/>
      <c r="J4" s="809"/>
      <c r="K4" s="809"/>
      <c r="L4" s="809"/>
      <c r="M4" s="809"/>
      <c r="N4" s="809"/>
      <c r="O4" s="809"/>
      <c r="P4" s="809"/>
      <c r="Q4" s="809"/>
      <c r="R4" s="809"/>
      <c r="S4" s="809"/>
      <c r="T4" s="809"/>
      <c r="U4" s="809"/>
      <c r="V4" s="809"/>
      <c r="W4" s="809"/>
      <c r="X4" s="809"/>
      <c r="Y4" s="809"/>
      <c r="Z4" s="809"/>
    </row>
    <row r="5" spans="1:26" x14ac:dyDescent="0.2">
      <c r="B5" s="809"/>
      <c r="C5" s="809"/>
      <c r="D5" s="809"/>
      <c r="E5" s="809"/>
      <c r="F5" s="809"/>
      <c r="G5" s="809"/>
      <c r="H5" s="809"/>
      <c r="I5" s="809"/>
      <c r="J5" s="809"/>
      <c r="K5" s="809"/>
      <c r="L5" s="809"/>
      <c r="M5" s="809"/>
      <c r="N5" s="809"/>
      <c r="O5" s="809"/>
      <c r="P5" s="809"/>
      <c r="Q5" s="809"/>
      <c r="R5" s="809"/>
      <c r="S5" s="809"/>
      <c r="T5" s="809"/>
      <c r="U5" s="809"/>
      <c r="V5" s="809"/>
      <c r="W5" s="809"/>
      <c r="X5" s="809"/>
      <c r="Y5" s="809"/>
      <c r="Z5" s="809"/>
    </row>
    <row r="6" spans="1:26" ht="10.5" thickBot="1" x14ac:dyDescent="0.25">
      <c r="B6" s="809"/>
      <c r="C6" s="809"/>
      <c r="D6" s="809"/>
      <c r="E6" s="809"/>
      <c r="F6" s="809"/>
      <c r="G6" s="809"/>
      <c r="H6" s="809"/>
      <c r="I6" s="809"/>
      <c r="J6" s="809"/>
      <c r="K6" s="809"/>
      <c r="L6" s="809"/>
      <c r="M6" s="809"/>
      <c r="N6" s="809"/>
      <c r="O6" s="809"/>
      <c r="P6" s="809"/>
      <c r="Q6" s="809"/>
      <c r="R6" s="809"/>
      <c r="S6" s="809"/>
      <c r="T6" s="809"/>
      <c r="U6" s="809"/>
      <c r="V6" s="809"/>
      <c r="W6" s="809"/>
      <c r="X6" s="809"/>
      <c r="Y6" s="809"/>
      <c r="Z6" s="809"/>
    </row>
    <row r="7" spans="1:26" ht="16" thickBot="1" x14ac:dyDescent="0.4">
      <c r="A7" s="721"/>
      <c r="B7" s="800" t="s">
        <v>311</v>
      </c>
      <c r="C7" s="801"/>
      <c r="D7" s="801"/>
      <c r="E7" s="801"/>
      <c r="F7" s="801"/>
      <c r="G7" s="802"/>
      <c r="H7" s="803" t="s">
        <v>4367</v>
      </c>
      <c r="I7" s="804"/>
      <c r="J7" s="804"/>
      <c r="K7" s="804"/>
      <c r="L7" s="804"/>
      <c r="M7" s="805"/>
      <c r="N7" s="549"/>
      <c r="P7" s="806" t="s">
        <v>4368</v>
      </c>
      <c r="Q7" s="807"/>
      <c r="R7" s="807"/>
      <c r="S7" s="808"/>
      <c r="T7"/>
      <c r="Z7" s="578"/>
    </row>
    <row r="8" spans="1:26" s="17" customFormat="1" ht="10.5" x14ac:dyDescent="0.25">
      <c r="A8" s="562">
        <v>1000</v>
      </c>
      <c r="B8" s="722" t="s">
        <v>342</v>
      </c>
      <c r="C8" s="722" t="s">
        <v>220</v>
      </c>
      <c r="D8" s="722" t="s">
        <v>4246</v>
      </c>
      <c r="E8" s="722" t="s">
        <v>378</v>
      </c>
      <c r="F8" s="722" t="s">
        <v>427</v>
      </c>
      <c r="G8" s="723" t="s">
        <v>415</v>
      </c>
      <c r="H8" s="722" t="s">
        <v>240</v>
      </c>
      <c r="I8" s="722" t="s">
        <v>467</v>
      </c>
      <c r="J8" s="722" t="s">
        <v>4397</v>
      </c>
      <c r="K8" s="722" t="s">
        <v>4396</v>
      </c>
      <c r="L8" s="723" t="s">
        <v>502</v>
      </c>
      <c r="M8" s="723" t="s">
        <v>503</v>
      </c>
      <c r="N8" s="560" t="s">
        <v>877</v>
      </c>
      <c r="O8" s="561"/>
      <c r="P8" s="558" t="s">
        <v>20</v>
      </c>
      <c r="Q8" s="561" t="s">
        <v>57</v>
      </c>
      <c r="R8" s="561" t="s">
        <v>183</v>
      </c>
      <c r="S8" s="561" t="s">
        <v>3623</v>
      </c>
      <c r="T8" s="561" t="s">
        <v>4268</v>
      </c>
      <c r="U8" s="561" t="s">
        <v>4269</v>
      </c>
      <c r="V8" s="561" t="s">
        <v>794</v>
      </c>
      <c r="W8" s="561" t="s">
        <v>793</v>
      </c>
      <c r="Z8" s="579" t="s">
        <v>954</v>
      </c>
    </row>
    <row r="9" spans="1:26" ht="10.5" thickBot="1" x14ac:dyDescent="0.25">
      <c r="A9" s="534" t="s">
        <v>783</v>
      </c>
      <c r="G9" s="535"/>
      <c r="H9" s="534"/>
      <c r="M9" s="535"/>
      <c r="N9" s="550"/>
      <c r="P9" s="534"/>
      <c r="S9" s="535"/>
      <c r="T9"/>
      <c r="Z9" s="580"/>
    </row>
    <row r="10" spans="1:26" s="96" customFormat="1" ht="10.5" thickBot="1" x14ac:dyDescent="0.25">
      <c r="A10" s="563" t="s">
        <v>4383</v>
      </c>
      <c r="B10" s="564">
        <f>IFERROR(INDEX(BS_2023!$A$8:$O$272,MATCH('Global TARF'!B$8,BS_2023!$A$8:$A$272,0),MATCH($A$8,BS_2023!$A$7:$O$7)),0)</f>
        <v>-171799.07043087206</v>
      </c>
      <c r="C10" s="564">
        <f>IFERROR(INDEX(BS_2023!$A$8:$O$272,MATCH('Global TARF'!C$8,BS_2023!$A$8:$A$272,0),MATCH($A$8,BS_2023!$A$7:$O$7)),0)</f>
        <v>118738.94295532546</v>
      </c>
      <c r="D10" s="564">
        <f>IFERROR(INDEX(BS_2023!$A$8:$O$272,MATCH('Global TARF'!D$8,BS_2023!$A$8:$A$272,0),MATCH($A$8,BS_2023!$A$7:$O$7)),0)</f>
        <v>0</v>
      </c>
      <c r="E10" s="564">
        <f>IFERROR(INDEX(BS_2023!$A$8:$O$272,MATCH('Global TARF'!E$8,BS_2023!$A$8:$A$272,0),MATCH($A$8,BS_2023!$A$7:$O$7)),0)</f>
        <v>-3.7736016013279999E-2</v>
      </c>
      <c r="F10" s="564">
        <f>IFERROR(INDEX(BS_2023!$A$8:$O$272,MATCH('Global TARF'!F$8,BS_2023!$A$8:$A$272,0),MATCH($A$8,BS_2023!$A$7:$O$7)),0)</f>
        <v>188779.37257162359</v>
      </c>
      <c r="G10" s="564">
        <f>IFERROR(INDEX(BS_2023!$A$8:$O$272,MATCH('Global TARF'!G$8,BS_2023!$A$8:$A$272,0),MATCH($A$8,BS_2023!$A$7:$O$7)),0)</f>
        <v>1120155.7252486607</v>
      </c>
      <c r="H10" s="564">
        <f>-IFERROR(INDEX(BS_2023!$A$8:$O$272,MATCH('Global TARF'!H$8,BS_2023!$A$8:$A$272,0),MATCH($A$8,BS_2023!$A$7:$O$7)),0)</f>
        <v>-450465.97622859688</v>
      </c>
      <c r="I10" s="564">
        <f>-IFERROR(INDEX(BS_2023!$A$8:$O$272,MATCH('Global TARF'!I$8,BS_2023!$A$8:$A$272,0),MATCH($A$8,BS_2023!$A$7:$O$7)),0)</f>
        <v>0</v>
      </c>
      <c r="J10" s="564">
        <f>-IFERROR(INDEX(BS_2023!$A$8:$O$272,MATCH('Global TARF'!J$8,BS_2023!$A$8:$A$272,0),MATCH($A$8,BS_2023!$A$7:$O$7)),0)</f>
        <v>-94307.981664780003</v>
      </c>
      <c r="K10" s="564">
        <f>-IFERROR(INDEX(BS_2023!$A$8:$O$272,MATCH('Global TARF'!K$8,BS_2023!$A$8:$A$272,0),MATCH($A$8,BS_2023!$A$7:$O$7)),0)</f>
        <v>-274376.52069698001</v>
      </c>
      <c r="L10" s="564">
        <f>-IFERROR(INDEX(BS_2023!$A$8:$O$272,MATCH('Global TARF'!L$8,BS_2023!$A$8:$A$272,0),MATCH($A$8,BS_2023!$A$7:$O$7)),0)</f>
        <v>-284772.18731602159</v>
      </c>
      <c r="M10" s="564">
        <f>-IFERROR(INDEX(BS_2023!$A$8:$O$272,MATCH('Global TARF'!M$8,BS_2023!$A$8:$A$272,0),MATCH($A$8,BS_2023!$A$7:$O$7)),0)</f>
        <v>-520674.0013058504</v>
      </c>
      <c r="N10" s="567"/>
      <c r="O10" s="564"/>
      <c r="P10" s="565"/>
      <c r="Q10" s="564"/>
      <c r="R10" s="564"/>
      <c r="S10" s="566"/>
      <c r="T10" s="564"/>
      <c r="U10" s="564"/>
      <c r="V10" s="564"/>
      <c r="W10" s="566"/>
      <c r="X10" s="97"/>
      <c r="Y10" s="97"/>
      <c r="Z10" s="581"/>
    </row>
    <row r="11" spans="1:26" x14ac:dyDescent="0.2">
      <c r="A11" s="534" t="s">
        <v>798</v>
      </c>
      <c r="B11" s="184">
        <f>B41+B72+B104+B136+B168+B200+B232+B264+B296+B328+B360+B392</f>
        <v>0</v>
      </c>
      <c r="C11" s="184">
        <v>-743.76</v>
      </c>
      <c r="D11" s="184">
        <f>D41+D72+D104+D136+D168+D200+D232+D264+D296+D328+D360+D392</f>
        <v>0</v>
      </c>
      <c r="E11" s="184">
        <f>E41+E72+E104+E136+E168+E200+E232+E264+E296+E328+E360+E392</f>
        <v>0</v>
      </c>
      <c r="F11" s="184">
        <f>F41+F72+F104+F136+F168+F200+F232+F264+F296+F328+F360+F392</f>
        <v>-5380.72</v>
      </c>
      <c r="G11" s="184">
        <f>G41+G72+G104+G136+G168+G200+G232+G264+G296+G328+G360+G392</f>
        <v>-26807.949999999997</v>
      </c>
      <c r="H11" s="184">
        <v>10732.51</v>
      </c>
      <c r="I11" s="184">
        <f>I41+I72+I104+I136+I168+I200+I232+I264+I296+I328+I360+I392</f>
        <v>0</v>
      </c>
      <c r="J11" s="184"/>
      <c r="K11" s="184"/>
      <c r="L11" s="184">
        <f t="shared" ref="L11:N15" si="0">L41+L72+L104+L136+L168+L200+L232+L264+L296+L328+L360+L392</f>
        <v>8116.78</v>
      </c>
      <c r="M11" s="184">
        <f t="shared" si="0"/>
        <v>0</v>
      </c>
      <c r="N11" s="551">
        <f t="shared" si="0"/>
        <v>14083.14</v>
      </c>
      <c r="O11" s="18">
        <f t="shared" ref="O11:O22" si="1">O41+O72+O104+O136+O168+O200+O232+O264+O296+O328+O360</f>
        <v>0</v>
      </c>
      <c r="P11" s="184">
        <f t="shared" ref="P11:Y11" si="2">P41+P72+P104+P136+P168+P200+P232+P264+P296+P328+P360+P392</f>
        <v>0</v>
      </c>
      <c r="Q11" s="184">
        <f t="shared" si="2"/>
        <v>0</v>
      </c>
      <c r="R11" s="184">
        <f t="shared" si="2"/>
        <v>0</v>
      </c>
      <c r="S11" s="184">
        <f t="shared" si="2"/>
        <v>0</v>
      </c>
      <c r="T11" s="184">
        <f t="shared" si="2"/>
        <v>0</v>
      </c>
      <c r="U11" s="184">
        <f t="shared" si="2"/>
        <v>0</v>
      </c>
      <c r="V11" s="18">
        <f t="shared" si="2"/>
        <v>0</v>
      </c>
      <c r="W11" s="18">
        <f t="shared" si="2"/>
        <v>0</v>
      </c>
      <c r="X11" s="18">
        <f t="shared" si="2"/>
        <v>0</v>
      </c>
      <c r="Y11" s="18">
        <f t="shared" si="2"/>
        <v>0</v>
      </c>
      <c r="Z11" s="582">
        <f t="shared" ref="Z11:Z33" si="3">SUM(B11:Y11)</f>
        <v>0</v>
      </c>
    </row>
    <row r="12" spans="1:26" x14ac:dyDescent="0.2">
      <c r="A12" s="534"/>
      <c r="B12" s="184">
        <f>B42+B73+B105+B137+B169+B201+B233+B265+B297+B329+B361+B393</f>
        <v>0</v>
      </c>
      <c r="C12" s="184">
        <f t="shared" ref="C12:E15" si="4">C42+C73+C105+C137+C169+C201+C233+C265+C297+C329+C361+C393</f>
        <v>0</v>
      </c>
      <c r="D12" s="184">
        <f t="shared" si="4"/>
        <v>0</v>
      </c>
      <c r="E12" s="184">
        <f t="shared" si="4"/>
        <v>0</v>
      </c>
      <c r="F12" s="258">
        <f t="shared" ref="F12:F33" si="5">F42</f>
        <v>0</v>
      </c>
      <c r="G12" s="536">
        <f t="shared" ref="G12:H15" si="6">G42+G73+G105+G137+G169+G201+G233+G265+G297+G329+G361+G393</f>
        <v>0</v>
      </c>
      <c r="H12" s="545">
        <f t="shared" si="6"/>
        <v>0</v>
      </c>
      <c r="I12" s="184">
        <f>I42+I73+I105+I137+I169+I201+I233+I265+I297+I329+I361+I393</f>
        <v>0</v>
      </c>
      <c r="J12" s="184"/>
      <c r="K12" s="184"/>
      <c r="L12" s="184">
        <f t="shared" si="0"/>
        <v>0</v>
      </c>
      <c r="M12" s="536">
        <f t="shared" si="0"/>
        <v>0</v>
      </c>
      <c r="N12" s="551">
        <f t="shared" si="0"/>
        <v>0</v>
      </c>
      <c r="O12" s="18">
        <f t="shared" si="1"/>
        <v>0</v>
      </c>
      <c r="P12" s="545">
        <f t="shared" ref="P12:Y12" si="7">P42+P73+P105+P137+P169+P201+P233+P265+P297+P329+P361+P393</f>
        <v>0</v>
      </c>
      <c r="Q12" s="184">
        <f t="shared" si="7"/>
        <v>0</v>
      </c>
      <c r="R12" s="184">
        <f t="shared" si="7"/>
        <v>0</v>
      </c>
      <c r="S12" s="536">
        <f t="shared" si="7"/>
        <v>0</v>
      </c>
      <c r="T12" s="184">
        <f t="shared" si="7"/>
        <v>0</v>
      </c>
      <c r="U12" s="184">
        <f t="shared" si="7"/>
        <v>0</v>
      </c>
      <c r="V12" s="18">
        <f t="shared" si="7"/>
        <v>0</v>
      </c>
      <c r="W12" s="18">
        <f t="shared" si="7"/>
        <v>0</v>
      </c>
      <c r="X12" s="18">
        <f t="shared" si="7"/>
        <v>0</v>
      </c>
      <c r="Y12" s="18">
        <f t="shared" si="7"/>
        <v>0</v>
      </c>
      <c r="Z12" s="582">
        <f t="shared" si="3"/>
        <v>0</v>
      </c>
    </row>
    <row r="13" spans="1:26" x14ac:dyDescent="0.2">
      <c r="A13" s="534"/>
      <c r="B13" s="184">
        <f>B43+B74+B106+B138+B170+B202+B234+B266+B298+B330+B362+B394</f>
        <v>0</v>
      </c>
      <c r="C13" s="184">
        <f t="shared" si="4"/>
        <v>0</v>
      </c>
      <c r="D13" s="184">
        <f t="shared" si="4"/>
        <v>0</v>
      </c>
      <c r="E13" s="184">
        <f t="shared" si="4"/>
        <v>0</v>
      </c>
      <c r="F13" s="258">
        <f t="shared" si="5"/>
        <v>0</v>
      </c>
      <c r="G13" s="536">
        <f t="shared" si="6"/>
        <v>0</v>
      </c>
      <c r="H13" s="545">
        <f t="shared" si="6"/>
        <v>0</v>
      </c>
      <c r="I13" s="184">
        <f>I43+I74+I106+I138+I170+I202+I234+I266+I298+I330+I362+I394</f>
        <v>0</v>
      </c>
      <c r="J13" s="184"/>
      <c r="K13" s="184"/>
      <c r="L13" s="184">
        <f t="shared" si="0"/>
        <v>0</v>
      </c>
      <c r="M13" s="536">
        <f t="shared" si="0"/>
        <v>0</v>
      </c>
      <c r="N13" s="551">
        <f t="shared" ref="N13" si="8">N43+N74+N106+N138+N170+N202+N234+N266+N298+N330+N362+N394</f>
        <v>0</v>
      </c>
      <c r="O13" s="18">
        <f t="shared" si="1"/>
        <v>0</v>
      </c>
      <c r="P13" s="545">
        <f t="shared" ref="P13:Y13" si="9">P43+P74+P106+P138+P170+P202+P234+P266+P298+P330+P362+P394</f>
        <v>0</v>
      </c>
      <c r="Q13" s="184">
        <f t="shared" si="9"/>
        <v>0</v>
      </c>
      <c r="R13" s="184">
        <f t="shared" si="9"/>
        <v>0</v>
      </c>
      <c r="S13" s="536">
        <f t="shared" si="9"/>
        <v>0</v>
      </c>
      <c r="T13" s="184">
        <f t="shared" si="9"/>
        <v>0</v>
      </c>
      <c r="U13" s="184">
        <f t="shared" si="9"/>
        <v>0</v>
      </c>
      <c r="V13" s="18">
        <f t="shared" si="9"/>
        <v>0</v>
      </c>
      <c r="W13" s="18">
        <f t="shared" si="9"/>
        <v>0</v>
      </c>
      <c r="X13" s="18">
        <f t="shared" si="9"/>
        <v>0</v>
      </c>
      <c r="Y13" s="18">
        <f t="shared" si="9"/>
        <v>0</v>
      </c>
      <c r="Z13" s="582">
        <f t="shared" si="3"/>
        <v>0</v>
      </c>
    </row>
    <row r="14" spans="1:26" x14ac:dyDescent="0.2">
      <c r="A14" s="534"/>
      <c r="B14" s="184">
        <f>B44+B75+B107+B139+B171+B203+B235+B267+B299+B331+B363+B395</f>
        <v>0</v>
      </c>
      <c r="C14" s="184">
        <f t="shared" si="4"/>
        <v>0</v>
      </c>
      <c r="D14" s="184">
        <f t="shared" si="4"/>
        <v>0</v>
      </c>
      <c r="E14" s="184">
        <f t="shared" si="4"/>
        <v>0</v>
      </c>
      <c r="F14" s="258">
        <f t="shared" si="5"/>
        <v>0</v>
      </c>
      <c r="G14" s="536">
        <f t="shared" si="6"/>
        <v>0</v>
      </c>
      <c r="H14" s="545">
        <f t="shared" si="6"/>
        <v>0</v>
      </c>
      <c r="I14" s="184">
        <f>I44+I75+I107+I139+I171+I203+I235+I267+I299+I331+I363+I395</f>
        <v>0</v>
      </c>
      <c r="J14" s="184"/>
      <c r="K14" s="184"/>
      <c r="L14" s="184">
        <f t="shared" si="0"/>
        <v>0</v>
      </c>
      <c r="M14" s="536">
        <f t="shared" si="0"/>
        <v>0</v>
      </c>
      <c r="N14" s="551">
        <f t="shared" ref="N14" si="10">N44+N75+N107+N139+N171+N203+N235+N267+N299+N331+N363+N395</f>
        <v>0</v>
      </c>
      <c r="O14" s="18">
        <f t="shared" si="1"/>
        <v>0</v>
      </c>
      <c r="P14" s="545">
        <f t="shared" ref="P14:Y14" si="11">P44+P75+P107+P139+P171+P203+P235+P267+P299+P331+P363+P395</f>
        <v>0</v>
      </c>
      <c r="Q14" s="184">
        <f t="shared" si="11"/>
        <v>0</v>
      </c>
      <c r="R14" s="184">
        <f t="shared" si="11"/>
        <v>0</v>
      </c>
      <c r="S14" s="536">
        <f t="shared" si="11"/>
        <v>0</v>
      </c>
      <c r="T14" s="184">
        <f t="shared" si="11"/>
        <v>0</v>
      </c>
      <c r="U14" s="184">
        <f t="shared" si="11"/>
        <v>0</v>
      </c>
      <c r="V14" s="18">
        <f t="shared" si="11"/>
        <v>0</v>
      </c>
      <c r="W14" s="18">
        <f t="shared" si="11"/>
        <v>0</v>
      </c>
      <c r="X14" s="18">
        <f t="shared" si="11"/>
        <v>0</v>
      </c>
      <c r="Y14" s="18">
        <f t="shared" si="11"/>
        <v>0</v>
      </c>
      <c r="Z14" s="582">
        <f t="shared" si="3"/>
        <v>0</v>
      </c>
    </row>
    <row r="15" spans="1:26" x14ac:dyDescent="0.2">
      <c r="A15" s="534" t="s">
        <v>780</v>
      </c>
      <c r="B15" s="184">
        <f>B45+B76+B108+B140+B172+B204+B236+B268+B300+B332+B364+B396</f>
        <v>0</v>
      </c>
      <c r="C15" s="184">
        <f t="shared" si="4"/>
        <v>0</v>
      </c>
      <c r="D15" s="184">
        <f t="shared" si="4"/>
        <v>0</v>
      </c>
      <c r="E15" s="184">
        <f t="shared" si="4"/>
        <v>0</v>
      </c>
      <c r="F15" s="258">
        <f t="shared" si="5"/>
        <v>0</v>
      </c>
      <c r="G15" s="536">
        <f t="shared" si="6"/>
        <v>0</v>
      </c>
      <c r="H15" s="545">
        <f t="shared" si="6"/>
        <v>0</v>
      </c>
      <c r="I15" s="184">
        <f>I45+I76+I108+I140+I172+I204+I236+I268+I300+I332+I364+I396</f>
        <v>0</v>
      </c>
      <c r="J15" s="184">
        <f t="shared" ref="J15:K15" si="12">J45+J76+J108+J140+J172+J204+J236+J268+J300+J332+J364+J396</f>
        <v>0</v>
      </c>
      <c r="K15" s="184">
        <f t="shared" si="12"/>
        <v>0</v>
      </c>
      <c r="L15" s="184">
        <f t="shared" si="0"/>
        <v>0</v>
      </c>
      <c r="M15" s="536">
        <f t="shared" si="0"/>
        <v>0</v>
      </c>
      <c r="N15" s="551">
        <f t="shared" ref="N15" si="13">N45+N76+N108+N140+N172+N204+N236+N268+N300+N332+N364+N396</f>
        <v>0</v>
      </c>
      <c r="O15" s="18">
        <f t="shared" si="1"/>
        <v>0</v>
      </c>
      <c r="P15" s="545">
        <f t="shared" ref="P15:Y15" si="14">P45+P76+P108+P140+P172+P204+P236+P268+P300+P332+P364+P396</f>
        <v>0</v>
      </c>
      <c r="Q15" s="184">
        <f t="shared" si="14"/>
        <v>0</v>
      </c>
      <c r="R15" s="184">
        <f t="shared" si="14"/>
        <v>0</v>
      </c>
      <c r="S15" s="536">
        <f t="shared" si="14"/>
        <v>0</v>
      </c>
      <c r="T15" s="184">
        <f t="shared" si="14"/>
        <v>0</v>
      </c>
      <c r="U15" s="184">
        <f t="shared" si="14"/>
        <v>0</v>
      </c>
      <c r="V15" s="18">
        <f t="shared" si="14"/>
        <v>0</v>
      </c>
      <c r="W15" s="18">
        <f t="shared" si="14"/>
        <v>0</v>
      </c>
      <c r="X15" s="18">
        <f t="shared" si="14"/>
        <v>0</v>
      </c>
      <c r="Y15" s="18">
        <f t="shared" si="14"/>
        <v>0</v>
      </c>
      <c r="Z15" s="582">
        <f t="shared" si="3"/>
        <v>0</v>
      </c>
    </row>
    <row r="16" spans="1:26" x14ac:dyDescent="0.2">
      <c r="A16" s="534" t="s">
        <v>781</v>
      </c>
      <c r="B16" s="184">
        <f t="shared" ref="B16:E16" si="15">B46+B77+B109+B141+B173+B205+B237+B269+B301+B333+B365+B397</f>
        <v>0</v>
      </c>
      <c r="C16" s="184">
        <f t="shared" si="15"/>
        <v>0</v>
      </c>
      <c r="D16" s="184">
        <f t="shared" si="15"/>
        <v>0</v>
      </c>
      <c r="E16" s="184">
        <f t="shared" si="15"/>
        <v>0</v>
      </c>
      <c r="F16" s="258">
        <f t="shared" si="5"/>
        <v>0</v>
      </c>
      <c r="G16" s="536">
        <f t="shared" ref="G16:N33" si="16">G46+G77+G109+G141+G173+G205+G237+G269+G301+G333+G365+G397</f>
        <v>0</v>
      </c>
      <c r="H16" s="545">
        <f t="shared" si="16"/>
        <v>0</v>
      </c>
      <c r="I16" s="184">
        <f t="shared" si="16"/>
        <v>0</v>
      </c>
      <c r="J16" s="184">
        <f t="shared" si="16"/>
        <v>0</v>
      </c>
      <c r="K16" s="184">
        <f t="shared" si="16"/>
        <v>0</v>
      </c>
      <c r="L16" s="184">
        <f t="shared" si="16"/>
        <v>0</v>
      </c>
      <c r="M16" s="536">
        <f t="shared" si="16"/>
        <v>0</v>
      </c>
      <c r="N16" s="551">
        <f t="shared" si="16"/>
        <v>0</v>
      </c>
      <c r="O16" s="18">
        <f t="shared" si="1"/>
        <v>0</v>
      </c>
      <c r="P16" s="545">
        <f t="shared" ref="P16:U16" si="17">P46+P77+P109+P141+P173+P205+P237+P269+P301+P333+P365+P397</f>
        <v>0</v>
      </c>
      <c r="Q16" s="184">
        <f t="shared" si="17"/>
        <v>0</v>
      </c>
      <c r="R16" s="184">
        <f t="shared" si="17"/>
        <v>0</v>
      </c>
      <c r="S16" s="536">
        <f t="shared" si="17"/>
        <v>0</v>
      </c>
      <c r="T16" s="184">
        <f t="shared" si="17"/>
        <v>0</v>
      </c>
      <c r="U16" s="184">
        <f t="shared" si="17"/>
        <v>0</v>
      </c>
      <c r="V16" s="18">
        <f t="shared" ref="V16:Y16" si="18">V46+V77+V109+V141+V173+V205+V237+V269+V301+V333+V365+V397</f>
        <v>0</v>
      </c>
      <c r="W16" s="18">
        <f t="shared" si="18"/>
        <v>0</v>
      </c>
      <c r="X16" s="18">
        <f t="shared" si="18"/>
        <v>0</v>
      </c>
      <c r="Y16" s="18">
        <f t="shared" si="18"/>
        <v>0</v>
      </c>
      <c r="Z16" s="582">
        <f t="shared" si="3"/>
        <v>0</v>
      </c>
    </row>
    <row r="17" spans="1:26" x14ac:dyDescent="0.2">
      <c r="A17" s="534" t="s">
        <v>782</v>
      </c>
      <c r="B17" s="184">
        <f t="shared" ref="B17:E17" si="19">B47+B78+B110+B142+B174+B206+B238+B270+B302+B334+B366+B398</f>
        <v>0</v>
      </c>
      <c r="C17" s="184">
        <f t="shared" si="19"/>
        <v>0</v>
      </c>
      <c r="D17" s="184">
        <f t="shared" si="19"/>
        <v>0</v>
      </c>
      <c r="E17" s="184">
        <f t="shared" si="19"/>
        <v>0</v>
      </c>
      <c r="F17" s="258">
        <f t="shared" si="5"/>
        <v>0</v>
      </c>
      <c r="G17" s="536">
        <f t="shared" si="16"/>
        <v>0</v>
      </c>
      <c r="H17" s="545">
        <f t="shared" si="16"/>
        <v>242.8000001190691</v>
      </c>
      <c r="I17" s="184">
        <f t="shared" si="16"/>
        <v>25491.762797904001</v>
      </c>
      <c r="J17" s="184">
        <f t="shared" si="16"/>
        <v>0</v>
      </c>
      <c r="K17" s="184">
        <f t="shared" si="16"/>
        <v>0</v>
      </c>
      <c r="L17" s="184">
        <f t="shared" si="16"/>
        <v>0</v>
      </c>
      <c r="M17" s="536">
        <f t="shared" si="16"/>
        <v>0</v>
      </c>
      <c r="N17" s="551">
        <f t="shared" si="16"/>
        <v>0</v>
      </c>
      <c r="O17" s="18">
        <f t="shared" si="1"/>
        <v>0</v>
      </c>
      <c r="P17" s="545">
        <f t="shared" ref="P17:U17" si="20">P47+P78+P110+P142+P174+P206+P238+P270+P302+P334+P366+P398</f>
        <v>1310.9</v>
      </c>
      <c r="Q17" s="184">
        <f t="shared" si="20"/>
        <v>0</v>
      </c>
      <c r="R17" s="184">
        <f t="shared" si="20"/>
        <v>0</v>
      </c>
      <c r="S17" s="536">
        <f t="shared" si="20"/>
        <v>0</v>
      </c>
      <c r="T17" s="184">
        <f t="shared" si="20"/>
        <v>-27045.462798023069</v>
      </c>
      <c r="U17" s="184">
        <f t="shared" si="20"/>
        <v>0</v>
      </c>
      <c r="V17" s="18">
        <f t="shared" ref="V17:Y17" si="21">V47+V78+V110+V142+V174+V206+V238+V270+V302+V334+V366+V398</f>
        <v>0</v>
      </c>
      <c r="W17" s="18">
        <f t="shared" si="21"/>
        <v>0</v>
      </c>
      <c r="X17" s="18">
        <f t="shared" si="21"/>
        <v>0</v>
      </c>
      <c r="Y17" s="18">
        <f t="shared" si="21"/>
        <v>0</v>
      </c>
      <c r="Z17" s="582">
        <f t="shared" si="3"/>
        <v>3.637978807091713E-12</v>
      </c>
    </row>
    <row r="18" spans="1:26" x14ac:dyDescent="0.2">
      <c r="A18" s="534" t="s">
        <v>950</v>
      </c>
      <c r="B18" s="184">
        <f t="shared" ref="B18:E18" si="22">B48+B79+B111+B143+B175+B207+B239+B271+B303+B335+B367+B399</f>
        <v>0</v>
      </c>
      <c r="C18" s="184">
        <f t="shared" si="22"/>
        <v>0</v>
      </c>
      <c r="D18" s="184">
        <f t="shared" si="22"/>
        <v>0</v>
      </c>
      <c r="E18" s="184">
        <f t="shared" si="22"/>
        <v>0</v>
      </c>
      <c r="F18" s="258">
        <f t="shared" si="5"/>
        <v>0</v>
      </c>
      <c r="G18" s="536">
        <f t="shared" si="16"/>
        <v>0</v>
      </c>
      <c r="H18" s="545">
        <f t="shared" si="16"/>
        <v>0</v>
      </c>
      <c r="I18" s="184">
        <f t="shared" si="16"/>
        <v>0</v>
      </c>
      <c r="J18" s="184">
        <f t="shared" si="16"/>
        <v>0</v>
      </c>
      <c r="K18" s="184">
        <f t="shared" si="16"/>
        <v>0</v>
      </c>
      <c r="L18" s="184">
        <f t="shared" si="16"/>
        <v>0</v>
      </c>
      <c r="M18" s="536">
        <f t="shared" si="16"/>
        <v>0</v>
      </c>
      <c r="N18" s="551">
        <f t="shared" si="16"/>
        <v>0</v>
      </c>
      <c r="O18" s="18">
        <f t="shared" si="1"/>
        <v>0</v>
      </c>
      <c r="P18" s="545">
        <f t="shared" ref="P18:U18" si="23">P48+P79+P111+P143+P175+P207+P239+P271+P303+P335+P367+P399</f>
        <v>0</v>
      </c>
      <c r="Q18" s="184">
        <f t="shared" si="23"/>
        <v>0</v>
      </c>
      <c r="R18" s="184">
        <f t="shared" si="23"/>
        <v>0</v>
      </c>
      <c r="S18" s="536">
        <f t="shared" si="23"/>
        <v>0</v>
      </c>
      <c r="T18" s="184">
        <f t="shared" si="23"/>
        <v>0</v>
      </c>
      <c r="U18" s="184">
        <f t="shared" si="23"/>
        <v>0</v>
      </c>
      <c r="V18" s="18">
        <f t="shared" ref="V18:V24" si="24">V48+V79+V111+V143+V175+V207+V239+V271+V303+V335+V367+V399</f>
        <v>0</v>
      </c>
      <c r="W18" s="18">
        <f t="shared" ref="W18" si="25">W48+W79+W111+W143+W175+W207+W239+W271+W303+W335+W367+W399</f>
        <v>0</v>
      </c>
      <c r="X18" s="18">
        <f t="shared" ref="X18:Y22" si="26">X48+X79+X111+X143+X175+X207+X239+X271+X303+X335+X367+X399</f>
        <v>0</v>
      </c>
      <c r="Y18" s="18">
        <f t="shared" si="26"/>
        <v>0</v>
      </c>
      <c r="Z18" s="582">
        <f t="shared" si="3"/>
        <v>0</v>
      </c>
    </row>
    <row r="19" spans="1:26" x14ac:dyDescent="0.2">
      <c r="A19" s="534" t="s">
        <v>4586</v>
      </c>
      <c r="B19" s="184">
        <f t="shared" ref="B19:E19" si="27">B49+B80+B112+B144+B176+B208+B240+B272+B304+B336+B368+B400</f>
        <v>0</v>
      </c>
      <c r="C19" s="184">
        <f t="shared" si="27"/>
        <v>-5000.0000024520004</v>
      </c>
      <c r="D19" s="184">
        <f t="shared" si="27"/>
        <v>0</v>
      </c>
      <c r="E19" s="184">
        <f t="shared" si="27"/>
        <v>0</v>
      </c>
      <c r="F19" s="258">
        <f t="shared" si="5"/>
        <v>0</v>
      </c>
      <c r="G19" s="536">
        <f t="shared" si="16"/>
        <v>0</v>
      </c>
      <c r="H19" s="545">
        <f t="shared" si="16"/>
        <v>0</v>
      </c>
      <c r="I19" s="184">
        <f t="shared" si="16"/>
        <v>0</v>
      </c>
      <c r="J19" s="184">
        <f t="shared" si="16"/>
        <v>0</v>
      </c>
      <c r="K19" s="184">
        <f t="shared" si="16"/>
        <v>0</v>
      </c>
      <c r="L19" s="184">
        <f t="shared" si="16"/>
        <v>0</v>
      </c>
      <c r="M19" s="536">
        <f t="shared" si="16"/>
        <v>0</v>
      </c>
      <c r="N19" s="551">
        <f t="shared" si="16"/>
        <v>0</v>
      </c>
      <c r="O19" s="18">
        <f t="shared" si="1"/>
        <v>0</v>
      </c>
      <c r="P19" s="545">
        <f t="shared" ref="P19:U19" si="28">P49+P80+P112+P144+P176+P208+P240+P272+P304+P336+P368+P400</f>
        <v>0</v>
      </c>
      <c r="Q19" s="184">
        <f t="shared" si="28"/>
        <v>0</v>
      </c>
      <c r="R19" s="184">
        <f t="shared" si="28"/>
        <v>0</v>
      </c>
      <c r="S19" s="536">
        <f t="shared" si="28"/>
        <v>0</v>
      </c>
      <c r="T19" s="184">
        <f t="shared" si="28"/>
        <v>0</v>
      </c>
      <c r="U19" s="184">
        <f t="shared" si="28"/>
        <v>5000</v>
      </c>
      <c r="V19" s="18">
        <f t="shared" si="24"/>
        <v>0</v>
      </c>
      <c r="W19" s="18">
        <f t="shared" ref="W19" si="29">W49+W80+W112+W144+W176+W208+W240+W272+W304+W336+W368+W400</f>
        <v>0</v>
      </c>
      <c r="X19" s="18">
        <f t="shared" si="26"/>
        <v>0</v>
      </c>
      <c r="Y19" s="18">
        <f t="shared" si="26"/>
        <v>0</v>
      </c>
      <c r="Z19" s="582">
        <f t="shared" si="3"/>
        <v>-2.4520004444639198E-6</v>
      </c>
    </row>
    <row r="20" spans="1:26" x14ac:dyDescent="0.2">
      <c r="A20" s="534" t="s">
        <v>779</v>
      </c>
      <c r="B20" s="184">
        <f t="shared" ref="B20:E20" si="30">B50+B81+B113+B145+B177+B209+B241+B273+B305+B337+B369+B401</f>
        <v>0</v>
      </c>
      <c r="C20" s="184">
        <f t="shared" si="30"/>
        <v>0</v>
      </c>
      <c r="D20" s="184">
        <f t="shared" si="30"/>
        <v>0</v>
      </c>
      <c r="E20" s="184">
        <f t="shared" si="30"/>
        <v>0</v>
      </c>
      <c r="F20" s="258">
        <f t="shared" si="5"/>
        <v>0</v>
      </c>
      <c r="G20" s="536">
        <f t="shared" si="16"/>
        <v>0</v>
      </c>
      <c r="H20" s="545">
        <f t="shared" si="16"/>
        <v>0</v>
      </c>
      <c r="I20" s="184">
        <f t="shared" si="16"/>
        <v>0</v>
      </c>
      <c r="J20" s="184">
        <f t="shared" si="16"/>
        <v>0</v>
      </c>
      <c r="K20" s="184">
        <f t="shared" si="16"/>
        <v>0</v>
      </c>
      <c r="L20" s="184">
        <f t="shared" si="16"/>
        <v>0</v>
      </c>
      <c r="M20" s="536">
        <f t="shared" si="16"/>
        <v>0</v>
      </c>
      <c r="N20" s="551">
        <f t="shared" si="16"/>
        <v>0</v>
      </c>
      <c r="O20" s="18">
        <f t="shared" si="1"/>
        <v>0</v>
      </c>
      <c r="P20" s="545">
        <f t="shared" ref="P20:U20" si="31">P50+P81+P113+P145+P177+P209+P241+P273+P305+P337+P369+P401</f>
        <v>0</v>
      </c>
      <c r="Q20" s="184">
        <f t="shared" si="31"/>
        <v>0</v>
      </c>
      <c r="R20" s="184">
        <f t="shared" si="31"/>
        <v>0</v>
      </c>
      <c r="S20" s="536">
        <f t="shared" si="31"/>
        <v>0</v>
      </c>
      <c r="T20" s="184">
        <f t="shared" si="31"/>
        <v>0</v>
      </c>
      <c r="U20" s="184">
        <f t="shared" si="31"/>
        <v>0</v>
      </c>
      <c r="V20" s="18">
        <f t="shared" si="24"/>
        <v>0</v>
      </c>
      <c r="W20" s="18">
        <f t="shared" ref="W20" si="32">W50+W81+W113+W145+W177+W209+W241+W273+W305+W337+W369+W401</f>
        <v>0</v>
      </c>
      <c r="X20" s="18">
        <f t="shared" si="26"/>
        <v>0</v>
      </c>
      <c r="Y20" s="18">
        <f t="shared" si="26"/>
        <v>0</v>
      </c>
      <c r="Z20" s="582">
        <f t="shared" si="3"/>
        <v>0</v>
      </c>
    </row>
    <row r="21" spans="1:26" x14ac:dyDescent="0.2">
      <c r="A21" s="534" t="s">
        <v>4267</v>
      </c>
      <c r="B21" s="184">
        <f t="shared" ref="B21:E21" si="33">B51+B82+B114+B146+B178+B210+B242+B274+B306+B338+B370+B402</f>
        <v>0</v>
      </c>
      <c r="C21" s="184">
        <f t="shared" si="33"/>
        <v>0</v>
      </c>
      <c r="D21" s="184">
        <f t="shared" si="33"/>
        <v>0</v>
      </c>
      <c r="E21" s="184">
        <f t="shared" si="33"/>
        <v>0</v>
      </c>
      <c r="F21" s="258">
        <f t="shared" si="5"/>
        <v>0</v>
      </c>
      <c r="G21" s="536">
        <f t="shared" si="16"/>
        <v>0</v>
      </c>
      <c r="H21" s="545">
        <f t="shared" si="16"/>
        <v>0</v>
      </c>
      <c r="I21" s="184">
        <f t="shared" si="16"/>
        <v>0</v>
      </c>
      <c r="J21" s="184">
        <f t="shared" si="16"/>
        <v>0</v>
      </c>
      <c r="K21" s="184">
        <f t="shared" si="16"/>
        <v>0</v>
      </c>
      <c r="L21" s="184">
        <f t="shared" si="16"/>
        <v>0</v>
      </c>
      <c r="M21" s="536">
        <f t="shared" si="16"/>
        <v>0</v>
      </c>
      <c r="N21" s="551">
        <f t="shared" si="16"/>
        <v>0</v>
      </c>
      <c r="O21" s="18">
        <f t="shared" si="1"/>
        <v>0</v>
      </c>
      <c r="P21" s="545">
        <f t="shared" ref="P21:U21" si="34">P51+P82+P114+P146+P178+P210+P242+P274+P306+P338+P370+P402</f>
        <v>0</v>
      </c>
      <c r="Q21" s="184">
        <f t="shared" si="34"/>
        <v>0</v>
      </c>
      <c r="R21" s="184">
        <f t="shared" si="34"/>
        <v>0</v>
      </c>
      <c r="S21" s="536">
        <f t="shared" si="34"/>
        <v>0</v>
      </c>
      <c r="T21" s="184">
        <f t="shared" si="34"/>
        <v>0</v>
      </c>
      <c r="U21" s="184">
        <f t="shared" si="34"/>
        <v>0</v>
      </c>
      <c r="V21" s="18">
        <f t="shared" si="24"/>
        <v>0</v>
      </c>
      <c r="W21" s="18">
        <f t="shared" ref="W21" si="35">W51+W82+W114+W146+W178+W210+W242+W274+W306+W338+W370+W402</f>
        <v>0</v>
      </c>
      <c r="X21" s="18">
        <f t="shared" si="26"/>
        <v>0</v>
      </c>
      <c r="Y21" s="18">
        <f t="shared" si="26"/>
        <v>0</v>
      </c>
      <c r="Z21" s="582">
        <f t="shared" si="3"/>
        <v>0</v>
      </c>
    </row>
    <row r="22" spans="1:26" x14ac:dyDescent="0.2">
      <c r="A22" s="534" t="s">
        <v>4275</v>
      </c>
      <c r="B22" s="184">
        <f t="shared" ref="B22:E22" si="36">B52+B83+B115+B147+B179+B211+B243+B275+B307+B339+B371+B403</f>
        <v>0</v>
      </c>
      <c r="C22" s="184">
        <f t="shared" si="36"/>
        <v>84501.000041439285</v>
      </c>
      <c r="D22" s="184">
        <f t="shared" si="36"/>
        <v>0</v>
      </c>
      <c r="E22" s="184">
        <f t="shared" si="36"/>
        <v>0</v>
      </c>
      <c r="F22" s="258">
        <f t="shared" si="5"/>
        <v>0</v>
      </c>
      <c r="G22" s="536">
        <f t="shared" si="16"/>
        <v>0</v>
      </c>
      <c r="H22" s="545">
        <f t="shared" si="16"/>
        <v>251809.38211760204</v>
      </c>
      <c r="I22" s="184">
        <f t="shared" si="16"/>
        <v>0</v>
      </c>
      <c r="J22" s="184">
        <f t="shared" si="16"/>
        <v>0</v>
      </c>
      <c r="K22" s="184">
        <f t="shared" si="16"/>
        <v>0</v>
      </c>
      <c r="L22" s="184">
        <f t="shared" si="16"/>
        <v>0</v>
      </c>
      <c r="M22" s="536">
        <f t="shared" si="16"/>
        <v>0</v>
      </c>
      <c r="N22" s="551">
        <f t="shared" si="16"/>
        <v>0</v>
      </c>
      <c r="O22" s="18">
        <f t="shared" si="1"/>
        <v>0</v>
      </c>
      <c r="P22" s="545">
        <f t="shared" ref="P22:U22" si="37">P52+P83+P115+P147+P179+P211+P243+P275+P307+P339+P371+P403</f>
        <v>0</v>
      </c>
      <c r="Q22" s="184">
        <f t="shared" si="37"/>
        <v>0</v>
      </c>
      <c r="R22" s="184">
        <f t="shared" si="37"/>
        <v>0</v>
      </c>
      <c r="S22" s="536">
        <f t="shared" si="37"/>
        <v>0</v>
      </c>
      <c r="T22" s="184">
        <f t="shared" si="37"/>
        <v>-336310.3821590413</v>
      </c>
      <c r="U22" s="184">
        <f t="shared" si="37"/>
        <v>0</v>
      </c>
      <c r="V22" s="18">
        <f t="shared" si="24"/>
        <v>0</v>
      </c>
      <c r="W22" s="18">
        <f t="shared" ref="W22" si="38">W52+W83+W115+W147+W179+W211+W243+W275+W307+W339+W371+W403</f>
        <v>0</v>
      </c>
      <c r="X22" s="18">
        <f t="shared" si="26"/>
        <v>0</v>
      </c>
      <c r="Y22" s="18">
        <f t="shared" si="26"/>
        <v>0</v>
      </c>
      <c r="Z22" s="582">
        <f t="shared" si="3"/>
        <v>5.8207660913467407E-11</v>
      </c>
    </row>
    <row r="23" spans="1:26" x14ac:dyDescent="0.2">
      <c r="A23" s="534" t="s">
        <v>4481</v>
      </c>
      <c r="B23" s="184">
        <f t="shared" ref="B23:E23" si="39">B53+B84+B116+B148+B180+B212+B244+B276+B308+B340+B372+B404</f>
        <v>0</v>
      </c>
      <c r="C23" s="184">
        <f t="shared" si="39"/>
        <v>820900.00040256931</v>
      </c>
      <c r="D23" s="184">
        <f t="shared" si="39"/>
        <v>0</v>
      </c>
      <c r="E23" s="184">
        <f t="shared" si="39"/>
        <v>0</v>
      </c>
      <c r="F23" s="258">
        <f t="shared" si="5"/>
        <v>0</v>
      </c>
      <c r="G23" s="536">
        <f t="shared" si="16"/>
        <v>0</v>
      </c>
      <c r="H23" s="545">
        <f t="shared" si="16"/>
        <v>177916.44659368321</v>
      </c>
      <c r="I23" s="184">
        <f t="shared" si="16"/>
        <v>0</v>
      </c>
      <c r="J23" s="184">
        <f t="shared" si="16"/>
        <v>0</v>
      </c>
      <c r="K23" s="184">
        <f t="shared" si="16"/>
        <v>0</v>
      </c>
      <c r="L23" s="184">
        <f t="shared" si="16"/>
        <v>0</v>
      </c>
      <c r="M23" s="536">
        <f t="shared" si="16"/>
        <v>0</v>
      </c>
      <c r="N23" s="551">
        <f t="shared" si="16"/>
        <v>0</v>
      </c>
      <c r="O23" s="18"/>
      <c r="P23" s="545">
        <f t="shared" ref="P23:U23" si="40">P53+P84+P116+P148+P180+P212+P244+P276+P308+P340+P372+P404</f>
        <v>0</v>
      </c>
      <c r="Q23" s="184">
        <f t="shared" si="40"/>
        <v>0</v>
      </c>
      <c r="R23" s="184">
        <f t="shared" si="40"/>
        <v>0</v>
      </c>
      <c r="S23" s="536">
        <f t="shared" si="40"/>
        <v>0</v>
      </c>
      <c r="T23" s="184">
        <f t="shared" si="40"/>
        <v>-998816.4459913004</v>
      </c>
      <c r="U23" s="184">
        <f t="shared" si="40"/>
        <v>0</v>
      </c>
      <c r="V23" s="18">
        <f t="shared" si="24"/>
        <v>0</v>
      </c>
      <c r="W23" s="18">
        <f t="shared" ref="W23" si="41">W53+W84+W116+W148+W180+W212+W244+W276+W308+W340+W372+W404</f>
        <v>0</v>
      </c>
      <c r="X23" s="18"/>
      <c r="Y23" s="18"/>
      <c r="Z23" s="582"/>
    </row>
    <row r="24" spans="1:26" x14ac:dyDescent="0.2">
      <c r="A24" t="s">
        <v>4569</v>
      </c>
      <c r="B24" s="184">
        <f t="shared" ref="B24:E24" si="42">B54+B85+B117+B149+B181+B213+B245+B277+B309+B341+B373+B405</f>
        <v>0</v>
      </c>
      <c r="C24" s="184">
        <f t="shared" si="42"/>
        <v>0</v>
      </c>
      <c r="D24" s="184">
        <f t="shared" si="42"/>
        <v>0</v>
      </c>
      <c r="E24" s="184">
        <f t="shared" si="42"/>
        <v>0</v>
      </c>
      <c r="F24" s="258">
        <f t="shared" si="5"/>
        <v>0</v>
      </c>
      <c r="G24" s="536">
        <f t="shared" si="16"/>
        <v>354355.07</v>
      </c>
      <c r="H24" s="545">
        <f t="shared" si="16"/>
        <v>-2946195.3427769891</v>
      </c>
      <c r="I24" s="184">
        <f t="shared" si="16"/>
        <v>0</v>
      </c>
      <c r="J24" s="184">
        <f t="shared" si="16"/>
        <v>-2992.8228366100002</v>
      </c>
      <c r="K24" s="184">
        <f t="shared" si="16"/>
        <v>807811.77464845998</v>
      </c>
      <c r="L24" s="184">
        <f t="shared" si="16"/>
        <v>0</v>
      </c>
      <c r="M24" s="536">
        <f t="shared" si="16"/>
        <v>0</v>
      </c>
      <c r="N24" s="551">
        <f t="shared" si="16"/>
        <v>-1355.33</v>
      </c>
      <c r="O24" s="18"/>
      <c r="P24" s="545">
        <f t="shared" ref="P24:U24" si="43">P54+P85+P117+P149+P181+P213+P245+P277+P309+P341+P373+P405</f>
        <v>0</v>
      </c>
      <c r="Q24" s="184">
        <f>Q54+Q85+Q117+Q149+Q181+Q213+Q245+Q277+Q309+Q341+Q373+Q405</f>
        <v>0</v>
      </c>
      <c r="R24" s="184">
        <f t="shared" si="43"/>
        <v>1792435.826773172</v>
      </c>
      <c r="S24" s="536">
        <f t="shared" si="43"/>
        <v>0</v>
      </c>
      <c r="T24" s="184">
        <f t="shared" si="43"/>
        <v>0</v>
      </c>
      <c r="U24" s="184">
        <f t="shared" si="43"/>
        <v>0</v>
      </c>
      <c r="V24" s="18">
        <f t="shared" si="24"/>
        <v>0</v>
      </c>
      <c r="W24" s="18">
        <f>W54+W85+W117+W149+W181+W213+W245+W277+W309+W341+W373+W405</f>
        <v>0</v>
      </c>
      <c r="X24" s="18"/>
      <c r="Y24" s="18"/>
      <c r="Z24" s="582"/>
    </row>
    <row r="25" spans="1:26" x14ac:dyDescent="0.2">
      <c r="A25" t="s">
        <v>4587</v>
      </c>
      <c r="B25" s="184">
        <f t="shared" ref="B25:E25" si="44">B55+B86+B118+B150+B182+B214+B246+B278+B310+B342+B374+B406</f>
        <v>0</v>
      </c>
      <c r="C25" s="184">
        <f t="shared" si="44"/>
        <v>0</v>
      </c>
      <c r="D25" s="184">
        <f t="shared" si="44"/>
        <v>0</v>
      </c>
      <c r="E25" s="184">
        <f t="shared" si="44"/>
        <v>0</v>
      </c>
      <c r="F25" s="258">
        <f t="shared" si="5"/>
        <v>0</v>
      </c>
      <c r="G25" s="536">
        <f t="shared" si="16"/>
        <v>0</v>
      </c>
      <c r="H25" s="545">
        <f t="shared" si="16"/>
        <v>0</v>
      </c>
      <c r="I25" s="184">
        <f t="shared" si="16"/>
        <v>0</v>
      </c>
      <c r="J25" s="184">
        <f t="shared" si="16"/>
        <v>0</v>
      </c>
      <c r="K25" s="184">
        <f t="shared" si="16"/>
        <v>0</v>
      </c>
      <c r="L25" s="184">
        <f t="shared" si="16"/>
        <v>0</v>
      </c>
      <c r="M25" s="536">
        <f t="shared" si="16"/>
        <v>0</v>
      </c>
      <c r="N25" s="551">
        <f t="shared" si="16"/>
        <v>0</v>
      </c>
      <c r="O25" s="18"/>
      <c r="P25" s="545">
        <f t="shared" ref="P25:U25" si="45">P55+P86+P118+P150+P182+P214+P246+P278+P310+P342+P374+P406</f>
        <v>0</v>
      </c>
      <c r="Q25" s="184">
        <f t="shared" si="45"/>
        <v>0</v>
      </c>
      <c r="R25" s="184">
        <f t="shared" si="45"/>
        <v>0</v>
      </c>
      <c r="S25" s="536">
        <f t="shared" si="45"/>
        <v>0</v>
      </c>
      <c r="T25" s="184">
        <f t="shared" si="45"/>
        <v>0</v>
      </c>
      <c r="U25" s="184">
        <f t="shared" si="45"/>
        <v>0</v>
      </c>
      <c r="V25" s="18"/>
      <c r="W25" s="18">
        <f t="shared" ref="W25" si="46">W55+W86+W118+W150+W182+W214+W246+W278+W310+W342+W374+W406</f>
        <v>0</v>
      </c>
      <c r="X25" s="18"/>
      <c r="Y25" s="18"/>
      <c r="Z25" s="582"/>
    </row>
    <row r="26" spans="1:26" x14ac:dyDescent="0.2">
      <c r="A26" t="s">
        <v>4369</v>
      </c>
      <c r="B26" s="184">
        <f t="shared" ref="B26:E26" si="47">B56+B87+B119+B151+B183+B215+B247+B279+B311+B343+B375+B407</f>
        <v>0</v>
      </c>
      <c r="C26" s="184">
        <f t="shared" si="47"/>
        <v>158454.15305148001</v>
      </c>
      <c r="D26" s="184">
        <f t="shared" si="47"/>
        <v>0</v>
      </c>
      <c r="E26" s="184">
        <f t="shared" si="47"/>
        <v>0</v>
      </c>
      <c r="F26" s="258">
        <f t="shared" si="5"/>
        <v>176721.01</v>
      </c>
      <c r="G26" s="536">
        <f t="shared" si="16"/>
        <v>0</v>
      </c>
      <c r="H26" s="545">
        <f t="shared" si="16"/>
        <v>0</v>
      </c>
      <c r="I26" s="184">
        <f t="shared" si="16"/>
        <v>0</v>
      </c>
      <c r="J26" s="184">
        <f t="shared" si="16"/>
        <v>0</v>
      </c>
      <c r="K26" s="184">
        <f t="shared" si="16"/>
        <v>0</v>
      </c>
      <c r="L26" s="184">
        <f t="shared" si="16"/>
        <v>0</v>
      </c>
      <c r="M26" s="536">
        <f t="shared" si="16"/>
        <v>0</v>
      </c>
      <c r="N26" s="551">
        <f t="shared" si="16"/>
        <v>0</v>
      </c>
      <c r="O26" s="18">
        <f>O56+O84+O116+O148+O180+O212+O244+O276+O308+O340+O372</f>
        <v>0</v>
      </c>
      <c r="P26" s="545">
        <f t="shared" ref="P26:U26" si="48">P56+P87+P119+P151+P183+P215+P247+P279+P311+P343+P375+P407</f>
        <v>0</v>
      </c>
      <c r="Q26" s="184">
        <f t="shared" si="48"/>
        <v>0</v>
      </c>
      <c r="R26" s="184">
        <f t="shared" si="48"/>
        <v>0</v>
      </c>
      <c r="S26" s="536">
        <f t="shared" si="48"/>
        <v>0</v>
      </c>
      <c r="T26" s="184">
        <f t="shared" si="48"/>
        <v>0</v>
      </c>
      <c r="U26" s="184">
        <f t="shared" si="48"/>
        <v>0</v>
      </c>
      <c r="V26" s="18">
        <f t="shared" ref="V26:Y26" si="49">V56+V84+V116+V148+V180+V212+V244+V276+V308+V340+V372+V404</f>
        <v>0</v>
      </c>
      <c r="W26" s="18">
        <f t="shared" ref="W26" si="50">W56+W87+W119+W151+W183+W215+W247+W279+W311+W343+W375+W407</f>
        <v>-335175.16305148002</v>
      </c>
      <c r="X26" s="18">
        <f t="shared" si="49"/>
        <v>0</v>
      </c>
      <c r="Y26" s="18">
        <f t="shared" si="49"/>
        <v>0</v>
      </c>
      <c r="Z26" s="582">
        <f t="shared" si="3"/>
        <v>0</v>
      </c>
    </row>
    <row r="27" spans="1:26" x14ac:dyDescent="0.2">
      <c r="A27" s="534" t="s">
        <v>799</v>
      </c>
      <c r="B27" s="184">
        <f t="shared" ref="B27:E27" si="51">B57+B88+B120+B152+B184+B216+B248+B280+B312+B344+B376+B408</f>
        <v>0</v>
      </c>
      <c r="C27" s="184">
        <f t="shared" si="51"/>
        <v>0</v>
      </c>
      <c r="D27" s="184">
        <f t="shared" si="51"/>
        <v>0</v>
      </c>
      <c r="E27" s="184">
        <f t="shared" si="51"/>
        <v>0</v>
      </c>
      <c r="F27" s="258">
        <f t="shared" si="5"/>
        <v>0</v>
      </c>
      <c r="G27" s="536">
        <f t="shared" si="16"/>
        <v>0</v>
      </c>
      <c r="H27" s="545">
        <f t="shared" si="16"/>
        <v>-50182.571925720003</v>
      </c>
      <c r="I27" s="184">
        <f t="shared" si="16"/>
        <v>0</v>
      </c>
      <c r="J27" s="184">
        <f t="shared" si="16"/>
        <v>0</v>
      </c>
      <c r="K27" s="184">
        <f t="shared" si="16"/>
        <v>0</v>
      </c>
      <c r="L27" s="184">
        <f t="shared" si="16"/>
        <v>0</v>
      </c>
      <c r="M27" s="536">
        <f t="shared" si="16"/>
        <v>0</v>
      </c>
      <c r="N27" s="551">
        <f t="shared" si="16"/>
        <v>0</v>
      </c>
      <c r="O27" s="18">
        <f>O57+O85+O119+O149+O181+O213+O245+O277+O309+O341+O373</f>
        <v>0</v>
      </c>
      <c r="P27" s="545">
        <f t="shared" ref="P27:U27" si="52">P57+P88+P120+P152+P184+P216+P248+P280+P312+P344+P376+P408</f>
        <v>1654514.4367745982</v>
      </c>
      <c r="Q27" s="184">
        <f t="shared" si="52"/>
        <v>0</v>
      </c>
      <c r="R27" s="184">
        <f t="shared" si="52"/>
        <v>0</v>
      </c>
      <c r="S27" s="536">
        <f t="shared" si="52"/>
        <v>0</v>
      </c>
      <c r="T27" s="184">
        <f t="shared" si="52"/>
        <v>-1604331.8648488782</v>
      </c>
      <c r="U27" s="184">
        <f t="shared" si="52"/>
        <v>0</v>
      </c>
      <c r="V27" s="18">
        <f t="shared" ref="V27:Y27" si="53">V57+V85+V119+V149+V181+V213+V245+V277+V309+V341+V373+V405</f>
        <v>0</v>
      </c>
      <c r="W27" s="18">
        <f t="shared" ref="W27" si="54">W57+W88+W120+W152+W184+W216+W248+W280+W312+W344+W376+W408</f>
        <v>0</v>
      </c>
      <c r="X27" s="18">
        <f t="shared" si="53"/>
        <v>0</v>
      </c>
      <c r="Y27" s="18">
        <f t="shared" si="53"/>
        <v>0</v>
      </c>
      <c r="Z27" s="582">
        <f t="shared" si="3"/>
        <v>0</v>
      </c>
    </row>
    <row r="28" spans="1:26" x14ac:dyDescent="0.2">
      <c r="A28" s="534" t="s">
        <v>3845</v>
      </c>
      <c r="B28" s="184">
        <f t="shared" ref="B28:E28" si="55">B58+B89+B121+B153+B185+B217+B249+B281+B313+B345+B377+B409</f>
        <v>0</v>
      </c>
      <c r="C28" s="184">
        <f t="shared" si="55"/>
        <v>-130765.25010026029</v>
      </c>
      <c r="D28" s="184">
        <f t="shared" si="55"/>
        <v>0</v>
      </c>
      <c r="E28" s="184">
        <f t="shared" si="55"/>
        <v>0</v>
      </c>
      <c r="F28" s="258">
        <f t="shared" si="5"/>
        <v>158454.15305148001</v>
      </c>
      <c r="G28" s="536">
        <f t="shared" si="16"/>
        <v>2978.06989428</v>
      </c>
      <c r="H28" s="545">
        <f t="shared" si="16"/>
        <v>229654.78010026031</v>
      </c>
      <c r="I28" s="184">
        <f t="shared" si="16"/>
        <v>-25491.33321696</v>
      </c>
      <c r="J28" s="184">
        <f t="shared" si="16"/>
        <v>-2978.07</v>
      </c>
      <c r="K28" s="184">
        <f t="shared" si="16"/>
        <v>-231852.35</v>
      </c>
      <c r="L28" s="184">
        <f t="shared" si="16"/>
        <v>0</v>
      </c>
      <c r="M28" s="536">
        <f t="shared" si="16"/>
        <v>0</v>
      </c>
      <c r="N28" s="551">
        <f t="shared" si="16"/>
        <v>0</v>
      </c>
      <c r="O28" s="18">
        <f t="shared" ref="O28:O33" si="56">O58+O89+O121+O153+O185+O217+O249+O281+O313+O345+O377</f>
        <v>0</v>
      </c>
      <c r="P28" s="545">
        <f t="shared" ref="P28:U28" si="57">P58+P89+P121+P153+P185+P217+P249+P281+P313+P345+P377+P409</f>
        <v>0</v>
      </c>
      <c r="Q28" s="184">
        <f t="shared" si="57"/>
        <v>0</v>
      </c>
      <c r="R28" s="184">
        <f t="shared" si="57"/>
        <v>0</v>
      </c>
      <c r="S28" s="536">
        <f t="shared" si="57"/>
        <v>0</v>
      </c>
      <c r="T28" s="184">
        <f t="shared" si="57"/>
        <v>0</v>
      </c>
      <c r="U28" s="184">
        <f t="shared" si="57"/>
        <v>0</v>
      </c>
      <c r="V28" s="18">
        <f t="shared" ref="V28:Y28" si="58">V58+V89+V121+V153+V185+V217+V249+V281+V313+V345+V377+V409</f>
        <v>0</v>
      </c>
      <c r="W28" s="18">
        <f t="shared" si="58"/>
        <v>3.2169599980989005E-3</v>
      </c>
      <c r="X28" s="18">
        <f t="shared" si="58"/>
        <v>0</v>
      </c>
      <c r="Y28" s="18">
        <f t="shared" si="58"/>
        <v>0</v>
      </c>
      <c r="Z28" s="582">
        <f t="shared" si="3"/>
        <v>2.9457600285240915E-3</v>
      </c>
    </row>
    <row r="29" spans="1:26" x14ac:dyDescent="0.2">
      <c r="A29" s="534" t="s">
        <v>792</v>
      </c>
      <c r="B29" s="184">
        <f t="shared" ref="B29:E29" si="59">B59+B90+B122+B154+B186+B218+B250+B282+B314+B346+B378+B410</f>
        <v>86807.310008284403</v>
      </c>
      <c r="C29" s="184">
        <f t="shared" si="59"/>
        <v>0</v>
      </c>
      <c r="D29" s="184">
        <f t="shared" si="59"/>
        <v>0</v>
      </c>
      <c r="E29" s="184">
        <f t="shared" si="59"/>
        <v>0</v>
      </c>
      <c r="F29" s="258">
        <f t="shared" si="5"/>
        <v>0</v>
      </c>
      <c r="G29" s="536">
        <f t="shared" si="16"/>
        <v>0</v>
      </c>
      <c r="H29" s="545">
        <f t="shared" si="16"/>
        <v>0</v>
      </c>
      <c r="I29" s="184">
        <f t="shared" si="16"/>
        <v>0</v>
      </c>
      <c r="J29" s="184">
        <f t="shared" si="16"/>
        <v>0</v>
      </c>
      <c r="K29" s="184">
        <f t="shared" si="16"/>
        <v>0</v>
      </c>
      <c r="L29" s="184">
        <f t="shared" si="16"/>
        <v>0</v>
      </c>
      <c r="M29" s="536">
        <f t="shared" si="16"/>
        <v>0</v>
      </c>
      <c r="N29" s="551">
        <f t="shared" si="16"/>
        <v>-171.85340305250429</v>
      </c>
      <c r="O29" s="18">
        <f t="shared" si="56"/>
        <v>0</v>
      </c>
      <c r="P29" s="545">
        <f t="shared" ref="P29:U29" si="60">P59+P90+P122+P154+P186+P218+P250+P282+P314+P346+P378+P410</f>
        <v>0</v>
      </c>
      <c r="Q29" s="184">
        <f t="shared" si="60"/>
        <v>-86635.456605231899</v>
      </c>
      <c r="R29" s="184">
        <f t="shared" si="60"/>
        <v>0</v>
      </c>
      <c r="S29" s="536">
        <f t="shared" si="60"/>
        <v>0</v>
      </c>
      <c r="T29" s="184">
        <f t="shared" si="60"/>
        <v>0</v>
      </c>
      <c r="U29" s="184">
        <f t="shared" si="60"/>
        <v>0</v>
      </c>
      <c r="V29" s="18">
        <f t="shared" ref="V29:Y29" si="61">V59+V90+V122+V154+V186+V218+V250+V282+V314+V346+V378+V410</f>
        <v>0</v>
      </c>
      <c r="W29" s="18">
        <f t="shared" si="61"/>
        <v>0</v>
      </c>
      <c r="X29" s="18">
        <f t="shared" si="61"/>
        <v>0</v>
      </c>
      <c r="Y29" s="18">
        <f t="shared" si="61"/>
        <v>0</v>
      </c>
      <c r="Z29" s="582">
        <f t="shared" si="3"/>
        <v>0</v>
      </c>
    </row>
    <row r="30" spans="1:26" x14ac:dyDescent="0.2">
      <c r="A30" s="534" t="s">
        <v>791</v>
      </c>
      <c r="B30" s="184">
        <f t="shared" ref="B30:E30" si="62">B60+B91+B123+B155+B187+B219+B251+B283+B315+B347+B379+B411</f>
        <v>0</v>
      </c>
      <c r="C30" s="184">
        <f t="shared" si="62"/>
        <v>-322.18570799999998</v>
      </c>
      <c r="D30" s="184">
        <f t="shared" si="62"/>
        <v>0</v>
      </c>
      <c r="E30" s="184">
        <f t="shared" si="62"/>
        <v>0</v>
      </c>
      <c r="F30" s="258">
        <f t="shared" si="5"/>
        <v>0</v>
      </c>
      <c r="G30" s="536">
        <f t="shared" si="16"/>
        <v>0</v>
      </c>
      <c r="H30" s="545">
        <f t="shared" si="16"/>
        <v>0</v>
      </c>
      <c r="I30" s="184">
        <f t="shared" si="16"/>
        <v>0</v>
      </c>
      <c r="J30" s="184">
        <f t="shared" si="16"/>
        <v>0</v>
      </c>
      <c r="K30" s="184">
        <f t="shared" si="16"/>
        <v>0</v>
      </c>
      <c r="L30" s="184">
        <f t="shared" si="16"/>
        <v>0</v>
      </c>
      <c r="M30" s="536">
        <f t="shared" si="16"/>
        <v>0</v>
      </c>
      <c r="N30" s="551">
        <f t="shared" ref="N30" si="63">N60+N91+N123+N155+N187+N219+N251+N283+N315+N347+N379+N411</f>
        <v>0</v>
      </c>
      <c r="O30" s="18">
        <f t="shared" si="56"/>
        <v>0</v>
      </c>
      <c r="P30" s="545">
        <f t="shared" ref="P30:U30" si="64">P60+P91+P123+P155+P187+P219+P251+P283+P315+P347+P379+P411</f>
        <v>0</v>
      </c>
      <c r="Q30" s="184">
        <f t="shared" si="64"/>
        <v>189064.78639207623</v>
      </c>
      <c r="R30" s="184">
        <f t="shared" si="64"/>
        <v>0</v>
      </c>
      <c r="S30" s="536">
        <f t="shared" si="64"/>
        <v>0</v>
      </c>
      <c r="T30" s="184">
        <f t="shared" si="64"/>
        <v>-188742.60068407623</v>
      </c>
      <c r="U30" s="184">
        <f t="shared" si="64"/>
        <v>0</v>
      </c>
      <c r="V30" s="18">
        <f t="shared" ref="V30:Y30" si="65">V60+V91+V123+V155+V187+V219+V251+V283+V315+V347+V379+V411</f>
        <v>0</v>
      </c>
      <c r="W30" s="18">
        <f t="shared" si="65"/>
        <v>0</v>
      </c>
      <c r="X30" s="18">
        <f t="shared" si="65"/>
        <v>0</v>
      </c>
      <c r="Y30" s="18">
        <f t="shared" si="65"/>
        <v>0</v>
      </c>
      <c r="Z30" s="582">
        <f t="shared" si="3"/>
        <v>0</v>
      </c>
    </row>
    <row r="31" spans="1:26" x14ac:dyDescent="0.2">
      <c r="A31" s="534" t="s">
        <v>243</v>
      </c>
      <c r="B31" s="184">
        <f t="shared" ref="B31:E31" si="66">B61+B92+B124+B156+B188+B220+B252+B284+B316+B348+B380+B412</f>
        <v>0</v>
      </c>
      <c r="C31" s="184">
        <f t="shared" si="66"/>
        <v>-57.778636968000001</v>
      </c>
      <c r="D31" s="184">
        <f t="shared" si="66"/>
        <v>0</v>
      </c>
      <c r="E31" s="184">
        <f t="shared" si="66"/>
        <v>0</v>
      </c>
      <c r="F31" s="258">
        <f t="shared" si="5"/>
        <v>0</v>
      </c>
      <c r="G31" s="536">
        <f t="shared" si="16"/>
        <v>0</v>
      </c>
      <c r="H31" s="545">
        <f t="shared" si="16"/>
        <v>-1615.6209722895999</v>
      </c>
      <c r="I31" s="184">
        <f t="shared" si="16"/>
        <v>0</v>
      </c>
      <c r="J31" s="184">
        <f t="shared" si="16"/>
        <v>0</v>
      </c>
      <c r="K31" s="184">
        <f t="shared" si="16"/>
        <v>0</v>
      </c>
      <c r="L31" s="184">
        <f t="shared" si="16"/>
        <v>0</v>
      </c>
      <c r="M31" s="536">
        <f t="shared" si="16"/>
        <v>0</v>
      </c>
      <c r="N31" s="551">
        <f t="shared" ref="N31:N33" si="67">N61+N92+N124+N156+N188+N220+N252+N284+N316+N348+N380+N412</f>
        <v>-84.49</v>
      </c>
      <c r="O31" s="18">
        <f t="shared" si="56"/>
        <v>0</v>
      </c>
      <c r="P31" s="545">
        <f t="shared" ref="P31:U31" si="68">P61+P92+P124+P156+P188+P220+P252+P284+P316+P348+P380+P412</f>
        <v>0</v>
      </c>
      <c r="Q31" s="184">
        <f t="shared" si="68"/>
        <v>0</v>
      </c>
      <c r="R31" s="184">
        <f t="shared" si="68"/>
        <v>0</v>
      </c>
      <c r="S31" s="536">
        <f t="shared" si="68"/>
        <v>0</v>
      </c>
      <c r="T31" s="184">
        <f t="shared" si="68"/>
        <v>0</v>
      </c>
      <c r="U31" s="184">
        <f t="shared" si="68"/>
        <v>0</v>
      </c>
      <c r="V31" s="18">
        <f t="shared" ref="V31:Y31" si="69">V61+V92+V124+V156+V188+V220+V252+V284+V316+V348+V380+V412</f>
        <v>0</v>
      </c>
      <c r="W31" s="18">
        <f t="shared" si="69"/>
        <v>1757.8850263347997</v>
      </c>
      <c r="X31" s="18">
        <f t="shared" si="69"/>
        <v>0</v>
      </c>
      <c r="Y31" s="18">
        <f t="shared" si="69"/>
        <v>0</v>
      </c>
      <c r="Z31" s="582">
        <f t="shared" si="3"/>
        <v>-4.5829228001821321E-3</v>
      </c>
    </row>
    <row r="32" spans="1:26" x14ac:dyDescent="0.2">
      <c r="A32" s="534" t="s">
        <v>795</v>
      </c>
      <c r="B32" s="184">
        <f t="shared" ref="B32:E32" si="70">B62+B93+B125+B157+B189+B221+B253+B285+B317+B349+B381+B413</f>
        <v>0</v>
      </c>
      <c r="C32" s="184">
        <f t="shared" si="70"/>
        <v>0</v>
      </c>
      <c r="D32" s="184">
        <f t="shared" si="70"/>
        <v>0</v>
      </c>
      <c r="E32" s="184">
        <f t="shared" si="70"/>
        <v>0</v>
      </c>
      <c r="F32" s="258">
        <f t="shared" si="5"/>
        <v>0</v>
      </c>
      <c r="G32" s="536">
        <f t="shared" si="16"/>
        <v>0</v>
      </c>
      <c r="H32" s="545">
        <f t="shared" si="16"/>
        <v>556.85000027307922</v>
      </c>
      <c r="I32" s="184">
        <f t="shared" si="16"/>
        <v>0</v>
      </c>
      <c r="J32" s="184">
        <f t="shared" si="16"/>
        <v>0</v>
      </c>
      <c r="K32" s="184">
        <f t="shared" si="16"/>
        <v>0</v>
      </c>
      <c r="L32" s="184">
        <f t="shared" si="16"/>
        <v>0</v>
      </c>
      <c r="M32" s="536">
        <f t="shared" si="16"/>
        <v>0</v>
      </c>
      <c r="N32" s="551">
        <f t="shared" si="67"/>
        <v>0</v>
      </c>
      <c r="O32" s="18">
        <f t="shared" si="56"/>
        <v>0</v>
      </c>
      <c r="P32" s="545">
        <f t="shared" ref="P32:U32" si="71">P62+P93+P125+P157+P189+P221+P253+P285+P317+P349+P381+P413</f>
        <v>6246.6409685125454</v>
      </c>
      <c r="Q32" s="184">
        <f t="shared" si="71"/>
        <v>0</v>
      </c>
      <c r="R32" s="184">
        <f t="shared" si="71"/>
        <v>0</v>
      </c>
      <c r="S32" s="536">
        <f t="shared" si="71"/>
        <v>0</v>
      </c>
      <c r="T32" s="184">
        <f t="shared" si="71"/>
        <v>-6803.4909687856243</v>
      </c>
      <c r="U32" s="184">
        <f t="shared" si="71"/>
        <v>0</v>
      </c>
      <c r="V32" s="18">
        <f t="shared" ref="V32:Y32" si="72">V62+V93+V125+V157+V189+V221+V253+V285+V317+V349+V381+V413</f>
        <v>0</v>
      </c>
      <c r="W32" s="18">
        <f t="shared" si="72"/>
        <v>0</v>
      </c>
      <c r="X32" s="18">
        <f t="shared" si="72"/>
        <v>0</v>
      </c>
      <c r="Y32" s="18">
        <f t="shared" si="72"/>
        <v>0</v>
      </c>
      <c r="Z32" s="582">
        <f t="shared" si="3"/>
        <v>0</v>
      </c>
    </row>
    <row r="33" spans="1:26" ht="10.5" thickBot="1" x14ac:dyDescent="0.25">
      <c r="A33" s="534" t="s">
        <v>793</v>
      </c>
      <c r="B33" s="184">
        <f t="shared" ref="B33:E33" si="73">B63+B94+B126+B158+B190+B222+B254+B286+B318+B350+B382+B414</f>
        <v>0</v>
      </c>
      <c r="C33" s="184">
        <f t="shared" si="73"/>
        <v>0</v>
      </c>
      <c r="D33" s="184">
        <f t="shared" si="73"/>
        <v>0</v>
      </c>
      <c r="E33" s="184">
        <f t="shared" si="73"/>
        <v>0</v>
      </c>
      <c r="F33" s="258">
        <f t="shared" si="5"/>
        <v>0</v>
      </c>
      <c r="G33" s="536">
        <f t="shared" si="16"/>
        <v>0</v>
      </c>
      <c r="H33" s="545">
        <f t="shared" si="16"/>
        <v>0</v>
      </c>
      <c r="I33" s="184">
        <f t="shared" si="16"/>
        <v>0</v>
      </c>
      <c r="J33" s="184">
        <f t="shared" si="16"/>
        <v>0</v>
      </c>
      <c r="K33" s="184">
        <f t="shared" si="16"/>
        <v>0</v>
      </c>
      <c r="L33" s="184">
        <f t="shared" si="16"/>
        <v>0</v>
      </c>
      <c r="M33" s="536">
        <f t="shared" si="16"/>
        <v>0</v>
      </c>
      <c r="N33" s="551">
        <f t="shared" si="67"/>
        <v>0</v>
      </c>
      <c r="O33" s="18">
        <f t="shared" si="56"/>
        <v>0</v>
      </c>
      <c r="P33" s="545">
        <f t="shared" ref="P33:U33" si="74">P63+P94+P126+P158+P190+P222+P254+P286+P318+P350+P382+P414</f>
        <v>0</v>
      </c>
      <c r="Q33" s="184">
        <f t="shared" si="74"/>
        <v>0</v>
      </c>
      <c r="R33" s="184">
        <f t="shared" si="74"/>
        <v>0</v>
      </c>
      <c r="S33" s="536">
        <f t="shared" si="74"/>
        <v>0</v>
      </c>
      <c r="T33" s="184">
        <f t="shared" si="74"/>
        <v>0</v>
      </c>
      <c r="U33" s="184">
        <f t="shared" si="74"/>
        <v>0</v>
      </c>
      <c r="V33" s="18">
        <f t="shared" ref="V33:Y33" si="75">V63+V94+V126+V158+V190+V222+V254+V286+V318+V350+V382+V414</f>
        <v>0</v>
      </c>
      <c r="W33" s="18">
        <f t="shared" si="75"/>
        <v>0</v>
      </c>
      <c r="X33" s="18">
        <f t="shared" si="75"/>
        <v>0</v>
      </c>
      <c r="Y33" s="18">
        <f t="shared" si="75"/>
        <v>0</v>
      </c>
      <c r="Z33" s="582">
        <f t="shared" si="3"/>
        <v>0</v>
      </c>
    </row>
    <row r="34" spans="1:26" s="96" customFormat="1" ht="10.5" thickBot="1" x14ac:dyDescent="0.25">
      <c r="A34" s="563" t="s">
        <v>4747</v>
      </c>
      <c r="B34" s="568">
        <f t="shared" ref="B34:Y34" si="76">SUM(B10:B33)</f>
        <v>-84991.760422587657</v>
      </c>
      <c r="C34" s="568">
        <f t="shared" si="76"/>
        <v>1045705.1220031339</v>
      </c>
      <c r="D34" s="568">
        <f t="shared" si="76"/>
        <v>0</v>
      </c>
      <c r="E34" s="568">
        <f t="shared" si="76"/>
        <v>-3.7736016013279999E-2</v>
      </c>
      <c r="F34" s="569">
        <f t="shared" si="76"/>
        <v>518573.81562310358</v>
      </c>
      <c r="G34" s="570">
        <f t="shared" si="76"/>
        <v>1450680.9151429408</v>
      </c>
      <c r="H34" s="571">
        <f t="shared" si="76"/>
        <v>-2777546.7430916582</v>
      </c>
      <c r="I34" s="571">
        <f t="shared" si="76"/>
        <v>0.42958094400091795</v>
      </c>
      <c r="J34" s="571">
        <f t="shared" si="76"/>
        <v>-100278.87450139</v>
      </c>
      <c r="K34" s="571">
        <f t="shared" si="76"/>
        <v>301582.90395147994</v>
      </c>
      <c r="L34" s="568">
        <f t="shared" si="76"/>
        <v>-276655.40731602156</v>
      </c>
      <c r="M34" s="570">
        <f t="shared" si="76"/>
        <v>-520674.0013058504</v>
      </c>
      <c r="N34" s="572">
        <f t="shared" si="76"/>
        <v>12471.466596947495</v>
      </c>
      <c r="O34" s="568">
        <f t="shared" si="76"/>
        <v>0</v>
      </c>
      <c r="P34" s="571">
        <f t="shared" si="76"/>
        <v>1662071.9777431106</v>
      </c>
      <c r="Q34" s="568">
        <f t="shared" si="76"/>
        <v>102429.32978684433</v>
      </c>
      <c r="R34" s="568">
        <f t="shared" si="76"/>
        <v>1792435.826773172</v>
      </c>
      <c r="S34" s="570">
        <f t="shared" si="76"/>
        <v>0</v>
      </c>
      <c r="T34" s="568">
        <f t="shared" si="76"/>
        <v>-3162050.2474501049</v>
      </c>
      <c r="U34" s="568">
        <f t="shared" si="76"/>
        <v>5000</v>
      </c>
      <c r="V34" s="568">
        <f t="shared" si="76"/>
        <v>0</v>
      </c>
      <c r="W34" s="570">
        <f t="shared" si="76"/>
        <v>-333417.27480818523</v>
      </c>
      <c r="X34" s="98">
        <f t="shared" si="76"/>
        <v>0</v>
      </c>
      <c r="Y34" s="98">
        <f t="shared" si="76"/>
        <v>0</v>
      </c>
      <c r="Z34" s="581"/>
    </row>
    <row r="35" spans="1:26" x14ac:dyDescent="0.2">
      <c r="A35" s="534" t="s">
        <v>4289</v>
      </c>
      <c r="B35" s="184">
        <f>IFERROR(INDEX('BS_Q2 24'!$A$9:$O$279,MATCH('Global TARF'!B$8,'BS_Q2 24'!$A$9:$A$279,0),MATCH($A$8,'BS_Q2 24'!$A$8:$O$8)),0)</f>
        <v>-84991.760041679954</v>
      </c>
      <c r="C35" s="184">
        <f>IFERROR(INDEX('BS_Q2 24'!$A$9:$O$279,MATCH('Global TARF'!C$8,'BS_Q2 24'!$A$9:$A$279,0),MATCH($A$8,'BS_Q2 24'!$A$8:$O$8)),0)</f>
        <v>1045705.1218857544</v>
      </c>
      <c r="D35" s="184">
        <f>IFERROR(INDEX('BS_Q2 24'!$A$9:$O$279,MATCH('Global TARF'!D$8,'BS_Q2 24'!$A$9:$A$279,0),MATCH($A$8,'BS_Q2 24'!$A$8:$O$8)),0)</f>
        <v>0</v>
      </c>
      <c r="E35" s="184">
        <f>IFERROR(INDEX('BS_Q2 24'!$A$9:$O$279,MATCH('Global TARF'!E$8,'BS_Q2 24'!$A$9:$A$279,0),MATCH($A$8,'BS_Q2 24'!$A$8:$O$8)),0)</f>
        <v>-3.6571836691259997E-2</v>
      </c>
      <c r="F35" s="184">
        <f>IFERROR(INDEX('BS_Q2 24'!$A$9:$O$279,MATCH('Global TARF'!F$8,'BS_Q2 24'!$A$9:$A$279,0),MATCH($A$8,'BS_Q2 24'!$A$8:$O$8)),0)</f>
        <v>518573.81299997523</v>
      </c>
      <c r="G35" s="184">
        <f>IFERROR(INDEX('BS_Q2 24'!$A$9:$O$279,MATCH('Global TARF'!G$8,'BS_Q2 24'!$A$9:$A$279,0),MATCH($A$8,'BS_Q2 24'!$A$8:$O$8)),0)</f>
        <v>1450680.9134336151</v>
      </c>
      <c r="H35" s="545">
        <f>-IFERROR(INDEX('BS_Q2 24'!$A$9:$O$279,MATCH('Global TARF'!H$8,'BS_Q2 24'!$A$9:$A$279,0),MATCH($A$8,'BS_Q2 24'!$A$8:$O$8)),0)</f>
        <v>-2777546.7404027916</v>
      </c>
      <c r="I35" s="545">
        <f>-IFERROR(INDEX('BS_Q2 24'!$A$9:$O$279,MATCH('Global TARF'!I$8,'BS_Q2 24'!$A$9:$A$279,0),MATCH($A$8,'BS_Q2 24'!$A$8:$O$8)),0)</f>
        <v>0.42958094400000002</v>
      </c>
      <c r="J35" s="545">
        <f>-IFERROR(INDEX('BS_Q2 24'!$A$9:$O$279,MATCH('Global TARF'!J$8,'BS_Q2 24'!$A$9:$A$279,0),MATCH($A$8,'BS_Q2 24'!$A$8:$O$8)),0)</f>
        <v>-100278.87439567001</v>
      </c>
      <c r="K35" s="545">
        <f>-IFERROR(INDEX('BS_Q2 24'!$A$9:$O$279,MATCH('Global TARF'!K$8,'BS_Q2 24'!$A$9:$A$279,0),MATCH($A$8,'BS_Q2 24'!$A$8:$O$8)),0)</f>
        <v>301582.90080816002</v>
      </c>
      <c r="L35" s="545">
        <f>-IFERROR(INDEX('BS_Q2 24'!$A$9:$O$279,MATCH('Global TARF'!L$8,'BS_Q2 24'!$A$9:$A$279,0),MATCH($A$8,'BS_Q2 24'!$A$8:$O$8)),0)</f>
        <v>-276655.41178161121</v>
      </c>
      <c r="M35" s="545">
        <f>-IFERROR(INDEX('BS_Q2 24'!$A$9:$O$279,MATCH('Global TARF'!M$8,'BS_Q2 24'!$A$9:$A$279,0),MATCH($A$8,'BS_Q2 24'!$A$8:$O$8)),0)</f>
        <v>-520674.00025533856</v>
      </c>
      <c r="N35" s="551"/>
      <c r="O35" s="18" t="e">
        <f>INDEX('BS_Q2 24'!$A$9:$O$118,MATCH('Global TARF'!O$8,'BS_Q2 24'!$A$9:$A$118,0),MATCH($A$8,'BS_Q2 24'!$A$8:$O$8))</f>
        <v>#N/A</v>
      </c>
      <c r="P35" s="545">
        <f>-IFERROR(INDEX('IS_Q2 24'!$A$7:$O$700,MATCH('Global TARF'!P$8,'IS_Q2 24'!$A$7:$A$700,0),MATCH($A$8,'IS_Q2 24'!$A$8:$O$8)),0)</f>
        <v>1662071.9740580653</v>
      </c>
      <c r="Q35" s="545">
        <f>-IFERROR(INDEX('IS_Q2 24'!$A$7:$O$700,MATCH('Global TARF'!Q$8,'IS_Q2 24'!$A$7:$A$700,0),MATCH($A$8,'IS_Q2 24'!$A$8:$O$8)),0)</f>
        <v>102429.3297868443</v>
      </c>
      <c r="R35" s="545">
        <f>-IFERROR(INDEX('IS_Q2 24'!$A$7:$O$700,MATCH('Global TARF'!R$8,'IS_Q2 24'!$A$7:$A$700,0),MATCH($A$8,'IS_Q2 24'!$A$8:$O$8)),0)</f>
        <v>1792435.826773172</v>
      </c>
      <c r="S35" s="545">
        <f>-IFERROR(INDEX('IS_Q2 24'!$A$7:$O$700,MATCH('Global TARF'!S$8,'IS_Q2 24'!$A$7:$A$700,0),MATCH($A$8,'IS_Q2 24'!$A$8:$O$8)),0)</f>
        <v>0</v>
      </c>
      <c r="T35" s="26"/>
      <c r="U35" s="26">
        <f>U13+U15+U17+U20+U30+U32</f>
        <v>0</v>
      </c>
      <c r="Z35" s="580"/>
    </row>
    <row r="36" spans="1:26" x14ac:dyDescent="0.2">
      <c r="A36" s="537"/>
      <c r="B36" s="184" t="b">
        <f>ROUND(B34,0)=ROUND(B35,0)</f>
        <v>1</v>
      </c>
      <c r="C36" s="184" t="b">
        <f t="shared" ref="C36:R36" si="77">ROUND(C34,0)=ROUND(C35,0)</f>
        <v>1</v>
      </c>
      <c r="D36" s="184" t="b">
        <f t="shared" ref="D36" si="78">ROUND(D34,0)=ROUND(D35,0)</f>
        <v>1</v>
      </c>
      <c r="E36" s="184" t="b">
        <f t="shared" si="77"/>
        <v>1</v>
      </c>
      <c r="F36" s="184" t="b">
        <f t="shared" ref="F36" si="79">ROUND(F34,0)=ROUND(F35,0)</f>
        <v>1</v>
      </c>
      <c r="G36" s="536" t="b">
        <f t="shared" si="77"/>
        <v>1</v>
      </c>
      <c r="H36" s="545" t="b">
        <f>ROUND(H34,0)=ROUND(H35,0)</f>
        <v>1</v>
      </c>
      <c r="I36" s="545" t="b">
        <f>ROUND(I34,0)=ROUND(I35,0)</f>
        <v>1</v>
      </c>
      <c r="J36" s="545" t="b">
        <f t="shared" ref="J36:K36" si="80">ROUND(J34,0)=ROUND(J35,0)</f>
        <v>1</v>
      </c>
      <c r="K36" s="545" t="b">
        <f t="shared" si="80"/>
        <v>1</v>
      </c>
      <c r="L36" s="184" t="b">
        <f>ROUND(L34,0)=ROUND(L35,0)</f>
        <v>1</v>
      </c>
      <c r="M36" s="536" t="b">
        <f t="shared" si="77"/>
        <v>1</v>
      </c>
      <c r="N36" s="551"/>
      <c r="O36" s="18" t="e">
        <f t="shared" si="77"/>
        <v>#N/A</v>
      </c>
      <c r="P36" s="545" t="b">
        <f>ROUND(P34,0)=ROUND(P35,0)</f>
        <v>1</v>
      </c>
      <c r="Q36" s="184" t="b">
        <f t="shared" si="77"/>
        <v>1</v>
      </c>
      <c r="R36" s="184" t="b">
        <f t="shared" si="77"/>
        <v>1</v>
      </c>
      <c r="S36" s="536" t="b">
        <f t="shared" ref="S36" si="81">ROUND(S34,0)=ROUND(S35,0)</f>
        <v>1</v>
      </c>
      <c r="T36"/>
      <c r="Z36" s="580"/>
    </row>
    <row r="37" spans="1:26" x14ac:dyDescent="0.2">
      <c r="A37" s="534"/>
      <c r="B37" s="537">
        <f t="shared" ref="B37:G37" si="82">B35-B34</f>
        <v>3.8090770249255002E-4</v>
      </c>
      <c r="C37" s="537">
        <f t="shared" si="82"/>
        <v>-1.1737947352230549E-4</v>
      </c>
      <c r="D37" s="537">
        <f t="shared" si="82"/>
        <v>0</v>
      </c>
      <c r="E37" s="537">
        <f t="shared" si="82"/>
        <v>1.1641793220200022E-3</v>
      </c>
      <c r="F37" s="537">
        <f t="shared" si="82"/>
        <v>-2.6231283554807305E-3</v>
      </c>
      <c r="G37" s="537">
        <f t="shared" si="82"/>
        <v>-1.7093257047235966E-3</v>
      </c>
      <c r="H37" s="537">
        <f>H35-H34</f>
        <v>2.6888665743172169E-3</v>
      </c>
      <c r="I37" s="26"/>
      <c r="J37" s="26"/>
      <c r="K37" s="26"/>
      <c r="M37" s="535"/>
      <c r="N37" s="552"/>
      <c r="P37" s="545"/>
      <c r="Q37" s="26">
        <f>Q35-Q34</f>
        <v>0</v>
      </c>
      <c r="R37" s="26">
        <f>R35-R34</f>
        <v>0</v>
      </c>
      <c r="S37" s="535"/>
      <c r="T37"/>
      <c r="Z37" s="580"/>
    </row>
    <row r="38" spans="1:26" s="17" customFormat="1" ht="10.5" x14ac:dyDescent="0.25">
      <c r="A38" s="562">
        <v>101</v>
      </c>
      <c r="B38" s="558" t="s">
        <v>342</v>
      </c>
      <c r="C38" s="558" t="s">
        <v>220</v>
      </c>
      <c r="D38" s="558" t="str">
        <f>$D$8</f>
        <v>145700 - Income tax receivable - Long Term</v>
      </c>
      <c r="E38" s="558" t="s">
        <v>378</v>
      </c>
      <c r="F38" s="558" t="s">
        <v>427</v>
      </c>
      <c r="G38" s="559" t="s">
        <v>415</v>
      </c>
      <c r="H38" s="558" t="s">
        <v>240</v>
      </c>
      <c r="I38" s="558" t="s">
        <v>467</v>
      </c>
      <c r="J38" s="558" t="s">
        <v>4397</v>
      </c>
      <c r="K38" s="558" t="s">
        <v>4396</v>
      </c>
      <c r="L38" s="559" t="s">
        <v>502</v>
      </c>
      <c r="M38" s="559" t="s">
        <v>503</v>
      </c>
      <c r="N38" s="560" t="s">
        <v>877</v>
      </c>
      <c r="O38" s="561"/>
      <c r="P38" s="558" t="s">
        <v>20</v>
      </c>
      <c r="Q38" s="561" t="s">
        <v>57</v>
      </c>
      <c r="R38" s="561" t="s">
        <v>183</v>
      </c>
      <c r="S38" s="561" t="s">
        <v>3623</v>
      </c>
      <c r="T38" s="561" t="s">
        <v>4268</v>
      </c>
      <c r="U38" s="561" t="s">
        <v>4269</v>
      </c>
      <c r="V38" s="561" t="s">
        <v>794</v>
      </c>
      <c r="W38" s="561" t="s">
        <v>793</v>
      </c>
      <c r="Z38" s="579"/>
    </row>
    <row r="39" spans="1:26" ht="11" thickBot="1" x14ac:dyDescent="0.3">
      <c r="A39" s="538" t="s">
        <v>797</v>
      </c>
      <c r="G39" s="535"/>
      <c r="H39" s="534"/>
      <c r="M39" s="535"/>
      <c r="N39" s="550"/>
      <c r="P39" s="534"/>
      <c r="S39" s="535"/>
      <c r="T39"/>
      <c r="Z39" s="580"/>
    </row>
    <row r="40" spans="1:26" s="23" customFormat="1" ht="10.5" thickBot="1" x14ac:dyDescent="0.25">
      <c r="A40" s="563" t="str">
        <f>A10</f>
        <v>Balance as of 12/31/2023</v>
      </c>
      <c r="B40" s="564">
        <f>IFERROR(INDEX(BS_2023!$A$8:$O$270,MATCH('Global TARF'!B$8,BS_2023!$A$8:$A$270,0),MATCH($A$38,BS_2023!$A$7:$O$7)),0)</f>
        <v>0</v>
      </c>
      <c r="C40" s="564">
        <f>IFERROR(INDEX(BS_2023!$A$8:$O$270,MATCH('Global TARF'!C$8,BS_2023!$A$8:$A$270,0),MATCH($A$38,BS_2023!$A$7:$O$7)),0)</f>
        <v>-0.23214680579999999</v>
      </c>
      <c r="D40" s="564">
        <f>IFERROR(INDEX(BS_2023!$A$8:$O$270,MATCH('Global TARF'!D$8,BS_2023!$A$8:$A$270,0),MATCH($A$38,BS_2023!$A$7:$O$7)),0)</f>
        <v>0</v>
      </c>
      <c r="E40" s="564">
        <f>IFERROR(INDEX(BS_2023!$A$8:$O$270,MATCH('Global TARF'!E$8,BS_2023!$A$8:$A$270,0),MATCH($A$38,BS_2023!$A$7:$O$7)),0)</f>
        <v>0</v>
      </c>
      <c r="F40" s="564">
        <f>IFERROR(INDEX(BS_2023!$A$8:$O$270,MATCH('Global TARF'!F$8,BS_2023!$A$8:$A$270,0),MATCH($A$38,BS_2023!$A$7:$O$7)),0)</f>
        <v>188779.37257162359</v>
      </c>
      <c r="G40" s="564">
        <f>IFERROR(INDEX(BS_2023!$A$8:$O$270,MATCH('Global TARF'!G$8,BS_2023!$A$8:$A$270,0),MATCH($A$38,BS_2023!$A$7:$O$7)),0)</f>
        <v>921860.49313670001</v>
      </c>
      <c r="H40" s="565">
        <f>-IFERROR(INDEX(BS_2023!$A$8:$O$270,MATCH('Global TARF'!H$8,BS_2023!$A$8:$A$270,0),MATCH($A$38,BS_2023!$A$7:$O$7)),0)</f>
        <v>-103089.0561948728</v>
      </c>
      <c r="I40" s="565">
        <f>-IFERROR(INDEX(BS_2023!$A$8:$O$270,MATCH('Global TARF'!I$8,BS_2023!$A$8:$A$270,0),MATCH($A$38,BS_2023!$A$7:$O$7)),0)</f>
        <v>0</v>
      </c>
      <c r="J40" s="565">
        <f>-IFERROR(INDEX(BS_2023!$A$8:$O$270,MATCH('Global TARF'!J$8,BS_2023!$A$8:$A$270,0),MATCH($A$38,BS_2023!$A$7:$O$7)),0)</f>
        <v>-94307.981664780003</v>
      </c>
      <c r="K40" s="565">
        <f>-IFERROR(INDEX(BS_2023!$A$8:$O$270,MATCH('Global TARF'!K$8,BS_2023!$A$8:$A$270,0),MATCH($A$38,BS_2023!$A$7:$O$7)),0)</f>
        <v>-274376.52069698001</v>
      </c>
      <c r="L40" s="565">
        <f>-IFERROR(INDEX(BS_2023!$A$8:$O$270,MATCH('Global TARF'!L$8,BS_2023!$A$8:$A$270,0),MATCH($A$38,BS_2023!$A$7:$O$7)),0)</f>
        <v>-284772.18731602159</v>
      </c>
      <c r="M40" s="566">
        <f>IFERROR(INDEX(BS_2023!$A$8:$O$261,MATCH('Global TARF'!M$8,BS_2023!$A$8:$A$261,0),MATCH($A$38,BS_2023!$A$7:$O$7)),0)</f>
        <v>0</v>
      </c>
      <c r="N40" s="573"/>
      <c r="O40" s="574"/>
      <c r="P40" s="563"/>
      <c r="Q40" s="574"/>
      <c r="R40" s="574"/>
      <c r="S40" s="575"/>
      <c r="T40" s="574"/>
      <c r="U40" s="574"/>
      <c r="V40" s="574"/>
      <c r="W40" s="575"/>
      <c r="Z40" s="583"/>
    </row>
    <row r="41" spans="1:26" x14ac:dyDescent="0.2">
      <c r="A41" s="534" t="s">
        <v>798</v>
      </c>
      <c r="C41" s="26"/>
      <c r="D41" s="26"/>
      <c r="F41" s="257">
        <v>-5380.72</v>
      </c>
      <c r="G41" s="539">
        <v>-26275.51</v>
      </c>
      <c r="H41" s="534">
        <v>2938.32</v>
      </c>
      <c r="L41" s="26">
        <v>8116.78</v>
      </c>
      <c r="M41" s="535"/>
      <c r="N41" s="553">
        <f>-SUM(H41,G41,C41,E41,M41,L41,F41,B41,D41)</f>
        <v>20601.13</v>
      </c>
      <c r="P41" s="534"/>
      <c r="S41" s="535"/>
      <c r="T41"/>
      <c r="V41" s="26"/>
      <c r="Z41" s="582">
        <f t="shared" ref="Z41:Z63" si="83">SUM(B41:Y41)</f>
        <v>0</v>
      </c>
    </row>
    <row r="42" spans="1:26" x14ac:dyDescent="0.2">
      <c r="A42" s="534"/>
      <c r="C42" s="26"/>
      <c r="D42" s="26"/>
      <c r="F42" s="257"/>
      <c r="G42" s="535"/>
      <c r="H42" s="534"/>
      <c r="M42" s="535"/>
      <c r="N42" s="552"/>
      <c r="P42" s="534"/>
      <c r="S42" s="535"/>
      <c r="T42"/>
      <c r="Z42" s="582">
        <f t="shared" si="83"/>
        <v>0</v>
      </c>
    </row>
    <row r="43" spans="1:26" x14ac:dyDescent="0.2">
      <c r="A43" s="534"/>
      <c r="B43" s="184">
        <f>SUMIFS(GL_BS!$G:$G,GL_BS!$R:$R,'Global TARF'!$A$38,GL_BS!$S:$S,'Global TARF'!$A43,GL_BS!$A:$A,'Global TARF'!B$38)</f>
        <v>0</v>
      </c>
      <c r="C43" s="184">
        <f>SUMIFS(GL_BS!$G:$G,GL_BS!$R:$R,'Global TARF'!$A$38,GL_BS!$S:$S,'Global TARF'!$A43,GL_BS!$A:$A,'Global TARF'!C$38)</f>
        <v>0</v>
      </c>
      <c r="D43" s="184">
        <f>SUMIFS(GL_BS!$G:$G,GL_BS!$R:$R,'Global TARF'!$A$38,GL_BS!$S:$S,'Global TARF'!$A43,GL_BS!$A:$A,'Global TARF'!D$38)</f>
        <v>0</v>
      </c>
      <c r="E43" s="184">
        <f>SUMIFS(GL_BS!$G:$G,GL_BS!$R:$R,'Global TARF'!$A$38,GL_BS!$S:$S,'Global TARF'!$A43,GL_BS!$A:$A,'Global TARF'!E$38)</f>
        <v>0</v>
      </c>
      <c r="F43" s="184">
        <f>SUMIFS(GL_BS!$G:$G,GL_BS!$R:$R,'Global TARF'!$A$38,GL_BS!$S:$S,'Global TARF'!$A43,GL_BS!$A:$A,'Global TARF'!F$38)</f>
        <v>0</v>
      </c>
      <c r="G43" s="536">
        <f>SUMIFS(GL_BS!$G:$G,GL_BS!$R:$R,'Global TARF'!$A$38,GL_BS!$S:$S,'Global TARF'!$A43,GL_BS!$A:$A,'Global TARF'!G$38)</f>
        <v>0</v>
      </c>
      <c r="H43" s="545">
        <f>SUMIFS(GL_BS!$G:$G,GL_BS!$R:$R,'Global TARF'!$A$38,GL_BS!$S:$S,'Global TARF'!$A43,GL_BS!$A:$A,'Global TARF'!H$38)</f>
        <v>0</v>
      </c>
      <c r="I43" s="184">
        <f>SUMIFS(GL_BS!$G:$G,GL_BS!$R:$R,'Global TARF'!$A$38,GL_BS!$S:$S,'Global TARF'!$A43,GL_BS!$A:$A,'Global TARF'!I$38)</f>
        <v>0</v>
      </c>
      <c r="J43" s="184"/>
      <c r="K43" s="184"/>
      <c r="L43" s="184">
        <f>SUMIFS(GL_BS!$G:$G,GL_BS!$R:$R,'Global TARF'!$A$38,GL_BS!$S:$S,'Global TARF'!$A43,GL_BS!$A:$A,'Global TARF'!L$38)</f>
        <v>0</v>
      </c>
      <c r="M43" s="536">
        <f>SUMIFS(GL_BS!$G:$G,GL_BS!$R:$R,'Global TARF'!$A$38,GL_BS!$S:$S,'Global TARF'!$A43,GL_BS!$A:$A,'Global TARF'!M$38)</f>
        <v>0</v>
      </c>
      <c r="N43" s="552"/>
      <c r="P43" s="545">
        <f>SUMIFS(GL_PL!$G:$G,GL_PL!$Q:$Q,'Global TARF'!$A$38,GL_PL!$R:$R,'Global TARF'!$A43,GL_PL!$A:$A,'Global TARF'!P$38)</f>
        <v>0</v>
      </c>
      <c r="Q43" s="184">
        <f>SUMIFS(GL_PL!$G:$G,GL_PL!$Q:$Q,'Global TARF'!$A$38,GL_PL!$R:$R,'Global TARF'!$A43,GL_PL!$A:$A,'Global TARF'!Q$38)</f>
        <v>0</v>
      </c>
      <c r="R43" s="184">
        <f>SUMIFS(GL_PL!$G:$G,GL_PL!$Q:$Q,'Global TARF'!$A$38,GL_PL!$R:$R,'Global TARF'!$A43,GL_PL!$A:$A,'Global TARF'!R$38)</f>
        <v>0</v>
      </c>
      <c r="S43" s="536">
        <f>SUMIFS(GL_PL!$G:$G,GL_PL!$Q:$Q,'Global TARF'!$A$38,GL_PL!$R:$R,'Global TARF'!$A43,GL_PL!$A:$A,'Global TARF'!S$38)</f>
        <v>0</v>
      </c>
      <c r="T43" s="26">
        <f t="shared" ref="T43" si="84">-SUM(P43,H43,C43)</f>
        <v>0</v>
      </c>
      <c r="U43" s="26"/>
      <c r="Z43" s="582">
        <f t="shared" si="83"/>
        <v>0</v>
      </c>
    </row>
    <row r="44" spans="1:26" x14ac:dyDescent="0.2">
      <c r="A44" s="534"/>
      <c r="B44" s="184">
        <f>SUMIFS(GL_BS!$G:$G,GL_BS!$R:$R,'Global TARF'!$A$38,GL_BS!$S:$S,'Global TARF'!$A44,GL_BS!$A:$A,'Global TARF'!B$38)</f>
        <v>0</v>
      </c>
      <c r="C44" s="184">
        <f>SUMIFS(GL_BS!$G:$G,GL_BS!$R:$R,'Global TARF'!$A$38,GL_BS!$S:$S,'Global TARF'!$A44,GL_BS!$A:$A,'Global TARF'!C$38)</f>
        <v>0</v>
      </c>
      <c r="D44" s="184">
        <f>SUMIFS(GL_BS!$G:$G,GL_BS!$R:$R,'Global TARF'!$A$38,GL_BS!$S:$S,'Global TARF'!$A44,GL_BS!$A:$A,'Global TARF'!D$38)</f>
        <v>0</v>
      </c>
      <c r="E44" s="184">
        <f>SUMIFS(GL_BS!$G:$G,GL_BS!$R:$R,'Global TARF'!$A$38,GL_BS!$S:$S,'Global TARF'!$A44,GL_BS!$A:$A,'Global TARF'!E$38)</f>
        <v>0</v>
      </c>
      <c r="F44" s="184">
        <f>SUMIFS(GL_BS!$G:$G,GL_BS!$R:$R,'Global TARF'!$A$38,GL_BS!$S:$S,'Global TARF'!$A44,GL_BS!$A:$A,'Global TARF'!F$38)</f>
        <v>0</v>
      </c>
      <c r="G44" s="536">
        <f>SUMIFS(GL_BS!$G:$G,GL_BS!$R:$R,'Global TARF'!$A$38,GL_BS!$S:$S,'Global TARF'!$A44,GL_BS!$A:$A,'Global TARF'!G$38)</f>
        <v>0</v>
      </c>
      <c r="H44" s="545">
        <f>SUMIFS(GL_BS!$G:$G,GL_BS!$R:$R,'Global TARF'!$A$38,GL_BS!$S:$S,'Global TARF'!$A44,GL_BS!$A:$A,'Global TARF'!H$38)</f>
        <v>0</v>
      </c>
      <c r="I44" s="184">
        <f>SUMIFS(GL_BS!$G:$G,GL_BS!$R:$R,'Global TARF'!$A$38,GL_BS!$S:$S,'Global TARF'!$A44,GL_BS!$A:$A,'Global TARF'!I$38)</f>
        <v>0</v>
      </c>
      <c r="J44" s="184"/>
      <c r="K44" s="184"/>
      <c r="L44" s="184">
        <f>SUMIFS(GL_BS!$G:$G,GL_BS!$R:$R,'Global TARF'!$A$38,GL_BS!$S:$S,'Global TARF'!$A44,GL_BS!$A:$A,'Global TARF'!L$38)</f>
        <v>0</v>
      </c>
      <c r="M44" s="536">
        <f>SUMIFS(GL_BS!$G:$G,GL_BS!$R:$R,'Global TARF'!$A$38,GL_BS!$S:$S,'Global TARF'!$A44,GL_BS!$A:$A,'Global TARF'!M$38)</f>
        <v>0</v>
      </c>
      <c r="N44" s="552"/>
      <c r="P44" s="545">
        <f>SUMIFS(GL_PL!$G:$G,GL_PL!$Q:$Q,'Global TARF'!$A$38,GL_PL!$R:$R,'Global TARF'!$A44,GL_PL!$A:$A,'Global TARF'!P$38)</f>
        <v>0</v>
      </c>
      <c r="Q44" s="184">
        <f>SUMIFS(GL_PL!$G:$G,GL_PL!$Q:$Q,'Global TARF'!$A$38,GL_PL!$R:$R,'Global TARF'!$A44,GL_PL!$A:$A,'Global TARF'!Q$38)</f>
        <v>0</v>
      </c>
      <c r="R44" s="184">
        <f>SUMIFS(GL_PL!$G:$G,GL_PL!$Q:$Q,'Global TARF'!$A$38,GL_PL!$R:$R,'Global TARF'!$A44,GL_PL!$A:$A,'Global TARF'!R$38)</f>
        <v>0</v>
      </c>
      <c r="S44" s="536">
        <f>SUMIFS(GL_PL!$G:$G,GL_PL!$Q:$Q,'Global TARF'!$A$38,GL_PL!$R:$R,'Global TARF'!$A44,GL_PL!$A:$A,'Global TARF'!S$38)</f>
        <v>0</v>
      </c>
      <c r="T44" s="26">
        <f>-SUM(P44,H44,C44)</f>
        <v>0</v>
      </c>
      <c r="U44" s="26"/>
      <c r="Z44" s="582">
        <f t="shared" si="83"/>
        <v>0</v>
      </c>
    </row>
    <row r="45" spans="1:26" x14ac:dyDescent="0.2">
      <c r="A45" s="534" t="s">
        <v>780</v>
      </c>
      <c r="B45" s="184">
        <f>SUMIFS(GL_BS!$G:$G,GL_BS!$R:$R,'Global TARF'!$A$38,GL_BS!$S:$S,'Global TARF'!$A45,GL_BS!$A:$A,'Global TARF'!B$38)</f>
        <v>0</v>
      </c>
      <c r="C45" s="184">
        <f>SUMIFS(GL_BS!$G:$G,GL_BS!$R:$R,'Global TARF'!$A$38,GL_BS!$S:$S,'Global TARF'!$A45,GL_BS!$A:$A,'Global TARF'!C$38)</f>
        <v>0</v>
      </c>
      <c r="D45" s="184">
        <f>SUMIFS(GL_BS!$G:$G,GL_BS!$R:$R,'Global TARF'!$A$38,GL_BS!$S:$S,'Global TARF'!$A45,GL_BS!$A:$A,'Global TARF'!D$38)</f>
        <v>0</v>
      </c>
      <c r="E45" s="184">
        <f>SUMIFS(GL_BS!$G:$G,GL_BS!$R:$R,'Global TARF'!$A$38,GL_BS!$S:$S,'Global TARF'!$A45,GL_BS!$A:$A,'Global TARF'!E$38)</f>
        <v>0</v>
      </c>
      <c r="F45" s="184">
        <f>SUMIFS(GL_BS!$G:$G,GL_BS!$R:$R,'Global TARF'!$A$38,GL_BS!$S:$S,'Global TARF'!$A45,GL_BS!$A:$A,'Global TARF'!F$38)</f>
        <v>0</v>
      </c>
      <c r="G45" s="536">
        <f>SUMIFS(GL_BS!$G:$G,GL_BS!$R:$R,'Global TARF'!$A$38,GL_BS!$S:$S,'Global TARF'!$A45,GL_BS!$A:$A,'Global TARF'!G$38)</f>
        <v>0</v>
      </c>
      <c r="H45" s="545">
        <f>SUMIFS(GL_BS!$G:$G,GL_BS!$R:$R,'Global TARF'!$A$38,GL_BS!$S:$S,'Global TARF'!$A45,GL_BS!$A:$A,'Global TARF'!H$38)</f>
        <v>0</v>
      </c>
      <c r="I45" s="184">
        <f>SUMIFS(GL_BS!$G:$G,GL_BS!$R:$R,'Global TARF'!$A$38,GL_BS!$S:$S,'Global TARF'!$A45,GL_BS!$A:$A,'Global TARF'!I$38)</f>
        <v>0</v>
      </c>
      <c r="J45" s="184">
        <f>SUMIFS(GL_BS!$G:$G,GL_BS!$R:$R,'Global TARF'!$A$38,GL_BS!$S:$S,'Global TARF'!$A45,GL_BS!$A:$A,'Global TARF'!J$38)</f>
        <v>0</v>
      </c>
      <c r="K45" s="184">
        <f>SUMIFS(GL_BS!$G:$G,GL_BS!$R:$R,'Global TARF'!$A$38,GL_BS!$S:$S,'Global TARF'!$A45,GL_BS!$A:$A,'Global TARF'!K$38)</f>
        <v>0</v>
      </c>
      <c r="L45" s="184">
        <f>SUMIFS(GL_BS!$G:$G,GL_BS!$R:$R,'Global TARF'!$A$38,GL_BS!$S:$S,'Global TARF'!$A45,GL_BS!$A:$A,'Global TARF'!L$38)</f>
        <v>0</v>
      </c>
      <c r="M45" s="536">
        <f>SUMIFS(GL_BS!$G:$G,GL_BS!$R:$R,'Global TARF'!$A$38,GL_BS!$S:$S,'Global TARF'!$A45,GL_BS!$A:$A,'Global TARF'!M$38)</f>
        <v>0</v>
      </c>
      <c r="N45" s="552"/>
      <c r="P45" s="545">
        <f>SUMIFS(GL_PL!$G:$G,GL_PL!$Q:$Q,'Global TARF'!$A$38,GL_PL!$R:$R,'Global TARF'!$A45,GL_PL!$A:$A,'Global TARF'!P$38)</f>
        <v>0</v>
      </c>
      <c r="Q45" s="184">
        <f>SUMIFS(GL_PL!$G:$G,GL_PL!$Q:$Q,'Global TARF'!$A$38,GL_PL!$R:$R,'Global TARF'!$A45,GL_PL!$A:$A,'Global TARF'!Q$38)</f>
        <v>0</v>
      </c>
      <c r="R45" s="184">
        <f>SUMIFS(GL_PL!$G:$G,GL_PL!$Q:$Q,'Global TARF'!$A$38,GL_PL!$R:$R,'Global TARF'!$A45,GL_PL!$A:$A,'Global TARF'!R$38)</f>
        <v>0</v>
      </c>
      <c r="S45" s="536">
        <f>SUMIFS(GL_PL!$G:$G,GL_PL!$Q:$Q,'Global TARF'!$A$38,GL_PL!$R:$R,'Global TARF'!$A45,GL_PL!$A:$A,'Global TARF'!S$38)</f>
        <v>0</v>
      </c>
      <c r="T45" s="26">
        <f t="shared" ref="T45:T63" si="85">-SUM(P45,H45,C45)</f>
        <v>0</v>
      </c>
      <c r="U45" s="26"/>
      <c r="Z45" s="582">
        <f t="shared" si="83"/>
        <v>0</v>
      </c>
    </row>
    <row r="46" spans="1:26" x14ac:dyDescent="0.2">
      <c r="A46" s="534" t="s">
        <v>781</v>
      </c>
      <c r="B46" s="184">
        <f>SUMIFS(GL_BS!$G:$G,GL_BS!$R:$R,'Global TARF'!$A$38,GL_BS!$S:$S,'Global TARF'!$A46,GL_BS!$A:$A,'Global TARF'!B$38)</f>
        <v>0</v>
      </c>
      <c r="C46" s="184">
        <f>SUMIFS(GL_BS!$G:$G,GL_BS!$R:$R,'Global TARF'!$A$38,GL_BS!$S:$S,'Global TARF'!$A46,GL_BS!$A:$A,'Global TARF'!C$38)</f>
        <v>0</v>
      </c>
      <c r="D46" s="184">
        <f>SUMIFS(GL_BS!$G:$G,GL_BS!$R:$R,'Global TARF'!$A$38,GL_BS!$S:$S,'Global TARF'!$A46,GL_BS!$A:$A,'Global TARF'!D$38)</f>
        <v>0</v>
      </c>
      <c r="E46" s="184">
        <f>SUMIFS(GL_BS!$G:$G,GL_BS!$R:$R,'Global TARF'!$A$38,GL_BS!$S:$S,'Global TARF'!$A46,GL_BS!$A:$A,'Global TARF'!E$38)</f>
        <v>0</v>
      </c>
      <c r="F46" s="184">
        <f>SUMIFS(GL_BS!$G:$G,GL_BS!$R:$R,'Global TARF'!$A$38,GL_BS!$S:$S,'Global TARF'!$A46,GL_BS!$A:$A,'Global TARF'!F$38)</f>
        <v>0</v>
      </c>
      <c r="G46" s="536">
        <f>SUMIFS(GL_BS!$G:$G,GL_BS!$R:$R,'Global TARF'!$A$38,GL_BS!$S:$S,'Global TARF'!$A46,GL_BS!$A:$A,'Global TARF'!G$38)</f>
        <v>0</v>
      </c>
      <c r="H46" s="545">
        <f>SUMIFS(GL_BS!$G:$G,GL_BS!$R:$R,'Global TARF'!$A$38,GL_BS!$S:$S,'Global TARF'!$A46,GL_BS!$A:$A,'Global TARF'!H$38)</f>
        <v>0</v>
      </c>
      <c r="I46" s="184">
        <f>SUMIFS(GL_BS!$G:$G,GL_BS!$R:$R,'Global TARF'!$A$38,GL_BS!$S:$S,'Global TARF'!$A46,GL_BS!$A:$A,'Global TARF'!I$38)</f>
        <v>0</v>
      </c>
      <c r="J46" s="184">
        <f>SUMIFS(GL_BS!$G:$G,GL_BS!$R:$R,'Global TARF'!$A$38,GL_BS!$S:$S,'Global TARF'!$A46,GL_BS!$A:$A,'Global TARF'!J$38)</f>
        <v>0</v>
      </c>
      <c r="K46" s="184">
        <f>SUMIFS(GL_BS!$G:$G,GL_BS!$R:$R,'Global TARF'!$A$38,GL_BS!$S:$S,'Global TARF'!$A46,GL_BS!$A:$A,'Global TARF'!K$38)</f>
        <v>0</v>
      </c>
      <c r="L46" s="184">
        <f>SUMIFS(GL_BS!$G:$G,GL_BS!$R:$R,'Global TARF'!$A$38,GL_BS!$S:$S,'Global TARF'!$A46,GL_BS!$A:$A,'Global TARF'!L$38)</f>
        <v>0</v>
      </c>
      <c r="M46" s="536">
        <f>SUMIFS(GL_BS!$G:$G,GL_BS!$R:$R,'Global TARF'!$A$38,GL_BS!$S:$S,'Global TARF'!$A46,GL_BS!$A:$A,'Global TARF'!M$38)</f>
        <v>0</v>
      </c>
      <c r="N46" s="552"/>
      <c r="P46" s="545">
        <f>SUMIFS(GL_PL!$G:$G,GL_PL!$Q:$Q,'Global TARF'!$A$38,GL_PL!$R:$R,'Global TARF'!$A46,GL_PL!$A:$A,'Global TARF'!P$38)</f>
        <v>0</v>
      </c>
      <c r="Q46" s="184">
        <f>SUMIFS(GL_PL!$G:$G,GL_PL!$Q:$Q,'Global TARF'!$A$38,GL_PL!$R:$R,'Global TARF'!$A46,GL_PL!$A:$A,'Global TARF'!Q$38)</f>
        <v>0</v>
      </c>
      <c r="R46" s="184">
        <f>SUMIFS(GL_PL!$G:$G,GL_PL!$Q:$Q,'Global TARF'!$A$38,GL_PL!$R:$R,'Global TARF'!$A46,GL_PL!$A:$A,'Global TARF'!R$38)</f>
        <v>0</v>
      </c>
      <c r="S46" s="536">
        <f>SUMIFS(GL_PL!$G:$G,GL_PL!$Q:$Q,'Global TARF'!$A$38,GL_PL!$R:$R,'Global TARF'!$A46,GL_PL!$A:$A,'Global TARF'!S$38)</f>
        <v>0</v>
      </c>
      <c r="T46" s="26">
        <f t="shared" si="85"/>
        <v>0</v>
      </c>
      <c r="U46" s="26"/>
      <c r="Z46" s="582">
        <f t="shared" si="83"/>
        <v>0</v>
      </c>
    </row>
    <row r="47" spans="1:26" x14ac:dyDescent="0.2">
      <c r="A47" s="534" t="s">
        <v>782</v>
      </c>
      <c r="B47" s="184">
        <f>SUMIFS(GL_BS!$G:$G,GL_BS!$R:$R,'Global TARF'!$A$38,GL_BS!$S:$S,'Global TARF'!$A47,GL_BS!$A:$A,'Global TARF'!B$38)</f>
        <v>0</v>
      </c>
      <c r="C47" s="184">
        <f>SUMIFS(GL_BS!$G:$G,GL_BS!$R:$R,'Global TARF'!$A$38,GL_BS!$S:$S,'Global TARF'!$A47,GL_BS!$A:$A,'Global TARF'!C$38)</f>
        <v>0</v>
      </c>
      <c r="D47" s="184">
        <f>SUMIFS(GL_BS!$G:$G,GL_BS!$R:$R,'Global TARF'!$A$38,GL_BS!$S:$S,'Global TARF'!$A47,GL_BS!$A:$A,'Global TARF'!D$38)</f>
        <v>0</v>
      </c>
      <c r="E47" s="184">
        <f>SUMIFS(GL_BS!$G:$G,GL_BS!$R:$R,'Global TARF'!$A$38,GL_BS!$S:$S,'Global TARF'!$A47,GL_BS!$A:$A,'Global TARF'!E$38)</f>
        <v>0</v>
      </c>
      <c r="F47" s="184">
        <f>SUMIFS(GL_BS!$G:$G,GL_BS!$R:$R,'Global TARF'!$A$38,GL_BS!$S:$S,'Global TARF'!$A47,GL_BS!$A:$A,'Global TARF'!F$38)</f>
        <v>0</v>
      </c>
      <c r="G47" s="536">
        <f>SUMIFS(GL_BS!$G:$G,GL_BS!$R:$R,'Global TARF'!$A$38,GL_BS!$S:$S,'Global TARF'!$A47,GL_BS!$A:$A,'Global TARF'!G$38)</f>
        <v>0</v>
      </c>
      <c r="H47" s="545">
        <f>SUMIFS(GL_BS!$G:$G,GL_BS!$R:$R,'Global TARF'!$A$38,GL_BS!$S:$S,'Global TARF'!$A47,GL_BS!$A:$A,'Global TARF'!H$38)</f>
        <v>0</v>
      </c>
      <c r="I47" s="184">
        <f>SUMIFS(GL_BS!$G:$G,GL_BS!$R:$R,'Global TARF'!$A$38,GL_BS!$S:$S,'Global TARF'!$A47,GL_BS!$A:$A,'Global TARF'!I$38)</f>
        <v>0</v>
      </c>
      <c r="J47" s="184">
        <f>SUMIFS(GL_BS!$G:$G,GL_BS!$R:$R,'Global TARF'!$A$38,GL_BS!$S:$S,'Global TARF'!$A47,GL_BS!$A:$A,'Global TARF'!J$38)</f>
        <v>0</v>
      </c>
      <c r="K47" s="184">
        <f>SUMIFS(GL_BS!$G:$G,GL_BS!$R:$R,'Global TARF'!$A$38,GL_BS!$S:$S,'Global TARF'!$A47,GL_BS!$A:$A,'Global TARF'!K$38)</f>
        <v>0</v>
      </c>
      <c r="L47" s="184">
        <f>SUMIFS(GL_BS!$G:$G,GL_BS!$R:$R,'Global TARF'!$A$38,GL_BS!$S:$S,'Global TARF'!$A47,GL_BS!$A:$A,'Global TARF'!L$38)</f>
        <v>0</v>
      </c>
      <c r="M47" s="536">
        <f>SUMIFS(GL_BS!$G:$G,GL_BS!$R:$R,'Global TARF'!$A$38,GL_BS!$S:$S,'Global TARF'!$A47,GL_BS!$A:$A,'Global TARF'!M$38)</f>
        <v>0</v>
      </c>
      <c r="N47" s="552"/>
      <c r="P47" s="545">
        <f>SUMIFS(GL_PL!$G:$G,GL_PL!$Q:$Q,'Global TARF'!$A$38,GL_PL!$R:$R,'Global TARF'!$A47,GL_PL!$A:$A,'Global TARF'!P$38)</f>
        <v>0</v>
      </c>
      <c r="Q47" s="184">
        <f>SUMIFS(GL_PL!$G:$G,GL_PL!$Q:$Q,'Global TARF'!$A$38,GL_PL!$R:$R,'Global TARF'!$A47,GL_PL!$A:$A,'Global TARF'!Q$38)</f>
        <v>0</v>
      </c>
      <c r="R47" s="184">
        <f>SUMIFS(GL_PL!$G:$G,GL_PL!$Q:$Q,'Global TARF'!$A$38,GL_PL!$R:$R,'Global TARF'!$A47,GL_PL!$A:$A,'Global TARF'!R$38)</f>
        <v>0</v>
      </c>
      <c r="S47" s="536">
        <f>SUMIFS(GL_PL!$G:$G,GL_PL!$Q:$Q,'Global TARF'!$A$38,GL_PL!$R:$R,'Global TARF'!$A47,GL_PL!$A:$A,'Global TARF'!S$38)</f>
        <v>0</v>
      </c>
      <c r="T47" s="26">
        <f t="shared" si="85"/>
        <v>0</v>
      </c>
      <c r="U47" s="26"/>
      <c r="Z47" s="582">
        <f t="shared" si="83"/>
        <v>0</v>
      </c>
    </row>
    <row r="48" spans="1:26" x14ac:dyDescent="0.2">
      <c r="A48" s="534" t="s">
        <v>950</v>
      </c>
      <c r="B48" s="184">
        <f>SUMIFS(GL_BS!$G:$G,GL_BS!$R:$R,'Global TARF'!$A$38,GL_BS!$S:$S,'Global TARF'!$A48,GL_BS!$A:$A,'Global TARF'!B$38)</f>
        <v>0</v>
      </c>
      <c r="C48" s="184">
        <f>SUMIFS(GL_BS!$G:$G,GL_BS!$R:$R,'Global TARF'!$A$38,GL_BS!$S:$S,'Global TARF'!$A48,GL_BS!$A:$A,'Global TARF'!C$38)</f>
        <v>0</v>
      </c>
      <c r="D48" s="184">
        <f>SUMIFS(GL_BS!$G:$G,GL_BS!$R:$R,'Global TARF'!$A$38,GL_BS!$S:$S,'Global TARF'!$A48,GL_BS!$A:$A,'Global TARF'!D$38)</f>
        <v>0</v>
      </c>
      <c r="E48" s="184">
        <f>SUMIFS(GL_BS!$G:$G,GL_BS!$R:$R,'Global TARF'!$A$38,GL_BS!$S:$S,'Global TARF'!$A48,GL_BS!$A:$A,'Global TARF'!E$38)</f>
        <v>0</v>
      </c>
      <c r="F48" s="184">
        <f>SUMIFS(GL_BS!$G:$G,GL_BS!$R:$R,'Global TARF'!$A$38,GL_BS!$S:$S,'Global TARF'!$A48,GL_BS!$A:$A,'Global TARF'!F$38)</f>
        <v>0</v>
      </c>
      <c r="G48" s="536">
        <f>SUMIFS(GL_BS!$G:$G,GL_BS!$R:$R,'Global TARF'!$A$38,GL_BS!$S:$S,'Global TARF'!$A48,GL_BS!$A:$A,'Global TARF'!G$38)</f>
        <v>0</v>
      </c>
      <c r="H48" s="545">
        <f>SUMIFS(GL_BS!$G:$G,GL_BS!$R:$R,'Global TARF'!$A$38,GL_BS!$S:$S,'Global TARF'!$A48,GL_BS!$A:$A,'Global TARF'!H$38)</f>
        <v>0</v>
      </c>
      <c r="I48" s="184">
        <f>SUMIFS(GL_BS!$G:$G,GL_BS!$R:$R,'Global TARF'!$A$38,GL_BS!$S:$S,'Global TARF'!$A48,GL_BS!$A:$A,'Global TARF'!I$38)</f>
        <v>0</v>
      </c>
      <c r="J48" s="184">
        <f>SUMIFS(GL_BS!$G:$G,GL_BS!$R:$R,'Global TARF'!$A$38,GL_BS!$S:$S,'Global TARF'!$A48,GL_BS!$A:$A,'Global TARF'!J$38)</f>
        <v>0</v>
      </c>
      <c r="K48" s="184">
        <f>SUMIFS(GL_BS!$G:$G,GL_BS!$R:$R,'Global TARF'!$A$38,GL_BS!$S:$S,'Global TARF'!$A48,GL_BS!$A:$A,'Global TARF'!K$38)</f>
        <v>0</v>
      </c>
      <c r="L48" s="184">
        <f>SUMIFS(GL_BS!$G:$G,GL_BS!$R:$R,'Global TARF'!$A$38,GL_BS!$S:$S,'Global TARF'!$A48,GL_BS!$A:$A,'Global TARF'!L$38)</f>
        <v>0</v>
      </c>
      <c r="M48" s="536">
        <f>SUMIFS(GL_BS!$G:$G,GL_BS!$R:$R,'Global TARF'!$A$38,GL_BS!$S:$S,'Global TARF'!$A48,GL_BS!$A:$A,'Global TARF'!M$38)</f>
        <v>0</v>
      </c>
      <c r="N48" s="552"/>
      <c r="P48" s="545">
        <f>SUMIFS(GL_PL!$G:$G,GL_PL!$Q:$Q,'Global TARF'!$A$38,GL_PL!$R:$R,'Global TARF'!$A48,GL_PL!$A:$A,'Global TARF'!P$38)</f>
        <v>0</v>
      </c>
      <c r="Q48" s="184">
        <f>SUMIFS(GL_PL!$G:$G,GL_PL!$Q:$Q,'Global TARF'!$A$38,GL_PL!$R:$R,'Global TARF'!$A48,GL_PL!$A:$A,'Global TARF'!Q$38)</f>
        <v>0</v>
      </c>
      <c r="R48" s="184">
        <f>SUMIFS(GL_PL!$G:$G,GL_PL!$Q:$Q,'Global TARF'!$A$38,GL_PL!$R:$R,'Global TARF'!$A48,GL_PL!$A:$A,'Global TARF'!R$38)</f>
        <v>0</v>
      </c>
      <c r="S48" s="536">
        <f>SUMIFS(GL_PL!$G:$G,GL_PL!$Q:$Q,'Global TARF'!$A$38,GL_PL!$R:$R,'Global TARF'!$A48,GL_PL!$A:$A,'Global TARF'!S$38)</f>
        <v>0</v>
      </c>
      <c r="T48" s="26"/>
      <c r="U48" s="26">
        <f>C48+H48-P48</f>
        <v>0</v>
      </c>
      <c r="W48" s="67"/>
      <c r="Z48" s="582">
        <f t="shared" si="83"/>
        <v>0</v>
      </c>
    </row>
    <row r="49" spans="1:26" x14ac:dyDescent="0.2">
      <c r="A49" s="534" t="s">
        <v>4586</v>
      </c>
      <c r="B49" s="184">
        <f>SUMIFS(GL_BS!$G:$G,GL_BS!$R:$R,'Global TARF'!$A$38,GL_BS!$S:$S,'Global TARF'!$A49,GL_BS!$A:$A,'Global TARF'!B$38)</f>
        <v>0</v>
      </c>
      <c r="C49" s="184">
        <f>SUMIFS(GL_BS!$G:$G,GL_BS!$R:$R,'Global TARF'!$A$38,GL_BS!$S:$S,'Global TARF'!$A49,GL_BS!$A:$A,'Global TARF'!C$38)</f>
        <v>0</v>
      </c>
      <c r="D49" s="184">
        <f>SUMIFS(GL_BS!$G:$G,GL_BS!$R:$R,'Global TARF'!$A$38,GL_BS!$S:$S,'Global TARF'!$A49,GL_BS!$A:$A,'Global TARF'!D$38)</f>
        <v>0</v>
      </c>
      <c r="E49" s="184">
        <f>SUMIFS(GL_BS!$G:$G,GL_BS!$R:$R,'Global TARF'!$A$38,GL_BS!$S:$S,'Global TARF'!$A49,GL_BS!$A:$A,'Global TARF'!E$38)</f>
        <v>0</v>
      </c>
      <c r="F49" s="184">
        <f>SUMIFS(GL_BS!$G:$G,GL_BS!$R:$R,'Global TARF'!$A$38,GL_BS!$S:$S,'Global TARF'!$A49,GL_BS!$A:$A,'Global TARF'!F$38)</f>
        <v>0</v>
      </c>
      <c r="G49" s="536">
        <f>SUMIFS(GL_BS!$G:$G,GL_BS!$R:$R,'Global TARF'!$A$38,GL_BS!$S:$S,'Global TARF'!$A49,GL_BS!$A:$A,'Global TARF'!G$38)</f>
        <v>0</v>
      </c>
      <c r="H49" s="545">
        <f>SUMIFS(GL_BS!$G:$G,GL_BS!$R:$R,'Global TARF'!$A$38,GL_BS!$S:$S,'Global TARF'!$A49,GL_BS!$A:$A,'Global TARF'!H$38)</f>
        <v>0</v>
      </c>
      <c r="I49" s="184">
        <f>SUMIFS(GL_BS!$G:$G,GL_BS!$R:$R,'Global TARF'!$A$38,GL_BS!$S:$S,'Global TARF'!$A49,GL_BS!$A:$A,'Global TARF'!I$38)</f>
        <v>0</v>
      </c>
      <c r="J49" s="184">
        <f>SUMIFS(GL_BS!$G:$G,GL_BS!$R:$R,'Global TARF'!$A$38,GL_BS!$S:$S,'Global TARF'!$A49,GL_BS!$A:$A,'Global TARF'!J$38)</f>
        <v>0</v>
      </c>
      <c r="K49" s="184">
        <f>SUMIFS(GL_BS!$G:$G,GL_BS!$R:$R,'Global TARF'!$A$38,GL_BS!$S:$S,'Global TARF'!$A49,GL_BS!$A:$A,'Global TARF'!K$38)</f>
        <v>0</v>
      </c>
      <c r="L49" s="184">
        <f>SUMIFS(GL_BS!$G:$G,GL_BS!$R:$R,'Global TARF'!$A$38,GL_BS!$S:$S,'Global TARF'!$A49,GL_BS!$A:$A,'Global TARF'!L$38)</f>
        <v>0</v>
      </c>
      <c r="M49" s="536">
        <f>SUMIFS(GL_BS!$G:$G,GL_BS!$R:$R,'Global TARF'!$A$38,GL_BS!$S:$S,'Global TARF'!$A49,GL_BS!$A:$A,'Global TARF'!M$38)</f>
        <v>0</v>
      </c>
      <c r="N49" s="552"/>
      <c r="P49" s="545">
        <f>SUMIFS(GL_PL!$G:$G,GL_PL!$Q:$Q,'Global TARF'!$A$38,GL_PL!$R:$R,'Global TARF'!$A49,GL_PL!$A:$A,'Global TARF'!P$38)</f>
        <v>0</v>
      </c>
      <c r="Q49" s="184">
        <f>SUMIFS(GL_PL!$G:$G,GL_PL!$Q:$Q,'Global TARF'!$A$38,GL_PL!$R:$R,'Global TARF'!$A49,GL_PL!$A:$A,'Global TARF'!Q$38)</f>
        <v>0</v>
      </c>
      <c r="R49" s="184">
        <f>SUMIFS(GL_PL!$G:$G,GL_PL!$Q:$Q,'Global TARF'!$A$38,GL_PL!$R:$R,'Global TARF'!$A49,GL_PL!$A:$A,'Global TARF'!R$38)</f>
        <v>0</v>
      </c>
      <c r="S49" s="536">
        <f>SUMIFS(GL_PL!$G:$G,GL_PL!$Q:$Q,'Global TARF'!$A$38,GL_PL!$R:$R,'Global TARF'!$A49,GL_PL!$A:$A,'Global TARF'!S$38)</f>
        <v>0</v>
      </c>
      <c r="T49" s="26">
        <f t="shared" si="85"/>
        <v>0</v>
      </c>
      <c r="U49" s="26"/>
      <c r="V49" s="26">
        <f>-Q49</f>
        <v>0</v>
      </c>
      <c r="W49" s="67"/>
      <c r="Z49" s="582">
        <f t="shared" si="83"/>
        <v>0</v>
      </c>
    </row>
    <row r="50" spans="1:26" x14ac:dyDescent="0.2">
      <c r="A50" s="534" t="s">
        <v>779</v>
      </c>
      <c r="B50" s="184">
        <f>SUMIFS(GL_BS!$G:$G,GL_BS!$R:$R,'Global TARF'!$A$38,GL_BS!$S:$S,'Global TARF'!$A50,GL_BS!$A:$A,'Global TARF'!B$38)</f>
        <v>0</v>
      </c>
      <c r="C50" s="184">
        <f>SUMIFS(GL_BS!$G:$G,GL_BS!$R:$R,'Global TARF'!$A$38,GL_BS!$S:$S,'Global TARF'!$A50,GL_BS!$A:$A,'Global TARF'!C$38)</f>
        <v>0</v>
      </c>
      <c r="D50" s="184">
        <f>SUMIFS(GL_BS!$G:$G,GL_BS!$R:$R,'Global TARF'!$A$38,GL_BS!$S:$S,'Global TARF'!$A50,GL_BS!$A:$A,'Global TARF'!D$38)</f>
        <v>0</v>
      </c>
      <c r="E50" s="184">
        <f>SUMIFS(GL_BS!$G:$G,GL_BS!$R:$R,'Global TARF'!$A$38,GL_BS!$S:$S,'Global TARF'!$A50,GL_BS!$A:$A,'Global TARF'!E$38)</f>
        <v>0</v>
      </c>
      <c r="F50" s="184">
        <f>SUMIFS(GL_BS!$G:$G,GL_BS!$R:$R,'Global TARF'!$A$38,GL_BS!$S:$S,'Global TARF'!$A50,GL_BS!$A:$A,'Global TARF'!F$38)</f>
        <v>0</v>
      </c>
      <c r="G50" s="536">
        <f>SUMIFS(GL_BS!$G:$G,GL_BS!$R:$R,'Global TARF'!$A$38,GL_BS!$S:$S,'Global TARF'!$A50,GL_BS!$A:$A,'Global TARF'!G$38)</f>
        <v>0</v>
      </c>
      <c r="H50" s="545">
        <f>SUMIFS(GL_BS!$G:$G,GL_BS!$R:$R,'Global TARF'!$A$38,GL_BS!$S:$S,'Global TARF'!$A50,GL_BS!$A:$A,'Global TARF'!H$38)</f>
        <v>0</v>
      </c>
      <c r="I50" s="184">
        <f>SUMIFS(GL_BS!$G:$G,GL_BS!$R:$R,'Global TARF'!$A$38,GL_BS!$S:$S,'Global TARF'!$A50,GL_BS!$A:$A,'Global TARF'!I$38)</f>
        <v>0</v>
      </c>
      <c r="J50" s="184">
        <f>SUMIFS(GL_BS!$G:$G,GL_BS!$R:$R,'Global TARF'!$A$38,GL_BS!$S:$S,'Global TARF'!$A50,GL_BS!$A:$A,'Global TARF'!J$38)</f>
        <v>0</v>
      </c>
      <c r="K50" s="184">
        <f>SUMIFS(GL_BS!$G:$G,GL_BS!$R:$R,'Global TARF'!$A$38,GL_BS!$S:$S,'Global TARF'!$A50,GL_BS!$A:$A,'Global TARF'!K$38)</f>
        <v>0</v>
      </c>
      <c r="L50" s="184">
        <f>SUMIFS(GL_BS!$G:$G,GL_BS!$R:$R,'Global TARF'!$A$38,GL_BS!$S:$S,'Global TARF'!$A50,GL_BS!$A:$A,'Global TARF'!L$38)</f>
        <v>0</v>
      </c>
      <c r="M50" s="536">
        <f>SUMIFS(GL_BS!$G:$G,GL_BS!$R:$R,'Global TARF'!$A$38,GL_BS!$S:$S,'Global TARF'!$A50,GL_BS!$A:$A,'Global TARF'!M$38)</f>
        <v>0</v>
      </c>
      <c r="N50" s="552"/>
      <c r="P50" s="545">
        <f>SUMIFS(GL_PL!$G:$G,GL_PL!$Q:$Q,'Global TARF'!$A$38,GL_PL!$R:$R,'Global TARF'!$A50,GL_PL!$A:$A,'Global TARF'!P$38)</f>
        <v>0</v>
      </c>
      <c r="Q50" s="184">
        <f>SUMIFS(GL_PL!$G:$G,GL_PL!$Q:$Q,'Global TARF'!$A$38,GL_PL!$R:$R,'Global TARF'!$A50,GL_PL!$A:$A,'Global TARF'!Q$38)</f>
        <v>0</v>
      </c>
      <c r="R50" s="184">
        <f>SUMIFS(GL_PL!$G:$G,GL_PL!$Q:$Q,'Global TARF'!$A$38,GL_PL!$R:$R,'Global TARF'!$A50,GL_PL!$A:$A,'Global TARF'!R$38)</f>
        <v>0</v>
      </c>
      <c r="S50" s="536">
        <f>SUMIFS(GL_PL!$G:$G,GL_PL!$Q:$Q,'Global TARF'!$A$38,GL_PL!$R:$R,'Global TARF'!$A50,GL_PL!$A:$A,'Global TARF'!S$38)</f>
        <v>0</v>
      </c>
      <c r="T50" s="26">
        <f t="shared" si="85"/>
        <v>0</v>
      </c>
      <c r="U50" s="25"/>
      <c r="V50" s="26">
        <f>-Q50-P50-H50-R50-C50-T50</f>
        <v>0</v>
      </c>
      <c r="W50" s="67"/>
      <c r="Z50" s="582">
        <f t="shared" si="83"/>
        <v>0</v>
      </c>
    </row>
    <row r="51" spans="1:26" x14ac:dyDescent="0.2">
      <c r="A51" s="534" t="s">
        <v>4267</v>
      </c>
      <c r="B51" s="184">
        <f>SUMIFS(GL_BS!$G:$G,GL_BS!$R:$R,'Global TARF'!$A$38,GL_BS!$S:$S,'Global TARF'!$A51,GL_BS!$A:$A,'Global TARF'!B$38)</f>
        <v>0</v>
      </c>
      <c r="C51" s="184">
        <f>SUMIFS(GL_BS!$G:$G,GL_BS!$R:$R,'Global TARF'!$A$38,GL_BS!$S:$S,'Global TARF'!$A51,GL_BS!$A:$A,'Global TARF'!C$38)</f>
        <v>0</v>
      </c>
      <c r="D51" s="184">
        <f>SUMIFS(GL_BS!$G:$G,GL_BS!$R:$R,'Global TARF'!$A$38,GL_BS!$S:$S,'Global TARF'!$A51,GL_BS!$A:$A,'Global TARF'!D$38)</f>
        <v>0</v>
      </c>
      <c r="E51" s="184">
        <f>SUMIFS(GL_BS!$G:$G,GL_BS!$R:$R,'Global TARF'!$A$38,GL_BS!$S:$S,'Global TARF'!$A51,GL_BS!$A:$A,'Global TARF'!E$38)</f>
        <v>0</v>
      </c>
      <c r="F51" s="184">
        <f>SUMIFS(GL_BS!$G:$G,GL_BS!$R:$R,'Global TARF'!$A$38,GL_BS!$S:$S,'Global TARF'!$A51,GL_BS!$A:$A,'Global TARF'!F$38)</f>
        <v>0</v>
      </c>
      <c r="G51" s="536">
        <f>SUMIFS(GL_BS!$G:$G,GL_BS!$R:$R,'Global TARF'!$A$38,GL_BS!$S:$S,'Global TARF'!$A51,GL_BS!$A:$A,'Global TARF'!G$38)</f>
        <v>0</v>
      </c>
      <c r="H51" s="545">
        <f>SUMIFS(GL_BS!$G:$G,GL_BS!$R:$R,'Global TARF'!$A$38,GL_BS!$S:$S,'Global TARF'!$A51,GL_BS!$A:$A,'Global TARF'!H$38)</f>
        <v>0</v>
      </c>
      <c r="I51" s="184">
        <f>SUMIFS(GL_BS!$G:$G,GL_BS!$R:$R,'Global TARF'!$A$38,GL_BS!$S:$S,'Global TARF'!$A51,GL_BS!$A:$A,'Global TARF'!I$38)</f>
        <v>0</v>
      </c>
      <c r="J51" s="184">
        <f>SUMIFS(GL_BS!$G:$G,GL_BS!$R:$R,'Global TARF'!$A$38,GL_BS!$S:$S,'Global TARF'!$A51,GL_BS!$A:$A,'Global TARF'!J$38)</f>
        <v>0</v>
      </c>
      <c r="K51" s="184">
        <f>SUMIFS(GL_BS!$G:$G,GL_BS!$R:$R,'Global TARF'!$A$38,GL_BS!$S:$S,'Global TARF'!$A51,GL_BS!$A:$A,'Global TARF'!K$38)</f>
        <v>0</v>
      </c>
      <c r="L51" s="184">
        <f>SUMIFS(GL_BS!$G:$G,GL_BS!$R:$R,'Global TARF'!$A$38,GL_BS!$S:$S,'Global TARF'!$A51,GL_BS!$A:$A,'Global TARF'!L$38)</f>
        <v>0</v>
      </c>
      <c r="M51" s="536">
        <f>SUMIFS(GL_BS!$G:$G,GL_BS!$R:$R,'Global TARF'!$A$38,GL_BS!$S:$S,'Global TARF'!$A51,GL_BS!$A:$A,'Global TARF'!M$38)</f>
        <v>0</v>
      </c>
      <c r="N51" s="552"/>
      <c r="P51" s="545">
        <f>SUMIFS(GL_PL!$G:$G,GL_PL!$Q:$Q,'Global TARF'!$A$38,GL_PL!$R:$R,'Global TARF'!$A51,GL_PL!$A:$A,'Global TARF'!P$38)</f>
        <v>0</v>
      </c>
      <c r="Q51" s="184">
        <f>SUMIFS(GL_PL!$G:$G,GL_PL!$Q:$Q,'Global TARF'!$A$38,GL_PL!$R:$R,'Global TARF'!$A51,GL_PL!$A:$A,'Global TARF'!Q$38)</f>
        <v>0</v>
      </c>
      <c r="R51" s="184">
        <f>SUMIFS(GL_PL!$G:$G,GL_PL!$Q:$Q,'Global TARF'!$A$38,GL_PL!$R:$R,'Global TARF'!$A51,GL_PL!$A:$A,'Global TARF'!R$38)</f>
        <v>0</v>
      </c>
      <c r="S51" s="536">
        <f>SUMIFS(GL_PL!$G:$G,GL_PL!$Q:$Q,'Global TARF'!$A$38,GL_PL!$R:$R,'Global TARF'!$A51,GL_PL!$A:$A,'Global TARF'!S$38)</f>
        <v>0</v>
      </c>
      <c r="T51" s="26">
        <f>-SUM(C51:S51)</f>
        <v>0</v>
      </c>
      <c r="U51" s="26"/>
      <c r="W51" s="67"/>
      <c r="Z51" s="582">
        <f t="shared" si="83"/>
        <v>0</v>
      </c>
    </row>
    <row r="52" spans="1:26" x14ac:dyDescent="0.2">
      <c r="A52" s="534" t="s">
        <v>4275</v>
      </c>
      <c r="B52" s="184">
        <f>SUMIFS(GL_BS!$G:$G,GL_BS!$R:$R,'Global TARF'!$A$38,GL_BS!$S:$S,'Global TARF'!$A52,GL_BS!$A:$A,'Global TARF'!B$38)</f>
        <v>0</v>
      </c>
      <c r="C52" s="184">
        <f>SUMIFS(GL_BS!$G:$G,GL_BS!$R:$R,'Global TARF'!$A$38,GL_BS!$S:$S,'Global TARF'!$A52,GL_BS!$A:$A,'Global TARF'!C$38)</f>
        <v>0</v>
      </c>
      <c r="D52" s="184">
        <f>SUMIFS(GL_BS!$G:$G,GL_BS!$R:$R,'Global TARF'!$A$38,GL_BS!$S:$S,'Global TARF'!$A52,GL_BS!$A:$A,'Global TARF'!D$38)</f>
        <v>0</v>
      </c>
      <c r="E52" s="184">
        <f>SUMIFS(GL_BS!$G:$G,GL_BS!$R:$R,'Global TARF'!$A$38,GL_BS!$S:$S,'Global TARF'!$A52,GL_BS!$A:$A,'Global TARF'!E$38)</f>
        <v>0</v>
      </c>
      <c r="F52" s="184">
        <f>SUMIFS(GL_BS!$G:$G,GL_BS!$R:$R,'Global TARF'!$A$38,GL_BS!$S:$S,'Global TARF'!$A52,GL_BS!$A:$A,'Global TARF'!F$38)</f>
        <v>0</v>
      </c>
      <c r="G52" s="536">
        <f>SUMIFS(GL_BS!$G:$G,GL_BS!$R:$R,'Global TARF'!$A$38,GL_BS!$S:$S,'Global TARF'!$A52,GL_BS!$A:$A,'Global TARF'!G$38)</f>
        <v>0</v>
      </c>
      <c r="H52" s="545">
        <f>SUMIFS(GL_BS!$G:$G,GL_BS!$R:$R,'Global TARF'!$A$38,GL_BS!$S:$S,'Global TARF'!$A52,GL_BS!$A:$A,'Global TARF'!H$38)</f>
        <v>14664.819475800001</v>
      </c>
      <c r="I52" s="184">
        <f>SUMIFS(GL_BS!$G:$G,GL_BS!$R:$R,'Global TARF'!$A$38,GL_BS!$S:$S,'Global TARF'!$A52,GL_BS!$A:$A,'Global TARF'!I$38)</f>
        <v>0</v>
      </c>
      <c r="J52" s="184">
        <f>SUMIFS(GL_BS!$G:$G,GL_BS!$R:$R,'Global TARF'!$A$38,GL_BS!$S:$S,'Global TARF'!$A52,GL_BS!$A:$A,'Global TARF'!J$38)</f>
        <v>0</v>
      </c>
      <c r="K52" s="184">
        <f>SUMIFS(GL_BS!$G:$G,GL_BS!$R:$R,'Global TARF'!$A$38,GL_BS!$S:$S,'Global TARF'!$A52,GL_BS!$A:$A,'Global TARF'!K$38)</f>
        <v>0</v>
      </c>
      <c r="L52" s="184">
        <f>SUMIFS(GL_BS!$G:$G,GL_BS!$R:$R,'Global TARF'!$A$38,GL_BS!$S:$S,'Global TARF'!$A52,GL_BS!$A:$A,'Global TARF'!L$38)</f>
        <v>0</v>
      </c>
      <c r="M52" s="536">
        <f>SUMIFS(GL_BS!$G:$G,GL_BS!$R:$R,'Global TARF'!$A$38,GL_BS!$S:$S,'Global TARF'!$A52,GL_BS!$A:$A,'Global TARF'!M$38)</f>
        <v>0</v>
      </c>
      <c r="N52" s="552"/>
      <c r="P52" s="545">
        <f>SUMIFS(GL_PL!$G:$G,GL_PL!$Q:$Q,'Global TARF'!$A$38,GL_PL!$R:$R,'Global TARF'!$A52,GL_PL!$A:$A,'Global TARF'!P$38)</f>
        <v>0</v>
      </c>
      <c r="Q52" s="184">
        <f>SUMIFS(GL_PL!$G:$G,GL_PL!$Q:$Q,'Global TARF'!$A$38,GL_PL!$R:$R,'Global TARF'!$A52,GL_PL!$A:$A,'Global TARF'!Q$38)</f>
        <v>0</v>
      </c>
      <c r="R52" s="184">
        <f>SUMIFS(GL_PL!$G:$G,GL_PL!$Q:$Q,'Global TARF'!$A$38,GL_PL!$R:$R,'Global TARF'!$A52,GL_PL!$A:$A,'Global TARF'!R$38)</f>
        <v>0</v>
      </c>
      <c r="S52" s="536">
        <f>SUMIFS(GL_PL!$G:$G,GL_PL!$Q:$Q,'Global TARF'!$A$38,GL_PL!$R:$R,'Global TARF'!$A52,GL_PL!$A:$A,'Global TARF'!S$38)</f>
        <v>0</v>
      </c>
      <c r="T52" s="26">
        <f t="shared" si="85"/>
        <v>-14664.819475800001</v>
      </c>
      <c r="U52" s="26"/>
      <c r="W52" s="67"/>
      <c r="Z52" s="582">
        <f t="shared" si="83"/>
        <v>0</v>
      </c>
    </row>
    <row r="53" spans="1:26" x14ac:dyDescent="0.2">
      <c r="A53" s="534" t="s">
        <v>4481</v>
      </c>
      <c r="B53" s="184">
        <f>SUMIFS(GL_BS!$G:$G,GL_BS!$R:$R,'Global TARF'!$A$38,GL_BS!$S:$S,'Global TARF'!$A53,GL_BS!$A:$A,'Global TARF'!B$38)</f>
        <v>0</v>
      </c>
      <c r="C53" s="184">
        <f>SUMIFS(GL_BS!$G:$G,GL_BS!$R:$R,'Global TARF'!$A$38,GL_BS!$S:$S,'Global TARF'!$A53,GL_BS!$A:$A,'Global TARF'!C$38)</f>
        <v>0</v>
      </c>
      <c r="D53" s="184">
        <f>SUMIFS(GL_BS!$G:$G,GL_BS!$R:$R,'Global TARF'!$A$38,GL_BS!$S:$S,'Global TARF'!$A53,GL_BS!$A:$A,'Global TARF'!D$38)</f>
        <v>0</v>
      </c>
      <c r="E53" s="184">
        <f>SUMIFS(GL_BS!$G:$G,GL_BS!$R:$R,'Global TARF'!$A$38,GL_BS!$S:$S,'Global TARF'!$A53,GL_BS!$A:$A,'Global TARF'!E$38)</f>
        <v>0</v>
      </c>
      <c r="F53" s="184">
        <f>SUMIFS(GL_BS!$G:$G,GL_BS!$R:$R,'Global TARF'!$A$38,GL_BS!$S:$S,'Global TARF'!$A53,GL_BS!$A:$A,'Global TARF'!F$38)</f>
        <v>0</v>
      </c>
      <c r="G53" s="536">
        <f>SUMIFS(GL_BS!$G:$G,GL_BS!$R:$R,'Global TARF'!$A$38,GL_BS!$S:$S,'Global TARF'!$A53,GL_BS!$A:$A,'Global TARF'!G$38)</f>
        <v>0</v>
      </c>
      <c r="H53" s="545">
        <f>SUMIFS(GL_BS!$G:$G,GL_BS!$R:$R,'Global TARF'!$A$38,GL_BS!$S:$S,'Global TARF'!$A53,GL_BS!$A:$A,'Global TARF'!H$38)</f>
        <v>0</v>
      </c>
      <c r="I53" s="184">
        <f>SUMIFS(GL_BS!$G:$G,GL_BS!$R:$R,'Global TARF'!$A$38,GL_BS!$S:$S,'Global TARF'!$A53,GL_BS!$A:$A,'Global TARF'!I$38)</f>
        <v>0</v>
      </c>
      <c r="J53" s="184">
        <f>SUMIFS(GL_BS!$G:$G,GL_BS!$R:$R,'Global TARF'!$A$38,GL_BS!$S:$S,'Global TARF'!$A53,GL_BS!$A:$A,'Global TARF'!J$38)</f>
        <v>0</v>
      </c>
      <c r="K53" s="184">
        <f>SUMIFS(GL_BS!$G:$G,GL_BS!$R:$R,'Global TARF'!$A$38,GL_BS!$S:$S,'Global TARF'!$A53,GL_BS!$A:$A,'Global TARF'!K$38)</f>
        <v>0</v>
      </c>
      <c r="L53" s="184">
        <f>SUMIFS(GL_BS!$G:$G,GL_BS!$R:$R,'Global TARF'!$A$38,GL_BS!$S:$S,'Global TARF'!$A53,GL_BS!$A:$A,'Global TARF'!L$38)</f>
        <v>0</v>
      </c>
      <c r="M53" s="536">
        <f>SUMIFS(GL_BS!$G:$G,GL_BS!$R:$R,'Global TARF'!$A$38,GL_BS!$S:$S,'Global TARF'!$A53,GL_BS!$A:$A,'Global TARF'!M$38)</f>
        <v>0</v>
      </c>
      <c r="N53" s="552"/>
      <c r="P53" s="545">
        <f>SUMIFS(GL_PL!$G:$G,GL_PL!$Q:$Q,'Global TARF'!$A$38,GL_PL!$R:$R,'Global TARF'!$A53,GL_PL!$A:$A,'Global TARF'!P$38)</f>
        <v>0</v>
      </c>
      <c r="Q53" s="184">
        <f>SUMIFS(GL_PL!$G:$G,GL_PL!$Q:$Q,'Global TARF'!$A$38,GL_PL!$R:$R,'Global TARF'!$A53,GL_PL!$A:$A,'Global TARF'!Q$38)</f>
        <v>0</v>
      </c>
      <c r="R53" s="184">
        <f>SUMIFS(GL_PL!$G:$G,GL_PL!$Q:$Q,'Global TARF'!$A$38,GL_PL!$R:$R,'Global TARF'!$A53,GL_PL!$A:$A,'Global TARF'!R$38)</f>
        <v>0</v>
      </c>
      <c r="S53" s="536">
        <f>SUMIFS(GL_PL!$G:$G,GL_PL!$Q:$Q,'Global TARF'!$A$38,GL_PL!$R:$R,'Global TARF'!$A53,GL_PL!$A:$A,'Global TARF'!S$38)</f>
        <v>0</v>
      </c>
      <c r="T53" s="26"/>
      <c r="U53" s="26"/>
      <c r="W53" s="67"/>
      <c r="Z53" s="582"/>
    </row>
    <row r="54" spans="1:26" x14ac:dyDescent="0.2">
      <c r="A54" t="s">
        <v>4569</v>
      </c>
      <c r="B54" s="184">
        <f>SUMIFS(GL_BS!$G:$G,GL_BS!$R:$R,'Global TARF'!$A$38,GL_BS!$S:$S,'Global TARF'!$A54,GL_BS!$A:$A,'Global TARF'!B$38)</f>
        <v>0</v>
      </c>
      <c r="C54" s="184">
        <f>SUMIFS(GL_BS!$G:$G,GL_BS!$R:$R,'Global TARF'!$A$38,GL_BS!$S:$S,'Global TARF'!$A54,GL_BS!$A:$A,'Global TARF'!C$38)</f>
        <v>0</v>
      </c>
      <c r="D54" s="184">
        <f>SUMIFS(GL_BS!$G:$G,GL_BS!$R:$R,'Global TARF'!$A$38,GL_BS!$S:$S,'Global TARF'!$A54,GL_BS!$A:$A,'Global TARF'!D$38)</f>
        <v>0</v>
      </c>
      <c r="E54" s="184">
        <f>SUMIFS(GL_BS!$G:$G,GL_BS!$R:$R,'Global TARF'!$A$38,GL_BS!$S:$S,'Global TARF'!$A54,GL_BS!$A:$A,'Global TARF'!E$38)</f>
        <v>0</v>
      </c>
      <c r="F54" s="184">
        <f>SUMIFS(GL_BS!$G:$G,GL_BS!$R:$R,'Global TARF'!$A$38,GL_BS!$S:$S,'Global TARF'!$A54,GL_BS!$A:$A,'Global TARF'!F$38)</f>
        <v>0</v>
      </c>
      <c r="G54" s="536">
        <f>SUMIFS(GL_BS!$G:$G,GL_BS!$R:$R,'Global TARF'!$A$38,GL_BS!$S:$S,'Global TARF'!$A54,GL_BS!$A:$A,'Global TARF'!G$38)</f>
        <v>2978.07</v>
      </c>
      <c r="H54" s="545">
        <f>SUMIFS(GL_BS!$G:$G,GL_BS!$R:$R,'Global TARF'!$A$38,GL_BS!$S:$S,'Global TARF'!$A54,GL_BS!$A:$A,'Global TARF'!H$38)</f>
        <v>-803829.71450808004</v>
      </c>
      <c r="I54" s="184">
        <f>SUMIFS(GL_BS!$G:$G,GL_BS!$R:$R,'Global TARF'!$A$38,GL_BS!$S:$S,'Global TARF'!$A54,GL_BS!$A:$A,'Global TARF'!I$38)</f>
        <v>0</v>
      </c>
      <c r="J54" s="184">
        <f>SUMIFS(GL_BS!$G:$G,GL_BS!$R:$R,'Global TARF'!$A$38,GL_BS!$S:$S,'Global TARF'!$A54,GL_BS!$A:$A,'Global TARF'!J$38)</f>
        <v>-2992.8228366100002</v>
      </c>
      <c r="K54" s="184">
        <f>SUMIFS(GL_BS!$G:$G,GL_BS!$R:$R,'Global TARF'!$A$38,GL_BS!$S:$S,'Global TARF'!$A54,GL_BS!$A:$A,'Global TARF'!K$38)</f>
        <v>807811.77464845998</v>
      </c>
      <c r="L54" s="184">
        <f>SUMIFS(GL_BS!$G:$G,GL_BS!$R:$R,'Global TARF'!$A$38,GL_BS!$S:$S,'Global TARF'!$A54,GL_BS!$A:$A,'Global TARF'!L$38)</f>
        <v>0</v>
      </c>
      <c r="M54" s="536">
        <f>SUMIFS(GL_BS!$G:$G,GL_BS!$R:$R,'Global TARF'!$A$38,GL_BS!$S:$S,'Global TARF'!$A54,GL_BS!$A:$A,'Global TARF'!M$38)</f>
        <v>0</v>
      </c>
      <c r="N54" s="552"/>
      <c r="P54" s="545">
        <f>SUMIFS(GL_PL!$G:$G,GL_PL!$Q:$Q,'Global TARF'!$A$38,GL_PL!$R:$R,'Global TARF'!$A54,GL_PL!$A:$A,'Global TARF'!P$38)</f>
        <v>0</v>
      </c>
      <c r="Q54" s="184">
        <f>SUMIFS(GL_PL!$G:$G,GL_PL!$Q:$Q,'Global TARF'!$A$38,GL_PL!$R:$R,'Global TARF'!$A54,GL_PL!$A:$A,'Global TARF'!Q$38)</f>
        <v>0</v>
      </c>
      <c r="R54" s="184">
        <f>SUMIFS(GL_PL!$G:$G,GL_PL!$Q:$Q,'Global TARF'!$A$38,GL_PL!$R:$R,'Global TARF'!$A54,GL_PL!$A:$A,'Global TARF'!R$38)</f>
        <v>0</v>
      </c>
      <c r="S54" s="536">
        <f>SUMIFS(GL_PL!$G:$G,GL_PL!$Q:$Q,'Global TARF'!$A$38,GL_PL!$R:$R,'Global TARF'!$A54,GL_PL!$A:$A,'Global TARF'!S$38)</f>
        <v>0</v>
      </c>
      <c r="T54" s="26"/>
      <c r="U54" s="26"/>
      <c r="W54" s="67"/>
      <c r="Z54" s="582"/>
    </row>
    <row r="55" spans="1:26" x14ac:dyDescent="0.2">
      <c r="A55" t="s">
        <v>4587</v>
      </c>
      <c r="B55" s="184">
        <f>SUMIFS(GL_BS!$G:$G,GL_BS!$R:$R,'Global TARF'!$A$38,GL_BS!$S:$S,'Global TARF'!$A55,GL_BS!$A:$A,'Global TARF'!B$38)</f>
        <v>0</v>
      </c>
      <c r="C55" s="184">
        <f>SUMIFS(GL_BS!$G:$G,GL_BS!$R:$R,'Global TARF'!$A$38,GL_BS!$S:$S,'Global TARF'!$A55,GL_BS!$A:$A,'Global TARF'!C$38)</f>
        <v>0</v>
      </c>
      <c r="D55" s="184">
        <f>SUMIFS(GL_BS!$G:$G,GL_BS!$R:$R,'Global TARF'!$A$38,GL_BS!$S:$S,'Global TARF'!$A55,GL_BS!$A:$A,'Global TARF'!D$38)</f>
        <v>0</v>
      </c>
      <c r="E55" s="184">
        <f>SUMIFS(GL_BS!$G:$G,GL_BS!$R:$R,'Global TARF'!$A$38,GL_BS!$S:$S,'Global TARF'!$A55,GL_BS!$A:$A,'Global TARF'!E$38)</f>
        <v>0</v>
      </c>
      <c r="F55" s="184">
        <f>SUMIFS(GL_BS!$G:$G,GL_BS!$R:$R,'Global TARF'!$A$38,GL_BS!$S:$S,'Global TARF'!$A55,GL_BS!$A:$A,'Global TARF'!F$38)</f>
        <v>0</v>
      </c>
      <c r="G55" s="536">
        <f>SUMIFS(GL_BS!$G:$G,GL_BS!$R:$R,'Global TARF'!$A$38,GL_BS!$S:$S,'Global TARF'!$A55,GL_BS!$A:$A,'Global TARF'!G$38)</f>
        <v>0</v>
      </c>
      <c r="H55" s="545">
        <f>SUMIFS(GL_BS!$G:$G,GL_BS!$R:$R,'Global TARF'!$A$38,GL_BS!$S:$S,'Global TARF'!$A55,GL_BS!$A:$A,'Global TARF'!H$38)</f>
        <v>0</v>
      </c>
      <c r="I55" s="184">
        <f>SUMIFS(GL_BS!$G:$G,GL_BS!$R:$R,'Global TARF'!$A$38,GL_BS!$S:$S,'Global TARF'!$A55,GL_BS!$A:$A,'Global TARF'!I$38)</f>
        <v>0</v>
      </c>
      <c r="J55" s="184">
        <f>SUMIFS(GL_BS!$G:$G,GL_BS!$R:$R,'Global TARF'!$A$38,GL_BS!$S:$S,'Global TARF'!$A55,GL_BS!$A:$A,'Global TARF'!J$38)</f>
        <v>0</v>
      </c>
      <c r="K55" s="184">
        <f>SUMIFS(GL_BS!$G:$G,GL_BS!$R:$R,'Global TARF'!$A$38,GL_BS!$S:$S,'Global TARF'!$A55,GL_BS!$A:$A,'Global TARF'!K$38)</f>
        <v>0</v>
      </c>
      <c r="L55" s="184">
        <f>SUMIFS(GL_BS!$G:$G,GL_BS!$R:$R,'Global TARF'!$A$38,GL_BS!$S:$S,'Global TARF'!$A55,GL_BS!$A:$A,'Global TARF'!L$38)</f>
        <v>0</v>
      </c>
      <c r="M55" s="536">
        <f>SUMIFS(GL_BS!$G:$G,GL_BS!$R:$R,'Global TARF'!$A$38,GL_BS!$S:$S,'Global TARF'!$A55,GL_BS!$A:$A,'Global TARF'!M$38)</f>
        <v>0</v>
      </c>
      <c r="N55" s="552"/>
      <c r="P55" s="545">
        <f>SUMIFS(GL_PL!$G:$G,GL_PL!$Q:$Q,'Global TARF'!$A$38,GL_PL!$R:$R,'Global TARF'!$A55,GL_PL!$A:$A,'Global TARF'!P$38)</f>
        <v>0</v>
      </c>
      <c r="Q55" s="184">
        <f>SUMIFS(GL_PL!$G:$G,GL_PL!$Q:$Q,'Global TARF'!$A$38,GL_PL!$R:$R,'Global TARF'!$A55,GL_PL!$A:$A,'Global TARF'!Q$38)</f>
        <v>0</v>
      </c>
      <c r="R55" s="184">
        <f>SUMIFS(GL_PL!$G:$G,GL_PL!$Q:$Q,'Global TARF'!$A$38,GL_PL!$R:$R,'Global TARF'!$A55,GL_PL!$A:$A,'Global TARF'!R$38)</f>
        <v>0</v>
      </c>
      <c r="S55" s="536">
        <f>SUMIFS(GL_PL!$G:$G,GL_PL!$Q:$Q,'Global TARF'!$A$38,GL_PL!$R:$R,'Global TARF'!$A55,GL_PL!$A:$A,'Global TARF'!S$38)</f>
        <v>0</v>
      </c>
      <c r="T55" s="26"/>
      <c r="U55" s="26"/>
      <c r="W55" s="67"/>
      <c r="Z55" s="582"/>
    </row>
    <row r="56" spans="1:26" x14ac:dyDescent="0.2">
      <c r="A56" t="s">
        <v>4369</v>
      </c>
      <c r="B56" s="184">
        <f>SUMIFS(GL_BS!$G:$G,GL_BS!$R:$R,'Global TARF'!$A$38,GL_BS!$S:$S,'Global TARF'!$A56,GL_BS!$A:$A,'Global TARF'!B$38)</f>
        <v>0</v>
      </c>
      <c r="C56" s="184">
        <f>SUMIFS(GL_BS!$G:$G,GL_BS!$R:$R,'Global TARF'!$A$38,GL_BS!$S:$S,'Global TARF'!$A56,GL_BS!$A:$A,'Global TARF'!C$38)</f>
        <v>158454.15305148001</v>
      </c>
      <c r="D56" s="184">
        <f>SUMIFS(GL_BS!$G:$G,GL_BS!$R:$R,'Global TARF'!$A$38,GL_BS!$S:$S,'Global TARF'!$A56,GL_BS!$A:$A,'Global TARF'!D$38)</f>
        <v>0</v>
      </c>
      <c r="E56" s="184">
        <f>SUMIFS(GL_BS!$G:$G,GL_BS!$R:$R,'Global TARF'!$A$38,GL_BS!$S:$S,'Global TARF'!$A56,GL_BS!$A:$A,'Global TARF'!E$38)</f>
        <v>0</v>
      </c>
      <c r="F56" s="184">
        <f>SUMIFS(GL_BS!$G:$G,GL_BS!$R:$R,'Global TARF'!$A$38,GL_BS!$S:$S,'Global TARF'!$A56,GL_BS!$A:$A,'Global TARF'!F$38)</f>
        <v>176721.01</v>
      </c>
      <c r="G56" s="536">
        <f>SUMIFS(GL_BS!$G:$G,GL_BS!$R:$R,'Global TARF'!$A$38,GL_BS!$S:$S,'Global TARF'!$A56,GL_BS!$A:$A,'Global TARF'!G$38)</f>
        <v>0</v>
      </c>
      <c r="H56" s="545">
        <f>SUMIFS(GL_BS!$G:$G,GL_BS!$R:$R,'Global TARF'!$A$38,GL_BS!$S:$S,'Global TARF'!$A56,GL_BS!$A:$A,'Global TARF'!H$38)</f>
        <v>0</v>
      </c>
      <c r="I56" s="184">
        <f>SUMIFS(GL_BS!$G:$G,GL_BS!$R:$R,'Global TARF'!$A$38,GL_BS!$S:$S,'Global TARF'!$A56,GL_BS!$A:$A,'Global TARF'!I$38)</f>
        <v>0</v>
      </c>
      <c r="J56" s="184">
        <f>SUMIFS(GL_BS!$G:$G,GL_BS!$R:$R,'Global TARF'!$A$38,GL_BS!$S:$S,'Global TARF'!$A56,GL_BS!$A:$A,'Global TARF'!J$38)</f>
        <v>0</v>
      </c>
      <c r="K56" s="184">
        <f>SUMIFS(GL_BS!$G:$G,GL_BS!$R:$R,'Global TARF'!$A$38,GL_BS!$S:$S,'Global TARF'!$A56,GL_BS!$A:$A,'Global TARF'!K$38)</f>
        <v>0</v>
      </c>
      <c r="L56" s="184">
        <f>SUMIFS(GL_BS!$G:$G,GL_BS!$R:$R,'Global TARF'!$A$38,GL_BS!$S:$S,'Global TARF'!$A56,GL_BS!$A:$A,'Global TARF'!L$38)</f>
        <v>0</v>
      </c>
      <c r="M56" s="536">
        <f>SUMIFS(GL_BS!$G:$G,GL_BS!$R:$R,'Global TARF'!$A$38,GL_BS!$S:$S,'Global TARF'!$A56,GL_BS!$A:$A,'Global TARF'!M$38)</f>
        <v>0</v>
      </c>
      <c r="N56" s="552"/>
      <c r="P56" s="545">
        <f>SUMIFS(GL_PL!$G:$G,GL_PL!$Q:$Q,'Global TARF'!$A$38,GL_PL!$R:$R,'Global TARF'!$A56,GL_PL!$A:$A,'Global TARF'!P$38)</f>
        <v>0</v>
      </c>
      <c r="Q56" s="184">
        <f>SUMIFS(GL_PL!$G:$G,GL_PL!$Q:$Q,'Global TARF'!$A$38,GL_PL!$R:$R,'Global TARF'!$A56,GL_PL!$A:$A,'Global TARF'!Q$38)</f>
        <v>0</v>
      </c>
      <c r="R56" s="184">
        <f>SUMIFS(GL_PL!$G:$G,GL_PL!$Q:$Q,'Global TARF'!$A$38,GL_PL!$R:$R,'Global TARF'!$A56,GL_PL!$A:$A,'Global TARF'!R$38)</f>
        <v>0</v>
      </c>
      <c r="S56" s="536">
        <f>SUMIFS(GL_PL!$G:$G,GL_PL!$Q:$Q,'Global TARF'!$A$38,GL_PL!$R:$R,'Global TARF'!$A56,GL_PL!$A:$A,'Global TARF'!S$38)</f>
        <v>0</v>
      </c>
      <c r="T56" s="26"/>
      <c r="U56" s="26"/>
      <c r="W56" s="67">
        <f>-C56-F56</f>
        <v>-335175.16305148002</v>
      </c>
      <c r="Z56" s="582">
        <f t="shared" si="83"/>
        <v>0</v>
      </c>
    </row>
    <row r="57" spans="1:26" x14ac:dyDescent="0.2">
      <c r="A57" s="534" t="s">
        <v>799</v>
      </c>
      <c r="B57" s="184">
        <f>SUMIFS(GL_BS!$G:$G,GL_BS!$R:$R,'Global TARF'!$A$38,GL_BS!$S:$S,'Global TARF'!$A57,GL_BS!$A:$A,'Global TARF'!B$38)</f>
        <v>0</v>
      </c>
      <c r="C57" s="184">
        <f>SUMIFS(GL_BS!$G:$G,GL_BS!$R:$R,'Global TARF'!$A$38,GL_BS!$S:$S,'Global TARF'!$A57,GL_BS!$A:$A,'Global TARF'!C$38)</f>
        <v>0</v>
      </c>
      <c r="D57" s="184">
        <f>SUMIFS(GL_BS!$G:$G,GL_BS!$R:$R,'Global TARF'!$A$38,GL_BS!$S:$S,'Global TARF'!$A57,GL_BS!$A:$A,'Global TARF'!D$38)</f>
        <v>0</v>
      </c>
      <c r="E57" s="184">
        <f>SUMIFS(GL_BS!$G:$G,GL_BS!$R:$R,'Global TARF'!$A$38,GL_BS!$S:$S,'Global TARF'!$A57,GL_BS!$A:$A,'Global TARF'!E$38)</f>
        <v>0</v>
      </c>
      <c r="F57" s="184">
        <f>SUMIFS(GL_BS!$G:$G,GL_BS!$R:$R,'Global TARF'!$A$38,GL_BS!$S:$S,'Global TARF'!$A57,GL_BS!$A:$A,'Global TARF'!F$38)</f>
        <v>0</v>
      </c>
      <c r="G57" s="536">
        <f>SUMIFS(GL_BS!$G:$G,GL_BS!$R:$R,'Global TARF'!$A$38,GL_BS!$S:$S,'Global TARF'!$A57,GL_BS!$A:$A,'Global TARF'!G$38)</f>
        <v>0</v>
      </c>
      <c r="H57" s="545">
        <f>SUMIFS(GL_BS!$G:$G,GL_BS!$R:$R,'Global TARF'!$A$38,GL_BS!$S:$S,'Global TARF'!$A57,GL_BS!$A:$A,'Global TARF'!H$38)</f>
        <v>-50182.571925720003</v>
      </c>
      <c r="I57" s="184">
        <f>SUMIFS(GL_BS!$G:$G,GL_BS!$R:$R,'Global TARF'!$A$38,GL_BS!$S:$S,'Global TARF'!$A57,GL_BS!$A:$A,'Global TARF'!I$38)</f>
        <v>0</v>
      </c>
      <c r="J57" s="184">
        <f>SUMIFS(GL_BS!$G:$G,GL_BS!$R:$R,'Global TARF'!$A$38,GL_BS!$S:$S,'Global TARF'!$A57,GL_BS!$A:$A,'Global TARF'!J$38)</f>
        <v>0</v>
      </c>
      <c r="K57" s="184">
        <f>SUMIFS(GL_BS!$G:$G,GL_BS!$R:$R,'Global TARF'!$A$38,GL_BS!$S:$S,'Global TARF'!$A57,GL_BS!$A:$A,'Global TARF'!K$38)</f>
        <v>0</v>
      </c>
      <c r="L57" s="184">
        <f>SUMIFS(GL_BS!$G:$G,GL_BS!$R:$R,'Global TARF'!$A$38,GL_BS!$S:$S,'Global TARF'!$A57,GL_BS!$A:$A,'Global TARF'!L$38)</f>
        <v>0</v>
      </c>
      <c r="M57" s="536">
        <f>SUMIFS(GL_BS!$G:$G,GL_BS!$R:$R,'Global TARF'!$A$38,GL_BS!$S:$S,'Global TARF'!$A57,GL_BS!$A:$A,'Global TARF'!M$38)</f>
        <v>0</v>
      </c>
      <c r="N57" s="556"/>
      <c r="P57" s="545">
        <f>SUMIFS(GL_PL!$G:$G,GL_PL!$Q:$Q,'Global TARF'!$A$38,GL_PL!$R:$R,'Global TARF'!$A57,GL_PL!$A:$A,'Global TARF'!P$38)</f>
        <v>1654514.4367745982</v>
      </c>
      <c r="Q57" s="184">
        <f>SUMIFS(GL_PL!$G:$G,GL_PL!$Q:$Q,'Global TARF'!$A$38,GL_PL!$R:$R,'Global TARF'!$A57,GL_PL!$A:$A,'Global TARF'!Q$38)</f>
        <v>0</v>
      </c>
      <c r="R57" s="184">
        <f>SUMIFS(GL_PL!$G:$G,GL_PL!$Q:$Q,'Global TARF'!$A$38,GL_PL!$R:$R,'Global TARF'!$A57,GL_PL!$A:$A,'Global TARF'!R$38)</f>
        <v>0</v>
      </c>
      <c r="S57" s="536">
        <f>SUMIFS(GL_PL!$G:$G,GL_PL!$Q:$Q,'Global TARF'!$A$38,GL_PL!$R:$R,'Global TARF'!$A57,GL_PL!$A:$A,'Global TARF'!S$38)</f>
        <v>0</v>
      </c>
      <c r="T57" s="26">
        <f>-(P57+H57)</f>
        <v>-1604331.8648488782</v>
      </c>
      <c r="U57" s="26"/>
      <c r="W57" s="67"/>
      <c r="Z57" s="582">
        <f t="shared" si="83"/>
        <v>0</v>
      </c>
    </row>
    <row r="58" spans="1:26" x14ac:dyDescent="0.2">
      <c r="A58" s="534" t="s">
        <v>3845</v>
      </c>
      <c r="B58" s="184">
        <f>SUMIFS(GL_BS!$G:$G,GL_BS!$R:$R,'Global TARF'!$A$38,GL_BS!$S:$S,'Global TARF'!$A58,GL_BS!$A:$A,'Global TARF'!B$38)</f>
        <v>0</v>
      </c>
      <c r="C58" s="184">
        <f>SUMIFS(GL_BS!$G:$G,GL_BS!$R:$R,'Global TARF'!$A$38,GL_BS!$S:$S,'Global TARF'!$A58,GL_BS!$A:$A,'Global TARF'!C$38)</f>
        <v>-158454.15</v>
      </c>
      <c r="D58" s="184">
        <f>SUMIFS(GL_BS!$G:$G,GL_BS!$R:$R,'Global TARF'!$A$38,GL_BS!$S:$S,'Global TARF'!$A58,GL_BS!$A:$A,'Global TARF'!D$38)</f>
        <v>0</v>
      </c>
      <c r="E58" s="184">
        <f>SUMIFS(GL_BS!$G:$G,GL_BS!$R:$R,'Global TARF'!$A$38,GL_BS!$S:$S,'Global TARF'!$A58,GL_BS!$A:$A,'Global TARF'!E$38)</f>
        <v>0</v>
      </c>
      <c r="F58" s="184">
        <f>SUMIFS(GL_BS!$G:$G,GL_BS!$R:$R,'Global TARF'!$A$38,GL_BS!$S:$S,'Global TARF'!$A58,GL_BS!$A:$A,'Global TARF'!F$38)</f>
        <v>158454.15305148001</v>
      </c>
      <c r="G58" s="536">
        <f>SUMIFS(GL_BS!$G:$G,GL_BS!$R:$R,'Global TARF'!$A$38,GL_BS!$S:$S,'Global TARF'!$A58,GL_BS!$A:$A,'Global TARF'!G$38)</f>
        <v>2978.06989428</v>
      </c>
      <c r="H58" s="545">
        <f>SUMIFS(GL_BS!$G:$G,GL_BS!$R:$R,'Global TARF'!$A$38,GL_BS!$S:$S,'Global TARF'!$A58,GL_BS!$A:$A,'Global TARF'!H$38)</f>
        <v>231852.35</v>
      </c>
      <c r="I58" s="184">
        <f>SUMIFS(GL_BS!$G:$G,GL_BS!$R:$R,'Global TARF'!$A$38,GL_BS!$S:$S,'Global TARF'!$A58,GL_BS!$A:$A,'Global TARF'!I$38)</f>
        <v>0</v>
      </c>
      <c r="J58" s="184">
        <f>SUMIFS(GL_BS!$G:$G,GL_BS!$R:$R,'Global TARF'!$A$38,GL_BS!$S:$S,'Global TARF'!$A58,GL_BS!$A:$A,'Global TARF'!J$38)</f>
        <v>-2978.07</v>
      </c>
      <c r="K58" s="184">
        <f>SUMIFS(GL_BS!$G:$G,GL_BS!$R:$R,'Global TARF'!$A$38,GL_BS!$S:$S,'Global TARF'!$A58,GL_BS!$A:$A,'Global TARF'!K$38)</f>
        <v>-231852.35</v>
      </c>
      <c r="L58" s="184">
        <f>SUMIFS(GL_BS!$G:$G,GL_BS!$R:$R,'Global TARF'!$A$38,GL_BS!$S:$S,'Global TARF'!$A58,GL_BS!$A:$A,'Global TARF'!L$38)</f>
        <v>0</v>
      </c>
      <c r="M58" s="536">
        <f>SUMIFS(GL_BS!$G:$G,GL_BS!$R:$R,'Global TARF'!$A$38,GL_BS!$S:$S,'Global TARF'!$A58,GL_BS!$A:$A,'Global TARF'!M$38)</f>
        <v>0</v>
      </c>
      <c r="N58" s="552"/>
      <c r="P58" s="545">
        <f>SUMIFS(GL_PL!$G:$G,GL_PL!$Q:$Q,'Global TARF'!$A$38,GL_PL!$R:$R,'Global TARF'!$A58,GL_PL!$A:$A,'Global TARF'!P$38)</f>
        <v>0</v>
      </c>
      <c r="Q58" s="184">
        <f>SUMIFS(GL_PL!$G:$G,GL_PL!$Q:$Q,'Global TARF'!$A$38,GL_PL!$R:$R,'Global TARF'!$A58,GL_PL!$A:$A,'Global TARF'!Q$38)</f>
        <v>0</v>
      </c>
      <c r="R58" s="184">
        <f>SUMIFS(GL_PL!$G:$G,GL_PL!$Q:$Q,'Global TARF'!$A$38,GL_PL!$R:$R,'Global TARF'!$A58,GL_PL!$A:$A,'Global TARF'!R$38)</f>
        <v>0</v>
      </c>
      <c r="S58" s="536">
        <f>SUMIFS(GL_PL!$G:$G,GL_PL!$Q:$Q,'Global TARF'!$A$38,GL_PL!$R:$R,'Global TARF'!$A58,GL_PL!$A:$A,'Global TARF'!S$38)</f>
        <v>0</v>
      </c>
      <c r="T58" s="26"/>
      <c r="W58" s="67"/>
      <c r="Z58" s="582">
        <f t="shared" si="83"/>
        <v>2.9457600030582398E-3</v>
      </c>
    </row>
    <row r="59" spans="1:26" x14ac:dyDescent="0.2">
      <c r="A59" s="534" t="s">
        <v>792</v>
      </c>
      <c r="B59" s="184">
        <f>SUMIFS(GL_BS!$G:$G,GL_BS!$R:$R,'Global TARF'!$A$38,GL_BS!$S:$S,'Global TARF'!$A59,GL_BS!$A:$A,'Global TARF'!B$38)</f>
        <v>0</v>
      </c>
      <c r="C59" s="184">
        <f>SUMIFS(GL_BS!$G:$G,GL_BS!$R:$R,'Global TARF'!$A$38,GL_BS!$S:$S,'Global TARF'!$A59,GL_BS!$A:$A,'Global TARF'!C$38)</f>
        <v>0</v>
      </c>
      <c r="D59" s="184">
        <f>SUMIFS(GL_BS!$G:$G,GL_BS!$R:$R,'Global TARF'!$A$38,GL_BS!$S:$S,'Global TARF'!$A59,GL_BS!$A:$A,'Global TARF'!D$38)</f>
        <v>0</v>
      </c>
      <c r="E59" s="184">
        <f>SUMIFS(GL_BS!$G:$G,GL_BS!$R:$R,'Global TARF'!$A$38,GL_BS!$S:$S,'Global TARF'!$A59,GL_BS!$A:$A,'Global TARF'!E$38)</f>
        <v>0</v>
      </c>
      <c r="F59" s="184">
        <f>SUMIFS(GL_BS!$G:$G,GL_BS!$R:$R,'Global TARF'!$A$38,GL_BS!$S:$S,'Global TARF'!$A59,GL_BS!$A:$A,'Global TARF'!F$38)</f>
        <v>0</v>
      </c>
      <c r="G59" s="536">
        <f>SUMIFS(GL_BS!$G:$G,GL_BS!$R:$R,'Global TARF'!$A$38,GL_BS!$S:$S,'Global TARF'!$A59,GL_BS!$A:$A,'Global TARF'!G$38)</f>
        <v>0</v>
      </c>
      <c r="H59" s="545">
        <f>SUMIFS(GL_BS!$G:$G,GL_BS!$R:$R,'Global TARF'!$A$38,GL_BS!$S:$S,'Global TARF'!$A59,GL_BS!$A:$A,'Global TARF'!H$38)</f>
        <v>0</v>
      </c>
      <c r="I59" s="184">
        <f>SUMIFS(GL_BS!$G:$G,GL_BS!$R:$R,'Global TARF'!$A$38,GL_BS!$S:$S,'Global TARF'!$A59,GL_BS!$A:$A,'Global TARF'!I$38)</f>
        <v>0</v>
      </c>
      <c r="J59" s="184">
        <f>SUMIFS(GL_BS!$G:$G,GL_BS!$R:$R,'Global TARF'!$A$38,GL_BS!$S:$S,'Global TARF'!$A59,GL_BS!$A:$A,'Global TARF'!J$38)</f>
        <v>0</v>
      </c>
      <c r="K59" s="184">
        <f>SUMIFS(GL_BS!$G:$G,GL_BS!$R:$R,'Global TARF'!$A$38,GL_BS!$S:$S,'Global TARF'!$A59,GL_BS!$A:$A,'Global TARF'!K$38)</f>
        <v>0</v>
      </c>
      <c r="L59" s="184">
        <f>SUMIFS(GL_BS!$G:$G,GL_BS!$R:$R,'Global TARF'!$A$38,GL_BS!$S:$S,'Global TARF'!$A59,GL_BS!$A:$A,'Global TARF'!L$38)</f>
        <v>0</v>
      </c>
      <c r="M59" s="536">
        <f>SUMIFS(GL_BS!$G:$G,GL_BS!$R:$R,'Global TARF'!$A$38,GL_BS!$S:$S,'Global TARF'!$A59,GL_BS!$A:$A,'Global TARF'!M$38)</f>
        <v>0</v>
      </c>
      <c r="N59" s="552"/>
      <c r="P59" s="545">
        <f>SUMIFS(GL_PL!$G:$G,GL_PL!$Q:$Q,'Global TARF'!$A$38,GL_PL!$R:$R,'Global TARF'!$A59,GL_PL!$A:$A,'Global TARF'!P$38)</f>
        <v>0</v>
      </c>
      <c r="Q59" s="184">
        <f>SUMIFS(GL_PL!$G:$G,GL_PL!$Q:$Q,'Global TARF'!$A$38,GL_PL!$R:$R,'Global TARF'!$A59,GL_PL!$A:$A,'Global TARF'!Q$38)</f>
        <v>0</v>
      </c>
      <c r="R59" s="184">
        <f>SUMIFS(GL_PL!$G:$G,GL_PL!$Q:$Q,'Global TARF'!$A$38,GL_PL!$R:$R,'Global TARF'!$A59,GL_PL!$A:$A,'Global TARF'!R$38)</f>
        <v>0</v>
      </c>
      <c r="S59" s="536">
        <f>SUMIFS(GL_PL!$G:$G,GL_PL!$Q:$Q,'Global TARF'!$A$38,GL_PL!$R:$R,'Global TARF'!$A59,GL_PL!$A:$A,'Global TARF'!S$38)</f>
        <v>0</v>
      </c>
      <c r="T59" s="26">
        <f t="shared" si="85"/>
        <v>0</v>
      </c>
      <c r="V59" s="26">
        <f>-SUM(Q59,B59)</f>
        <v>0</v>
      </c>
      <c r="W59" s="67"/>
      <c r="Z59" s="582">
        <f t="shared" si="83"/>
        <v>0</v>
      </c>
    </row>
    <row r="60" spans="1:26" x14ac:dyDescent="0.2">
      <c r="A60" s="534" t="s">
        <v>791</v>
      </c>
      <c r="B60" s="184">
        <f>SUMIFS(GL_BS!$G:$G,GL_BS!$R:$R,'Global TARF'!$A$38,GL_BS!$S:$S,'Global TARF'!$A60,GL_BS!$A:$A,'Global TARF'!B$38)</f>
        <v>0</v>
      </c>
      <c r="C60" s="184">
        <f>SUMIFS(GL_BS!$G:$G,GL_BS!$R:$R,'Global TARF'!$A$38,GL_BS!$S:$S,'Global TARF'!$A60,GL_BS!$A:$A,'Global TARF'!C$38)</f>
        <v>-322.18570799999998</v>
      </c>
      <c r="D60" s="184">
        <f>SUMIFS(GL_BS!$G:$G,GL_BS!$R:$R,'Global TARF'!$A$38,GL_BS!$S:$S,'Global TARF'!$A60,GL_BS!$A:$A,'Global TARF'!D$38)</f>
        <v>0</v>
      </c>
      <c r="E60" s="184">
        <f>SUMIFS(GL_BS!$G:$G,GL_BS!$R:$R,'Global TARF'!$A$38,GL_BS!$S:$S,'Global TARF'!$A60,GL_BS!$A:$A,'Global TARF'!E$38)</f>
        <v>0</v>
      </c>
      <c r="F60" s="184">
        <f>SUMIFS(GL_BS!$G:$G,GL_BS!$R:$R,'Global TARF'!$A$38,GL_BS!$S:$S,'Global TARF'!$A60,GL_BS!$A:$A,'Global TARF'!F$38)</f>
        <v>0</v>
      </c>
      <c r="G60" s="536">
        <f>SUMIFS(GL_BS!$G:$G,GL_BS!$R:$R,'Global TARF'!$A$38,GL_BS!$S:$S,'Global TARF'!$A60,GL_BS!$A:$A,'Global TARF'!G$38)</f>
        <v>0</v>
      </c>
      <c r="H60" s="545">
        <f>SUMIFS(GL_BS!$G:$G,GL_BS!$R:$R,'Global TARF'!$A$38,GL_BS!$S:$S,'Global TARF'!$A60,GL_BS!$A:$A,'Global TARF'!H$38)</f>
        <v>0</v>
      </c>
      <c r="I60" s="184">
        <f>SUMIFS(GL_BS!$G:$G,GL_BS!$R:$R,'Global TARF'!$A$38,GL_BS!$S:$S,'Global TARF'!$A60,GL_BS!$A:$A,'Global TARF'!I$38)</f>
        <v>0</v>
      </c>
      <c r="J60" s="184">
        <f>SUMIFS(GL_BS!$G:$G,GL_BS!$R:$R,'Global TARF'!$A$38,GL_BS!$S:$S,'Global TARF'!$A60,GL_BS!$A:$A,'Global TARF'!J$38)</f>
        <v>0</v>
      </c>
      <c r="K60" s="184">
        <f>SUMIFS(GL_BS!$G:$G,GL_BS!$R:$R,'Global TARF'!$A$38,GL_BS!$S:$S,'Global TARF'!$A60,GL_BS!$A:$A,'Global TARF'!K$38)</f>
        <v>0</v>
      </c>
      <c r="L60" s="184">
        <f>SUMIFS(GL_BS!$G:$G,GL_BS!$R:$R,'Global TARF'!$A$38,GL_BS!$S:$S,'Global TARF'!$A60,GL_BS!$A:$A,'Global TARF'!L$38)</f>
        <v>0</v>
      </c>
      <c r="M60" s="536">
        <f>SUMIFS(GL_BS!$G:$G,GL_BS!$R:$R,'Global TARF'!$A$38,GL_BS!$S:$S,'Global TARF'!$A60,GL_BS!$A:$A,'Global TARF'!M$38)</f>
        <v>0</v>
      </c>
      <c r="N60" s="552"/>
      <c r="P60" s="545">
        <f>SUMIFS(GL_PL!$G:$G,GL_PL!$Q:$Q,'Global TARF'!$A$38,GL_PL!$R:$R,'Global TARF'!$A60,GL_PL!$A:$A,'Global TARF'!P$38)</f>
        <v>0</v>
      </c>
      <c r="Q60" s="184">
        <f>SUMIFS(GL_PL!$G:$G,GL_PL!$Q:$Q,'Global TARF'!$A$38,GL_PL!$R:$R,'Global TARF'!$A60,GL_PL!$A:$A,'Global TARF'!Q$38)</f>
        <v>0</v>
      </c>
      <c r="R60" s="184">
        <f>SUMIFS(GL_PL!$G:$G,GL_PL!$Q:$Q,'Global TARF'!$A$38,GL_PL!$R:$R,'Global TARF'!$A60,GL_PL!$A:$A,'Global TARF'!R$38)</f>
        <v>0</v>
      </c>
      <c r="S60" s="536">
        <f>SUMIFS(GL_PL!$G:$G,GL_PL!$Q:$Q,'Global TARF'!$A$38,GL_PL!$R:$R,'Global TARF'!$A60,GL_PL!$A:$A,'Global TARF'!S$38)</f>
        <v>0</v>
      </c>
      <c r="T60" s="26">
        <f t="shared" si="85"/>
        <v>322.18570799999998</v>
      </c>
      <c r="U60" s="26"/>
      <c r="W60" s="67"/>
      <c r="Z60" s="582">
        <f t="shared" si="83"/>
        <v>0</v>
      </c>
    </row>
    <row r="61" spans="1:26" x14ac:dyDescent="0.2">
      <c r="A61" s="534" t="s">
        <v>243</v>
      </c>
      <c r="B61" s="184">
        <f>SUMIFS(GL_BS!$G:$G,GL_BS!$R:$R,'Global TARF'!$A$38,GL_BS!$S:$S,'Global TARF'!$A61,GL_BS!$A:$A,'Global TARF'!B$38)</f>
        <v>0</v>
      </c>
      <c r="C61" s="184">
        <f>SUMIFS(GL_BS!$G:$G,GL_BS!$R:$R,'Global TARF'!$A$38,GL_BS!$S:$S,'Global TARF'!$A61,GL_BS!$A:$A,'Global TARF'!C$38)</f>
        <v>0</v>
      </c>
      <c r="D61" s="184">
        <f>SUMIFS(GL_BS!$G:$G,GL_BS!$R:$R,'Global TARF'!$A$38,GL_BS!$S:$S,'Global TARF'!$A61,GL_BS!$A:$A,'Global TARF'!D$38)</f>
        <v>0</v>
      </c>
      <c r="E61" s="184">
        <f>SUMIFS(GL_BS!$G:$G,GL_BS!$R:$R,'Global TARF'!$A$38,GL_BS!$S:$S,'Global TARF'!$A61,GL_BS!$A:$A,'Global TARF'!E$38)</f>
        <v>0</v>
      </c>
      <c r="F61" s="184">
        <f>SUMIFS(GL_BS!$G:$G,GL_BS!$R:$R,'Global TARF'!$A$38,GL_BS!$S:$S,'Global TARF'!$A61,GL_BS!$A:$A,'Global TARF'!F$38)</f>
        <v>0</v>
      </c>
      <c r="G61" s="536">
        <f>SUMIFS(GL_BS!$G:$G,GL_BS!$R:$R,'Global TARF'!$A$38,GL_BS!$S:$S,'Global TARF'!$A61,GL_BS!$A:$A,'Global TARF'!G$38)</f>
        <v>0</v>
      </c>
      <c r="H61" s="545">
        <f>SUMIFS(GL_BS!$G:$G,GL_BS!$R:$R,'Global TARF'!$A$38,GL_BS!$S:$S,'Global TARF'!$A61,GL_BS!$A:$A,'Global TARF'!H$38)</f>
        <v>0</v>
      </c>
      <c r="I61" s="184">
        <f>SUMIFS(GL_BS!$G:$G,GL_BS!$R:$R,'Global TARF'!$A$38,GL_BS!$S:$S,'Global TARF'!$A61,GL_BS!$A:$A,'Global TARF'!I$38)</f>
        <v>0</v>
      </c>
      <c r="J61" s="184">
        <f>SUMIFS(GL_BS!$G:$G,GL_BS!$R:$R,'Global TARF'!$A$38,GL_BS!$S:$S,'Global TARF'!$A61,GL_BS!$A:$A,'Global TARF'!J$38)</f>
        <v>0</v>
      </c>
      <c r="K61" s="184">
        <f>SUMIFS(GL_BS!$G:$G,GL_BS!$R:$R,'Global TARF'!$A$38,GL_BS!$S:$S,'Global TARF'!$A61,GL_BS!$A:$A,'Global TARF'!K$38)</f>
        <v>0</v>
      </c>
      <c r="L61" s="184">
        <f>SUMIFS(GL_BS!$G:$G,GL_BS!$R:$R,'Global TARF'!$A$38,GL_BS!$S:$S,'Global TARF'!$A61,GL_BS!$A:$A,'Global TARF'!L$38)</f>
        <v>0</v>
      </c>
      <c r="M61" s="536">
        <f>SUMIFS(GL_BS!$G:$G,GL_BS!$R:$R,'Global TARF'!$A$38,GL_BS!$S:$S,'Global TARF'!$A61,GL_BS!$A:$A,'Global TARF'!M$38)</f>
        <v>0</v>
      </c>
      <c r="N61" s="552"/>
      <c r="P61" s="545">
        <f>SUMIFS(GL_PL!$G:$G,GL_PL!$Q:$Q,'Global TARF'!$A$38,GL_PL!$R:$R,'Global TARF'!$A61,GL_PL!$A:$A,'Global TARF'!P$38)</f>
        <v>0</v>
      </c>
      <c r="Q61" s="184">
        <f>SUMIFS(GL_PL!$G:$G,GL_PL!$Q:$Q,'Global TARF'!$A$38,GL_PL!$R:$R,'Global TARF'!$A61,GL_PL!$A:$A,'Global TARF'!Q$38)</f>
        <v>0</v>
      </c>
      <c r="R61" s="184">
        <f>SUMIFS(GL_PL!$G:$G,GL_PL!$Q:$Q,'Global TARF'!$A$38,GL_PL!$R:$R,'Global TARF'!$A61,GL_PL!$A:$A,'Global TARF'!R$38)</f>
        <v>0</v>
      </c>
      <c r="S61" s="536">
        <f>SUMIFS(GL_PL!$G:$G,GL_PL!$Q:$Q,'Global TARF'!$A$38,GL_PL!$R:$R,'Global TARF'!$A61,GL_PL!$A:$A,'Global TARF'!S$38)</f>
        <v>0</v>
      </c>
      <c r="T61" s="26">
        <f t="shared" si="85"/>
        <v>0</v>
      </c>
      <c r="W61" s="67">
        <f>-F61</f>
        <v>0</v>
      </c>
      <c r="Z61" s="582">
        <f t="shared" si="83"/>
        <v>0</v>
      </c>
    </row>
    <row r="62" spans="1:26" x14ac:dyDescent="0.2">
      <c r="A62" s="534" t="s">
        <v>795</v>
      </c>
      <c r="B62" s="184">
        <f>SUMIFS(GL_BS!$G:$G,GL_BS!$R:$R,'Global TARF'!$A$38,GL_BS!$S:$S,'Global TARF'!$A62,GL_BS!$A:$A,'Global TARF'!B$38)</f>
        <v>0</v>
      </c>
      <c r="C62" s="184">
        <f>SUMIFS(GL_BS!$G:$G,GL_BS!$R:$R,'Global TARF'!$A$38,GL_BS!$S:$S,'Global TARF'!$A62,GL_BS!$A:$A,'Global TARF'!C$38)</f>
        <v>0</v>
      </c>
      <c r="D62" s="184">
        <f>SUMIFS(GL_BS!$G:$G,GL_BS!$R:$R,'Global TARF'!$A$38,GL_BS!$S:$S,'Global TARF'!$A62,GL_BS!$A:$A,'Global TARF'!D$38)</f>
        <v>0</v>
      </c>
      <c r="E62" s="184">
        <f>SUMIFS(GL_BS!$G:$G,GL_BS!$R:$R,'Global TARF'!$A$38,GL_BS!$S:$S,'Global TARF'!$A62,GL_BS!$A:$A,'Global TARF'!E$38)</f>
        <v>0</v>
      </c>
      <c r="F62" s="184">
        <f>SUMIFS(GL_BS!$G:$G,GL_BS!$R:$R,'Global TARF'!$A$38,GL_BS!$S:$S,'Global TARF'!$A62,GL_BS!$A:$A,'Global TARF'!F$38)</f>
        <v>0</v>
      </c>
      <c r="G62" s="536">
        <f>SUMIFS(GL_BS!$G:$G,GL_BS!$R:$R,'Global TARF'!$A$38,GL_BS!$S:$S,'Global TARF'!$A62,GL_BS!$A:$A,'Global TARF'!G$38)</f>
        <v>0</v>
      </c>
      <c r="H62" s="545">
        <f>SUMIFS(GL_BS!$G:$G,GL_BS!$R:$R,'Global TARF'!$A$38,GL_BS!$S:$S,'Global TARF'!$A62,GL_BS!$A:$A,'Global TARF'!H$38)</f>
        <v>0</v>
      </c>
      <c r="I62" s="184">
        <f>SUMIFS(GL_BS!$G:$G,GL_BS!$R:$R,'Global TARF'!$A$38,GL_BS!$S:$S,'Global TARF'!$A62,GL_BS!$A:$A,'Global TARF'!I$38)</f>
        <v>0</v>
      </c>
      <c r="J62" s="184">
        <f>SUMIFS(GL_BS!$G:$G,GL_BS!$R:$R,'Global TARF'!$A$38,GL_BS!$S:$S,'Global TARF'!$A62,GL_BS!$A:$A,'Global TARF'!J$38)</f>
        <v>0</v>
      </c>
      <c r="K62" s="184">
        <f>SUMIFS(GL_BS!$G:$G,GL_BS!$R:$R,'Global TARF'!$A$38,GL_BS!$S:$S,'Global TARF'!$A62,GL_BS!$A:$A,'Global TARF'!K$38)</f>
        <v>0</v>
      </c>
      <c r="L62" s="184">
        <f>SUMIFS(GL_BS!$G:$G,GL_BS!$R:$R,'Global TARF'!$A$38,GL_BS!$S:$S,'Global TARF'!$A62,GL_BS!$A:$A,'Global TARF'!L$38)</f>
        <v>0</v>
      </c>
      <c r="M62" s="536">
        <f>SUMIFS(GL_BS!$G:$G,GL_BS!$R:$R,'Global TARF'!$A$38,GL_BS!$S:$S,'Global TARF'!$A62,GL_BS!$A:$A,'Global TARF'!M$38)</f>
        <v>0</v>
      </c>
      <c r="N62" s="552"/>
      <c r="P62" s="545">
        <f>SUMIFS(GL_PL!$G:$G,GL_PL!$Q:$Q,'Global TARF'!$A$38,GL_PL!$R:$R,'Global TARF'!$A62,GL_PL!$A:$A,'Global TARF'!P$38)</f>
        <v>0</v>
      </c>
      <c r="Q62" s="184">
        <f>SUMIFS(GL_PL!$G:$G,GL_PL!$Q:$Q,'Global TARF'!$A$38,GL_PL!$R:$R,'Global TARF'!$A62,GL_PL!$A:$A,'Global TARF'!Q$38)</f>
        <v>0</v>
      </c>
      <c r="R62" s="184">
        <f>SUMIFS(GL_PL!$G:$G,GL_PL!$Q:$Q,'Global TARF'!$A$38,GL_PL!$R:$R,'Global TARF'!$A62,GL_PL!$A:$A,'Global TARF'!R$38)</f>
        <v>0</v>
      </c>
      <c r="S62" s="536">
        <f>SUMIFS(GL_PL!$G:$G,GL_PL!$Q:$Q,'Global TARF'!$A$38,GL_PL!$R:$R,'Global TARF'!$A62,GL_PL!$A:$A,'Global TARF'!S$38)</f>
        <v>0</v>
      </c>
      <c r="T62" s="26">
        <f t="shared" si="85"/>
        <v>0</v>
      </c>
      <c r="U62" s="26"/>
      <c r="W62" s="67"/>
      <c r="Z62" s="582">
        <f t="shared" si="83"/>
        <v>0</v>
      </c>
    </row>
    <row r="63" spans="1:26" ht="10.5" thickBot="1" x14ac:dyDescent="0.25">
      <c r="A63" s="534" t="s">
        <v>793</v>
      </c>
      <c r="B63" s="184">
        <f>SUMIFS(GL_BS!$G:$G,GL_BS!$R:$R,'Global TARF'!$A$38,GL_BS!$S:$S,'Global TARF'!$A63,GL_BS!$A:$A,'Global TARF'!B$38)</f>
        <v>0</v>
      </c>
      <c r="C63" s="184">
        <f>SUMIFS(GL_BS!$G:$G,GL_BS!$R:$R,'Global TARF'!$A$38,GL_BS!$S:$S,'Global TARF'!$A63,GL_BS!$A:$A,'Global TARF'!C$38)</f>
        <v>0</v>
      </c>
      <c r="D63" s="184">
        <f>SUMIFS(GL_BS!$G:$G,GL_BS!$R:$R,'Global TARF'!$A$38,GL_BS!$S:$S,'Global TARF'!$A63,GL_BS!$A:$A,'Global TARF'!D$38)</f>
        <v>0</v>
      </c>
      <c r="E63" s="184">
        <f>SUMIFS(GL_BS!$G:$G,GL_BS!$R:$R,'Global TARF'!$A$38,GL_BS!$S:$S,'Global TARF'!$A63,GL_BS!$A:$A,'Global TARF'!E$38)</f>
        <v>0</v>
      </c>
      <c r="F63" s="184">
        <f>SUMIFS(GL_BS!$G:$G,GL_BS!$R:$R,'Global TARF'!$A$38,GL_BS!$S:$S,'Global TARF'!$A63,GL_BS!$A:$A,'Global TARF'!F$38)</f>
        <v>0</v>
      </c>
      <c r="G63" s="536">
        <f>SUMIFS(GL_BS!$G:$G,GL_BS!$R:$R,'Global TARF'!$A$38,GL_BS!$S:$S,'Global TARF'!$A63,GL_BS!$A:$A,'Global TARF'!G$38)</f>
        <v>0</v>
      </c>
      <c r="H63" s="545">
        <f>SUMIFS(GL_BS!$G:$G,GL_BS!$R:$R,'Global TARF'!$A$38,GL_BS!$S:$S,'Global TARF'!$A63,GL_BS!$A:$A,'Global TARF'!H$38)</f>
        <v>0</v>
      </c>
      <c r="I63" s="184">
        <f>SUMIFS(GL_BS!$G:$G,GL_BS!$R:$R,'Global TARF'!$A$38,GL_BS!$S:$S,'Global TARF'!$A63,GL_BS!$A:$A,'Global TARF'!I$38)</f>
        <v>0</v>
      </c>
      <c r="J63" s="184">
        <f>SUMIFS(GL_BS!$G:$G,GL_BS!$R:$R,'Global TARF'!$A$38,GL_BS!$S:$S,'Global TARF'!$A63,GL_BS!$A:$A,'Global TARF'!J$38)</f>
        <v>0</v>
      </c>
      <c r="K63" s="184">
        <f>SUMIFS(GL_BS!$G:$G,GL_BS!$R:$R,'Global TARF'!$A$38,GL_BS!$S:$S,'Global TARF'!$A63,GL_BS!$A:$A,'Global TARF'!K$38)</f>
        <v>0</v>
      </c>
      <c r="L63" s="184">
        <f>SUMIFS(GL_BS!$G:$G,GL_BS!$R:$R,'Global TARF'!$A$38,GL_BS!$S:$S,'Global TARF'!$A63,GL_BS!$A:$A,'Global TARF'!L$38)</f>
        <v>0</v>
      </c>
      <c r="M63" s="536">
        <f>SUMIFS(GL_BS!$G:$G,GL_BS!$R:$R,'Global TARF'!$A$38,GL_BS!$S:$S,'Global TARF'!$A63,GL_BS!$A:$A,'Global TARF'!M$38)</f>
        <v>0</v>
      </c>
      <c r="N63" s="552"/>
      <c r="P63" s="545">
        <f>SUMIFS(GL_PL!$G:$G,GL_PL!$Q:$Q,'Global TARF'!$A$38,GL_PL!$R:$R,'Global TARF'!$A63,GL_PL!$A:$A,'Global TARF'!P$38)</f>
        <v>0</v>
      </c>
      <c r="Q63" s="184">
        <f>SUMIFS(GL_PL!$G:$G,GL_PL!$Q:$Q,'Global TARF'!$A$38,GL_PL!$R:$R,'Global TARF'!$A63,GL_PL!$A:$A,'Global TARF'!Q$38)</f>
        <v>0</v>
      </c>
      <c r="R63" s="184">
        <f>SUMIFS(GL_PL!$G:$G,GL_PL!$Q:$Q,'Global TARF'!$A$38,GL_PL!$R:$R,'Global TARF'!$A63,GL_PL!$A:$A,'Global TARF'!R$38)</f>
        <v>0</v>
      </c>
      <c r="S63" s="536">
        <f>SUMIFS(GL_PL!$G:$G,GL_PL!$Q:$Q,'Global TARF'!$A$38,GL_PL!$R:$R,'Global TARF'!$A63,GL_PL!$A:$A,'Global TARF'!S$38)</f>
        <v>0</v>
      </c>
      <c r="T63" s="26">
        <f t="shared" si="85"/>
        <v>0</v>
      </c>
      <c r="U63" s="26"/>
      <c r="V63" s="26"/>
      <c r="W63" s="67">
        <f>C63-F63-R63</f>
        <v>0</v>
      </c>
      <c r="Z63" s="582">
        <f t="shared" si="83"/>
        <v>0</v>
      </c>
    </row>
    <row r="64" spans="1:26" s="23" customFormat="1" ht="10.5" thickBot="1" x14ac:dyDescent="0.25">
      <c r="A64" s="563" t="str">
        <f>A34</f>
        <v>Balance as of 06/31/2024</v>
      </c>
      <c r="B64" s="564">
        <f t="shared" ref="B64:H64" si="86">SUM(B40:B63)</f>
        <v>0</v>
      </c>
      <c r="C64" s="564">
        <f t="shared" si="86"/>
        <v>-322.41480332577612</v>
      </c>
      <c r="D64" s="564">
        <f t="shared" si="86"/>
        <v>0</v>
      </c>
      <c r="E64" s="564">
        <f t="shared" si="86"/>
        <v>0</v>
      </c>
      <c r="F64" s="564">
        <f t="shared" si="86"/>
        <v>518573.81562310358</v>
      </c>
      <c r="G64" s="566">
        <f t="shared" si="86"/>
        <v>901541.12303098</v>
      </c>
      <c r="H64" s="565">
        <f t="shared" si="86"/>
        <v>-707645.85315287288</v>
      </c>
      <c r="I64" s="565">
        <f t="shared" ref="I64" si="87">SUM(I40:I63)</f>
        <v>0</v>
      </c>
      <c r="J64" s="565">
        <f t="shared" ref="J64" si="88">SUM(J40:J63)</f>
        <v>-100278.87450139</v>
      </c>
      <c r="K64" s="565">
        <f t="shared" ref="K64" si="89">SUM(K40:K63)</f>
        <v>301582.90395147994</v>
      </c>
      <c r="L64" s="564">
        <f t="shared" ref="L64:T64" si="90">SUM(L40:L63)</f>
        <v>-276655.40731602156</v>
      </c>
      <c r="M64" s="566">
        <f t="shared" si="90"/>
        <v>0</v>
      </c>
      <c r="N64" s="567">
        <f t="shared" si="90"/>
        <v>20601.13</v>
      </c>
      <c r="O64" s="564">
        <f t="shared" si="90"/>
        <v>0</v>
      </c>
      <c r="P64" s="565">
        <f t="shared" si="90"/>
        <v>1654514.4367745982</v>
      </c>
      <c r="Q64" s="564">
        <f t="shared" si="90"/>
        <v>0</v>
      </c>
      <c r="R64" s="564">
        <f t="shared" si="90"/>
        <v>0</v>
      </c>
      <c r="S64" s="566">
        <f t="shared" si="90"/>
        <v>0</v>
      </c>
      <c r="T64" s="564">
        <f t="shared" si="90"/>
        <v>-1618674.4986166782</v>
      </c>
      <c r="U64" s="564"/>
      <c r="V64" s="564"/>
      <c r="W64" s="566"/>
      <c r="X64" s="27"/>
      <c r="Y64" s="27"/>
      <c r="Z64" s="627"/>
    </row>
    <row r="65" spans="1:26" x14ac:dyDescent="0.2">
      <c r="A65" s="534" t="s">
        <v>4289</v>
      </c>
      <c r="B65" s="186">
        <f>IFERROR(INDEX('BS_Q2 24'!$A$9:$O$272,MATCH('Global TARF'!B$8,'BS_Q2 24'!$A$9:$A$272,0),MATCH($A$38,'BS_Q2 24'!$A$8:$O$8)),0)</f>
        <v>0</v>
      </c>
      <c r="C65" s="186">
        <f>IFERROR(INDEX('BS_Q2 24'!$A$9:$O$272,MATCH('Global TARF'!C$8,'BS_Q2 24'!$A$9:$A$272,0),MATCH($A$38,'BS_Q2 24'!$A$8:$O$8)),0)</f>
        <v>-322.4112379956</v>
      </c>
      <c r="D65" s="186">
        <f>IFERROR(INDEX('BS_Q2 24'!$A$9:$O$272,MATCH('Global TARF'!D$8,'BS_Q2 24'!$A$9:$A$272,0),MATCH($A$38,'BS_Q2 24'!$A$8:$O$8)),0)</f>
        <v>0</v>
      </c>
      <c r="E65" s="186">
        <f>IFERROR(INDEX('BS_Q2 24'!$A$9:$O$272,MATCH('Global TARF'!E$8,'BS_Q2 24'!$A$9:$A$272,0),MATCH($A$38,'BS_Q2 24'!$A$8:$O$8)),0)</f>
        <v>0</v>
      </c>
      <c r="F65" s="186">
        <f>IFERROR(INDEX('BS_Q2 24'!$A$9:$O$272,MATCH('Global TARF'!F$8,'BS_Q2 24'!$A$9:$A$272,0),MATCH($A$38,'BS_Q2 24'!$A$8:$O$8)),0)</f>
        <v>518573.81299997523</v>
      </c>
      <c r="G65" s="186">
        <f>IFERROR(INDEX('BS_Q2 24'!$A$9:$O$272,MATCH('Global TARF'!G$8,'BS_Q2 24'!$A$9:$A$272,0),MATCH($A$38,'BS_Q2 24'!$A$8:$O$8)),0)</f>
        <v>901541.12207796006</v>
      </c>
      <c r="H65" s="546">
        <f>-IFERROR(INDEX('BS_Q2 24'!$A$9:$O$272,MATCH('Global TARF'!H$8,'BS_Q2 24'!$A$9:$A$272,0),MATCH($A$38,'BS_Q2 24'!$A$8:$O$8)),0)</f>
        <v>-707645.85381696955</v>
      </c>
      <c r="I65" s="546">
        <f>-IFERROR(INDEX('BS_Q2 24'!$A$9:$O$272,MATCH('Global TARF'!I$8,'BS_Q2 24'!$A$9:$A$272,0),MATCH($A$38,'BS_Q2 24'!$A$8:$O$8)),0)</f>
        <v>0</v>
      </c>
      <c r="J65" s="546">
        <f>-IFERROR(INDEX('BS_Q2 24'!$A$9:$O$272,MATCH('Global TARF'!J$8,'BS_Q2 24'!$A$9:$A$272,0),MATCH($A$38,'BS_Q2 24'!$A$8:$O$8)),0)</f>
        <v>-100278.87439567001</v>
      </c>
      <c r="K65" s="546">
        <f>-IFERROR(INDEX('BS_Q2 24'!$A$9:$O$272,MATCH('Global TARF'!K$8,'BS_Q2 24'!$A$9:$A$272,0),MATCH($A$38,'BS_Q2 24'!$A$8:$O$8)),0)</f>
        <v>301582.90080816002</v>
      </c>
      <c r="L65" s="546">
        <f>-IFERROR(INDEX('BS_Q2 24'!$A$9:$O$272,MATCH('Global TARF'!L$8,'BS_Q2 24'!$A$9:$A$272,0),MATCH($A$38,'BS_Q2 24'!$A$8:$O$8)),0)</f>
        <v>-276655.41178161121</v>
      </c>
      <c r="M65" s="546">
        <f>-IFERROR(INDEX('BS_Q2 24'!$A$9:$O$272,MATCH('Global TARF'!M$8,'BS_Q2 24'!$A$9:$A$272,0),MATCH($A$38,'BS_Q2 24'!$A$8:$O$8)),0)</f>
        <v>0</v>
      </c>
      <c r="N65" s="554" t="e">
        <f>-INDEX('BS_Q2 24'!$A$9:$O$118,MATCH('Global TARF'!N$8,'BS_Q2 24'!$A$9:$A$118,0),MATCH($A$38,'BS_Q2 24'!$A$8:$O$8))</f>
        <v>#N/A</v>
      </c>
      <c r="O65" s="24" t="e">
        <f>-INDEX('BS_Q2 24'!$A$9:$O$118,MATCH('Global TARF'!O$8,'BS_Q2 24'!$A$9:$A$118,0),MATCH($A$38,'BS_Q2 24'!$A$8:$O$8))</f>
        <v>#N/A</v>
      </c>
      <c r="P65" s="545">
        <f>-INDEX('IS_Q2 24'!$A$7:$O$700,MATCH('Global TARF'!P$8,'IS_Q2 24'!$A$7:$A$700,0),MATCH($A$38,'IS_Q2 24'!$A$8:$O$8))</f>
        <v>1654514.4367745982</v>
      </c>
      <c r="Q65" s="545">
        <f>-INDEX('IS_Q2 24'!$A$7:$O$700,MATCH('Global TARF'!Q$8,'IS_Q2 24'!$A$7:$A$700,0),MATCH($A$38,'IS_Q2 24'!$A$8:$O$8))</f>
        <v>0</v>
      </c>
      <c r="R65" s="545">
        <f>-IFERROR(INDEX('IS_Q2 24'!$A$7:$O$700,MATCH('Global TARF'!R$8,'IS_Q2 24'!$A$7:$A$700,0),MATCH($A$38,'IS_Q2 24'!$A$8:$O$8)),0)</f>
        <v>0</v>
      </c>
      <c r="S65" s="545">
        <f>-IFERROR(INDEX('IS_Q2 24'!$A$7:$O$700,MATCH('Global TARF'!S$8,'IS_Q2 24'!$A$7:$A$700,0),MATCH($A$38,'IS_Q2 24'!$A$8:$O$8)),0)</f>
        <v>0</v>
      </c>
      <c r="T65"/>
      <c r="Z65" s="580"/>
    </row>
    <row r="66" spans="1:26" x14ac:dyDescent="0.2">
      <c r="A66" s="534"/>
      <c r="B66" t="b">
        <f>ROUND(B64,0)=ROUND(B65,0)</f>
        <v>1</v>
      </c>
      <c r="C66" t="b">
        <f t="shared" ref="C66:D66" si="91">ROUND(C64,0)=ROUND(C65,0)</f>
        <v>1</v>
      </c>
      <c r="D66" t="b">
        <f t="shared" si="91"/>
        <v>1</v>
      </c>
      <c r="E66" t="b">
        <f t="shared" ref="E66:F66" si="92">ROUND(E64,0)=ROUND(E65,0)</f>
        <v>1</v>
      </c>
      <c r="F66" t="b">
        <f t="shared" si="92"/>
        <v>1</v>
      </c>
      <c r="G66" s="535" t="b">
        <f t="shared" ref="G66" si="93">ROUND(G64,0)=ROUND(G65,0)</f>
        <v>1</v>
      </c>
      <c r="H66" s="534" t="b">
        <f t="shared" ref="H66:K66" si="94">ROUND(H64,0)=ROUND(H65,0)</f>
        <v>1</v>
      </c>
      <c r="I66" s="534" t="b">
        <f t="shared" si="94"/>
        <v>1</v>
      </c>
      <c r="J66" s="534" t="b">
        <f t="shared" si="94"/>
        <v>1</v>
      </c>
      <c r="K66" s="534" t="b">
        <f t="shared" si="94"/>
        <v>1</v>
      </c>
      <c r="L66" t="b">
        <f t="shared" ref="L66" si="95">ROUND(L64,0)=ROUND(L65,0)</f>
        <v>1</v>
      </c>
      <c r="M66" s="535" t="b">
        <f t="shared" ref="M66" si="96">ROUND(M64,0)=ROUND(M65,0)</f>
        <v>1</v>
      </c>
      <c r="N66" s="552" t="e">
        <f t="shared" ref="N66" si="97">ROUND(N64,0)=ROUND(N65,0)</f>
        <v>#N/A</v>
      </c>
      <c r="O66" t="e">
        <f t="shared" ref="O66" si="98">ROUND(O64,0)=ROUND(O65,0)</f>
        <v>#N/A</v>
      </c>
      <c r="P66" s="534" t="b">
        <f t="shared" ref="P66" si="99">ROUND(P64,0)=ROUND(P65,0)</f>
        <v>1</v>
      </c>
      <c r="Q66" t="b">
        <f t="shared" ref="Q66" si="100">ROUND(Q64,0)=ROUND(Q65,0)</f>
        <v>1</v>
      </c>
      <c r="R66" t="b">
        <f t="shared" ref="R66:S66" si="101">ROUND(R64,0)=ROUND(R65,0)</f>
        <v>1</v>
      </c>
      <c r="S66" s="535" t="b">
        <f t="shared" si="101"/>
        <v>1</v>
      </c>
      <c r="T66"/>
      <c r="Z66" s="580"/>
    </row>
    <row r="67" spans="1:26" x14ac:dyDescent="0.2">
      <c r="A67" s="534"/>
      <c r="C67" s="26">
        <f>C64-C65</f>
        <v>-3.5653301761158218E-3</v>
      </c>
      <c r="D67" s="26">
        <f>D64-D65</f>
        <v>0</v>
      </c>
      <c r="F67" s="26">
        <f>F65-F64</f>
        <v>-2.6231283554807305E-3</v>
      </c>
      <c r="G67" s="26">
        <f>G65-G64</f>
        <v>-9.530199458822608E-4</v>
      </c>
      <c r="H67" s="537">
        <f>H64-H65</f>
        <v>6.6409667488187551E-4</v>
      </c>
      <c r="I67" s="26"/>
      <c r="J67" s="26"/>
      <c r="K67" s="26"/>
      <c r="L67" s="26">
        <f>L64-L65</f>
        <v>4.4655896490439773E-3</v>
      </c>
      <c r="M67" s="535"/>
      <c r="N67" s="552"/>
      <c r="P67" s="534"/>
      <c r="S67" s="535"/>
      <c r="T67"/>
      <c r="Z67" s="580"/>
    </row>
    <row r="68" spans="1:26" x14ac:dyDescent="0.2">
      <c r="A68" s="534"/>
      <c r="F68" s="257"/>
      <c r="G68" s="535"/>
      <c r="H68" s="534"/>
      <c r="M68" s="535"/>
      <c r="N68" s="552"/>
      <c r="P68" s="534"/>
      <c r="S68" s="535"/>
      <c r="T68"/>
      <c r="Z68" s="580"/>
    </row>
    <row r="69" spans="1:26" s="17" customFormat="1" ht="10.5" x14ac:dyDescent="0.25">
      <c r="A69" s="562">
        <v>201</v>
      </c>
      <c r="B69" s="558" t="s">
        <v>342</v>
      </c>
      <c r="C69" s="558" t="s">
        <v>220</v>
      </c>
      <c r="D69" s="558" t="str">
        <f>$D$8</f>
        <v>145700 - Income tax receivable - Long Term</v>
      </c>
      <c r="E69" s="558" t="s">
        <v>378</v>
      </c>
      <c r="F69" s="558" t="s">
        <v>427</v>
      </c>
      <c r="G69" s="559" t="s">
        <v>415</v>
      </c>
      <c r="H69" s="558" t="s">
        <v>240</v>
      </c>
      <c r="I69" s="558" t="s">
        <v>467</v>
      </c>
      <c r="J69" s="558" t="s">
        <v>4397</v>
      </c>
      <c r="K69" s="558" t="s">
        <v>4396</v>
      </c>
      <c r="L69" s="559" t="s">
        <v>502</v>
      </c>
      <c r="M69" s="559" t="s">
        <v>503</v>
      </c>
      <c r="N69" s="560" t="s">
        <v>877</v>
      </c>
      <c r="O69" s="561"/>
      <c r="P69" s="558" t="s">
        <v>20</v>
      </c>
      <c r="Q69" s="561" t="s">
        <v>57</v>
      </c>
      <c r="R69" s="561" t="s">
        <v>183</v>
      </c>
      <c r="S69" s="561" t="s">
        <v>3623</v>
      </c>
      <c r="T69" s="561" t="s">
        <v>4268</v>
      </c>
      <c r="U69" s="561" t="s">
        <v>4269</v>
      </c>
      <c r="V69" s="561" t="s">
        <v>794</v>
      </c>
      <c r="W69" s="561" t="s">
        <v>793</v>
      </c>
      <c r="Z69" s="579"/>
    </row>
    <row r="70" spans="1:26" ht="11" thickBot="1" x14ac:dyDescent="0.3">
      <c r="A70" s="538" t="s">
        <v>796</v>
      </c>
      <c r="G70" s="535"/>
      <c r="H70" s="534"/>
      <c r="M70" s="535"/>
      <c r="N70" s="550"/>
      <c r="P70" s="534"/>
      <c r="S70" s="535"/>
      <c r="T70"/>
      <c r="Z70" s="580"/>
    </row>
    <row r="71" spans="1:26" s="23" customFormat="1" ht="10.5" thickBot="1" x14ac:dyDescent="0.25">
      <c r="A71" s="563" t="str">
        <f>A10</f>
        <v>Balance as of 12/31/2023</v>
      </c>
      <c r="B71" s="564">
        <f>INDEX(BS_2023!$A$8:$O$271,MATCH('Global TARF'!B$8,BS_2023!$A$8:$A$272,0),MATCH($A$69,BS_2023!$A$7:$O$7))</f>
        <v>-171799.07043087206</v>
      </c>
      <c r="C71" s="564">
        <f>INDEX(BS_2023!$A$8:$O$271,MATCH('Global TARF'!C$8,BS_2023!$A$8:$A$272,0),MATCH($A$69,BS_2023!$A$7:$O$7))</f>
        <v>92644.680232352854</v>
      </c>
      <c r="D71" s="564">
        <f>IFERROR(INDEX(BS_2023!$A$8:$O$271,MATCH('Global TARF'!D$8,BS_2023!$A$8:$A$272,0),MATCH($A$69,BS_2023!$A$7:$O$7)),0)</f>
        <v>0</v>
      </c>
      <c r="E71" s="564">
        <f>IFERROR(INDEX(BS_2023!$A$8:$O$271,MATCH('Global TARF'!E$8,BS_2023!$A$8:$A$272,0),MATCH($A$69,BS_2023!$A$7:$O$7)),0)</f>
        <v>0</v>
      </c>
      <c r="F71" s="564">
        <f>IFERROR(INDEX(BS_2023!$A$8:$O$271,MATCH('Global TARF'!F$8,BS_2023!$A$8:$A$272,0),MATCH($A$69,BS_2023!$A$7:$O$7)),0)</f>
        <v>0</v>
      </c>
      <c r="G71" s="564">
        <f>IFERROR(INDEX(BS_2023!$A$8:$O$271,MATCH('Global TARF'!G$8,BS_2023!$A$8:$A$272,0),MATCH($A$69,BS_2023!$A$7:$O$7)),0)</f>
        <v>0</v>
      </c>
      <c r="H71" s="565">
        <f>-IFERROR(INDEX(BS_2023!$A$8:$O$271,MATCH('Global TARF'!H$8,BS_2023!$A$8:$A$271,0),MATCH($A$69,BS_2023!$A$7:$O$7)),0)</f>
        <v>0</v>
      </c>
      <c r="I71" s="565">
        <f>-IFERROR(INDEX(BS_2023!$A$8:$O$271,MATCH('Global TARF'!I$8,BS_2023!$A$8:$A$271,0),MATCH($A$69,BS_2023!$A$7:$O$7)),0)</f>
        <v>0</v>
      </c>
      <c r="J71" s="565">
        <f>-IFERROR(INDEX(BS_2023!$A$8:$O$271,MATCH('Global TARF'!J$8,BS_2023!$A$8:$A$271,0),MATCH($A$69,BS_2023!$A$7:$O$7)),0)</f>
        <v>0</v>
      </c>
      <c r="K71" s="565">
        <f>-IFERROR(INDEX(BS_2023!$A$8:$O$271,MATCH('Global TARF'!K$8,BS_2023!$A$8:$A$271,0),MATCH($A$69,BS_2023!$A$7:$O$7)),0)</f>
        <v>0</v>
      </c>
      <c r="L71" s="565">
        <f>-IFERROR(INDEX(BS_2023!$A$8:$O$271,MATCH('Global TARF'!L$8,BS_2023!$A$8:$A$271,0),MATCH($A$69,BS_2023!$A$7:$O$7)),0)</f>
        <v>0</v>
      </c>
      <c r="M71" s="565">
        <f>-IFERROR(INDEX(BS_2023!$A$8:$O$271,MATCH('Global TARF'!M$8,BS_2023!$A$8:$A$271,0),MATCH($A$69,BS_2023!$A$7:$O$7)),0)</f>
        <v>-520674.0013058504</v>
      </c>
      <c r="N71" s="576"/>
      <c r="O71" s="574"/>
      <c r="P71" s="563"/>
      <c r="Q71" s="574"/>
      <c r="R71" s="574"/>
      <c r="S71" s="575"/>
      <c r="T71" s="574"/>
      <c r="U71" s="574"/>
      <c r="V71" s="574"/>
      <c r="W71" s="575"/>
      <c r="Z71" s="583"/>
    </row>
    <row r="72" spans="1:26" x14ac:dyDescent="0.2">
      <c r="A72" s="534" t="s">
        <v>798</v>
      </c>
      <c r="G72" s="535"/>
      <c r="H72" s="534"/>
      <c r="M72" s="535"/>
      <c r="N72" s="553">
        <f>-SUM(H72,G72,C72,E72,M72,L72,F72,B72,D72)</f>
        <v>0</v>
      </c>
      <c r="P72" s="534"/>
      <c r="S72" s="535"/>
      <c r="T72"/>
      <c r="Z72" s="582">
        <f t="shared" ref="Z72:Z94" si="102">SUM(B72:Y72)</f>
        <v>0</v>
      </c>
    </row>
    <row r="73" spans="1:26" x14ac:dyDescent="0.2">
      <c r="A73" s="534"/>
      <c r="G73" s="535"/>
      <c r="H73" s="534"/>
      <c r="M73" s="535"/>
      <c r="N73" s="552"/>
      <c r="P73" s="545">
        <f>SUMIFS(GL_PL!$G:$G,GL_PL!$Q:$Q,'Global TARF'!$A$69,GL_PL!$R:$R,'Global TARF'!$A73,GL_PL!$A:$A,'Global TARF'!P$8)</f>
        <v>0</v>
      </c>
      <c r="S73" s="535"/>
      <c r="T73"/>
      <c r="Z73" s="582">
        <f t="shared" si="102"/>
        <v>0</v>
      </c>
    </row>
    <row r="74" spans="1:26" x14ac:dyDescent="0.2">
      <c r="A74" s="534"/>
      <c r="B74" s="184">
        <f>SUMIFS(GL_BS!$G:$G,GL_BS!$R:$R,'Global TARF'!$A$69,GL_BS!$S:$S,'Global TARF'!$A74,GL_BS!$A:$A,'Global TARF'!B$38)</f>
        <v>0</v>
      </c>
      <c r="C74" s="184">
        <f>SUMIFS(GL_BS!$G:$G,GL_BS!$R:$R,'Global TARF'!$A$69,GL_BS!$S:$S,'Global TARF'!$A74,GL_BS!$A:$A,'Global TARF'!C$8)</f>
        <v>0</v>
      </c>
      <c r="D74" s="184">
        <f>SUMIFS(GL_BS!$G:$G,GL_BS!$R:$R,'Global TARF'!$A$69,GL_BS!$S:$S,'Global TARF'!$A74,GL_BS!$A:$A,'Global TARF'!D$8)</f>
        <v>0</v>
      </c>
      <c r="E74" s="184">
        <f>SUMIFS(GL_BS!$G:$G,GL_BS!$R:$R,'Global TARF'!$A$69,GL_BS!$S:$S,'Global TARF'!$A74,GL_BS!$A:$A,'Global TARF'!E$8)</f>
        <v>0</v>
      </c>
      <c r="F74" s="184"/>
      <c r="G74" s="536">
        <f>SUMIFS(GL_BS!$G:$G,GL_BS!$R:$R,'Global TARF'!$A$69,GL_BS!$S:$S,'Global TARF'!$A74,GL_BS!$A:$A,'Global TARF'!G$8)</f>
        <v>0</v>
      </c>
      <c r="H74" s="545">
        <f>SUMIFS(GL_BS!$G:$G,GL_BS!$R:$R,'Global TARF'!$A$69,GL_BS!$S:$S,'Global TARF'!$A74,GL_BS!$A:$A,'Global TARF'!H$8)</f>
        <v>0</v>
      </c>
      <c r="I74" s="184"/>
      <c r="J74" s="184"/>
      <c r="K74" s="184"/>
      <c r="L74" s="184">
        <f>SUMIFS(GL_BS!$G:$G,GL_BS!$R:$R,'Global TARF'!$A$69,GL_BS!$S:$S,'Global TARF'!$A74,GL_BS!$A:$A,'Global TARF'!L$8)</f>
        <v>0</v>
      </c>
      <c r="M74" s="536">
        <f>SUMIFS(GL_BS!$G:$G,GL_BS!$R:$R,'Global TARF'!$A$69,GL_BS!$S:$S,'Global TARF'!$A74,GL_BS!$A:$A,'Global TARF'!M$8)</f>
        <v>0</v>
      </c>
      <c r="N74" s="552"/>
      <c r="P74" s="545">
        <f>SUMIFS(GL_PL!$G:$G,GL_PL!$Q:$Q,'Global TARF'!$A$69,GL_PL!$R:$R,'Global TARF'!$A74,GL_PL!$A:$A,'Global TARF'!P$8)</f>
        <v>0</v>
      </c>
      <c r="Q74" s="184">
        <f>SUMIFS(GL_PL!$G:$G,GL_PL!$Q:$Q,'Global TARF'!$A$69,GL_PL!$R:$R,'Global TARF'!$A74,GL_PL!$A:$A,'Global TARF'!Q$8)</f>
        <v>0</v>
      </c>
      <c r="R74" s="184">
        <f>SUMIFS(GL_PL!$G:$G,GL_PL!$Q:$Q,'Global TARF'!$A$69,GL_PL!$R:$R,'Global TARF'!$A74,GL_PL!$A:$A,'Global TARF'!R$8)</f>
        <v>0</v>
      </c>
      <c r="S74" s="536">
        <f>SUMIFS(GL_PL!$G:$G,GL_PL!$Q:$Q,'Global TARF'!$A$69,GL_PL!$R:$R,'Global TARF'!$A74,GL_PL!$A:$A,'Global TARF'!S$8)</f>
        <v>0</v>
      </c>
      <c r="T74" s="26">
        <f>-P74</f>
        <v>0</v>
      </c>
      <c r="U74" s="26"/>
      <c r="Z74" s="582">
        <f t="shared" si="102"/>
        <v>0</v>
      </c>
    </row>
    <row r="75" spans="1:26" x14ac:dyDescent="0.2">
      <c r="A75" s="534"/>
      <c r="B75" s="184">
        <f>SUMIFS(GL_BS!$G:$G,GL_BS!$R:$R,'Global TARF'!$A$69,GL_BS!$S:$S,'Global TARF'!$A75,GL_BS!$A:$A,'Global TARF'!B$38)</f>
        <v>0</v>
      </c>
      <c r="C75" s="184">
        <f>SUMIFS(GL_BS!$G:$G,GL_BS!$R:$R,'Global TARF'!$A$69,GL_BS!$S:$S,'Global TARF'!$A75,GL_BS!$A:$A,'Global TARF'!C$8)</f>
        <v>0</v>
      </c>
      <c r="D75" s="184">
        <f>SUMIFS(GL_BS!$G:$G,GL_BS!$R:$R,'Global TARF'!$A$69,GL_BS!$S:$S,'Global TARF'!$A75,GL_BS!$A:$A,'Global TARF'!D$8)</f>
        <v>0</v>
      </c>
      <c r="E75" s="184">
        <f>SUMIFS(GL_BS!$G:$G,GL_BS!$R:$R,'Global TARF'!$A$69,GL_BS!$S:$S,'Global TARF'!$A75,GL_BS!$A:$A,'Global TARF'!E$8)</f>
        <v>0</v>
      </c>
      <c r="F75" s="184"/>
      <c r="G75" s="536">
        <f>SUMIFS(GL_BS!$G:$G,GL_BS!$R:$R,'Global TARF'!$A$69,GL_BS!$S:$S,'Global TARF'!$A75,GL_BS!$A:$A,'Global TARF'!G$8)</f>
        <v>0</v>
      </c>
      <c r="H75" s="545">
        <f>SUMIFS(GL_BS!$G:$G,GL_BS!$R:$R,'Global TARF'!$A$69,GL_BS!$S:$S,'Global TARF'!$A75,GL_BS!$A:$A,'Global TARF'!H$8)</f>
        <v>0</v>
      </c>
      <c r="I75" s="184"/>
      <c r="J75" s="184"/>
      <c r="K75" s="184"/>
      <c r="L75" s="184">
        <f>SUMIFS(GL_BS!$G:$G,GL_BS!$R:$R,'Global TARF'!$A$69,GL_BS!$S:$S,'Global TARF'!$A75,GL_BS!$A:$A,'Global TARF'!L$8)</f>
        <v>0</v>
      </c>
      <c r="M75" s="536">
        <f>SUMIFS(GL_BS!$G:$G,GL_BS!$R:$R,'Global TARF'!$A$69,GL_BS!$S:$S,'Global TARF'!$A75,GL_BS!$A:$A,'Global TARF'!M$8)</f>
        <v>0</v>
      </c>
      <c r="N75" s="552"/>
      <c r="P75" s="545">
        <f>SUMIFS(GL_PL!$G:$G,GL_PL!$Q:$Q,'Global TARF'!$A$69,GL_PL!$R:$R,'Global TARF'!$A75,GL_PL!$A:$A,'Global TARF'!P$8)</f>
        <v>0</v>
      </c>
      <c r="Q75" s="184">
        <f>SUMIFS(GL_PL!$G:$G,GL_PL!$Q:$Q,'Global TARF'!$A$69,GL_PL!$R:$R,'Global TARF'!$A75,GL_PL!$A:$A,'Global TARF'!Q$8)</f>
        <v>0</v>
      </c>
      <c r="R75" s="184">
        <f>SUMIFS(GL_PL!$G:$G,GL_PL!$Q:$Q,'Global TARF'!$A$69,GL_PL!$R:$R,'Global TARF'!$A75,GL_PL!$A:$A,'Global TARF'!R$8)</f>
        <v>0</v>
      </c>
      <c r="S75" s="536">
        <f>SUMIFS(GL_PL!$G:$G,GL_PL!$Q:$Q,'Global TARF'!$A$69,GL_PL!$R:$R,'Global TARF'!$A75,GL_PL!$A:$A,'Global TARF'!S$8)</f>
        <v>0</v>
      </c>
      <c r="T75" s="26">
        <f>-SUM(P75,H75,C75)</f>
        <v>0</v>
      </c>
      <c r="U75" s="26"/>
      <c r="Z75" s="582">
        <f t="shared" si="102"/>
        <v>0</v>
      </c>
    </row>
    <row r="76" spans="1:26" x14ac:dyDescent="0.2">
      <c r="A76" s="534" t="s">
        <v>780</v>
      </c>
      <c r="B76" s="184">
        <f>SUMIFS(GL_BS!$G:$G,GL_BS!$R:$R,'Global TARF'!$A$69,GL_BS!$S:$S,'Global TARF'!$A76,GL_BS!$A:$A,'Global TARF'!B$38)</f>
        <v>0</v>
      </c>
      <c r="C76" s="184">
        <f>SUMIFS(GL_BS!$G:$G,GL_BS!$R:$R,'Global TARF'!$A$69,GL_BS!$S:$S,'Global TARF'!$A76,GL_BS!$A:$A,'Global TARF'!C$8)</f>
        <v>0</v>
      </c>
      <c r="D76" s="184">
        <f>SUMIFS(GL_BS!$G:$G,GL_BS!$R:$R,'Global TARF'!$A$69,GL_BS!$S:$S,'Global TARF'!$A76,GL_BS!$A:$A,'Global TARF'!D$8)</f>
        <v>0</v>
      </c>
      <c r="E76" s="184">
        <f>SUMIFS(GL_BS!$G:$G,GL_BS!$R:$R,'Global TARF'!$A$69,GL_BS!$S:$S,'Global TARF'!$A76,GL_BS!$A:$A,'Global TARF'!E$8)</f>
        <v>0</v>
      </c>
      <c r="F76" s="184"/>
      <c r="G76" s="536">
        <f>SUMIFS(GL_BS!$G:$G,GL_BS!$R:$R,'Global TARF'!$A$69,GL_BS!$S:$S,'Global TARF'!$A76,GL_BS!$A:$A,'Global TARF'!G$8)</f>
        <v>0</v>
      </c>
      <c r="H76" s="545">
        <f>SUMIFS(GL_BS!$G:$G,GL_BS!$R:$R,'Global TARF'!$A$69,GL_BS!$S:$S,'Global TARF'!$A76,GL_BS!$A:$A,'Global TARF'!H$8)</f>
        <v>0</v>
      </c>
      <c r="I76" s="184">
        <f>SUMIFS(GL_BS!$G:$G,GL_BS!$R:$R,'Global TARF'!$A$69,GL_BS!$S:$S,'Global TARF'!$A76,GL_BS!$A:$A,'Global TARF'!I$8)</f>
        <v>0</v>
      </c>
      <c r="J76" s="184">
        <f>SUMIFS(GL_BS!$G:$G,GL_BS!$R:$R,'Global TARF'!$A$69,GL_BS!$S:$S,'Global TARF'!$A76,GL_BS!$A:$A,'Global TARF'!J$8)</f>
        <v>0</v>
      </c>
      <c r="K76" s="184">
        <f>SUMIFS(GL_BS!$G:$G,GL_BS!$R:$R,'Global TARF'!$A$69,GL_BS!$S:$S,'Global TARF'!$A76,GL_BS!$A:$A,'Global TARF'!K$8)</f>
        <v>0</v>
      </c>
      <c r="L76" s="184">
        <f>SUMIFS(GL_BS!$G:$G,GL_BS!$R:$R,'Global TARF'!$A$69,GL_BS!$S:$S,'Global TARF'!$A76,GL_BS!$A:$A,'Global TARF'!L$8)</f>
        <v>0</v>
      </c>
      <c r="M76" s="536">
        <f>SUMIFS(GL_BS!$G:$G,GL_BS!$R:$R,'Global TARF'!$A$69,GL_BS!$S:$S,'Global TARF'!$A76,GL_BS!$A:$A,'Global TARF'!M$8)</f>
        <v>0</v>
      </c>
      <c r="N76" s="552"/>
      <c r="P76" s="545">
        <f>SUMIFS(GL_PL!$G:$G,GL_PL!$Q:$Q,'Global TARF'!$A$69,GL_PL!$R:$R,'Global TARF'!$A76,GL_PL!$A:$A,'Global TARF'!P$8)</f>
        <v>0</v>
      </c>
      <c r="Q76" s="184">
        <f>SUMIFS(GL_PL!$G:$G,GL_PL!$Q:$Q,'Global TARF'!$A$69,GL_PL!$R:$R,'Global TARF'!$A76,GL_PL!$A:$A,'Global TARF'!Q$8)</f>
        <v>0</v>
      </c>
      <c r="R76" s="184">
        <f>SUMIFS(GL_PL!$G:$G,GL_PL!$Q:$Q,'Global TARF'!$A$69,GL_PL!$R:$R,'Global TARF'!$A76,GL_PL!$A:$A,'Global TARF'!R$8)</f>
        <v>0</v>
      </c>
      <c r="S76" s="536">
        <f>SUMIFS(GL_PL!$G:$G,GL_PL!$Q:$Q,'Global TARF'!$A$69,GL_PL!$R:$R,'Global TARF'!$A76,GL_PL!$A:$A,'Global TARF'!S$8)</f>
        <v>0</v>
      </c>
      <c r="T76" s="26">
        <f>-SUM(P76:R76,H76,C76)</f>
        <v>0</v>
      </c>
      <c r="U76" s="26"/>
      <c r="Z76" s="582">
        <f t="shared" si="102"/>
        <v>0</v>
      </c>
    </row>
    <row r="77" spans="1:26" x14ac:dyDescent="0.2">
      <c r="A77" s="534" t="s">
        <v>781</v>
      </c>
      <c r="B77" s="184">
        <f>SUMIFS(GL_BS!$G:$G,GL_BS!$R:$R,'Global TARF'!$A$69,GL_BS!$S:$S,'Global TARF'!$A77,GL_BS!$A:$A,'Global TARF'!B$38)</f>
        <v>0</v>
      </c>
      <c r="C77" s="184">
        <f>SUMIFS(GL_BS!$G:$G,GL_BS!$R:$R,'Global TARF'!$A$69,GL_BS!$S:$S,'Global TARF'!$A77,GL_BS!$A:$A,'Global TARF'!C$8)</f>
        <v>0</v>
      </c>
      <c r="D77" s="184">
        <f>SUMIFS(GL_BS!$G:$G,GL_BS!$R:$R,'Global TARF'!$A$69,GL_BS!$S:$S,'Global TARF'!$A77,GL_BS!$A:$A,'Global TARF'!D$8)</f>
        <v>0</v>
      </c>
      <c r="E77" s="184">
        <f>SUMIFS(GL_BS!$G:$G,GL_BS!$R:$R,'Global TARF'!$A$69,GL_BS!$S:$S,'Global TARF'!$A77,GL_BS!$A:$A,'Global TARF'!E$8)</f>
        <v>0</v>
      </c>
      <c r="F77" s="184"/>
      <c r="G77" s="536">
        <f>SUMIFS(GL_BS!$G:$G,GL_BS!$R:$R,'Global TARF'!$A$69,GL_BS!$S:$S,'Global TARF'!$A77,GL_BS!$A:$A,'Global TARF'!G$8)</f>
        <v>0</v>
      </c>
      <c r="H77" s="545">
        <f>SUMIFS(GL_BS!$G:$G,GL_BS!$R:$R,'Global TARF'!$A$69,GL_BS!$S:$S,'Global TARF'!$A77,GL_BS!$A:$A,'Global TARF'!H$8)</f>
        <v>0</v>
      </c>
      <c r="I77" s="184">
        <f>SUMIFS(GL_BS!$G:$G,GL_BS!$R:$R,'Global TARF'!$A$69,GL_BS!$S:$S,'Global TARF'!$A77,GL_BS!$A:$A,'Global TARF'!I$8)</f>
        <v>0</v>
      </c>
      <c r="J77" s="184">
        <f>SUMIFS(GL_BS!$G:$G,GL_BS!$R:$R,'Global TARF'!$A$69,GL_BS!$S:$S,'Global TARF'!$A77,GL_BS!$A:$A,'Global TARF'!J$8)</f>
        <v>0</v>
      </c>
      <c r="K77" s="184">
        <f>SUMIFS(GL_BS!$G:$G,GL_BS!$R:$R,'Global TARF'!$A$69,GL_BS!$S:$S,'Global TARF'!$A77,GL_BS!$A:$A,'Global TARF'!K$8)</f>
        <v>0</v>
      </c>
      <c r="L77" s="184">
        <f>SUMIFS(GL_BS!$G:$G,GL_BS!$R:$R,'Global TARF'!$A$69,GL_BS!$S:$S,'Global TARF'!$A77,GL_BS!$A:$A,'Global TARF'!L$8)</f>
        <v>0</v>
      </c>
      <c r="M77" s="536">
        <f>SUMIFS(GL_BS!$G:$G,GL_BS!$R:$R,'Global TARF'!$A$69,GL_BS!$S:$S,'Global TARF'!$A77,GL_BS!$A:$A,'Global TARF'!M$8)</f>
        <v>0</v>
      </c>
      <c r="N77" s="552"/>
      <c r="P77" s="545">
        <f>SUMIFS(GL_PL!$G:$G,GL_PL!$Q:$Q,'Global TARF'!$A$69,GL_PL!$R:$R,'Global TARF'!$A77,GL_PL!$A:$A,'Global TARF'!P$8)</f>
        <v>0</v>
      </c>
      <c r="Q77" s="184">
        <f>SUMIFS(GL_PL!$G:$G,GL_PL!$Q:$Q,'Global TARF'!$A$69,GL_PL!$R:$R,'Global TARF'!$A77,GL_PL!$A:$A,'Global TARF'!Q$8)</f>
        <v>0</v>
      </c>
      <c r="R77" s="184">
        <f>SUMIFS(GL_PL!$G:$G,GL_PL!$Q:$Q,'Global TARF'!$A$69,GL_PL!$R:$R,'Global TARF'!$A77,GL_PL!$A:$A,'Global TARF'!R$8)</f>
        <v>0</v>
      </c>
      <c r="S77" s="536">
        <f>SUMIFS(GL_PL!$G:$G,GL_PL!$Q:$Q,'Global TARF'!$A$69,GL_PL!$R:$R,'Global TARF'!$A77,GL_PL!$A:$A,'Global TARF'!S$8)</f>
        <v>0</v>
      </c>
      <c r="T77" s="26">
        <f>-SUM(P77:R77,H77,C77)</f>
        <v>0</v>
      </c>
      <c r="U77" s="26"/>
      <c r="Z77" s="582">
        <f t="shared" si="102"/>
        <v>0</v>
      </c>
    </row>
    <row r="78" spans="1:26" x14ac:dyDescent="0.2">
      <c r="A78" s="534" t="s">
        <v>782</v>
      </c>
      <c r="B78" s="184">
        <f>SUMIFS(GL_BS!$G:$G,GL_BS!$R:$R,'Global TARF'!$A$69,GL_BS!$S:$S,'Global TARF'!$A78,GL_BS!$A:$A,'Global TARF'!B$38)</f>
        <v>0</v>
      </c>
      <c r="C78" s="184">
        <f>SUMIFS(GL_BS!$G:$G,GL_BS!$R:$R,'Global TARF'!$A$69,GL_BS!$S:$S,'Global TARF'!$A78,GL_BS!$A:$A,'Global TARF'!C$8)</f>
        <v>0</v>
      </c>
      <c r="D78" s="184">
        <f>SUMIFS(GL_BS!$G:$G,GL_BS!$R:$R,'Global TARF'!$A$69,GL_BS!$S:$S,'Global TARF'!$A78,GL_BS!$A:$A,'Global TARF'!D$8)</f>
        <v>0</v>
      </c>
      <c r="E78" s="184">
        <f>SUMIFS(GL_BS!$G:$G,GL_BS!$R:$R,'Global TARF'!$A$69,GL_BS!$S:$S,'Global TARF'!$A78,GL_BS!$A:$A,'Global TARF'!E$8)</f>
        <v>0</v>
      </c>
      <c r="F78" s="184"/>
      <c r="G78" s="536">
        <f>SUMIFS(GL_BS!$G:$G,GL_BS!$R:$R,'Global TARF'!$A$69,GL_BS!$S:$S,'Global TARF'!$A78,GL_BS!$A:$A,'Global TARF'!G$8)</f>
        <v>0</v>
      </c>
      <c r="H78" s="545">
        <f>SUMIFS(GL_BS!$G:$G,GL_BS!$R:$R,'Global TARF'!$A$69,GL_BS!$S:$S,'Global TARF'!$A78,GL_BS!$A:$A,'Global TARF'!H$8)</f>
        <v>242.8000001190691</v>
      </c>
      <c r="I78" s="184">
        <f>SUMIFS(GL_BS!$G:$G,GL_BS!$R:$R,'Global TARF'!$A$69,GL_BS!$S:$S,'Global TARF'!$A78,GL_BS!$A:$A,'Global TARF'!I$8)</f>
        <v>0</v>
      </c>
      <c r="J78" s="184">
        <f>SUMIFS(GL_BS!$G:$G,GL_BS!$R:$R,'Global TARF'!$A$69,GL_BS!$S:$S,'Global TARF'!$A78,GL_BS!$A:$A,'Global TARF'!J$8)</f>
        <v>0</v>
      </c>
      <c r="K78" s="184">
        <f>SUMIFS(GL_BS!$G:$G,GL_BS!$R:$R,'Global TARF'!$A$69,GL_BS!$S:$S,'Global TARF'!$A78,GL_BS!$A:$A,'Global TARF'!K$8)</f>
        <v>0</v>
      </c>
      <c r="L78" s="184">
        <f>SUMIFS(GL_BS!$G:$G,GL_BS!$R:$R,'Global TARF'!$A$69,GL_BS!$S:$S,'Global TARF'!$A78,GL_BS!$A:$A,'Global TARF'!L$8)</f>
        <v>0</v>
      </c>
      <c r="M78" s="536">
        <f>SUMIFS(GL_BS!$G:$G,GL_BS!$R:$R,'Global TARF'!$A$69,GL_BS!$S:$S,'Global TARF'!$A78,GL_BS!$A:$A,'Global TARF'!M$8)</f>
        <v>0</v>
      </c>
      <c r="N78" s="552"/>
      <c r="P78" s="545">
        <f>SUMIFS(GL_PL!$G:$G,GL_PL!$Q:$Q,'Global TARF'!$A$69,GL_PL!$R:$R,'Global TARF'!$A78,GL_PL!$A:$A,'Global TARF'!P$8)</f>
        <v>1310.9</v>
      </c>
      <c r="Q78" s="184">
        <f>SUMIFS(GL_PL!$G:$G,GL_PL!$Q:$Q,'Global TARF'!$A$69,GL_PL!$R:$R,'Global TARF'!$A78,GL_PL!$A:$A,'Global TARF'!Q$8)</f>
        <v>0</v>
      </c>
      <c r="R78" s="184">
        <f>SUMIFS(GL_PL!$G:$G,GL_PL!$Q:$Q,'Global TARF'!$A$69,GL_PL!$R:$R,'Global TARF'!$A78,GL_PL!$A:$A,'Global TARF'!R$8)</f>
        <v>0</v>
      </c>
      <c r="S78" s="536">
        <f>SUMIFS(GL_PL!$G:$G,GL_PL!$Q:$Q,'Global TARF'!$A$69,GL_PL!$R:$R,'Global TARF'!$A78,GL_PL!$A:$A,'Global TARF'!S$8)</f>
        <v>0</v>
      </c>
      <c r="T78" s="26">
        <f>-SUM(P78:R78,H78,C78)</f>
        <v>-1553.7000001190693</v>
      </c>
      <c r="U78" s="26"/>
      <c r="Z78" s="582">
        <f t="shared" si="102"/>
        <v>0</v>
      </c>
    </row>
    <row r="79" spans="1:26" x14ac:dyDescent="0.2">
      <c r="A79" s="534" t="s">
        <v>950</v>
      </c>
      <c r="B79" s="184">
        <f>SUMIFS(GL_BS!$G:$G,GL_BS!$R:$R,'Global TARF'!$A$69,GL_BS!$S:$S,'Global TARF'!$A79,GL_BS!$A:$A,'Global TARF'!B$38)</f>
        <v>0</v>
      </c>
      <c r="C79" s="184">
        <f>SUMIFS(GL_BS!$G:$G,GL_BS!$R:$R,'Global TARF'!$A$69,GL_BS!$S:$S,'Global TARF'!$A79,GL_BS!$A:$A,'Global TARF'!C$8)</f>
        <v>0</v>
      </c>
      <c r="D79" s="184">
        <f>SUMIFS(GL_BS!$G:$G,GL_BS!$R:$R,'Global TARF'!$A$69,GL_BS!$S:$S,'Global TARF'!$A79,GL_BS!$A:$A,'Global TARF'!D$8)</f>
        <v>0</v>
      </c>
      <c r="E79" s="184">
        <f>SUMIFS(GL_BS!$G:$G,GL_BS!$R:$R,'Global TARF'!$A$69,GL_BS!$S:$S,'Global TARF'!$A79,GL_BS!$A:$A,'Global TARF'!E$8)</f>
        <v>0</v>
      </c>
      <c r="F79" s="184"/>
      <c r="G79" s="536">
        <f>SUMIFS(GL_BS!$G:$G,GL_BS!$R:$R,'Global TARF'!$A$69,GL_BS!$S:$S,'Global TARF'!$A79,GL_BS!$A:$A,'Global TARF'!G$8)</f>
        <v>0</v>
      </c>
      <c r="H79" s="545">
        <f>SUMIFS(GL_BS!$G:$G,GL_BS!$R:$R,'Global TARF'!$A$69,GL_BS!$S:$S,'Global TARF'!$A79,GL_BS!$A:$A,'Global TARF'!H$8)</f>
        <v>0</v>
      </c>
      <c r="I79" s="184">
        <f>SUMIFS(GL_BS!$G:$G,GL_BS!$R:$R,'Global TARF'!$A$69,GL_BS!$S:$S,'Global TARF'!$A79,GL_BS!$A:$A,'Global TARF'!I$8)</f>
        <v>0</v>
      </c>
      <c r="J79" s="184">
        <f>SUMIFS(GL_BS!$G:$G,GL_BS!$R:$R,'Global TARF'!$A$69,GL_BS!$S:$S,'Global TARF'!$A79,GL_BS!$A:$A,'Global TARF'!J$8)</f>
        <v>0</v>
      </c>
      <c r="K79" s="184">
        <f>SUMIFS(GL_BS!$G:$G,GL_BS!$R:$R,'Global TARF'!$A$69,GL_BS!$S:$S,'Global TARF'!$A79,GL_BS!$A:$A,'Global TARF'!K$8)</f>
        <v>0</v>
      </c>
      <c r="L79" s="184">
        <f>SUMIFS(GL_BS!$G:$G,GL_BS!$R:$R,'Global TARF'!$A$69,GL_BS!$S:$S,'Global TARF'!$A79,GL_BS!$A:$A,'Global TARF'!L$8)</f>
        <v>0</v>
      </c>
      <c r="M79" s="536">
        <f>SUMIFS(GL_BS!$G:$G,GL_BS!$R:$R,'Global TARF'!$A$69,GL_BS!$S:$S,'Global TARF'!$A79,GL_BS!$A:$A,'Global TARF'!M$8)</f>
        <v>0</v>
      </c>
      <c r="N79" s="552"/>
      <c r="P79" s="545">
        <f>SUMIFS(GL_PL!$G:$G,GL_PL!$Q:$Q,'Global TARF'!$A$69,GL_PL!$R:$R,'Global TARF'!$A79,GL_PL!$A:$A,'Global TARF'!P$8)</f>
        <v>0</v>
      </c>
      <c r="Q79" s="184">
        <f>SUMIFS(GL_PL!$G:$G,GL_PL!$Q:$Q,'Global TARF'!$A$69,GL_PL!$R:$R,'Global TARF'!$A79,GL_PL!$A:$A,'Global TARF'!Q$8)</f>
        <v>0</v>
      </c>
      <c r="R79" s="184">
        <f>SUMIFS(GL_PL!$G:$G,GL_PL!$Q:$Q,'Global TARF'!$A$69,GL_PL!$R:$R,'Global TARF'!$A79,GL_PL!$A:$A,'Global TARF'!R$8)</f>
        <v>0</v>
      </c>
      <c r="S79" s="536">
        <f>SUMIFS(GL_PL!$G:$G,GL_PL!$Q:$Q,'Global TARF'!$A$69,GL_PL!$R:$R,'Global TARF'!$A79,GL_PL!$A:$A,'Global TARF'!S$8)</f>
        <v>0</v>
      </c>
      <c r="T79"/>
      <c r="U79" s="26">
        <f>-C79</f>
        <v>0</v>
      </c>
      <c r="Z79" s="582">
        <f t="shared" si="102"/>
        <v>0</v>
      </c>
    </row>
    <row r="80" spans="1:26" x14ac:dyDescent="0.2">
      <c r="A80" s="534" t="s">
        <v>4586</v>
      </c>
      <c r="B80" s="184">
        <f>SUMIFS(GL_BS!$G:$G,GL_BS!$R:$R,'Global TARF'!$A$69,GL_BS!$S:$S,'Global TARF'!$A80,GL_BS!$A:$A,'Global TARF'!B$38)</f>
        <v>0</v>
      </c>
      <c r="C80" s="184">
        <f>SUMIFS(GL_BS!$G:$G,GL_BS!$R:$R,'Global TARF'!$A$69,GL_BS!$S:$S,'Global TARF'!$A80,GL_BS!$A:$A,'Global TARF'!C$8)</f>
        <v>-5000.0000024520004</v>
      </c>
      <c r="D80" s="184">
        <f>SUMIFS(GL_BS!$G:$G,GL_BS!$R:$R,'Global TARF'!$A$69,GL_BS!$S:$S,'Global TARF'!$A80,GL_BS!$A:$A,'Global TARF'!D$8)</f>
        <v>0</v>
      </c>
      <c r="E80" s="184">
        <f>SUMIFS(GL_BS!$G:$G,GL_BS!$R:$R,'Global TARF'!$A$69,GL_BS!$S:$S,'Global TARF'!$A80,GL_BS!$A:$A,'Global TARF'!E$8)</f>
        <v>0</v>
      </c>
      <c r="F80" s="184"/>
      <c r="G80" s="536">
        <f>SUMIFS(GL_BS!$G:$G,GL_BS!$R:$R,'Global TARF'!$A$69,GL_BS!$S:$S,'Global TARF'!$A80,GL_BS!$A:$A,'Global TARF'!G$8)</f>
        <v>0</v>
      </c>
      <c r="H80" s="545">
        <f>SUMIFS(GL_BS!$G:$G,GL_BS!$R:$R,'Global TARF'!$A$69,GL_BS!$S:$S,'Global TARF'!$A80,GL_BS!$A:$A,'Global TARF'!H$8)</f>
        <v>0</v>
      </c>
      <c r="I80" s="184">
        <f>SUMIFS(GL_BS!$G:$G,GL_BS!$R:$R,'Global TARF'!$A$69,GL_BS!$S:$S,'Global TARF'!$A80,GL_BS!$A:$A,'Global TARF'!I$8)</f>
        <v>0</v>
      </c>
      <c r="J80" s="184">
        <f>SUMIFS(GL_BS!$G:$G,GL_BS!$R:$R,'Global TARF'!$A$69,GL_BS!$S:$S,'Global TARF'!$A80,GL_BS!$A:$A,'Global TARF'!J$8)</f>
        <v>0</v>
      </c>
      <c r="K80" s="184">
        <f>SUMIFS(GL_BS!$G:$G,GL_BS!$R:$R,'Global TARF'!$A$69,GL_BS!$S:$S,'Global TARF'!$A80,GL_BS!$A:$A,'Global TARF'!K$8)</f>
        <v>0</v>
      </c>
      <c r="L80" s="184">
        <f>SUMIFS(GL_BS!$G:$G,GL_BS!$R:$R,'Global TARF'!$A$69,GL_BS!$S:$S,'Global TARF'!$A80,GL_BS!$A:$A,'Global TARF'!L$8)</f>
        <v>0</v>
      </c>
      <c r="M80" s="536">
        <f>SUMIFS(GL_BS!$G:$G,GL_BS!$R:$R,'Global TARF'!$A$69,GL_BS!$S:$S,'Global TARF'!$A80,GL_BS!$A:$A,'Global TARF'!M$8)</f>
        <v>0</v>
      </c>
      <c r="N80" s="552"/>
      <c r="P80" s="545">
        <f>SUMIFS(GL_PL!$G:$G,GL_PL!$Q:$Q,'Global TARF'!$A$69,GL_PL!$R:$R,'Global TARF'!$A80,GL_PL!$A:$A,'Global TARF'!P$8)</f>
        <v>0</v>
      </c>
      <c r="Q80" s="184">
        <f>SUMIFS(GL_PL!$G:$G,GL_PL!$Q:$Q,'Global TARF'!$A$69,GL_PL!$R:$R,'Global TARF'!$A80,GL_PL!$A:$A,'Global TARF'!Q$8)</f>
        <v>0</v>
      </c>
      <c r="R80" s="184">
        <f>SUMIFS(GL_PL!$G:$G,GL_PL!$Q:$Q,'Global TARF'!$A$69,GL_PL!$R:$R,'Global TARF'!$A80,GL_PL!$A:$A,'Global TARF'!R$8)</f>
        <v>0</v>
      </c>
      <c r="S80" s="536">
        <f>SUMIFS(GL_PL!$G:$G,GL_PL!$Q:$Q,'Global TARF'!$A$69,GL_PL!$R:$R,'Global TARF'!$A80,GL_PL!$A:$A,'Global TARF'!S$8)</f>
        <v>0</v>
      </c>
      <c r="T80"/>
      <c r="U80" s="24">
        <v>5000</v>
      </c>
      <c r="Z80" s="582">
        <f t="shared" si="102"/>
        <v>-2.4520004444639198E-6</v>
      </c>
    </row>
    <row r="81" spans="1:26" x14ac:dyDescent="0.2">
      <c r="A81" s="534" t="s">
        <v>779</v>
      </c>
      <c r="B81" s="184">
        <f>SUMIFS(GL_BS!$G:$G,GL_BS!$R:$R,'Global TARF'!$A$69,GL_BS!$S:$S,'Global TARF'!$A81,GL_BS!$A:$A,'Global TARF'!B$38)</f>
        <v>0</v>
      </c>
      <c r="C81" s="184">
        <f>SUMIFS(GL_BS!$G:$G,GL_BS!$R:$R,'Global TARF'!$A$69,GL_BS!$S:$S,'Global TARF'!$A81,GL_BS!$A:$A,'Global TARF'!C$8)</f>
        <v>0</v>
      </c>
      <c r="D81" s="184">
        <f>SUMIFS(GL_BS!$G:$G,GL_BS!$R:$R,'Global TARF'!$A$69,GL_BS!$S:$S,'Global TARF'!$A81,GL_BS!$A:$A,'Global TARF'!D$8)</f>
        <v>0</v>
      </c>
      <c r="E81" s="184">
        <f>SUMIFS(GL_BS!$G:$G,GL_BS!$R:$R,'Global TARF'!$A$69,GL_BS!$S:$S,'Global TARF'!$A81,GL_BS!$A:$A,'Global TARF'!E$8)</f>
        <v>0</v>
      </c>
      <c r="F81" s="184"/>
      <c r="G81" s="536">
        <f>SUMIFS(GL_BS!$G:$G,GL_BS!$R:$R,'Global TARF'!$A$69,GL_BS!$S:$S,'Global TARF'!$A81,GL_BS!$A:$A,'Global TARF'!G$8)</f>
        <v>0</v>
      </c>
      <c r="H81" s="545">
        <f>SUMIFS(GL_BS!$G:$G,GL_BS!$R:$R,'Global TARF'!$A$69,GL_BS!$S:$S,'Global TARF'!$A81,GL_BS!$A:$A,'Global TARF'!H$8)</f>
        <v>0</v>
      </c>
      <c r="I81" s="184">
        <f>SUMIFS(GL_BS!$G:$G,GL_BS!$R:$R,'Global TARF'!$A$69,GL_BS!$S:$S,'Global TARF'!$A81,GL_BS!$A:$A,'Global TARF'!I$8)</f>
        <v>0</v>
      </c>
      <c r="J81" s="184">
        <f>SUMIFS(GL_BS!$G:$G,GL_BS!$R:$R,'Global TARF'!$A$69,GL_BS!$S:$S,'Global TARF'!$A81,GL_BS!$A:$A,'Global TARF'!J$8)</f>
        <v>0</v>
      </c>
      <c r="K81" s="184">
        <f>SUMIFS(GL_BS!$G:$G,GL_BS!$R:$R,'Global TARF'!$A$69,GL_BS!$S:$S,'Global TARF'!$A81,GL_BS!$A:$A,'Global TARF'!K$8)</f>
        <v>0</v>
      </c>
      <c r="L81" s="184">
        <f>SUMIFS(GL_BS!$G:$G,GL_BS!$R:$R,'Global TARF'!$A$69,GL_BS!$S:$S,'Global TARF'!$A81,GL_BS!$A:$A,'Global TARF'!L$8)</f>
        <v>0</v>
      </c>
      <c r="M81" s="536">
        <f>SUMIFS(GL_BS!$G:$G,GL_BS!$R:$R,'Global TARF'!$A$69,GL_BS!$S:$S,'Global TARF'!$A81,GL_BS!$A:$A,'Global TARF'!M$8)</f>
        <v>0</v>
      </c>
      <c r="N81" s="552"/>
      <c r="P81" s="545">
        <f>SUMIFS(GL_PL!$G:$G,GL_PL!$Q:$Q,'Global TARF'!$A$69,GL_PL!$R:$R,'Global TARF'!$A81,GL_PL!$A:$A,'Global TARF'!P$8)</f>
        <v>0</v>
      </c>
      <c r="Q81" s="184">
        <f>SUMIFS(GL_PL!$G:$G,GL_PL!$Q:$Q,'Global TARF'!$A$69,GL_PL!$R:$R,'Global TARF'!$A81,GL_PL!$A:$A,'Global TARF'!Q$8)</f>
        <v>0</v>
      </c>
      <c r="R81" s="184">
        <f>SUMIFS(GL_PL!$G:$G,GL_PL!$Q:$Q,'Global TARF'!$A$69,GL_PL!$R:$R,'Global TARF'!$A81,GL_PL!$A:$A,'Global TARF'!R$8)</f>
        <v>0</v>
      </c>
      <c r="S81" s="536">
        <f>SUMIFS(GL_PL!$G:$G,GL_PL!$Q:$Q,'Global TARF'!$A$69,GL_PL!$R:$R,'Global TARF'!$A81,GL_PL!$A:$A,'Global TARF'!S$8)</f>
        <v>0</v>
      </c>
      <c r="T81"/>
      <c r="V81" s="26">
        <f>-SUM(B81:T81)</f>
        <v>0</v>
      </c>
      <c r="Z81" s="582">
        <f t="shared" si="102"/>
        <v>0</v>
      </c>
    </row>
    <row r="82" spans="1:26" x14ac:dyDescent="0.2">
      <c r="A82" s="534" t="s">
        <v>4267</v>
      </c>
      <c r="B82" s="184">
        <f>SUMIFS(GL_BS!$G:$G,GL_BS!$R:$R,'Global TARF'!$A$69,GL_BS!$S:$S,'Global TARF'!$A82,GL_BS!$A:$A,'Global TARF'!B$38)</f>
        <v>0</v>
      </c>
      <c r="C82" s="184">
        <f>SUMIFS(GL_BS!$G:$G,GL_BS!$R:$R,'Global TARF'!$A$69,GL_BS!$S:$S,'Global TARF'!$A82,GL_BS!$A:$A,'Global TARF'!C$8)</f>
        <v>0</v>
      </c>
      <c r="D82" s="184">
        <f>SUMIFS(GL_BS!$G:$G,GL_BS!$R:$R,'Global TARF'!$A$69,GL_BS!$S:$S,'Global TARF'!$A82,GL_BS!$A:$A,'Global TARF'!D$8)</f>
        <v>0</v>
      </c>
      <c r="E82" s="184">
        <f>SUMIFS(GL_BS!$G:$G,GL_BS!$R:$R,'Global TARF'!$A$69,GL_BS!$S:$S,'Global TARF'!$A82,GL_BS!$A:$A,'Global TARF'!E$8)</f>
        <v>0</v>
      </c>
      <c r="F82" s="184"/>
      <c r="G82" s="536">
        <f>SUMIFS(GL_BS!$G:$G,GL_BS!$R:$R,'Global TARF'!$A$69,GL_BS!$S:$S,'Global TARF'!$A82,GL_BS!$A:$A,'Global TARF'!G$8)</f>
        <v>0</v>
      </c>
      <c r="H82" s="545">
        <f>SUMIFS(GL_BS!$G:$G,GL_BS!$R:$R,'Global TARF'!$A$69,GL_BS!$S:$S,'Global TARF'!$A82,GL_BS!$A:$A,'Global TARF'!H$8)</f>
        <v>0</v>
      </c>
      <c r="I82" s="184">
        <f>SUMIFS(GL_BS!$G:$G,GL_BS!$R:$R,'Global TARF'!$A$69,GL_BS!$S:$S,'Global TARF'!$A82,GL_BS!$A:$A,'Global TARF'!I$8)</f>
        <v>0</v>
      </c>
      <c r="J82" s="184">
        <f>SUMIFS(GL_BS!$G:$G,GL_BS!$R:$R,'Global TARF'!$A$69,GL_BS!$S:$S,'Global TARF'!$A82,GL_BS!$A:$A,'Global TARF'!J$8)</f>
        <v>0</v>
      </c>
      <c r="K82" s="184">
        <f>SUMIFS(GL_BS!$G:$G,GL_BS!$R:$R,'Global TARF'!$A$69,GL_BS!$S:$S,'Global TARF'!$A82,GL_BS!$A:$A,'Global TARF'!K$8)</f>
        <v>0</v>
      </c>
      <c r="L82" s="184">
        <f>SUMIFS(GL_BS!$G:$G,GL_BS!$R:$R,'Global TARF'!$A$69,GL_BS!$S:$S,'Global TARF'!$A82,GL_BS!$A:$A,'Global TARF'!L$8)</f>
        <v>0</v>
      </c>
      <c r="M82" s="536">
        <f>SUMIFS(GL_BS!$G:$G,GL_BS!$R:$R,'Global TARF'!$A$69,GL_BS!$S:$S,'Global TARF'!$A82,GL_BS!$A:$A,'Global TARF'!M$8)</f>
        <v>0</v>
      </c>
      <c r="N82" s="552"/>
      <c r="P82" s="545">
        <f>SUMIFS(GL_PL!$G:$G,GL_PL!$Q:$Q,'Global TARF'!$A$69,GL_PL!$R:$R,'Global TARF'!$A82,GL_PL!$A:$A,'Global TARF'!P$8)</f>
        <v>0</v>
      </c>
      <c r="Q82" s="184">
        <f>SUMIFS(GL_PL!$G:$G,GL_PL!$Q:$Q,'Global TARF'!$A$69,GL_PL!$R:$R,'Global TARF'!$A82,GL_PL!$A:$A,'Global TARF'!Q$8)</f>
        <v>0</v>
      </c>
      <c r="R82" s="184">
        <f>SUMIFS(GL_PL!$G:$G,GL_PL!$Q:$Q,'Global TARF'!$A$69,GL_PL!$R:$R,'Global TARF'!$A82,GL_PL!$A:$A,'Global TARF'!R$8)</f>
        <v>0</v>
      </c>
      <c r="S82" s="536">
        <f>SUMIFS(GL_PL!$G:$G,GL_PL!$Q:$Q,'Global TARF'!$A$69,GL_PL!$R:$R,'Global TARF'!$A82,GL_PL!$A:$A,'Global TARF'!S$8)</f>
        <v>0</v>
      </c>
      <c r="T82" s="26"/>
      <c r="U82" s="26"/>
      <c r="Z82" s="582">
        <f t="shared" si="102"/>
        <v>0</v>
      </c>
    </row>
    <row r="83" spans="1:26" x14ac:dyDescent="0.2">
      <c r="A83" s="534" t="s">
        <v>4275</v>
      </c>
      <c r="B83" s="184">
        <f>SUMIFS(GL_BS!$G:$G,GL_BS!$R:$R,'Global TARF'!$A$69,GL_BS!$S:$S,'Global TARF'!$A83,GL_BS!$A:$A,'Global TARF'!B$38)</f>
        <v>0</v>
      </c>
      <c r="C83" s="184">
        <f>SUMIFS(GL_BS!$G:$G,GL_BS!$R:$R,'Global TARF'!$A$69,GL_BS!$S:$S,'Global TARF'!$A83,GL_BS!$A:$A,'Global TARF'!C$8)</f>
        <v>84501.000041439285</v>
      </c>
      <c r="D83" s="184">
        <f>SUMIFS(GL_BS!$G:$G,GL_BS!$R:$R,'Global TARF'!$A$69,GL_BS!$S:$S,'Global TARF'!$A83,GL_BS!$A:$A,'Global TARF'!D$8)</f>
        <v>0</v>
      </c>
      <c r="E83" s="184">
        <f>SUMIFS(GL_BS!$G:$G,GL_BS!$R:$R,'Global TARF'!$A$69,GL_BS!$S:$S,'Global TARF'!$A83,GL_BS!$A:$A,'Global TARF'!E$8)</f>
        <v>0</v>
      </c>
      <c r="F83" s="184"/>
      <c r="G83" s="536">
        <f>SUMIFS(GL_BS!$G:$G,GL_BS!$R:$R,'Global TARF'!$A$69,GL_BS!$S:$S,'Global TARF'!$A83,GL_BS!$A:$A,'Global TARF'!G$8)</f>
        <v>0</v>
      </c>
      <c r="H83" s="545">
        <f>SUMIFS(GL_BS!$G:$G,GL_BS!$R:$R,'Global TARF'!$A$69,GL_BS!$S:$S,'Global TARF'!$A83,GL_BS!$A:$A,'Global TARF'!H$8)</f>
        <v>0</v>
      </c>
      <c r="I83" s="184">
        <f>SUMIFS(GL_BS!$G:$G,GL_BS!$R:$R,'Global TARF'!$A$69,GL_BS!$S:$S,'Global TARF'!$A83,GL_BS!$A:$A,'Global TARF'!I$8)</f>
        <v>0</v>
      </c>
      <c r="J83" s="184">
        <f>SUMIFS(GL_BS!$G:$G,GL_BS!$R:$R,'Global TARF'!$A$69,GL_BS!$S:$S,'Global TARF'!$A83,GL_BS!$A:$A,'Global TARF'!J$8)</f>
        <v>0</v>
      </c>
      <c r="K83" s="184">
        <f>SUMIFS(GL_BS!$G:$G,GL_BS!$R:$R,'Global TARF'!$A$69,GL_BS!$S:$S,'Global TARF'!$A83,GL_BS!$A:$A,'Global TARF'!K$8)</f>
        <v>0</v>
      </c>
      <c r="L83" s="184">
        <f>SUMIFS(GL_BS!$G:$G,GL_BS!$R:$R,'Global TARF'!$A$69,GL_BS!$S:$S,'Global TARF'!$A83,GL_BS!$A:$A,'Global TARF'!L$8)</f>
        <v>0</v>
      </c>
      <c r="M83" s="536">
        <f>SUMIFS(GL_BS!$G:$G,GL_BS!$R:$R,'Global TARF'!$A$69,GL_BS!$S:$S,'Global TARF'!$A83,GL_BS!$A:$A,'Global TARF'!M$8)</f>
        <v>0</v>
      </c>
      <c r="N83" s="552"/>
      <c r="P83" s="545">
        <f>SUMIFS(GL_PL!$G:$G,GL_PL!$Q:$Q,'Global TARF'!$A$69,GL_PL!$R:$R,'Global TARF'!$A83,GL_PL!$A:$A,'Global TARF'!P$8)</f>
        <v>0</v>
      </c>
      <c r="Q83" s="184">
        <f>SUMIFS(GL_PL!$G:$G,GL_PL!$Q:$Q,'Global TARF'!$A$69,GL_PL!$R:$R,'Global TARF'!$A83,GL_PL!$A:$A,'Global TARF'!Q$8)</f>
        <v>0</v>
      </c>
      <c r="R83" s="184">
        <f>SUMIFS(GL_PL!$G:$G,GL_PL!$Q:$Q,'Global TARF'!$A$69,GL_PL!$R:$R,'Global TARF'!$A83,GL_PL!$A:$A,'Global TARF'!R$8)</f>
        <v>0</v>
      </c>
      <c r="S83" s="536">
        <f>SUMIFS(GL_PL!$G:$G,GL_PL!$Q:$Q,'Global TARF'!$A$69,GL_PL!$R:$R,'Global TARF'!$A83,GL_PL!$A:$A,'Global TARF'!S$8)</f>
        <v>0</v>
      </c>
      <c r="T83" s="186">
        <f>-C83</f>
        <v>-84501.000041439285</v>
      </c>
      <c r="Z83" s="582">
        <f t="shared" si="102"/>
        <v>0</v>
      </c>
    </row>
    <row r="84" spans="1:26" x14ac:dyDescent="0.2">
      <c r="A84" s="534" t="s">
        <v>4481</v>
      </c>
      <c r="B84" s="184">
        <f>SUMIFS(GL_BS!$G:$G,GL_BS!$R:$R,'Global TARF'!$A$69,GL_BS!$S:$S,'Global TARF'!$A84,GL_BS!$A:$A,'Global TARF'!B$38)</f>
        <v>0</v>
      </c>
      <c r="C84" s="184">
        <f>SUMIFS(GL_BS!$G:$G,GL_BS!$R:$R,'Global TARF'!$A$69,GL_BS!$S:$S,'Global TARF'!$A84,GL_BS!$A:$A,'Global TARF'!C$8)</f>
        <v>820900.00040256931</v>
      </c>
      <c r="D84" s="184">
        <f>SUMIFS(GL_BS!$G:$G,GL_BS!$R:$R,'Global TARF'!$A$69,GL_BS!$S:$S,'Global TARF'!$A84,GL_BS!$A:$A,'Global TARF'!D$8)</f>
        <v>0</v>
      </c>
      <c r="E84" s="184">
        <f>SUMIFS(GL_BS!$G:$G,GL_BS!$R:$R,'Global TARF'!$A$69,GL_BS!$S:$S,'Global TARF'!$A84,GL_BS!$A:$A,'Global TARF'!E$8)</f>
        <v>0</v>
      </c>
      <c r="F84" s="184"/>
      <c r="G84" s="536">
        <f>SUMIFS(GL_BS!$G:$G,GL_BS!$R:$R,'Global TARF'!$A$69,GL_BS!$S:$S,'Global TARF'!$A84,GL_BS!$A:$A,'Global TARF'!G$8)</f>
        <v>0</v>
      </c>
      <c r="H84" s="545">
        <f>SUMIFS(GL_BS!$G:$G,GL_BS!$R:$R,'Global TARF'!$A$69,GL_BS!$S:$S,'Global TARF'!$A84,GL_BS!$A:$A,'Global TARF'!H$8)</f>
        <v>0</v>
      </c>
      <c r="I84" s="184">
        <f>SUMIFS(GL_BS!$G:$G,GL_BS!$R:$R,'Global TARF'!$A$69,GL_BS!$S:$S,'Global TARF'!$A84,GL_BS!$A:$A,'Global TARF'!I$8)</f>
        <v>0</v>
      </c>
      <c r="J84" s="184">
        <f>SUMIFS(GL_BS!$G:$G,GL_BS!$R:$R,'Global TARF'!$A$69,GL_BS!$S:$S,'Global TARF'!$A84,GL_BS!$A:$A,'Global TARF'!J$8)</f>
        <v>0</v>
      </c>
      <c r="K84" s="184">
        <f>SUMIFS(GL_BS!$G:$G,GL_BS!$R:$R,'Global TARF'!$A$69,GL_BS!$S:$S,'Global TARF'!$A84,GL_BS!$A:$A,'Global TARF'!K$8)</f>
        <v>0</v>
      </c>
      <c r="L84" s="184">
        <f>SUMIFS(GL_BS!$G:$G,GL_BS!$R:$R,'Global TARF'!$A$69,GL_BS!$S:$S,'Global TARF'!$A84,GL_BS!$A:$A,'Global TARF'!L$8)</f>
        <v>0</v>
      </c>
      <c r="M84" s="536">
        <f>SUMIFS(GL_BS!$G:$G,GL_BS!$R:$R,'Global TARF'!$A$69,GL_BS!$S:$S,'Global TARF'!$A84,GL_BS!$A:$A,'Global TARF'!M$8)</f>
        <v>0</v>
      </c>
      <c r="N84" s="552"/>
      <c r="P84" s="545">
        <f>SUMIFS(GL_PL!$G:$G,GL_PL!$Q:$Q,'Global TARF'!$A$69,GL_PL!$R:$R,'Global TARF'!$A84,GL_PL!$A:$A,'Global TARF'!P$8)</f>
        <v>0</v>
      </c>
      <c r="Q84" s="184">
        <f>SUMIFS(GL_PL!$G:$G,GL_PL!$Q:$Q,'Global TARF'!$A$69,GL_PL!$R:$R,'Global TARF'!$A84,GL_PL!$A:$A,'Global TARF'!Q$8)</f>
        <v>0</v>
      </c>
      <c r="R84" s="184">
        <f>SUMIFS(GL_PL!$G:$G,GL_PL!$Q:$Q,'Global TARF'!$A$69,GL_PL!$R:$R,'Global TARF'!$A84,GL_PL!$A:$A,'Global TARF'!R$8)</f>
        <v>0</v>
      </c>
      <c r="S84" s="536">
        <f>SUMIFS(GL_PL!$G:$G,GL_PL!$Q:$Q,'Global TARF'!$A$69,GL_PL!$R:$R,'Global TARF'!$A84,GL_PL!$A:$A,'Global TARF'!S$8)</f>
        <v>0</v>
      </c>
      <c r="T84" s="24">
        <v>-820900</v>
      </c>
      <c r="Z84" s="582">
        <f t="shared" si="102"/>
        <v>4.0256930515170097E-4</v>
      </c>
    </row>
    <row r="85" spans="1:26" x14ac:dyDescent="0.2">
      <c r="A85" t="s">
        <v>4569</v>
      </c>
      <c r="B85" s="184">
        <f>SUMIFS(GL_BS!$G:$G,GL_BS!$R:$R,'Global TARF'!$A$69,GL_BS!$S:$S,'Global TARF'!$A85,GL_BS!$A:$A,'Global TARF'!B$38)</f>
        <v>0</v>
      </c>
      <c r="C85" s="184">
        <f>SUMIFS(GL_BS!$G:$G,GL_BS!$R:$R,'Global TARF'!$A$69,GL_BS!$S:$S,'Global TARF'!$A85,GL_BS!$A:$A,'Global TARF'!C$8)</f>
        <v>0</v>
      </c>
      <c r="D85" s="184">
        <f>SUMIFS(GL_BS!$G:$G,GL_BS!$R:$R,'Global TARF'!$A$69,GL_BS!$S:$S,'Global TARF'!$A85,GL_BS!$A:$A,'Global TARF'!D$8)</f>
        <v>0</v>
      </c>
      <c r="E85" s="184">
        <f>SUMIFS(GL_BS!$G:$G,GL_BS!$R:$R,'Global TARF'!$A$69,GL_BS!$S:$S,'Global TARF'!$A85,GL_BS!$A:$A,'Global TARF'!E$8)</f>
        <v>0</v>
      </c>
      <c r="F85" s="184"/>
      <c r="G85" s="536">
        <f>SUMIFS(GL_BS!$G:$G,GL_BS!$R:$R,'Global TARF'!$A$69,GL_BS!$S:$S,'Global TARF'!$A85,GL_BS!$A:$A,'Global TARF'!G$8)</f>
        <v>0</v>
      </c>
      <c r="H85" s="545">
        <f>SUMIFS(GL_BS!$G:$G,GL_BS!$R:$R,'Global TARF'!$A$69,GL_BS!$S:$S,'Global TARF'!$A85,GL_BS!$A:$A,'Global TARF'!H$8)</f>
        <v>0</v>
      </c>
      <c r="I85" s="184">
        <f>SUMIFS(GL_BS!$G:$G,GL_BS!$R:$R,'Global TARF'!$A$69,GL_BS!$S:$S,'Global TARF'!$A85,GL_BS!$A:$A,'Global TARF'!I$8)</f>
        <v>0</v>
      </c>
      <c r="J85" s="184">
        <f>SUMIFS(GL_BS!$G:$G,GL_BS!$R:$R,'Global TARF'!$A$69,GL_BS!$S:$S,'Global TARF'!$A85,GL_BS!$A:$A,'Global TARF'!J$8)</f>
        <v>0</v>
      </c>
      <c r="K85" s="184">
        <f>SUMIFS(GL_BS!$G:$G,GL_BS!$R:$R,'Global TARF'!$A$69,GL_BS!$S:$S,'Global TARF'!$A85,GL_BS!$A:$A,'Global TARF'!K$8)</f>
        <v>0</v>
      </c>
      <c r="L85" s="184">
        <f>SUMIFS(GL_BS!$G:$G,GL_BS!$R:$R,'Global TARF'!$A$69,GL_BS!$S:$S,'Global TARF'!$A85,GL_BS!$A:$A,'Global TARF'!L$8)</f>
        <v>0</v>
      </c>
      <c r="M85" s="536">
        <f>SUMIFS(GL_BS!$G:$G,GL_BS!$R:$R,'Global TARF'!$A$69,GL_BS!$S:$S,'Global TARF'!$A85,GL_BS!$A:$A,'Global TARF'!M$8)</f>
        <v>0</v>
      </c>
      <c r="N85" s="552"/>
      <c r="P85" s="545">
        <f>SUMIFS(GL_PL!$G:$G,GL_PL!$Q:$Q,'Global TARF'!$A$69,GL_PL!$R:$R,'Global TARF'!$A85,GL_PL!$A:$A,'Global TARF'!P$8)</f>
        <v>0</v>
      </c>
      <c r="Q85" s="184">
        <f>SUMIFS(GL_PL!$G:$G,GL_PL!$Q:$Q,'Global TARF'!$A$69,GL_PL!$R:$R,'Global TARF'!$A85,GL_PL!$A:$A,'Global TARF'!Q$8)</f>
        <v>0</v>
      </c>
      <c r="R85" s="184">
        <f>SUMIFS(GL_PL!$G:$G,GL_PL!$Q:$Q,'Global TARF'!$A$69,GL_PL!$R:$R,'Global TARF'!$A85,GL_PL!$A:$A,'Global TARF'!R$8)</f>
        <v>0</v>
      </c>
      <c r="S85" s="536">
        <f>SUMIFS(GL_PL!$G:$G,GL_PL!$Q:$Q,'Global TARF'!$A$69,GL_PL!$R:$R,'Global TARF'!$A85,GL_PL!$A:$A,'Global TARF'!S$8)</f>
        <v>0</v>
      </c>
      <c r="T85"/>
      <c r="Z85" s="582">
        <f t="shared" si="102"/>
        <v>0</v>
      </c>
    </row>
    <row r="86" spans="1:26" x14ac:dyDescent="0.2">
      <c r="A86" t="s">
        <v>4587</v>
      </c>
      <c r="B86" s="184">
        <f>SUMIFS(GL_BS!$G:$G,GL_BS!$R:$R,'Global TARF'!$A$69,GL_BS!$S:$S,'Global TARF'!$A86,GL_BS!$A:$A,'Global TARF'!B$38)</f>
        <v>0</v>
      </c>
      <c r="C86" s="184">
        <f>SUMIFS(GL_BS!$G:$G,GL_BS!$R:$R,'Global TARF'!$A$69,GL_BS!$S:$S,'Global TARF'!$A86,GL_BS!$A:$A,'Global TARF'!C$8)</f>
        <v>0</v>
      </c>
      <c r="D86" s="184">
        <f>SUMIFS(GL_BS!$G:$G,GL_BS!$R:$R,'Global TARF'!$A$69,GL_BS!$S:$S,'Global TARF'!$A86,GL_BS!$A:$A,'Global TARF'!D$8)</f>
        <v>0</v>
      </c>
      <c r="E86" s="184">
        <f>SUMIFS(GL_BS!$G:$G,GL_BS!$R:$R,'Global TARF'!$A$69,GL_BS!$S:$S,'Global TARF'!$A86,GL_BS!$A:$A,'Global TARF'!E$8)</f>
        <v>0</v>
      </c>
      <c r="F86" s="184"/>
      <c r="G86" s="536">
        <f>SUMIFS(GL_BS!$G:$G,GL_BS!$R:$R,'Global TARF'!$A$69,GL_BS!$S:$S,'Global TARF'!$A86,GL_BS!$A:$A,'Global TARF'!G$8)</f>
        <v>0</v>
      </c>
      <c r="H86" s="545">
        <f>SUMIFS(GL_BS!$G:$G,GL_BS!$R:$R,'Global TARF'!$A$69,GL_BS!$S:$S,'Global TARF'!$A86,GL_BS!$A:$A,'Global TARF'!H$8)</f>
        <v>0</v>
      </c>
      <c r="I86" s="184">
        <f>SUMIFS(GL_BS!$G:$G,GL_BS!$R:$R,'Global TARF'!$A$69,GL_BS!$S:$S,'Global TARF'!$A86,GL_BS!$A:$A,'Global TARF'!I$8)</f>
        <v>0</v>
      </c>
      <c r="J86" s="184">
        <f>SUMIFS(GL_BS!$G:$G,GL_BS!$R:$R,'Global TARF'!$A$69,GL_BS!$S:$S,'Global TARF'!$A86,GL_BS!$A:$A,'Global TARF'!J$8)</f>
        <v>0</v>
      </c>
      <c r="K86" s="184">
        <f>SUMIFS(GL_BS!$G:$G,GL_BS!$R:$R,'Global TARF'!$A$69,GL_BS!$S:$S,'Global TARF'!$A86,GL_BS!$A:$A,'Global TARF'!K$8)</f>
        <v>0</v>
      </c>
      <c r="L86" s="184">
        <f>SUMIFS(GL_BS!$G:$G,GL_BS!$R:$R,'Global TARF'!$A$69,GL_BS!$S:$S,'Global TARF'!$A86,GL_BS!$A:$A,'Global TARF'!L$8)</f>
        <v>0</v>
      </c>
      <c r="M86" s="536">
        <f>SUMIFS(GL_BS!$G:$G,GL_BS!$R:$R,'Global TARF'!$A$69,GL_BS!$S:$S,'Global TARF'!$A86,GL_BS!$A:$A,'Global TARF'!M$8)</f>
        <v>0</v>
      </c>
      <c r="N86" s="552"/>
      <c r="P86" s="545">
        <f>SUMIFS(GL_PL!$G:$G,GL_PL!$Q:$Q,'Global TARF'!$A$69,GL_PL!$R:$R,'Global TARF'!$A86,GL_PL!$A:$A,'Global TARF'!P$8)</f>
        <v>0</v>
      </c>
      <c r="Q86" s="184">
        <f>SUMIFS(GL_PL!$G:$G,GL_PL!$Q:$Q,'Global TARF'!$A$69,GL_PL!$R:$R,'Global TARF'!$A86,GL_PL!$A:$A,'Global TARF'!Q$8)</f>
        <v>0</v>
      </c>
      <c r="R86" s="184">
        <f>SUMIFS(GL_PL!$G:$G,GL_PL!$Q:$Q,'Global TARF'!$A$69,GL_PL!$R:$R,'Global TARF'!$A86,GL_PL!$A:$A,'Global TARF'!R$8)</f>
        <v>0</v>
      </c>
      <c r="S86" s="536">
        <f>SUMIFS(GL_PL!$G:$G,GL_PL!$Q:$Q,'Global TARF'!$A$69,GL_PL!$R:$R,'Global TARF'!$A86,GL_PL!$A:$A,'Global TARF'!S$8)</f>
        <v>0</v>
      </c>
      <c r="T86"/>
      <c r="Z86" s="582"/>
    </row>
    <row r="87" spans="1:26" x14ac:dyDescent="0.2">
      <c r="A87" t="s">
        <v>4369</v>
      </c>
      <c r="B87" s="184">
        <f>SUMIFS(GL_BS!$G:$G,GL_BS!$R:$R,'Global TARF'!$A$69,GL_BS!$S:$S,'Global TARF'!$A87,GL_BS!$A:$A,'Global TARF'!B$38)</f>
        <v>0</v>
      </c>
      <c r="C87" s="184">
        <f>SUMIFS(GL_BS!$G:$G,GL_BS!$R:$R,'Global TARF'!$A$69,GL_BS!$S:$S,'Global TARF'!$A87,GL_BS!$A:$A,'Global TARF'!C$8)</f>
        <v>0</v>
      </c>
      <c r="D87" s="184">
        <f>SUMIFS(GL_BS!$G:$G,GL_BS!$R:$R,'Global TARF'!$A$69,GL_BS!$S:$S,'Global TARF'!$A87,GL_BS!$A:$A,'Global TARF'!D$8)</f>
        <v>0</v>
      </c>
      <c r="E87" s="184">
        <f>SUMIFS(GL_BS!$G:$G,GL_BS!$R:$R,'Global TARF'!$A$69,GL_BS!$S:$S,'Global TARF'!$A87,GL_BS!$A:$A,'Global TARF'!E$8)</f>
        <v>0</v>
      </c>
      <c r="F87" s="184"/>
      <c r="G87" s="536">
        <f>SUMIFS(GL_BS!$G:$G,GL_BS!$R:$R,'Global TARF'!$A$69,GL_BS!$S:$S,'Global TARF'!$A87,GL_BS!$A:$A,'Global TARF'!G$8)</f>
        <v>0</v>
      </c>
      <c r="H87" s="545">
        <f>SUMIFS(GL_BS!$G:$G,GL_BS!$R:$R,'Global TARF'!$A$69,GL_BS!$S:$S,'Global TARF'!$A87,GL_BS!$A:$A,'Global TARF'!H$8)</f>
        <v>0</v>
      </c>
      <c r="I87" s="184">
        <f>SUMIFS(GL_BS!$G:$G,GL_BS!$R:$R,'Global TARF'!$A$69,GL_BS!$S:$S,'Global TARF'!$A87,GL_BS!$A:$A,'Global TARF'!I$8)</f>
        <v>0</v>
      </c>
      <c r="J87" s="184">
        <f>SUMIFS(GL_BS!$G:$G,GL_BS!$R:$R,'Global TARF'!$A$69,GL_BS!$S:$S,'Global TARF'!$A87,GL_BS!$A:$A,'Global TARF'!J$8)</f>
        <v>0</v>
      </c>
      <c r="K87" s="184">
        <f>SUMIFS(GL_BS!$G:$G,GL_BS!$R:$R,'Global TARF'!$A$69,GL_BS!$S:$S,'Global TARF'!$A87,GL_BS!$A:$A,'Global TARF'!K$8)</f>
        <v>0</v>
      </c>
      <c r="L87" s="184">
        <f>SUMIFS(GL_BS!$G:$G,GL_BS!$R:$R,'Global TARF'!$A$69,GL_BS!$S:$S,'Global TARF'!$A87,GL_BS!$A:$A,'Global TARF'!L$8)</f>
        <v>0</v>
      </c>
      <c r="M87" s="536">
        <f>SUMIFS(GL_BS!$G:$G,GL_BS!$R:$R,'Global TARF'!$A$69,GL_BS!$S:$S,'Global TARF'!$A87,GL_BS!$A:$A,'Global TARF'!M$8)</f>
        <v>0</v>
      </c>
      <c r="N87" s="552"/>
      <c r="P87" s="545">
        <f>SUMIFS(GL_PL!$G:$G,GL_PL!$Q:$Q,'Global TARF'!$A$69,GL_PL!$R:$R,'Global TARF'!$A87,GL_PL!$A:$A,'Global TARF'!P$8)</f>
        <v>0</v>
      </c>
      <c r="Q87" s="184">
        <f>SUMIFS(GL_PL!$G:$G,GL_PL!$Q:$Q,'Global TARF'!$A$69,GL_PL!$R:$R,'Global TARF'!$A87,GL_PL!$A:$A,'Global TARF'!Q$8)</f>
        <v>0</v>
      </c>
      <c r="R87" s="184">
        <f>SUMIFS(GL_PL!$G:$G,GL_PL!$Q:$Q,'Global TARF'!$A$69,GL_PL!$R:$R,'Global TARF'!$A87,GL_PL!$A:$A,'Global TARF'!R$8)</f>
        <v>0</v>
      </c>
      <c r="S87" s="536">
        <f>SUMIFS(GL_PL!$G:$G,GL_PL!$Q:$Q,'Global TARF'!$A$69,GL_PL!$R:$R,'Global TARF'!$A87,GL_PL!$A:$A,'Global TARF'!S$8)</f>
        <v>0</v>
      </c>
      <c r="T87"/>
      <c r="Z87" s="582"/>
    </row>
    <row r="88" spans="1:26" x14ac:dyDescent="0.2">
      <c r="A88" s="534" t="s">
        <v>799</v>
      </c>
      <c r="B88" s="184">
        <f>SUMIFS(GL_BS!$G:$G,GL_BS!$R:$R,'Global TARF'!$A$69,GL_BS!$S:$S,'Global TARF'!$A88,GL_BS!$A:$A,'Global TARF'!B$38)</f>
        <v>0</v>
      </c>
      <c r="C88" s="184">
        <f>SUMIFS(GL_BS!$G:$G,GL_BS!$R:$R,'Global TARF'!$A$69,GL_BS!$S:$S,'Global TARF'!$A88,GL_BS!$A:$A,'Global TARF'!C$8)</f>
        <v>0</v>
      </c>
      <c r="D88" s="184">
        <f>SUMIFS(GL_BS!$G:$G,GL_BS!$R:$R,'Global TARF'!$A$69,GL_BS!$S:$S,'Global TARF'!$A88,GL_BS!$A:$A,'Global TARF'!D$8)</f>
        <v>0</v>
      </c>
      <c r="E88" s="184">
        <f>SUMIFS(GL_BS!$G:$G,GL_BS!$R:$R,'Global TARF'!$A$69,GL_BS!$S:$S,'Global TARF'!$A88,GL_BS!$A:$A,'Global TARF'!E$8)</f>
        <v>0</v>
      </c>
      <c r="F88" s="184"/>
      <c r="G88" s="536">
        <f>SUMIFS(GL_BS!$G:$G,GL_BS!$R:$R,'Global TARF'!$A$69,GL_BS!$S:$S,'Global TARF'!$A88,GL_BS!$A:$A,'Global TARF'!G$8)</f>
        <v>0</v>
      </c>
      <c r="H88" s="545">
        <f>SUMIFS(GL_BS!$G:$G,GL_BS!$R:$R,'Global TARF'!$A$69,GL_BS!$S:$S,'Global TARF'!$A88,GL_BS!$A:$A,'Global TARF'!H$8)</f>
        <v>0</v>
      </c>
      <c r="I88" s="184">
        <f>SUMIFS(GL_BS!$G:$G,GL_BS!$R:$R,'Global TARF'!$A$69,GL_BS!$S:$S,'Global TARF'!$A88,GL_BS!$A:$A,'Global TARF'!I$8)</f>
        <v>0</v>
      </c>
      <c r="J88" s="184">
        <f>SUMIFS(GL_BS!$G:$G,GL_BS!$R:$R,'Global TARF'!$A$69,GL_BS!$S:$S,'Global TARF'!$A88,GL_BS!$A:$A,'Global TARF'!J$8)</f>
        <v>0</v>
      </c>
      <c r="K88" s="184">
        <f>SUMIFS(GL_BS!$G:$G,GL_BS!$R:$R,'Global TARF'!$A$69,GL_BS!$S:$S,'Global TARF'!$A88,GL_BS!$A:$A,'Global TARF'!K$8)</f>
        <v>0</v>
      </c>
      <c r="L88" s="184">
        <f>SUMIFS(GL_BS!$G:$G,GL_BS!$R:$R,'Global TARF'!$A$69,GL_BS!$S:$S,'Global TARF'!$A88,GL_BS!$A:$A,'Global TARF'!L$8)</f>
        <v>0</v>
      </c>
      <c r="M88" s="536">
        <f>SUMIFS(GL_BS!$G:$G,GL_BS!$R:$R,'Global TARF'!$A$69,GL_BS!$S:$S,'Global TARF'!$A88,GL_BS!$A:$A,'Global TARF'!M$8)</f>
        <v>0</v>
      </c>
      <c r="N88" s="552"/>
      <c r="P88" s="545">
        <f>SUMIFS(GL_PL!$G:$G,GL_PL!$Q:$Q,'Global TARF'!$A$69,GL_PL!$R:$R,'Global TARF'!$A88,GL_PL!$A:$A,'Global TARF'!P$8)</f>
        <v>0</v>
      </c>
      <c r="Q88" s="184">
        <f>SUMIFS(GL_PL!$G:$G,GL_PL!$Q:$Q,'Global TARF'!$A$69,GL_PL!$R:$R,'Global TARF'!$A88,GL_PL!$A:$A,'Global TARF'!Q$8)</f>
        <v>0</v>
      </c>
      <c r="R88" s="184">
        <f>SUMIFS(GL_PL!$G:$G,GL_PL!$Q:$Q,'Global TARF'!$A$69,GL_PL!$R:$R,'Global TARF'!$A88,GL_PL!$A:$A,'Global TARF'!R$8)</f>
        <v>0</v>
      </c>
      <c r="S88" s="536">
        <f>SUMIFS(GL_PL!$G:$G,GL_PL!$Q:$Q,'Global TARF'!$A$69,GL_PL!$R:$R,'Global TARF'!$A88,GL_PL!$A:$A,'Global TARF'!S$8)</f>
        <v>0</v>
      </c>
      <c r="T88"/>
      <c r="Z88" s="582"/>
    </row>
    <row r="89" spans="1:26" x14ac:dyDescent="0.2">
      <c r="A89" s="534" t="s">
        <v>3845</v>
      </c>
      <c r="B89" s="184">
        <f>SUMIFS(GL_BS!$G:$G,GL_BS!$R:$R,'Global TARF'!$A$69,GL_BS!$S:$S,'Global TARF'!$A89,GL_BS!$A:$A,'Global TARF'!B$38)</f>
        <v>0</v>
      </c>
      <c r="C89" s="184">
        <f>SUMIFS(GL_BS!$G:$G,GL_BS!$R:$R,'Global TARF'!$A$69,GL_BS!$S:$S,'Global TARF'!$A89,GL_BS!$A:$A,'Global TARF'!C$8)</f>
        <v>0</v>
      </c>
      <c r="D89" s="184">
        <f>SUMIFS(GL_BS!$G:$G,GL_BS!$R:$R,'Global TARF'!$A$69,GL_BS!$S:$S,'Global TARF'!$A89,GL_BS!$A:$A,'Global TARF'!D$8)</f>
        <v>0</v>
      </c>
      <c r="E89" s="184">
        <f>SUMIFS(GL_BS!$G:$G,GL_BS!$R:$R,'Global TARF'!$A$69,GL_BS!$S:$S,'Global TARF'!$A89,GL_BS!$A:$A,'Global TARF'!E$8)</f>
        <v>0</v>
      </c>
      <c r="F89" s="184"/>
      <c r="G89" s="536">
        <f>SUMIFS(GL_BS!$G:$G,GL_BS!$R:$R,'Global TARF'!$A$69,GL_BS!$S:$S,'Global TARF'!$A89,GL_BS!$A:$A,'Global TARF'!G$8)</f>
        <v>0</v>
      </c>
      <c r="H89" s="545">
        <f>SUMIFS(GL_BS!$G:$G,GL_BS!$R:$R,'Global TARF'!$A$69,GL_BS!$S:$S,'Global TARF'!$A89,GL_BS!$A:$A,'Global TARF'!H$8)</f>
        <v>0</v>
      </c>
      <c r="I89" s="184">
        <f>SUMIFS(GL_BS!$G:$G,GL_BS!$R:$R,'Global TARF'!$A$69,GL_BS!$S:$S,'Global TARF'!$A89,GL_BS!$A:$A,'Global TARF'!I$8)</f>
        <v>0</v>
      </c>
      <c r="J89" s="184">
        <f>SUMIFS(GL_BS!$G:$G,GL_BS!$R:$R,'Global TARF'!$A$69,GL_BS!$S:$S,'Global TARF'!$A89,GL_BS!$A:$A,'Global TARF'!J$8)</f>
        <v>0</v>
      </c>
      <c r="K89" s="184">
        <f>SUMIFS(GL_BS!$G:$G,GL_BS!$R:$R,'Global TARF'!$A$69,GL_BS!$S:$S,'Global TARF'!$A89,GL_BS!$A:$A,'Global TARF'!K$8)</f>
        <v>0</v>
      </c>
      <c r="L89" s="184">
        <f>SUMIFS(GL_BS!$G:$G,GL_BS!$R:$R,'Global TARF'!$A$69,GL_BS!$S:$S,'Global TARF'!$A89,GL_BS!$A:$A,'Global TARF'!L$8)</f>
        <v>0</v>
      </c>
      <c r="M89" s="536">
        <f>SUMIFS(GL_BS!$G:$G,GL_BS!$R:$R,'Global TARF'!$A$69,GL_BS!$S:$S,'Global TARF'!$A89,GL_BS!$A:$A,'Global TARF'!M$8)</f>
        <v>0</v>
      </c>
      <c r="N89" s="552"/>
      <c r="P89" s="545">
        <f>SUMIFS(GL_PL!$G:$G,GL_PL!$Q:$Q,'Global TARF'!$A$69,GL_PL!$R:$R,'Global TARF'!$A89,GL_PL!$A:$A,'Global TARF'!P$8)</f>
        <v>0</v>
      </c>
      <c r="Q89" s="184">
        <f>SUMIFS(GL_PL!$G:$G,GL_PL!$Q:$Q,'Global TARF'!$A$69,GL_PL!$R:$R,'Global TARF'!$A89,GL_PL!$A:$A,'Global TARF'!Q$8)</f>
        <v>0</v>
      </c>
      <c r="R89" s="184">
        <f>SUMIFS(GL_PL!$G:$G,GL_PL!$Q:$Q,'Global TARF'!$A$69,GL_PL!$R:$R,'Global TARF'!$A89,GL_PL!$A:$A,'Global TARF'!R$8)</f>
        <v>0</v>
      </c>
      <c r="S89" s="536">
        <f>SUMIFS(GL_PL!$G:$G,GL_PL!$Q:$Q,'Global TARF'!$A$69,GL_PL!$R:$R,'Global TARF'!$A89,GL_PL!$A:$A,'Global TARF'!S$8)</f>
        <v>0</v>
      </c>
      <c r="T89"/>
      <c r="W89" s="26">
        <f>-SUM(P89)</f>
        <v>0</v>
      </c>
      <c r="Z89" s="582">
        <f t="shared" si="102"/>
        <v>0</v>
      </c>
    </row>
    <row r="90" spans="1:26" x14ac:dyDescent="0.2">
      <c r="A90" s="534" t="s">
        <v>792</v>
      </c>
      <c r="B90" s="184">
        <f>SUMIFS(GL_BS!$G:$G,GL_BS!$R:$R,'Global TARF'!$A$69,GL_BS!$S:$S,'Global TARF'!$A90,GL_BS!$A:$A,'Global TARF'!B$38)</f>
        <v>86807.310008284403</v>
      </c>
      <c r="C90" s="184">
        <f>SUMIFS(GL_BS!$G:$G,GL_BS!$R:$R,'Global TARF'!$A$69,GL_BS!$S:$S,'Global TARF'!$A90,GL_BS!$A:$A,'Global TARF'!C$8)</f>
        <v>0</v>
      </c>
      <c r="D90" s="184">
        <f>SUMIFS(GL_BS!$G:$G,GL_BS!$R:$R,'Global TARF'!$A$69,GL_BS!$S:$S,'Global TARF'!$A90,GL_BS!$A:$A,'Global TARF'!D$8)</f>
        <v>0</v>
      </c>
      <c r="E90" s="184">
        <f>SUMIFS(GL_BS!$G:$G,GL_BS!$R:$R,'Global TARF'!$A$69,GL_BS!$S:$S,'Global TARF'!$A90,GL_BS!$A:$A,'Global TARF'!E$8)</f>
        <v>0</v>
      </c>
      <c r="F90" s="184"/>
      <c r="G90" s="536">
        <f>SUMIFS(GL_BS!$G:$G,GL_BS!$R:$R,'Global TARF'!$A$69,GL_BS!$S:$S,'Global TARF'!$A90,GL_BS!$A:$A,'Global TARF'!G$8)</f>
        <v>0</v>
      </c>
      <c r="H90" s="545">
        <f>SUMIFS(GL_BS!$G:$G,GL_BS!$R:$R,'Global TARF'!$A$69,GL_BS!$S:$S,'Global TARF'!$A90,GL_BS!$A:$A,'Global TARF'!H$8)</f>
        <v>0</v>
      </c>
      <c r="I90" s="184">
        <f>SUMIFS(GL_BS!$G:$G,GL_BS!$R:$R,'Global TARF'!$A$69,GL_BS!$S:$S,'Global TARF'!$A90,GL_BS!$A:$A,'Global TARF'!I$8)</f>
        <v>0</v>
      </c>
      <c r="J90" s="184">
        <f>SUMIFS(GL_BS!$G:$G,GL_BS!$R:$R,'Global TARF'!$A$69,GL_BS!$S:$S,'Global TARF'!$A90,GL_BS!$A:$A,'Global TARF'!J$8)</f>
        <v>0</v>
      </c>
      <c r="K90" s="184">
        <f>SUMIFS(GL_BS!$G:$G,GL_BS!$R:$R,'Global TARF'!$A$69,GL_BS!$S:$S,'Global TARF'!$A90,GL_BS!$A:$A,'Global TARF'!K$8)</f>
        <v>0</v>
      </c>
      <c r="L90" s="184">
        <f>SUMIFS(GL_BS!$G:$G,GL_BS!$R:$R,'Global TARF'!$A$69,GL_BS!$S:$S,'Global TARF'!$A90,GL_BS!$A:$A,'Global TARF'!L$8)</f>
        <v>0</v>
      </c>
      <c r="M90" s="536">
        <f>SUMIFS(GL_BS!$G:$G,GL_BS!$R:$R,'Global TARF'!$A$69,GL_BS!$S:$S,'Global TARF'!$A90,GL_BS!$A:$A,'Global TARF'!M$8)</f>
        <v>0</v>
      </c>
      <c r="N90" s="556">
        <f>-SUM(Q90,B90)</f>
        <v>-171.85340305250429</v>
      </c>
      <c r="P90" s="545">
        <f>SUMIFS(GL_PL!$G:$G,GL_PL!$Q:$Q,'Global TARF'!$A$69,GL_PL!$R:$R,'Global TARF'!$A90,GL_PL!$A:$A,'Global TARF'!P$8)</f>
        <v>0</v>
      </c>
      <c r="Q90" s="184">
        <f>SUMIFS(GL_PL!$G:$G,GL_PL!$Q:$Q,'Global TARF'!$A$69,GL_PL!$R:$R,'Global TARF'!$A90,GL_PL!$A:$A,'Global TARF'!Q$8)</f>
        <v>-86635.456605231899</v>
      </c>
      <c r="R90" s="184">
        <f>SUMIFS(GL_PL!$G:$G,GL_PL!$Q:$Q,'Global TARF'!$A$69,GL_PL!$R:$R,'Global TARF'!$A90,GL_PL!$A:$A,'Global TARF'!R$8)</f>
        <v>0</v>
      </c>
      <c r="S90" s="536">
        <f>SUMIFS(GL_PL!$G:$G,GL_PL!$Q:$Q,'Global TARF'!$A$69,GL_PL!$R:$R,'Global TARF'!$A90,GL_PL!$A:$A,'Global TARF'!S$8)</f>
        <v>0</v>
      </c>
      <c r="T90"/>
      <c r="V90" s="26"/>
      <c r="W90" s="26"/>
      <c r="Z90" s="582">
        <f t="shared" si="102"/>
        <v>0</v>
      </c>
    </row>
    <row r="91" spans="1:26" x14ac:dyDescent="0.2">
      <c r="A91" s="534" t="s">
        <v>791</v>
      </c>
      <c r="B91" s="184">
        <f>SUMIFS(GL_BS!$G:$G,GL_BS!$R:$R,'Global TARF'!$A$69,GL_BS!$S:$S,'Global TARF'!$A91,GL_BS!$A:$A,'Global TARF'!B$38)</f>
        <v>0</v>
      </c>
      <c r="C91" s="184">
        <f>SUMIFS(GL_BS!$G:$G,GL_BS!$R:$R,'Global TARF'!$A$69,GL_BS!$S:$S,'Global TARF'!$A91,GL_BS!$A:$A,'Global TARF'!C$8)</f>
        <v>0</v>
      </c>
      <c r="D91" s="184">
        <f>SUMIFS(GL_BS!$G:$G,GL_BS!$R:$R,'Global TARF'!$A$69,GL_BS!$S:$S,'Global TARF'!$A91,GL_BS!$A:$A,'Global TARF'!D$8)</f>
        <v>0</v>
      </c>
      <c r="E91" s="184">
        <f>SUMIFS(GL_BS!$G:$G,GL_BS!$R:$R,'Global TARF'!$A$69,GL_BS!$S:$S,'Global TARF'!$A91,GL_BS!$A:$A,'Global TARF'!E$8)</f>
        <v>0</v>
      </c>
      <c r="F91" s="184"/>
      <c r="G91" s="536">
        <f>SUMIFS(GL_BS!$G:$G,GL_BS!$R:$R,'Global TARF'!$A$69,GL_BS!$S:$S,'Global TARF'!$A91,GL_BS!$A:$A,'Global TARF'!G$8)</f>
        <v>0</v>
      </c>
      <c r="H91" s="545">
        <f>SUMIFS(GL_BS!$G:$G,GL_BS!$R:$R,'Global TARF'!$A$69,GL_BS!$S:$S,'Global TARF'!$A91,GL_BS!$A:$A,'Global TARF'!H$8)</f>
        <v>0</v>
      </c>
      <c r="I91" s="184">
        <f>SUMIFS(GL_BS!$G:$G,GL_BS!$R:$R,'Global TARF'!$A$69,GL_BS!$S:$S,'Global TARF'!$A91,GL_BS!$A:$A,'Global TARF'!I$8)</f>
        <v>0</v>
      </c>
      <c r="J91" s="184">
        <f>SUMIFS(GL_BS!$G:$G,GL_BS!$R:$R,'Global TARF'!$A$69,GL_BS!$S:$S,'Global TARF'!$A91,GL_BS!$A:$A,'Global TARF'!J$8)</f>
        <v>0</v>
      </c>
      <c r="K91" s="184">
        <f>SUMIFS(GL_BS!$G:$G,GL_BS!$R:$R,'Global TARF'!$A$69,GL_BS!$S:$S,'Global TARF'!$A91,GL_BS!$A:$A,'Global TARF'!K$8)</f>
        <v>0</v>
      </c>
      <c r="L91" s="184">
        <f>SUMIFS(GL_BS!$G:$G,GL_BS!$R:$R,'Global TARF'!$A$69,GL_BS!$S:$S,'Global TARF'!$A91,GL_BS!$A:$A,'Global TARF'!L$8)</f>
        <v>0</v>
      </c>
      <c r="M91" s="536">
        <f>SUMIFS(GL_BS!$G:$G,GL_BS!$R:$R,'Global TARF'!$A$69,GL_BS!$S:$S,'Global TARF'!$A91,GL_BS!$A:$A,'Global TARF'!M$8)</f>
        <v>0</v>
      </c>
      <c r="N91" s="552"/>
      <c r="P91" s="545">
        <f>SUMIFS(GL_PL!$G:$G,GL_PL!$Q:$Q,'Global TARF'!$A$69,GL_PL!$R:$R,'Global TARF'!$A91,GL_PL!$A:$A,'Global TARF'!P$8)</f>
        <v>0</v>
      </c>
      <c r="Q91" s="184">
        <f>SUMIFS(GL_PL!$G:$G,GL_PL!$Q:$Q,'Global TARF'!$A$69,GL_PL!$R:$R,'Global TARF'!$A91,GL_PL!$A:$A,'Global TARF'!Q$8)</f>
        <v>189064.78639207623</v>
      </c>
      <c r="R91" s="184">
        <f>SUMIFS(GL_PL!$G:$G,GL_PL!$Q:$Q,'Global TARF'!$A$69,GL_PL!$R:$R,'Global TARF'!$A91,GL_PL!$A:$A,'Global TARF'!R$8)</f>
        <v>0</v>
      </c>
      <c r="S91" s="536">
        <f>SUMIFS(GL_PL!$G:$G,GL_PL!$Q:$Q,'Global TARF'!$A$69,GL_PL!$R:$R,'Global TARF'!$A91,GL_PL!$A:$A,'Global TARF'!S$8)</f>
        <v>0</v>
      </c>
      <c r="T91" s="26">
        <f>-SUM(P91:R91)</f>
        <v>-189064.78639207623</v>
      </c>
      <c r="U91" s="26"/>
      <c r="Z91" s="582">
        <f t="shared" si="102"/>
        <v>0</v>
      </c>
    </row>
    <row r="92" spans="1:26" x14ac:dyDescent="0.2">
      <c r="A92" s="534" t="s">
        <v>243</v>
      </c>
      <c r="B92" s="184">
        <f>SUMIFS(GL_BS!$G:$G,GL_BS!$R:$R,'Global TARF'!$A$69,GL_BS!$S:$S,'Global TARF'!$A92,GL_BS!$A:$A,'Global TARF'!B$38)</f>
        <v>0</v>
      </c>
      <c r="C92" s="184">
        <f>SUMIFS(GL_BS!$G:$G,GL_BS!$R:$R,'Global TARF'!$A$69,GL_BS!$S:$S,'Global TARF'!$A92,GL_BS!$A:$A,'Global TARF'!C$8)</f>
        <v>0</v>
      </c>
      <c r="D92" s="184">
        <f>SUMIFS(GL_BS!$G:$G,GL_BS!$R:$R,'Global TARF'!$A$69,GL_BS!$S:$S,'Global TARF'!$A92,GL_BS!$A:$A,'Global TARF'!D$8)</f>
        <v>0</v>
      </c>
      <c r="E92" s="184">
        <f>SUMIFS(GL_BS!$G:$G,GL_BS!$R:$R,'Global TARF'!$A$69,GL_BS!$S:$S,'Global TARF'!$A92,GL_BS!$A:$A,'Global TARF'!E$8)</f>
        <v>0</v>
      </c>
      <c r="F92" s="184"/>
      <c r="G92" s="536">
        <f>SUMIFS(GL_BS!$G:$G,GL_BS!$R:$R,'Global TARF'!$A$69,GL_BS!$S:$S,'Global TARF'!$A92,GL_BS!$A:$A,'Global TARF'!G$8)</f>
        <v>0</v>
      </c>
      <c r="H92" s="545">
        <f>SUMIFS(GL_BS!$G:$G,GL_BS!$R:$R,'Global TARF'!$A$69,GL_BS!$S:$S,'Global TARF'!$A92,GL_BS!$A:$A,'Global TARF'!H$8)</f>
        <v>0</v>
      </c>
      <c r="I92" s="184">
        <f>SUMIFS(GL_BS!$G:$G,GL_BS!$R:$R,'Global TARF'!$A$69,GL_BS!$S:$S,'Global TARF'!$A92,GL_BS!$A:$A,'Global TARF'!I$8)</f>
        <v>0</v>
      </c>
      <c r="J92" s="184">
        <f>SUMIFS(GL_BS!$G:$G,GL_BS!$R:$R,'Global TARF'!$A$69,GL_BS!$S:$S,'Global TARF'!$A92,GL_BS!$A:$A,'Global TARF'!J$8)</f>
        <v>0</v>
      </c>
      <c r="K92" s="184">
        <f>SUMIFS(GL_BS!$G:$G,GL_BS!$R:$R,'Global TARF'!$A$69,GL_BS!$S:$S,'Global TARF'!$A92,GL_BS!$A:$A,'Global TARF'!K$8)</f>
        <v>0</v>
      </c>
      <c r="L92" s="184">
        <f>SUMIFS(GL_BS!$G:$G,GL_BS!$R:$R,'Global TARF'!$A$69,GL_BS!$S:$S,'Global TARF'!$A92,GL_BS!$A:$A,'Global TARF'!L$8)</f>
        <v>0</v>
      </c>
      <c r="M92" s="536">
        <f>SUMIFS(GL_BS!$G:$G,GL_BS!$R:$R,'Global TARF'!$A$69,GL_BS!$S:$S,'Global TARF'!$A92,GL_BS!$A:$A,'Global TARF'!M$8)</f>
        <v>0</v>
      </c>
      <c r="N92" s="552"/>
      <c r="P92" s="545">
        <f>SUMIFS(GL_PL!$G:$G,GL_PL!$Q:$Q,'Global TARF'!$A$69,GL_PL!$R:$R,'Global TARF'!$A92,GL_PL!$A:$A,'Global TARF'!P$8)</f>
        <v>0</v>
      </c>
      <c r="Q92" s="184">
        <f>SUMIFS(GL_PL!$G:$G,GL_PL!$Q:$Q,'Global TARF'!$A$69,GL_PL!$R:$R,'Global TARF'!$A92,GL_PL!$A:$A,'Global TARF'!Q$8)</f>
        <v>0</v>
      </c>
      <c r="R92" s="184">
        <f>SUMIFS(GL_PL!$G:$G,GL_PL!$Q:$Q,'Global TARF'!$A$69,GL_PL!$R:$R,'Global TARF'!$A92,GL_PL!$A:$A,'Global TARF'!R$8)</f>
        <v>0</v>
      </c>
      <c r="S92" s="536">
        <f>SUMIFS(GL_PL!$G:$G,GL_PL!$Q:$Q,'Global TARF'!$A$69,GL_PL!$R:$R,'Global TARF'!$A92,GL_PL!$A:$A,'Global TARF'!S$8)</f>
        <v>0</v>
      </c>
      <c r="T92"/>
      <c r="Z92" s="582">
        <f t="shared" si="102"/>
        <v>0</v>
      </c>
    </row>
    <row r="93" spans="1:26" x14ac:dyDescent="0.2">
      <c r="A93" s="534" t="s">
        <v>795</v>
      </c>
      <c r="B93" s="184">
        <f>SUMIFS(GL_BS!$G:$G,GL_BS!$R:$R,'Global TARF'!$A$69,GL_BS!$S:$S,'Global TARF'!$A93,GL_BS!$A:$A,'Global TARF'!B$38)</f>
        <v>0</v>
      </c>
      <c r="C93" s="184">
        <f>SUMIFS(GL_BS!$G:$G,GL_BS!$R:$R,'Global TARF'!$A$69,GL_BS!$S:$S,'Global TARF'!$A93,GL_BS!$A:$A,'Global TARF'!C$8)</f>
        <v>0</v>
      </c>
      <c r="D93" s="184">
        <f>SUMIFS(GL_BS!$G:$G,GL_BS!$R:$R,'Global TARF'!$A$69,GL_BS!$S:$S,'Global TARF'!$A93,GL_BS!$A:$A,'Global TARF'!D$8)</f>
        <v>0</v>
      </c>
      <c r="E93" s="184">
        <f>SUMIFS(GL_BS!$G:$G,GL_BS!$R:$R,'Global TARF'!$A$69,GL_BS!$S:$S,'Global TARF'!$A93,GL_BS!$A:$A,'Global TARF'!E$8)</f>
        <v>0</v>
      </c>
      <c r="F93" s="184"/>
      <c r="G93" s="536">
        <f>SUMIFS(GL_BS!$G:$G,GL_BS!$R:$R,'Global TARF'!$A$69,GL_BS!$S:$S,'Global TARF'!$A93,GL_BS!$A:$A,'Global TARF'!G$8)</f>
        <v>0</v>
      </c>
      <c r="H93" s="545">
        <f>SUMIFS(GL_BS!$G:$G,GL_BS!$R:$R,'Global TARF'!$A$69,GL_BS!$S:$S,'Global TARF'!$A93,GL_BS!$A:$A,'Global TARF'!H$8)</f>
        <v>556.85000027307922</v>
      </c>
      <c r="I93" s="184">
        <f>SUMIFS(GL_BS!$G:$G,GL_BS!$R:$R,'Global TARF'!$A$69,GL_BS!$S:$S,'Global TARF'!$A93,GL_BS!$A:$A,'Global TARF'!I$8)</f>
        <v>0</v>
      </c>
      <c r="J93" s="184">
        <f>SUMIFS(GL_BS!$G:$G,GL_BS!$R:$R,'Global TARF'!$A$69,GL_BS!$S:$S,'Global TARF'!$A93,GL_BS!$A:$A,'Global TARF'!J$8)</f>
        <v>0</v>
      </c>
      <c r="K93" s="184">
        <f>SUMIFS(GL_BS!$G:$G,GL_BS!$R:$R,'Global TARF'!$A$69,GL_BS!$S:$S,'Global TARF'!$A93,GL_BS!$A:$A,'Global TARF'!K$8)</f>
        <v>0</v>
      </c>
      <c r="L93" s="184">
        <f>SUMIFS(GL_BS!$G:$G,GL_BS!$R:$R,'Global TARF'!$A$69,GL_BS!$S:$S,'Global TARF'!$A93,GL_BS!$A:$A,'Global TARF'!L$8)</f>
        <v>0</v>
      </c>
      <c r="M93" s="536">
        <f>SUMIFS(GL_BS!$G:$G,GL_BS!$R:$R,'Global TARF'!$A$69,GL_BS!$S:$S,'Global TARF'!$A93,GL_BS!$A:$A,'Global TARF'!M$8)</f>
        <v>0</v>
      </c>
      <c r="N93" s="552"/>
      <c r="P93" s="545">
        <f>SUMIFS(GL_PL!$G:$G,GL_PL!$Q:$Q,'Global TARF'!$A$69,GL_PL!$R:$R,'Global TARF'!$A93,GL_PL!$A:$A,'Global TARF'!P$8)</f>
        <v>6246.6409685125454</v>
      </c>
      <c r="Q93" s="184">
        <f>SUMIFS(GL_PL!$G:$G,GL_PL!$Q:$Q,'Global TARF'!$A$69,GL_PL!$R:$R,'Global TARF'!$A93,GL_PL!$A:$A,'Global TARF'!Q$8)</f>
        <v>0</v>
      </c>
      <c r="R93" s="184">
        <f>SUMIFS(GL_PL!$G:$G,GL_PL!$Q:$Q,'Global TARF'!$A$69,GL_PL!$R:$R,'Global TARF'!$A93,GL_PL!$A:$A,'Global TARF'!R$8)</f>
        <v>0</v>
      </c>
      <c r="S93" s="536">
        <f>SUMIFS(GL_PL!$G:$G,GL_PL!$Q:$Q,'Global TARF'!$A$69,GL_PL!$R:$R,'Global TARF'!$A93,GL_PL!$A:$A,'Global TARF'!S$8)</f>
        <v>0</v>
      </c>
      <c r="T93" s="26">
        <f>-SUM(H93:R93)</f>
        <v>-6803.4909687856243</v>
      </c>
      <c r="U93" s="26"/>
      <c r="Z93" s="582">
        <f t="shared" si="102"/>
        <v>0</v>
      </c>
    </row>
    <row r="94" spans="1:26" ht="10.5" thickBot="1" x14ac:dyDescent="0.25">
      <c r="A94" s="534" t="s">
        <v>793</v>
      </c>
      <c r="B94" s="184">
        <f>SUMIFS(GL_BS!$G:$G,GL_BS!$R:$R,'Global TARF'!$A$69,GL_BS!$S:$S,'Global TARF'!$A94,GL_BS!$A:$A,'Global TARF'!B$38)</f>
        <v>0</v>
      </c>
      <c r="C94" s="184">
        <f>SUMIFS(GL_BS!$G:$G,GL_BS!$R:$R,'Global TARF'!$A$69,GL_BS!$S:$S,'Global TARF'!$A94,GL_BS!$A:$A,'Global TARF'!C$8)</f>
        <v>0</v>
      </c>
      <c r="D94" s="184">
        <f>SUMIFS(GL_BS!$G:$G,GL_BS!$R:$R,'Global TARF'!$A$69,GL_BS!$S:$S,'Global TARF'!$A94,GL_BS!$A:$A,'Global TARF'!D$8)</f>
        <v>0</v>
      </c>
      <c r="E94" s="184">
        <f>SUMIFS(GL_BS!$G:$G,GL_BS!$R:$R,'Global TARF'!$A$69,GL_BS!$S:$S,'Global TARF'!$A94,GL_BS!$A:$A,'Global TARF'!E$8)</f>
        <v>0</v>
      </c>
      <c r="F94" s="184"/>
      <c r="G94" s="536">
        <f>SUMIFS(GL_BS!$G:$G,GL_BS!$R:$R,'Global TARF'!$A$69,GL_BS!$S:$S,'Global TARF'!$A94,GL_BS!$A:$A,'Global TARF'!G$8)</f>
        <v>0</v>
      </c>
      <c r="H94" s="545">
        <f>SUMIFS(GL_BS!$G:$G,GL_BS!$R:$R,'Global TARF'!$A$69,GL_BS!$S:$S,'Global TARF'!$A94,GL_BS!$A:$A,'Global TARF'!H$8)</f>
        <v>0</v>
      </c>
      <c r="I94" s="184">
        <f>SUMIFS(GL_BS!$G:$G,GL_BS!$R:$R,'Global TARF'!$A$69,GL_BS!$S:$S,'Global TARF'!$A94,GL_BS!$A:$A,'Global TARF'!I$8)</f>
        <v>0</v>
      </c>
      <c r="J94" s="184">
        <f>SUMIFS(GL_BS!$G:$G,GL_BS!$R:$R,'Global TARF'!$A$69,GL_BS!$S:$S,'Global TARF'!$A94,GL_BS!$A:$A,'Global TARF'!J$8)</f>
        <v>0</v>
      </c>
      <c r="K94" s="184">
        <f>SUMIFS(GL_BS!$G:$G,GL_BS!$R:$R,'Global TARF'!$A$69,GL_BS!$S:$S,'Global TARF'!$A94,GL_BS!$A:$A,'Global TARF'!K$8)</f>
        <v>0</v>
      </c>
      <c r="L94" s="184">
        <f>SUMIFS(GL_BS!$G:$G,GL_BS!$R:$R,'Global TARF'!$A$69,GL_BS!$S:$S,'Global TARF'!$A94,GL_BS!$A:$A,'Global TARF'!L$8)</f>
        <v>0</v>
      </c>
      <c r="M94" s="536">
        <f>SUMIFS(GL_BS!$G:$G,GL_BS!$R:$R,'Global TARF'!$A$69,GL_BS!$S:$S,'Global TARF'!$A94,GL_BS!$A:$A,'Global TARF'!M$8)</f>
        <v>0</v>
      </c>
      <c r="N94" s="552"/>
      <c r="P94" s="545">
        <f>SUMIFS(GL_PL!$G:$G,GL_PL!$Q:$Q,'Global TARF'!$A$69,GL_PL!$R:$R,'Global TARF'!$A94,GL_PL!$A:$A,'Global TARF'!P$8)</f>
        <v>0</v>
      </c>
      <c r="Q94" s="184">
        <f>SUMIFS(GL_PL!$G:$G,GL_PL!$Q:$Q,'Global TARF'!$A$69,GL_PL!$R:$R,'Global TARF'!$A94,GL_PL!$A:$A,'Global TARF'!Q$8)</f>
        <v>0</v>
      </c>
      <c r="R94" s="184">
        <f>SUMIFS(GL_PL!$G:$G,GL_PL!$Q:$Q,'Global TARF'!$A$69,GL_PL!$R:$R,'Global TARF'!$A94,GL_PL!$A:$A,'Global TARF'!R$8)</f>
        <v>0</v>
      </c>
      <c r="S94" s="536">
        <f>SUMIFS(GL_PL!$G:$G,GL_PL!$Q:$Q,'Global TARF'!$A$69,GL_PL!$R:$R,'Global TARF'!$A94,GL_PL!$A:$A,'Global TARF'!S$8)</f>
        <v>0</v>
      </c>
      <c r="T94" s="26">
        <f>-R94</f>
        <v>0</v>
      </c>
      <c r="U94" s="26"/>
      <c r="Z94" s="582">
        <f t="shared" si="102"/>
        <v>0</v>
      </c>
    </row>
    <row r="95" spans="1:26" s="23" customFormat="1" ht="10.5" thickBot="1" x14ac:dyDescent="0.25">
      <c r="A95" s="563" t="str">
        <f>$A$34</f>
        <v>Balance as of 06/31/2024</v>
      </c>
      <c r="B95" s="564">
        <f>SUM(B71:B94)</f>
        <v>-84991.760422587657</v>
      </c>
      <c r="C95" s="564">
        <f>SUM(C71:C94)</f>
        <v>993045.68067390937</v>
      </c>
      <c r="D95" s="564">
        <f>SUM(D71:D94)</f>
        <v>0</v>
      </c>
      <c r="E95" s="564">
        <f>SUM(E71:E94)</f>
        <v>0</v>
      </c>
      <c r="F95" s="564"/>
      <c r="G95" s="566">
        <f>SUM(G71:G94)</f>
        <v>0</v>
      </c>
      <c r="H95" s="565">
        <f>SUM(H71:H94)</f>
        <v>799.65000039214829</v>
      </c>
      <c r="I95" s="565">
        <f t="shared" ref="I95:K95" si="103">SUM(I71:I94)</f>
        <v>0</v>
      </c>
      <c r="J95" s="565">
        <f t="shared" si="103"/>
        <v>0</v>
      </c>
      <c r="K95" s="565">
        <f t="shared" si="103"/>
        <v>0</v>
      </c>
      <c r="L95" s="564">
        <f t="shared" ref="L95:T95" si="104">SUM(L71:L94)</f>
        <v>0</v>
      </c>
      <c r="M95" s="566">
        <f t="shared" si="104"/>
        <v>-520674.0013058504</v>
      </c>
      <c r="N95" s="567">
        <f t="shared" si="104"/>
        <v>-171.85340305250429</v>
      </c>
      <c r="O95" s="564">
        <f t="shared" si="104"/>
        <v>0</v>
      </c>
      <c r="P95" s="565">
        <f t="shared" si="104"/>
        <v>7557.5409685125451</v>
      </c>
      <c r="Q95" s="564">
        <f t="shared" si="104"/>
        <v>102429.32978684433</v>
      </c>
      <c r="R95" s="564">
        <f t="shared" si="104"/>
        <v>0</v>
      </c>
      <c r="S95" s="566">
        <f t="shared" si="104"/>
        <v>0</v>
      </c>
      <c r="T95" s="564">
        <f t="shared" si="104"/>
        <v>-1102822.9774024202</v>
      </c>
      <c r="U95" s="564"/>
      <c r="V95" s="564"/>
      <c r="W95" s="566"/>
      <c r="X95" s="27"/>
      <c r="Z95" s="583"/>
    </row>
    <row r="96" spans="1:26" x14ac:dyDescent="0.2">
      <c r="A96" s="534" t="s">
        <v>4289</v>
      </c>
      <c r="B96" s="186">
        <f>IFERROR(INDEX('BS_Q2 24'!$A$9:$O$279,MATCH('Global TARF'!B$8,'BS_Q2 24'!$A$9:$A$279,0),MATCH($A$69,'BS_Q2 24'!$A$8:$O$8)),0)</f>
        <v>-84991.760041679954</v>
      </c>
      <c r="C96" s="186">
        <f>IFERROR(INDEX('BS_Q2 24'!$A$9:$O$279,MATCH('Global TARF'!C$8,'BS_Q2 24'!$A$9:$A$279,0),MATCH($A$69,'BS_Q2 24'!$A$8:$O$8)),0)</f>
        <v>993045.68048698956</v>
      </c>
      <c r="D96" s="186">
        <f>IFERROR(INDEX('BS_Q2 24'!$A$9:$O$279,MATCH('Global TARF'!D$8,'BS_Q2 24'!$A$9:$A$279,0),MATCH($A$69,'BS_Q2 24'!$A$8:$O$8)),0)</f>
        <v>0</v>
      </c>
      <c r="E96" s="186">
        <f>IFERROR(INDEX('BS_Q2 24'!$A$9:$O$279,MATCH('Global TARF'!E$8,'BS_Q2 24'!$A$9:$A$279,0),MATCH($A$69,'BS_Q2 24'!$A$8:$O$8)),0)</f>
        <v>0</v>
      </c>
      <c r="F96" s="186">
        <f>IFERROR(INDEX('BS_Q2 24'!$A$9:$O$279,MATCH('Global TARF'!F$8,'BS_Q2 24'!$A$9:$A$279,0),MATCH($A$69,'BS_Q2 24'!$A$8:$O$8)),0)</f>
        <v>0</v>
      </c>
      <c r="G96" s="186">
        <f>IFERROR(INDEX('BS_Q2 24'!$A$9:$O$279,MATCH('Global TARF'!G$8,'BS_Q2 24'!$A$9:$A$279,0),MATCH($A$69,'BS_Q2 24'!$A$8:$O$8)),0)</f>
        <v>0</v>
      </c>
      <c r="H96" s="546">
        <f>-IFERROR(INDEX('BS_Q2 24'!$A$9:$O$272,MATCH('Global TARF'!H$8,'BS_Q2 24'!$A$9:$A$272,0),MATCH($A$69,'BS_Q2 24'!$A$8:$O$8)),0)</f>
        <v>799.6500003921484</v>
      </c>
      <c r="I96" s="546">
        <f>-IFERROR(INDEX('BS_Q2 24'!$A$9:$O$272,MATCH('Global TARF'!I$8,'BS_Q2 24'!$A$9:$A$272,0),MATCH($A$69,'BS_Q2 24'!$A$8:$O$8)),0)</f>
        <v>0</v>
      </c>
      <c r="J96" s="546">
        <f>-IFERROR(INDEX('BS_Q2 24'!$A$9:$O$272,MATCH('Global TARF'!J$8,'BS_Q2 24'!$A$9:$A$272,0),MATCH($A$69,'BS_Q2 24'!$A$8:$O$8)),0)</f>
        <v>0</v>
      </c>
      <c r="K96" s="546">
        <f>-IFERROR(INDEX('BS_Q2 24'!$A$9:$O$272,MATCH('Global TARF'!K$8,'BS_Q2 24'!$A$9:$A$272,0),MATCH($A$69,'BS_Q2 24'!$A$8:$O$8)),0)</f>
        <v>0</v>
      </c>
      <c r="L96" s="546">
        <f>-IFERROR(INDEX('BS_Q2 24'!$A$9:$O$272,MATCH('Global TARF'!L$8,'BS_Q2 24'!$A$9:$A$272,0),MATCH($A$69,'BS_Q2 24'!$A$8:$O$8)),0)</f>
        <v>0</v>
      </c>
      <c r="M96" s="546">
        <f>-IFERROR(INDEX('BS_Q2 24'!$A$9:$O$272,MATCH('Global TARF'!M$8,'BS_Q2 24'!$A$9:$A$272,0),MATCH($A$69,'BS_Q2 24'!$A$8:$O$8)),0)</f>
        <v>-520674.00025533856</v>
      </c>
      <c r="N96" s="554" t="e">
        <f>INDEX('BS_Q2 24'!$A$9:$O$118,MATCH('Global TARF'!N$8,'BS_Q2 24'!$A$9:$A$118,0),MATCH($A$69,'BS_Q2 24'!$A$8:$O$8))</f>
        <v>#N/A</v>
      </c>
      <c r="O96" s="24" t="e">
        <f>INDEX('BS_Q2 24'!$A$9:$O$118,MATCH('Global TARF'!O$8,'BS_Q2 24'!$A$9:$A$118,0),MATCH($A$69,'BS_Q2 24'!$A$8:$O$8))</f>
        <v>#N/A</v>
      </c>
      <c r="P96" s="545">
        <f>-IFERROR(INDEX('IS_Q2 24'!$A$7:$O$700,MATCH('Global TARF'!P$8,'IS_Q2 24'!$A$7:$A$700,0),MATCH($A$69,'IS_Q2 24'!$A$8:$O$8)),0)</f>
        <v>7557.5372834670188</v>
      </c>
      <c r="Q96" s="545">
        <f>-IFERROR(INDEX('IS_Q2 24'!$A$7:$O$700,MATCH('Global TARF'!Q$8,'IS_Q2 24'!$A$7:$A$700,0),MATCH($A$69,'IS_Q2 24'!$A$8:$O$8)),0)</f>
        <v>102429.3297868443</v>
      </c>
      <c r="R96" s="545">
        <f>-IFERROR(INDEX('IS_Q2 24'!$A$7:$O$700,MATCH('Global TARF'!R$8,'IS_Q2 24'!$A$7:$A$700,0),MATCH($A$69,'IS_Q2 24'!$A$8:$O$8)),0)</f>
        <v>0</v>
      </c>
      <c r="S96" s="545">
        <f>-IFERROR(INDEX('IS_Q2 24'!$A$7:$O$700,MATCH('Global TARF'!S$8,'IS_Q2 24'!$A$7:$A$700,0),MATCH($A$69,'IS_Q2 24'!$A$8:$O$8)),0)</f>
        <v>0</v>
      </c>
      <c r="T96"/>
      <c r="Z96" s="580"/>
    </row>
    <row r="97" spans="1:26" x14ac:dyDescent="0.2">
      <c r="A97" s="534"/>
      <c r="B97" t="b">
        <f>ROUND(B95,0)=ROUND(B96,0)</f>
        <v>1</v>
      </c>
      <c r="C97" t="b">
        <f t="shared" ref="C97:R97" si="105">ROUND(C95,0)=ROUND(C96,0)</f>
        <v>1</v>
      </c>
      <c r="D97" t="b">
        <f t="shared" ref="D97" si="106">ROUND(D95,0)=ROUND(D96,0)</f>
        <v>1</v>
      </c>
      <c r="E97" t="b">
        <f t="shared" si="105"/>
        <v>1</v>
      </c>
      <c r="G97" s="535" t="b">
        <f t="shared" si="105"/>
        <v>1</v>
      </c>
      <c r="H97" s="534" t="b">
        <f t="shared" si="105"/>
        <v>1</v>
      </c>
      <c r="I97" s="534" t="b">
        <f t="shared" si="105"/>
        <v>1</v>
      </c>
      <c r="J97" s="534" t="b">
        <f t="shared" si="105"/>
        <v>1</v>
      </c>
      <c r="K97" s="534" t="b">
        <f t="shared" si="105"/>
        <v>1</v>
      </c>
      <c r="L97" t="b">
        <f t="shared" si="105"/>
        <v>1</v>
      </c>
      <c r="M97" s="535" t="b">
        <f t="shared" si="105"/>
        <v>1</v>
      </c>
      <c r="N97" s="552" t="e">
        <f t="shared" si="105"/>
        <v>#N/A</v>
      </c>
      <c r="O97" t="e">
        <f t="shared" si="105"/>
        <v>#N/A</v>
      </c>
      <c r="P97" s="534" t="b">
        <f t="shared" si="105"/>
        <v>1</v>
      </c>
      <c r="Q97" t="b">
        <f t="shared" si="105"/>
        <v>1</v>
      </c>
      <c r="R97" t="b">
        <f t="shared" si="105"/>
        <v>1</v>
      </c>
      <c r="S97" s="535" t="b">
        <f t="shared" ref="S97" si="107">ROUND(S95,0)=ROUND(S96,0)</f>
        <v>1</v>
      </c>
      <c r="T97"/>
      <c r="Z97" s="580"/>
    </row>
    <row r="98" spans="1:26" x14ac:dyDescent="0.2">
      <c r="A98" s="534"/>
      <c r="B98" s="26">
        <f>B95-B96</f>
        <v>-3.8090770249255002E-4</v>
      </c>
      <c r="G98" s="535"/>
      <c r="H98" s="537">
        <f>H95-H96</f>
        <v>0</v>
      </c>
      <c r="M98" s="535"/>
      <c r="N98" s="552"/>
      <c r="P98" s="537">
        <f>P95-P96</f>
        <v>3.6850455262538162E-3</v>
      </c>
      <c r="S98" s="535"/>
      <c r="T98"/>
      <c r="Z98" s="580"/>
    </row>
    <row r="99" spans="1:26" x14ac:dyDescent="0.2">
      <c r="A99" s="534"/>
      <c r="G99" s="535"/>
      <c r="H99" s="534"/>
      <c r="M99" s="535"/>
      <c r="N99" s="552"/>
      <c r="P99" s="534"/>
      <c r="S99" s="535"/>
      <c r="T99"/>
      <c r="Z99" s="580"/>
    </row>
    <row r="100" spans="1:26" x14ac:dyDescent="0.2">
      <c r="A100" s="534"/>
      <c r="G100" s="535"/>
      <c r="H100" s="534"/>
      <c r="M100" s="535"/>
      <c r="N100" s="552"/>
      <c r="P100" s="534"/>
      <c r="S100" s="535"/>
      <c r="T100"/>
      <c r="Z100" s="580"/>
    </row>
    <row r="101" spans="1:26" s="17" customFormat="1" ht="10.5" x14ac:dyDescent="0.25">
      <c r="A101" s="562">
        <v>202</v>
      </c>
      <c r="B101" s="558" t="s">
        <v>342</v>
      </c>
      <c r="C101" s="558" t="s">
        <v>220</v>
      </c>
      <c r="D101" s="558" t="str">
        <f>$D$8</f>
        <v>145700 - Income tax receivable - Long Term</v>
      </c>
      <c r="E101" s="558" t="s">
        <v>378</v>
      </c>
      <c r="F101" s="558" t="s">
        <v>427</v>
      </c>
      <c r="G101" s="559" t="s">
        <v>415</v>
      </c>
      <c r="H101" s="558" t="s">
        <v>240</v>
      </c>
      <c r="I101" s="558" t="s">
        <v>467</v>
      </c>
      <c r="J101" s="558" t="s">
        <v>4397</v>
      </c>
      <c r="K101" s="558" t="s">
        <v>4396</v>
      </c>
      <c r="L101" s="559" t="s">
        <v>502</v>
      </c>
      <c r="M101" s="559" t="s">
        <v>503</v>
      </c>
      <c r="N101" s="560" t="s">
        <v>877</v>
      </c>
      <c r="O101" s="561"/>
      <c r="P101" s="558" t="s">
        <v>20</v>
      </c>
      <c r="Q101" s="561" t="s">
        <v>57</v>
      </c>
      <c r="R101" s="561" t="s">
        <v>183</v>
      </c>
      <c r="S101" s="561" t="s">
        <v>3623</v>
      </c>
      <c r="T101" s="561" t="s">
        <v>4268</v>
      </c>
      <c r="U101" s="561" t="s">
        <v>4269</v>
      </c>
      <c r="V101" s="561" t="s">
        <v>794</v>
      </c>
      <c r="W101" s="561" t="s">
        <v>793</v>
      </c>
      <c r="Z101" s="579"/>
    </row>
    <row r="102" spans="1:26" ht="11" thickBot="1" x14ac:dyDescent="0.3">
      <c r="A102" s="538" t="s">
        <v>800</v>
      </c>
      <c r="G102" s="535"/>
      <c r="H102" s="534"/>
      <c r="M102" s="535"/>
      <c r="N102" s="550"/>
      <c r="P102" s="534"/>
      <c r="S102" s="535"/>
      <c r="T102"/>
      <c r="Z102" s="580"/>
    </row>
    <row r="103" spans="1:26" s="23" customFormat="1" ht="10.5" thickBot="1" x14ac:dyDescent="0.25">
      <c r="A103" s="563" t="str">
        <f>A10</f>
        <v>Balance as of 12/31/2023</v>
      </c>
      <c r="B103" s="564">
        <f>IFERROR(INDEX(BS_2023!$A$8:$O$271,MATCH('Global TARF'!B$8,BS_2023!$A$8:$A$271,0),MATCH($A$101,BS_2023!$A$7:$O$7)),0)</f>
        <v>0</v>
      </c>
      <c r="C103" s="564">
        <f>IFERROR(INDEX(BS_2023!$A$8:$O$271,MATCH('Global TARF'!C$8,BS_2023!$A$8:$A$271,0),MATCH($A$101,BS_2023!$A$7:$O$7)),0)</f>
        <v>0</v>
      </c>
      <c r="D103" s="564">
        <f>IFERROR(INDEX(BS_2023!$A$8:$O$271,MATCH('Global TARF'!D$8,BS_2023!$A$8:$A$271,0),MATCH($A$101,BS_2023!$A$7:$O$7)),0)</f>
        <v>0</v>
      </c>
      <c r="E103" s="564">
        <f>IFERROR(INDEX(BS_2023!$A$8:$O$271,MATCH('Global TARF'!E$8,BS_2023!$A$8:$A$271,0),MATCH($A$101,BS_2023!$A$7:$O$7)),0)</f>
        <v>-3.7736016013279999E-2</v>
      </c>
      <c r="F103" s="564">
        <f>IFERROR(INDEX(BS_2023!$A$8:$O$271,MATCH('Global TARF'!F$8,BS_2023!$A$8:$A$271,0),MATCH($A$101,BS_2023!$A$7:$O$7)),0)</f>
        <v>0</v>
      </c>
      <c r="G103" s="564">
        <f>IFERROR(INDEX(BS_2023!$A$8:$O$271,MATCH('Global TARF'!G$8,BS_2023!$A$8:$A$271,0),MATCH($A$101,BS_2023!$A$7:$O$7)),0)</f>
        <v>6763.8035102203075</v>
      </c>
      <c r="H103" s="565">
        <f>-IFERROR(INDEX(BS_2023!$A$8:$O$271,MATCH('Global TARF'!H$8,BS_2023!$A$8:$A$271,0),MATCH($A$101,BS_2023!$A$7:$O$7)),0)</f>
        <v>-92705.142233831051</v>
      </c>
      <c r="I103" s="565">
        <f>-IFERROR(INDEX(BS_2023!$A$8:$O$271,MATCH('Global TARF'!I$8,BS_2023!$A$8:$A$271,0),MATCH($A$101,BS_2023!$A$7:$O$7)),0)</f>
        <v>0</v>
      </c>
      <c r="J103" s="565">
        <f>-IFERROR(INDEX(BS_2023!$A$8:$O$271,MATCH('Global TARF'!J$8,BS_2023!$A$8:$A$271,0),MATCH($A$101,BS_2023!$A$7:$O$7)),0)</f>
        <v>0</v>
      </c>
      <c r="K103" s="565">
        <f>-IFERROR(INDEX(BS_2023!$A$8:$O$271,MATCH('Global TARF'!K$8,BS_2023!$A$8:$A$271,0),MATCH($A$101,BS_2023!$A$7:$O$7)),0)</f>
        <v>0</v>
      </c>
      <c r="L103" s="565">
        <f>-IFERROR(INDEX(BS_2023!$A$8:$O$271,MATCH('Global TARF'!L$8,BS_2023!$A$8:$A$271,0),MATCH($A$101,BS_2023!$A$7:$O$7)),0)</f>
        <v>0</v>
      </c>
      <c r="M103" s="565">
        <f>-IFERROR(INDEX(BS_2023!$A$8:$O$271,MATCH('Global TARF'!M$8,BS_2023!$A$8:$A$271,0),MATCH($A$101,BS_2023!$A$7:$O$7)),0)</f>
        <v>0</v>
      </c>
      <c r="N103" s="576"/>
      <c r="O103" s="574"/>
      <c r="P103" s="563"/>
      <c r="Q103" s="574"/>
      <c r="R103" s="574"/>
      <c r="S103" s="575"/>
      <c r="T103" s="574"/>
      <c r="U103" s="574"/>
      <c r="V103" s="574"/>
      <c r="W103" s="575"/>
      <c r="Z103" s="583"/>
    </row>
    <row r="104" spans="1:26" x14ac:dyDescent="0.2">
      <c r="A104" s="534" t="s">
        <v>798</v>
      </c>
      <c r="C104" s="540"/>
      <c r="D104" s="540"/>
      <c r="G104" s="539">
        <v>-208.67</v>
      </c>
      <c r="H104" s="545">
        <v>2860.01</v>
      </c>
      <c r="I104" s="184"/>
      <c r="J104" s="184"/>
      <c r="K104" s="184"/>
      <c r="M104" s="535"/>
      <c r="N104" s="553">
        <f>-SUM(H104,G104,C104,E104,M104,L104,F104,B104,D104)</f>
        <v>-2651.34</v>
      </c>
      <c r="P104" s="534"/>
      <c r="S104" s="535"/>
      <c r="T104"/>
      <c r="Z104" s="582">
        <f t="shared" ref="Z104:Z126" si="108">SUM(B104:Y104)</f>
        <v>0</v>
      </c>
    </row>
    <row r="105" spans="1:26" x14ac:dyDescent="0.2">
      <c r="A105" s="534"/>
      <c r="G105" s="535"/>
      <c r="H105" s="534"/>
      <c r="M105" s="535"/>
      <c r="N105" s="552"/>
      <c r="P105" s="534"/>
      <c r="S105" s="535"/>
      <c r="T105"/>
      <c r="Z105" s="582">
        <f t="shared" si="108"/>
        <v>0</v>
      </c>
    </row>
    <row r="106" spans="1:26" x14ac:dyDescent="0.2">
      <c r="A106" s="534"/>
      <c r="B106" s="184">
        <f>SUMIFS(GL_BS!$G:$G,GL_BS!$R:$R,'Global TARF'!$A$101,GL_BS!$S:$S,'Global TARF'!$A106,GL_BS!$A:$A,'Global TARF'!B$38)</f>
        <v>0</v>
      </c>
      <c r="C106" s="184">
        <f>SUMIFS(GL_BS!$G:$G,GL_BS!$R:$R,'Global TARF'!$A$101,GL_BS!$S:$S,'Global TARF'!$A106,GL_BS!$A:$A,'Global TARF'!C$8)</f>
        <v>0</v>
      </c>
      <c r="D106" s="184">
        <f>SUMIFS(GL_BS!$G:$G,GL_BS!$R:$R,'Global TARF'!$A$101,GL_BS!$S:$S,'Global TARF'!$A106,GL_BS!$A:$A,'Global TARF'!D$8)</f>
        <v>0</v>
      </c>
      <c r="E106" s="184">
        <f>SUMIFS(GL_BS!$G:$G,GL_BS!$R:$R,'Global TARF'!$A$101,GL_BS!$S:$S,'Global TARF'!$A106,GL_BS!$A:$A,'Global TARF'!E$8)</f>
        <v>0</v>
      </c>
      <c r="F106" s="184"/>
      <c r="G106" s="536">
        <f>SUMIFS(GL_BS!$G:$G,GL_BS!$R:$R,'Global TARF'!$A$101,GL_BS!$S:$S,'Global TARF'!$A106,GL_BS!$A:$A,'Global TARF'!G$8)</f>
        <v>0</v>
      </c>
      <c r="H106" s="545">
        <f>SUMIFS(GL_BS!$G:$G,GL_BS!$R:$R,'Global TARF'!$A$101,GL_BS!$S:$S,'Global TARF'!$A106,GL_BS!$A:$A,'Global TARF'!H$8)</f>
        <v>0</v>
      </c>
      <c r="I106" s="184">
        <f>SUMIFS(GL_BS!$G:$G,GL_BS!$R:$R,'Global TARF'!$A$101,GL_BS!$S:$S,'Global TARF'!$A106,GL_BS!$A:$A,'Global TARF'!I$8)</f>
        <v>0</v>
      </c>
      <c r="J106" s="184"/>
      <c r="K106" s="184"/>
      <c r="L106" s="184">
        <f>SUMIFS(GL_BS!$G:$G,GL_BS!$R:$R,'Global TARF'!$A$101,GL_BS!$S:$S,'Global TARF'!$A106,GL_BS!$A:$A,'Global TARF'!L$8)</f>
        <v>0</v>
      </c>
      <c r="M106" s="536">
        <f>SUMIFS(GL_BS!$G:$G,GL_BS!$R:$R,'Global TARF'!$A$101,GL_BS!$S:$S,'Global TARF'!$A106,GL_BS!$A:$A,'Global TARF'!M$8)</f>
        <v>0</v>
      </c>
      <c r="N106" s="555">
        <f>SUMIFS(GL_BS!$G:$G,GL_BS!$R:$R,'Global TARF'!$A$101,GL_BS!$S:$S,'Global TARF'!$A106,GL_BS!$A:$A,'Global TARF'!N$8)</f>
        <v>0</v>
      </c>
      <c r="O106" s="18">
        <f>SUMIFS(GL_BS!$G:$G,GL_BS!$R:$R,'Global TARF'!$A$101,GL_BS!$S:$S,'Global TARF'!$A106,GL_BS!$A:$A,'Global TARF'!O$8)</f>
        <v>0</v>
      </c>
      <c r="P106" s="545">
        <f>SUMIFS(GL_PL!$G:$G,GL_PL!$Q:$Q,'Global TARF'!$A$101,GL_PL!$R:$R,'Global TARF'!$A106,GL_PL!$A:$A,'Global TARF'!P$8)</f>
        <v>0</v>
      </c>
      <c r="Q106" s="184">
        <f>SUMIFS(GL_PL!$G:$G,GL_PL!$Q:$Q,'Global TARF'!$A$101,GL_PL!$R:$R,'Global TARF'!$A106,GL_PL!$A:$A,'Global TARF'!Q$8)</f>
        <v>0</v>
      </c>
      <c r="R106" s="184">
        <f>SUMIFS(GL_PL!$G:$G,GL_PL!$Q:$Q,'Global TARF'!$A$101,GL_PL!$R:$R,'Global TARF'!$A106,GL_PL!$A:$A,'Global TARF'!R$8)</f>
        <v>0</v>
      </c>
      <c r="S106" s="536">
        <f>SUMIFS(GL_PL!$G:$G,GL_PL!$Q:$Q,'Global TARF'!$A$101,GL_PL!$R:$R,'Global TARF'!$A106,GL_PL!$A:$A,'Global TARF'!S$8)</f>
        <v>0</v>
      </c>
      <c r="T106" s="26">
        <f>-P106</f>
        <v>0</v>
      </c>
      <c r="U106" s="26"/>
      <c r="Z106" s="582">
        <f t="shared" si="108"/>
        <v>0</v>
      </c>
    </row>
    <row r="107" spans="1:26" x14ac:dyDescent="0.2">
      <c r="A107" s="534"/>
      <c r="B107" s="184">
        <f>SUMIFS(GL_BS!$G:$G,GL_BS!$R:$R,'Global TARF'!$A$101,GL_BS!$S:$S,'Global TARF'!$A107,GL_BS!$A:$A,'Global TARF'!B$38)</f>
        <v>0</v>
      </c>
      <c r="C107" s="184">
        <f>SUMIFS(GL_BS!$G:$G,GL_BS!$R:$R,'Global TARF'!$A$101,GL_BS!$S:$S,'Global TARF'!$A107,GL_BS!$A:$A,'Global TARF'!C$8)</f>
        <v>0</v>
      </c>
      <c r="D107" s="184">
        <f>SUMIFS(GL_BS!$G:$G,GL_BS!$R:$R,'Global TARF'!$A$101,GL_BS!$S:$S,'Global TARF'!$A107,GL_BS!$A:$A,'Global TARF'!D$8)</f>
        <v>0</v>
      </c>
      <c r="E107" s="184">
        <f>SUMIFS(GL_BS!$G:$G,GL_BS!$R:$R,'Global TARF'!$A$101,GL_BS!$S:$S,'Global TARF'!$A107,GL_BS!$A:$A,'Global TARF'!E$8)</f>
        <v>0</v>
      </c>
      <c r="F107" s="184"/>
      <c r="G107" s="536">
        <f>SUMIFS(GL_BS!$G:$G,GL_BS!$R:$R,'Global TARF'!$A$101,GL_BS!$S:$S,'Global TARF'!$A107,GL_BS!$A:$A,'Global TARF'!G$8)</f>
        <v>0</v>
      </c>
      <c r="H107" s="545">
        <f>SUMIFS(GL_BS!$G:$G,GL_BS!$R:$R,'Global TARF'!$A$101,GL_BS!$S:$S,'Global TARF'!$A107,GL_BS!$A:$A,'Global TARF'!H$8)</f>
        <v>0</v>
      </c>
      <c r="I107" s="184">
        <f>SUMIFS(GL_BS!$G:$G,GL_BS!$R:$R,'Global TARF'!$A$101,GL_BS!$S:$S,'Global TARF'!$A107,GL_BS!$A:$A,'Global TARF'!I$8)</f>
        <v>0</v>
      </c>
      <c r="J107" s="184"/>
      <c r="K107" s="184"/>
      <c r="L107" s="184">
        <f>SUMIFS(GL_BS!$G:$G,GL_BS!$R:$R,'Global TARF'!$A$101,GL_BS!$S:$S,'Global TARF'!$A107,GL_BS!$A:$A,'Global TARF'!L$8)</f>
        <v>0</v>
      </c>
      <c r="M107" s="536">
        <f>SUMIFS(GL_BS!$G:$G,GL_BS!$R:$R,'Global TARF'!$A$101,GL_BS!$S:$S,'Global TARF'!$A107,GL_BS!$A:$A,'Global TARF'!M$8)</f>
        <v>0</v>
      </c>
      <c r="N107" s="555">
        <f>SUMIFS(GL_BS!$G:$G,GL_BS!$R:$R,'Global TARF'!$A$101,GL_BS!$S:$S,'Global TARF'!$A107,GL_BS!$A:$A,'Global TARF'!N$8)</f>
        <v>0</v>
      </c>
      <c r="O107" s="18">
        <f>SUMIFS(GL_BS!$G:$G,GL_BS!$R:$R,'Global TARF'!$A$101,GL_BS!$S:$S,'Global TARF'!$A107,GL_BS!$A:$A,'Global TARF'!O$8)</f>
        <v>0</v>
      </c>
      <c r="P107" s="545">
        <f>SUMIFS(GL_PL!$G:$G,GL_PL!$Q:$Q,'Global TARF'!$A$101,GL_PL!$R:$R,'Global TARF'!$A107,GL_PL!$A:$A,'Global TARF'!P$8)</f>
        <v>0</v>
      </c>
      <c r="Q107" s="184">
        <f>SUMIFS(GL_PL!$G:$G,GL_PL!$Q:$Q,'Global TARF'!$A$101,GL_PL!$R:$R,'Global TARF'!$A107,GL_PL!$A:$A,'Global TARF'!Q$8)</f>
        <v>0</v>
      </c>
      <c r="R107" s="184">
        <f>SUMIFS(GL_PL!$G:$G,GL_PL!$Q:$Q,'Global TARF'!$A$101,GL_PL!$R:$R,'Global TARF'!$A107,GL_PL!$A:$A,'Global TARF'!R$8)</f>
        <v>0</v>
      </c>
      <c r="S107" s="536">
        <f>SUMIFS(GL_PL!$G:$G,GL_PL!$Q:$Q,'Global TARF'!$A$101,GL_PL!$R:$R,'Global TARF'!$A107,GL_PL!$A:$A,'Global TARF'!S$8)</f>
        <v>0</v>
      </c>
      <c r="T107" s="26">
        <f>-SUM(P107,H107,C107,Q107,R107)</f>
        <v>0</v>
      </c>
      <c r="U107" s="26"/>
      <c r="Z107" s="582">
        <f t="shared" si="108"/>
        <v>0</v>
      </c>
    </row>
    <row r="108" spans="1:26" x14ac:dyDescent="0.2">
      <c r="A108" s="534" t="s">
        <v>780</v>
      </c>
      <c r="B108" s="184">
        <f>SUMIFS(GL_BS!$G:$G,GL_BS!$R:$R,'Global TARF'!$A$101,GL_BS!$S:$S,'Global TARF'!$A108,GL_BS!$A:$A,'Global TARF'!B$38)</f>
        <v>0</v>
      </c>
      <c r="C108" s="184">
        <f>SUMIFS(GL_BS!$G:$G,GL_BS!$R:$R,'Global TARF'!$A$101,GL_BS!$S:$S,'Global TARF'!$A108,GL_BS!$A:$A,'Global TARF'!C$8)</f>
        <v>0</v>
      </c>
      <c r="D108" s="184">
        <f>SUMIFS(GL_BS!$G:$G,GL_BS!$R:$R,'Global TARF'!$A$101,GL_BS!$S:$S,'Global TARF'!$A108,GL_BS!$A:$A,'Global TARF'!D$8)</f>
        <v>0</v>
      </c>
      <c r="E108" s="184">
        <f>SUMIFS(GL_BS!$G:$G,GL_BS!$R:$R,'Global TARF'!$A$101,GL_BS!$S:$S,'Global TARF'!$A108,GL_BS!$A:$A,'Global TARF'!E$8)</f>
        <v>0</v>
      </c>
      <c r="F108" s="184"/>
      <c r="G108" s="536">
        <f>SUMIFS(GL_BS!$G:$G,GL_BS!$R:$R,'Global TARF'!$A$101,GL_BS!$S:$S,'Global TARF'!$A108,GL_BS!$A:$A,'Global TARF'!G$8)</f>
        <v>0</v>
      </c>
      <c r="H108" s="545">
        <f>SUMIFS(GL_BS!$G:$G,GL_BS!$R:$R,'Global TARF'!$A$101,GL_BS!$S:$S,'Global TARF'!$A108,GL_BS!$A:$A,'Global TARF'!H$8)</f>
        <v>0</v>
      </c>
      <c r="I108" s="184">
        <f>SUMIFS(GL_BS!$G:$G,GL_BS!$R:$R,'Global TARF'!$A$101,GL_BS!$S:$S,'Global TARF'!$A108,GL_BS!$A:$A,'Global TARF'!I$8)</f>
        <v>0</v>
      </c>
      <c r="J108" s="184">
        <f>SUMIFS(GL_BS!$G:$G,GL_BS!$R:$R,'Global TARF'!$A$101,GL_BS!$S:$S,'Global TARF'!$A108,GL_BS!$A:$A,'Global TARF'!J$8)</f>
        <v>0</v>
      </c>
      <c r="K108" s="184">
        <f>SUMIFS(GL_BS!$G:$G,GL_BS!$R:$R,'Global TARF'!$A$101,GL_BS!$S:$S,'Global TARF'!$A108,GL_BS!$A:$A,'Global TARF'!K$8)</f>
        <v>0</v>
      </c>
      <c r="L108" s="184">
        <f>SUMIFS(GL_BS!$G:$G,GL_BS!$R:$R,'Global TARF'!$A$101,GL_BS!$S:$S,'Global TARF'!$A108,GL_BS!$A:$A,'Global TARF'!L$8)</f>
        <v>0</v>
      </c>
      <c r="M108" s="536">
        <f>SUMIFS(GL_BS!$G:$G,GL_BS!$R:$R,'Global TARF'!$A$101,GL_BS!$S:$S,'Global TARF'!$A108,GL_BS!$A:$A,'Global TARF'!M$8)</f>
        <v>0</v>
      </c>
      <c r="N108" s="555">
        <f>SUMIFS(GL_BS!$G:$G,GL_BS!$R:$R,'Global TARF'!$A$101,GL_BS!$S:$S,'Global TARF'!$A108,GL_BS!$A:$A,'Global TARF'!N$8)</f>
        <v>0</v>
      </c>
      <c r="O108" s="18">
        <f>SUMIFS(GL_BS!$G:$G,GL_BS!$R:$R,'Global TARF'!$A$101,GL_BS!$S:$S,'Global TARF'!$A108,GL_BS!$A:$A,'Global TARF'!O$8)</f>
        <v>0</v>
      </c>
      <c r="P108" s="545">
        <f>SUMIFS(GL_PL!$G:$G,GL_PL!$Q:$Q,'Global TARF'!$A$101,GL_PL!$R:$R,'Global TARF'!$A108,GL_PL!$A:$A,'Global TARF'!P$8)</f>
        <v>0</v>
      </c>
      <c r="Q108" s="184">
        <f>SUMIFS(GL_PL!$G:$G,GL_PL!$Q:$Q,'Global TARF'!$A$101,GL_PL!$R:$R,'Global TARF'!$A108,GL_PL!$A:$A,'Global TARF'!Q$8)</f>
        <v>0</v>
      </c>
      <c r="R108" s="184">
        <f>SUMIFS(GL_PL!$G:$G,GL_PL!$Q:$Q,'Global TARF'!$A$101,GL_PL!$R:$R,'Global TARF'!$A108,GL_PL!$A:$A,'Global TARF'!R$8)</f>
        <v>0</v>
      </c>
      <c r="S108" s="536">
        <f>SUMIFS(GL_PL!$G:$G,GL_PL!$Q:$Q,'Global TARF'!$A$101,GL_PL!$R:$R,'Global TARF'!$A108,GL_PL!$A:$A,'Global TARF'!S$8)</f>
        <v>0</v>
      </c>
      <c r="T108" s="26">
        <f>-SUM(P108:R108,H108,C108)</f>
        <v>0</v>
      </c>
      <c r="U108" s="26"/>
      <c r="Z108" s="582">
        <f t="shared" si="108"/>
        <v>0</v>
      </c>
    </row>
    <row r="109" spans="1:26" x14ac:dyDescent="0.2">
      <c r="A109" s="534" t="s">
        <v>781</v>
      </c>
      <c r="B109" s="184">
        <f>SUMIFS(GL_BS!$G:$G,GL_BS!$R:$R,'Global TARF'!$A$101,GL_BS!$S:$S,'Global TARF'!$A109,GL_BS!$A:$A,'Global TARF'!B$38)</f>
        <v>0</v>
      </c>
      <c r="C109" s="184">
        <f>SUMIFS(GL_BS!$G:$G,GL_BS!$R:$R,'Global TARF'!$A$101,GL_BS!$S:$S,'Global TARF'!$A109,GL_BS!$A:$A,'Global TARF'!C$8)</f>
        <v>0</v>
      </c>
      <c r="D109" s="184">
        <f>SUMIFS(GL_BS!$G:$G,GL_BS!$R:$R,'Global TARF'!$A$101,GL_BS!$S:$S,'Global TARF'!$A109,GL_BS!$A:$A,'Global TARF'!D$8)</f>
        <v>0</v>
      </c>
      <c r="E109" s="184">
        <f>SUMIFS(GL_BS!$G:$G,GL_BS!$R:$R,'Global TARF'!$A$101,GL_BS!$S:$S,'Global TARF'!$A109,GL_BS!$A:$A,'Global TARF'!E$8)</f>
        <v>0</v>
      </c>
      <c r="F109" s="184"/>
      <c r="G109" s="536">
        <f>SUMIFS(GL_BS!$G:$G,GL_BS!$R:$R,'Global TARF'!$A$101,GL_BS!$S:$S,'Global TARF'!$A109,GL_BS!$A:$A,'Global TARF'!G$8)</f>
        <v>0</v>
      </c>
      <c r="H109" s="545">
        <f>SUMIFS(GL_BS!$G:$G,GL_BS!$R:$R,'Global TARF'!$A$101,GL_BS!$S:$S,'Global TARF'!$A109,GL_BS!$A:$A,'Global TARF'!H$8)</f>
        <v>0</v>
      </c>
      <c r="I109" s="184">
        <f>SUMIFS(GL_BS!$G:$G,GL_BS!$R:$R,'Global TARF'!$A$101,GL_BS!$S:$S,'Global TARF'!$A109,GL_BS!$A:$A,'Global TARF'!I$8)</f>
        <v>0</v>
      </c>
      <c r="J109" s="184">
        <f>SUMIFS(GL_BS!$G:$G,GL_BS!$R:$R,'Global TARF'!$A$101,GL_BS!$S:$S,'Global TARF'!$A109,GL_BS!$A:$A,'Global TARF'!J$8)</f>
        <v>0</v>
      </c>
      <c r="K109" s="184">
        <f>SUMIFS(GL_BS!$G:$G,GL_BS!$R:$R,'Global TARF'!$A$101,GL_BS!$S:$S,'Global TARF'!$A109,GL_BS!$A:$A,'Global TARF'!K$8)</f>
        <v>0</v>
      </c>
      <c r="L109" s="184">
        <f>SUMIFS(GL_BS!$G:$G,GL_BS!$R:$R,'Global TARF'!$A$101,GL_BS!$S:$S,'Global TARF'!$A109,GL_BS!$A:$A,'Global TARF'!L$8)</f>
        <v>0</v>
      </c>
      <c r="M109" s="536">
        <f>SUMIFS(GL_BS!$G:$G,GL_BS!$R:$R,'Global TARF'!$A$101,GL_BS!$S:$S,'Global TARF'!$A109,GL_BS!$A:$A,'Global TARF'!M$8)</f>
        <v>0</v>
      </c>
      <c r="N109" s="555">
        <f>SUMIFS(GL_BS!$G:$G,GL_BS!$R:$R,'Global TARF'!$A$101,GL_BS!$S:$S,'Global TARF'!$A109,GL_BS!$A:$A,'Global TARF'!N$8)</f>
        <v>0</v>
      </c>
      <c r="O109" s="18">
        <f>SUMIFS(GL_BS!$G:$G,GL_BS!$R:$R,'Global TARF'!$A$101,GL_BS!$S:$S,'Global TARF'!$A109,GL_BS!$A:$A,'Global TARF'!O$8)</f>
        <v>0</v>
      </c>
      <c r="P109" s="545">
        <f>SUMIFS(GL_PL!$G:$G,GL_PL!$Q:$Q,'Global TARF'!$A$101,GL_PL!$R:$R,'Global TARF'!$A109,GL_PL!$A:$A,'Global TARF'!P$8)</f>
        <v>0</v>
      </c>
      <c r="Q109" s="184">
        <f>SUMIFS(GL_PL!$G:$G,GL_PL!$Q:$Q,'Global TARF'!$A$101,GL_PL!$R:$R,'Global TARF'!$A109,GL_PL!$A:$A,'Global TARF'!Q$8)</f>
        <v>0</v>
      </c>
      <c r="R109" s="184">
        <f>SUMIFS(GL_PL!$G:$G,GL_PL!$Q:$Q,'Global TARF'!$A$101,GL_PL!$R:$R,'Global TARF'!$A109,GL_PL!$A:$A,'Global TARF'!R$8)</f>
        <v>0</v>
      </c>
      <c r="S109" s="536">
        <f>SUMIFS(GL_PL!$G:$G,GL_PL!$Q:$Q,'Global TARF'!$A$101,GL_PL!$R:$R,'Global TARF'!$A109,GL_PL!$A:$A,'Global TARF'!S$8)</f>
        <v>0</v>
      </c>
      <c r="T109"/>
      <c r="Z109" s="582">
        <f t="shared" si="108"/>
        <v>0</v>
      </c>
    </row>
    <row r="110" spans="1:26" x14ac:dyDescent="0.2">
      <c r="A110" s="534" t="s">
        <v>782</v>
      </c>
      <c r="B110" s="184">
        <f>SUMIFS(GL_BS!$G:$G,GL_BS!$R:$R,'Global TARF'!$A$101,GL_BS!$S:$S,'Global TARF'!$A110,GL_BS!$A:$A,'Global TARF'!B$38)</f>
        <v>0</v>
      </c>
      <c r="C110" s="184">
        <f>SUMIFS(GL_BS!$G:$G,GL_BS!$R:$R,'Global TARF'!$A$101,GL_BS!$S:$S,'Global TARF'!$A110,GL_BS!$A:$A,'Global TARF'!C$8)</f>
        <v>0</v>
      </c>
      <c r="D110" s="184">
        <f>SUMIFS(GL_BS!$G:$G,GL_BS!$R:$R,'Global TARF'!$A$101,GL_BS!$S:$S,'Global TARF'!$A110,GL_BS!$A:$A,'Global TARF'!D$8)</f>
        <v>0</v>
      </c>
      <c r="E110" s="184">
        <f>SUMIFS(GL_BS!$G:$G,GL_BS!$R:$R,'Global TARF'!$A$101,GL_BS!$S:$S,'Global TARF'!$A110,GL_BS!$A:$A,'Global TARF'!E$8)</f>
        <v>0</v>
      </c>
      <c r="F110" s="184"/>
      <c r="G110" s="536">
        <f>SUMIFS(GL_BS!$G:$G,GL_BS!$R:$R,'Global TARF'!$A$101,GL_BS!$S:$S,'Global TARF'!$A110,GL_BS!$A:$A,'Global TARF'!G$8)</f>
        <v>0</v>
      </c>
      <c r="H110" s="545">
        <f>SUMIFS(GL_BS!$G:$G,GL_BS!$R:$R,'Global TARF'!$A$101,GL_BS!$S:$S,'Global TARF'!$A110,GL_BS!$A:$A,'Global TARF'!H$8)</f>
        <v>0</v>
      </c>
      <c r="I110" s="184">
        <f>SUMIFS(GL_BS!$G:$G,GL_BS!$R:$R,'Global TARF'!$A$101,GL_BS!$S:$S,'Global TARF'!$A110,GL_BS!$A:$A,'Global TARF'!I$8)</f>
        <v>0</v>
      </c>
      <c r="J110" s="184">
        <f>SUMIFS(GL_BS!$G:$G,GL_BS!$R:$R,'Global TARF'!$A$101,GL_BS!$S:$S,'Global TARF'!$A110,GL_BS!$A:$A,'Global TARF'!J$8)</f>
        <v>0</v>
      </c>
      <c r="K110" s="184">
        <f>SUMIFS(GL_BS!$G:$G,GL_BS!$R:$R,'Global TARF'!$A$101,GL_BS!$S:$S,'Global TARF'!$A110,GL_BS!$A:$A,'Global TARF'!K$8)</f>
        <v>0</v>
      </c>
      <c r="L110" s="184">
        <f>SUMIFS(GL_BS!$G:$G,GL_BS!$R:$R,'Global TARF'!$A$101,GL_BS!$S:$S,'Global TARF'!$A110,GL_BS!$A:$A,'Global TARF'!L$8)</f>
        <v>0</v>
      </c>
      <c r="M110" s="536">
        <f>SUMIFS(GL_BS!$G:$G,GL_BS!$R:$R,'Global TARF'!$A$101,GL_BS!$S:$S,'Global TARF'!$A110,GL_BS!$A:$A,'Global TARF'!M$8)</f>
        <v>0</v>
      </c>
      <c r="N110" s="555">
        <f>SUMIFS(GL_BS!$G:$G,GL_BS!$R:$R,'Global TARF'!$A$101,GL_BS!$S:$S,'Global TARF'!$A110,GL_BS!$A:$A,'Global TARF'!N$8)</f>
        <v>0</v>
      </c>
      <c r="O110" s="18">
        <f>SUMIFS(GL_BS!$G:$G,GL_BS!$R:$R,'Global TARF'!$A$101,GL_BS!$S:$S,'Global TARF'!$A110,GL_BS!$A:$A,'Global TARF'!O$8)</f>
        <v>0</v>
      </c>
      <c r="P110" s="545">
        <f>SUMIFS(GL_PL!$G:$G,GL_PL!$Q:$Q,'Global TARF'!$A$101,GL_PL!$R:$R,'Global TARF'!$A110,GL_PL!$A:$A,'Global TARF'!P$8)</f>
        <v>0</v>
      </c>
      <c r="Q110" s="184">
        <f>SUMIFS(GL_PL!$G:$G,GL_PL!$Q:$Q,'Global TARF'!$A$101,GL_PL!$R:$R,'Global TARF'!$A110,GL_PL!$A:$A,'Global TARF'!Q$8)</f>
        <v>0</v>
      </c>
      <c r="R110" s="184">
        <f>SUMIFS(GL_PL!$G:$G,GL_PL!$Q:$Q,'Global TARF'!$A$101,GL_PL!$R:$R,'Global TARF'!$A110,GL_PL!$A:$A,'Global TARF'!R$8)</f>
        <v>0</v>
      </c>
      <c r="S110" s="536">
        <f>SUMIFS(GL_PL!$G:$G,GL_PL!$Q:$Q,'Global TARF'!$A$101,GL_PL!$R:$R,'Global TARF'!$A110,GL_PL!$A:$A,'Global TARF'!S$8)</f>
        <v>0</v>
      </c>
      <c r="T110" s="26">
        <f>-H110</f>
        <v>0</v>
      </c>
      <c r="Z110" s="582">
        <f t="shared" si="108"/>
        <v>0</v>
      </c>
    </row>
    <row r="111" spans="1:26" x14ac:dyDescent="0.2">
      <c r="A111" s="534" t="s">
        <v>950</v>
      </c>
      <c r="B111" s="184">
        <f>SUMIFS(GL_BS!$G:$G,GL_BS!$R:$R,'Global TARF'!$A$101,GL_BS!$S:$S,'Global TARF'!$A111,GL_BS!$A:$A,'Global TARF'!B$38)</f>
        <v>0</v>
      </c>
      <c r="C111" s="184">
        <f>SUMIFS(GL_BS!$G:$G,GL_BS!$R:$R,'Global TARF'!$A$101,GL_BS!$S:$S,'Global TARF'!$A111,GL_BS!$A:$A,'Global TARF'!C$8)</f>
        <v>0</v>
      </c>
      <c r="D111" s="184">
        <f>SUMIFS(GL_BS!$G:$G,GL_BS!$R:$R,'Global TARF'!$A$101,GL_BS!$S:$S,'Global TARF'!$A111,GL_BS!$A:$A,'Global TARF'!D$8)</f>
        <v>0</v>
      </c>
      <c r="E111" s="184">
        <f>SUMIFS(GL_BS!$G:$G,GL_BS!$R:$R,'Global TARF'!$A$101,GL_BS!$S:$S,'Global TARF'!$A111,GL_BS!$A:$A,'Global TARF'!E$8)</f>
        <v>0</v>
      </c>
      <c r="F111" s="184"/>
      <c r="G111" s="536">
        <f>SUMIFS(GL_BS!$G:$G,GL_BS!$R:$R,'Global TARF'!$A$101,GL_BS!$S:$S,'Global TARF'!$A111,GL_BS!$A:$A,'Global TARF'!G$8)</f>
        <v>0</v>
      </c>
      <c r="H111" s="545">
        <f>SUMIFS(GL_BS!$G:$G,GL_BS!$R:$R,'Global TARF'!$A$101,GL_BS!$S:$S,'Global TARF'!$A111,GL_BS!$A:$A,'Global TARF'!H$8)</f>
        <v>0</v>
      </c>
      <c r="I111" s="184">
        <f>SUMIFS(GL_BS!$G:$G,GL_BS!$R:$R,'Global TARF'!$A$101,GL_BS!$S:$S,'Global TARF'!$A111,GL_BS!$A:$A,'Global TARF'!I$8)</f>
        <v>0</v>
      </c>
      <c r="J111" s="184">
        <f>SUMIFS(GL_BS!$G:$G,GL_BS!$R:$R,'Global TARF'!$A$101,GL_BS!$S:$S,'Global TARF'!$A111,GL_BS!$A:$A,'Global TARF'!J$8)</f>
        <v>0</v>
      </c>
      <c r="K111" s="184">
        <f>SUMIFS(GL_BS!$G:$G,GL_BS!$R:$R,'Global TARF'!$A$101,GL_BS!$S:$S,'Global TARF'!$A111,GL_BS!$A:$A,'Global TARF'!K$8)</f>
        <v>0</v>
      </c>
      <c r="L111" s="184">
        <f>SUMIFS(GL_BS!$G:$G,GL_BS!$R:$R,'Global TARF'!$A$101,GL_BS!$S:$S,'Global TARF'!$A111,GL_BS!$A:$A,'Global TARF'!L$8)</f>
        <v>0</v>
      </c>
      <c r="M111" s="536">
        <f>SUMIFS(GL_BS!$G:$G,GL_BS!$R:$R,'Global TARF'!$A$101,GL_BS!$S:$S,'Global TARF'!$A111,GL_BS!$A:$A,'Global TARF'!M$8)</f>
        <v>0</v>
      </c>
      <c r="N111" s="555">
        <f>SUMIFS(GL_BS!$G:$G,GL_BS!$R:$R,'Global TARF'!$A$101,GL_BS!$S:$S,'Global TARF'!$A111,GL_BS!$A:$A,'Global TARF'!N$8)</f>
        <v>0</v>
      </c>
      <c r="O111" s="18">
        <f>SUMIFS(GL_BS!$G:$G,GL_BS!$R:$R,'Global TARF'!$A$101,GL_BS!$S:$S,'Global TARF'!$A111,GL_BS!$A:$A,'Global TARF'!O$8)</f>
        <v>0</v>
      </c>
      <c r="P111" s="545">
        <f>SUMIFS(GL_PL!$G:$G,GL_PL!$Q:$Q,'Global TARF'!$A$101,GL_PL!$R:$R,'Global TARF'!$A111,GL_PL!$A:$A,'Global TARF'!P$8)</f>
        <v>0</v>
      </c>
      <c r="Q111" s="184">
        <f>SUMIFS(GL_PL!$G:$G,GL_PL!$Q:$Q,'Global TARF'!$A$101,GL_PL!$R:$R,'Global TARF'!$A111,GL_PL!$A:$A,'Global TARF'!Q$8)</f>
        <v>0</v>
      </c>
      <c r="R111" s="184">
        <f>SUMIFS(GL_PL!$G:$G,GL_PL!$Q:$Q,'Global TARF'!$A$101,GL_PL!$R:$R,'Global TARF'!$A111,GL_PL!$A:$A,'Global TARF'!R$8)</f>
        <v>0</v>
      </c>
      <c r="S111" s="536">
        <f>SUMIFS(GL_PL!$G:$G,GL_PL!$Q:$Q,'Global TARF'!$A$101,GL_PL!$R:$R,'Global TARF'!$A111,GL_PL!$A:$A,'Global TARF'!S$8)</f>
        <v>0</v>
      </c>
      <c r="T111"/>
      <c r="Z111" s="582">
        <f t="shared" si="108"/>
        <v>0</v>
      </c>
    </row>
    <row r="112" spans="1:26" x14ac:dyDescent="0.2">
      <c r="A112" s="534" t="s">
        <v>4586</v>
      </c>
      <c r="B112" s="184">
        <f>SUMIFS(GL_BS!$G:$G,GL_BS!$R:$R,'Global TARF'!$A$101,GL_BS!$S:$S,'Global TARF'!$A112,GL_BS!$A:$A,'Global TARF'!B$38)</f>
        <v>0</v>
      </c>
      <c r="C112" s="184">
        <f>SUMIFS(GL_BS!$G:$G,GL_BS!$R:$R,'Global TARF'!$A$101,GL_BS!$S:$S,'Global TARF'!$A112,GL_BS!$A:$A,'Global TARF'!C$8)</f>
        <v>0</v>
      </c>
      <c r="D112" s="184">
        <f>SUMIFS(GL_BS!$G:$G,GL_BS!$R:$R,'Global TARF'!$A$101,GL_BS!$S:$S,'Global TARF'!$A112,GL_BS!$A:$A,'Global TARF'!D$8)</f>
        <v>0</v>
      </c>
      <c r="E112" s="184">
        <f>SUMIFS(GL_BS!$G:$G,GL_BS!$R:$R,'Global TARF'!$A$101,GL_BS!$S:$S,'Global TARF'!$A112,GL_BS!$A:$A,'Global TARF'!E$8)</f>
        <v>0</v>
      </c>
      <c r="F112" s="184"/>
      <c r="G112" s="536">
        <f>SUMIFS(GL_BS!$G:$G,GL_BS!$R:$R,'Global TARF'!$A$101,GL_BS!$S:$S,'Global TARF'!$A112,GL_BS!$A:$A,'Global TARF'!G$8)</f>
        <v>0</v>
      </c>
      <c r="H112" s="545">
        <f>SUMIFS(GL_BS!$G:$G,GL_BS!$R:$R,'Global TARF'!$A$101,GL_BS!$S:$S,'Global TARF'!$A112,GL_BS!$A:$A,'Global TARF'!H$8)</f>
        <v>0</v>
      </c>
      <c r="I112" s="184">
        <f>SUMIFS(GL_BS!$G:$G,GL_BS!$R:$R,'Global TARF'!$A$101,GL_BS!$S:$S,'Global TARF'!$A112,GL_BS!$A:$A,'Global TARF'!I$8)</f>
        <v>0</v>
      </c>
      <c r="J112" s="184">
        <f>SUMIFS(GL_BS!$G:$G,GL_BS!$R:$R,'Global TARF'!$A$101,GL_BS!$S:$S,'Global TARF'!$A112,GL_BS!$A:$A,'Global TARF'!J$8)</f>
        <v>0</v>
      </c>
      <c r="K112" s="184">
        <f>SUMIFS(GL_BS!$G:$G,GL_BS!$R:$R,'Global TARF'!$A$101,GL_BS!$S:$S,'Global TARF'!$A112,GL_BS!$A:$A,'Global TARF'!K$8)</f>
        <v>0</v>
      </c>
      <c r="L112" s="184">
        <f>SUMIFS(GL_BS!$G:$G,GL_BS!$R:$R,'Global TARF'!$A$101,GL_BS!$S:$S,'Global TARF'!$A112,GL_BS!$A:$A,'Global TARF'!L$8)</f>
        <v>0</v>
      </c>
      <c r="M112" s="536">
        <f>SUMIFS(GL_BS!$G:$G,GL_BS!$R:$R,'Global TARF'!$A$101,GL_BS!$S:$S,'Global TARF'!$A112,GL_BS!$A:$A,'Global TARF'!M$8)</f>
        <v>0</v>
      </c>
      <c r="N112" s="555">
        <f>SUMIFS(GL_BS!$G:$G,GL_BS!$R:$R,'Global TARF'!$A$101,GL_BS!$S:$S,'Global TARF'!$A112,GL_BS!$A:$A,'Global TARF'!N$8)</f>
        <v>0</v>
      </c>
      <c r="O112" s="18">
        <f>SUMIFS(GL_BS!$G:$G,GL_BS!$R:$R,'Global TARF'!$A$101,GL_BS!$S:$S,'Global TARF'!$A112,GL_BS!$A:$A,'Global TARF'!O$8)</f>
        <v>0</v>
      </c>
      <c r="P112" s="545">
        <f>SUMIFS(GL_PL!$G:$G,GL_PL!$Q:$Q,'Global TARF'!$A$101,GL_PL!$R:$R,'Global TARF'!$A112,GL_PL!$A:$A,'Global TARF'!P$8)</f>
        <v>0</v>
      </c>
      <c r="Q112" s="184">
        <f>SUMIFS(GL_PL!$G:$G,GL_PL!$Q:$Q,'Global TARF'!$A$101,GL_PL!$R:$R,'Global TARF'!$A112,GL_PL!$A:$A,'Global TARF'!Q$8)</f>
        <v>0</v>
      </c>
      <c r="R112" s="184">
        <f>SUMIFS(GL_PL!$G:$G,GL_PL!$Q:$Q,'Global TARF'!$A$101,GL_PL!$R:$R,'Global TARF'!$A112,GL_PL!$A:$A,'Global TARF'!R$8)</f>
        <v>0</v>
      </c>
      <c r="S112" s="536">
        <f>SUMIFS(GL_PL!$G:$G,GL_PL!$Q:$Q,'Global TARF'!$A$101,GL_PL!$R:$R,'Global TARF'!$A112,GL_PL!$A:$A,'Global TARF'!S$8)</f>
        <v>0</v>
      </c>
      <c r="T112"/>
      <c r="Z112" s="582">
        <f t="shared" si="108"/>
        <v>0</v>
      </c>
    </row>
    <row r="113" spans="1:26" x14ac:dyDescent="0.2">
      <c r="A113" s="534" t="s">
        <v>779</v>
      </c>
      <c r="B113" s="184">
        <f>SUMIFS(GL_BS!$G:$G,GL_BS!$R:$R,'Global TARF'!$A$101,GL_BS!$S:$S,'Global TARF'!$A113,GL_BS!$A:$A,'Global TARF'!B$38)</f>
        <v>0</v>
      </c>
      <c r="C113" s="184">
        <f>SUMIFS(GL_BS!$G:$G,GL_BS!$R:$R,'Global TARF'!$A$101,GL_BS!$S:$S,'Global TARF'!$A113,GL_BS!$A:$A,'Global TARF'!C$8)</f>
        <v>0</v>
      </c>
      <c r="D113" s="184">
        <f>SUMIFS(GL_BS!$G:$G,GL_BS!$R:$R,'Global TARF'!$A$101,GL_BS!$S:$S,'Global TARF'!$A113,GL_BS!$A:$A,'Global TARF'!D$8)</f>
        <v>0</v>
      </c>
      <c r="E113" s="184">
        <f>SUMIFS(GL_BS!$G:$G,GL_BS!$R:$R,'Global TARF'!$A$101,GL_BS!$S:$S,'Global TARF'!$A113,GL_BS!$A:$A,'Global TARF'!E$8)</f>
        <v>0</v>
      </c>
      <c r="F113" s="184"/>
      <c r="G113" s="536">
        <f>SUMIFS(GL_BS!$G:$G,GL_BS!$R:$R,'Global TARF'!$A$101,GL_BS!$S:$S,'Global TARF'!$A113,GL_BS!$A:$A,'Global TARF'!G$8)</f>
        <v>0</v>
      </c>
      <c r="H113" s="545">
        <f>SUMIFS(GL_BS!$G:$G,GL_BS!$R:$R,'Global TARF'!$A$101,GL_BS!$S:$S,'Global TARF'!$A113,GL_BS!$A:$A,'Global TARF'!H$8)</f>
        <v>0</v>
      </c>
      <c r="I113" s="184">
        <f>SUMIFS(GL_BS!$G:$G,GL_BS!$R:$R,'Global TARF'!$A$101,GL_BS!$S:$S,'Global TARF'!$A113,GL_BS!$A:$A,'Global TARF'!I$8)</f>
        <v>0</v>
      </c>
      <c r="J113" s="184">
        <f>SUMIFS(GL_BS!$G:$G,GL_BS!$R:$R,'Global TARF'!$A$101,GL_BS!$S:$S,'Global TARF'!$A113,GL_BS!$A:$A,'Global TARF'!J$8)</f>
        <v>0</v>
      </c>
      <c r="K113" s="184">
        <f>SUMIFS(GL_BS!$G:$G,GL_BS!$R:$R,'Global TARF'!$A$101,GL_BS!$S:$S,'Global TARF'!$A113,GL_BS!$A:$A,'Global TARF'!K$8)</f>
        <v>0</v>
      </c>
      <c r="L113" s="184">
        <f>SUMIFS(GL_BS!$G:$G,GL_BS!$R:$R,'Global TARF'!$A$101,GL_BS!$S:$S,'Global TARF'!$A113,GL_BS!$A:$A,'Global TARF'!L$8)</f>
        <v>0</v>
      </c>
      <c r="M113" s="536">
        <f>SUMIFS(GL_BS!$G:$G,GL_BS!$R:$R,'Global TARF'!$A$101,GL_BS!$S:$S,'Global TARF'!$A113,GL_BS!$A:$A,'Global TARF'!M$8)</f>
        <v>0</v>
      </c>
      <c r="N113" s="555">
        <f>SUMIFS(GL_BS!$G:$G,GL_BS!$R:$R,'Global TARF'!$A$101,GL_BS!$S:$S,'Global TARF'!$A113,GL_BS!$A:$A,'Global TARF'!N$8)</f>
        <v>0</v>
      </c>
      <c r="O113" s="18">
        <f>SUMIFS(GL_BS!$G:$G,GL_BS!$R:$R,'Global TARF'!$A$101,GL_BS!$S:$S,'Global TARF'!$A113,GL_BS!$A:$A,'Global TARF'!O$8)</f>
        <v>0</v>
      </c>
      <c r="P113" s="545">
        <f>SUMIFS(GL_PL!$G:$G,GL_PL!$Q:$Q,'Global TARF'!$A$101,GL_PL!$R:$R,'Global TARF'!$A113,GL_PL!$A:$A,'Global TARF'!P$8)</f>
        <v>0</v>
      </c>
      <c r="Q113" s="184">
        <f>SUMIFS(GL_PL!$G:$G,GL_PL!$Q:$Q,'Global TARF'!$A$101,GL_PL!$R:$R,'Global TARF'!$A113,GL_PL!$A:$A,'Global TARF'!Q$8)</f>
        <v>0</v>
      </c>
      <c r="R113" s="184">
        <f>SUMIFS(GL_PL!$G:$G,GL_PL!$Q:$Q,'Global TARF'!$A$101,GL_PL!$R:$R,'Global TARF'!$A113,GL_PL!$A:$A,'Global TARF'!R$8)</f>
        <v>0</v>
      </c>
      <c r="S113" s="536">
        <f>SUMIFS(GL_PL!$G:$G,GL_PL!$Q:$Q,'Global TARF'!$A$101,GL_PL!$R:$R,'Global TARF'!$A113,GL_PL!$A:$A,'Global TARF'!S$8)</f>
        <v>0</v>
      </c>
      <c r="T113"/>
      <c r="V113" s="26">
        <f>-SUM(R113,H113,E113)</f>
        <v>0</v>
      </c>
      <c r="Z113" s="582">
        <f t="shared" si="108"/>
        <v>0</v>
      </c>
    </row>
    <row r="114" spans="1:26" x14ac:dyDescent="0.2">
      <c r="A114" s="534" t="s">
        <v>4267</v>
      </c>
      <c r="B114" s="184">
        <f>SUMIFS(GL_BS!$G:$G,GL_BS!$R:$R,'Global TARF'!$A$101,GL_BS!$S:$S,'Global TARF'!$A114,GL_BS!$A:$A,'Global TARF'!B$38)</f>
        <v>0</v>
      </c>
      <c r="C114" s="184">
        <f>SUMIFS(GL_BS!$G:$G,GL_BS!$R:$R,'Global TARF'!$A$101,GL_BS!$S:$S,'Global TARF'!$A114,GL_BS!$A:$A,'Global TARF'!C$8)</f>
        <v>0</v>
      </c>
      <c r="D114" s="184">
        <f>SUMIFS(GL_BS!$G:$G,GL_BS!$R:$R,'Global TARF'!$A$101,GL_BS!$S:$S,'Global TARF'!$A114,GL_BS!$A:$A,'Global TARF'!D$8)</f>
        <v>0</v>
      </c>
      <c r="E114" s="184">
        <f>SUMIFS(GL_BS!$G:$G,GL_BS!$R:$R,'Global TARF'!$A$101,GL_BS!$S:$S,'Global TARF'!$A114,GL_BS!$A:$A,'Global TARF'!E$8)</f>
        <v>0</v>
      </c>
      <c r="F114" s="184"/>
      <c r="G114" s="536">
        <f>SUMIFS(GL_BS!$G:$G,GL_BS!$R:$R,'Global TARF'!$A$101,GL_BS!$S:$S,'Global TARF'!$A114,GL_BS!$A:$A,'Global TARF'!G$8)</f>
        <v>0</v>
      </c>
      <c r="H114" s="545">
        <f>SUMIFS(GL_BS!$G:$G,GL_BS!$R:$R,'Global TARF'!$A$101,GL_BS!$S:$S,'Global TARF'!$A114,GL_BS!$A:$A,'Global TARF'!H$8)</f>
        <v>0</v>
      </c>
      <c r="I114" s="184">
        <f>SUMIFS(GL_BS!$G:$G,GL_BS!$R:$R,'Global TARF'!$A$101,GL_BS!$S:$S,'Global TARF'!$A114,GL_BS!$A:$A,'Global TARF'!I$8)</f>
        <v>0</v>
      </c>
      <c r="J114" s="184">
        <f>SUMIFS(GL_BS!$G:$G,GL_BS!$R:$R,'Global TARF'!$A$101,GL_BS!$S:$S,'Global TARF'!$A114,GL_BS!$A:$A,'Global TARF'!J$8)</f>
        <v>0</v>
      </c>
      <c r="K114" s="184">
        <f>SUMIFS(GL_BS!$G:$G,GL_BS!$R:$R,'Global TARF'!$A$101,GL_BS!$S:$S,'Global TARF'!$A114,GL_BS!$A:$A,'Global TARF'!K$8)</f>
        <v>0</v>
      </c>
      <c r="L114" s="184">
        <f>SUMIFS(GL_BS!$G:$G,GL_BS!$R:$R,'Global TARF'!$A$101,GL_BS!$S:$S,'Global TARF'!$A114,GL_BS!$A:$A,'Global TARF'!L$8)</f>
        <v>0</v>
      </c>
      <c r="M114" s="536">
        <f>SUMIFS(GL_BS!$G:$G,GL_BS!$R:$R,'Global TARF'!$A$101,GL_BS!$S:$S,'Global TARF'!$A114,GL_BS!$A:$A,'Global TARF'!M$8)</f>
        <v>0</v>
      </c>
      <c r="N114" s="555">
        <f>SUMIFS(GL_BS!$G:$G,GL_BS!$R:$R,'Global TARF'!$A$101,GL_BS!$S:$S,'Global TARF'!$A114,GL_BS!$A:$A,'Global TARF'!N$8)</f>
        <v>0</v>
      </c>
      <c r="O114" s="18">
        <f>SUMIFS(GL_BS!$G:$G,GL_BS!$R:$R,'Global TARF'!$A$101,GL_BS!$S:$S,'Global TARF'!$A114,GL_BS!$A:$A,'Global TARF'!O$8)</f>
        <v>0</v>
      </c>
      <c r="P114" s="545">
        <f>SUMIFS(GL_PL!$G:$G,GL_PL!$Q:$Q,'Global TARF'!$A$101,GL_PL!$R:$R,'Global TARF'!$A114,GL_PL!$A:$A,'Global TARF'!P$8)</f>
        <v>0</v>
      </c>
      <c r="Q114" s="184">
        <f>SUMIFS(GL_PL!$G:$G,GL_PL!$Q:$Q,'Global TARF'!$A$101,GL_PL!$R:$R,'Global TARF'!$A114,GL_PL!$A:$A,'Global TARF'!Q$8)</f>
        <v>0</v>
      </c>
      <c r="R114" s="184">
        <f>SUMIFS(GL_PL!$G:$G,GL_PL!$Q:$Q,'Global TARF'!$A$101,GL_PL!$R:$R,'Global TARF'!$A114,GL_PL!$A:$A,'Global TARF'!R$8)</f>
        <v>0</v>
      </c>
      <c r="S114" s="536">
        <f>SUMIFS(GL_PL!$G:$G,GL_PL!$Q:$Q,'Global TARF'!$A$101,GL_PL!$R:$R,'Global TARF'!$A114,GL_PL!$A:$A,'Global TARF'!S$8)</f>
        <v>0</v>
      </c>
      <c r="T114"/>
      <c r="W114" s="26"/>
      <c r="Z114" s="582">
        <f t="shared" si="108"/>
        <v>0</v>
      </c>
    </row>
    <row r="115" spans="1:26" x14ac:dyDescent="0.2">
      <c r="A115" s="534" t="s">
        <v>4275</v>
      </c>
      <c r="B115" s="184">
        <f>SUMIFS(GL_BS!$G:$G,GL_BS!$R:$R,'Global TARF'!$A$101,GL_BS!$S:$S,'Global TARF'!$A115,GL_BS!$A:$A,'Global TARF'!B$38)</f>
        <v>0</v>
      </c>
      <c r="C115" s="184">
        <f>SUMIFS(GL_BS!$G:$G,GL_BS!$R:$R,'Global TARF'!$A$101,GL_BS!$S:$S,'Global TARF'!$A115,GL_BS!$A:$A,'Global TARF'!C$8)</f>
        <v>0</v>
      </c>
      <c r="D115" s="184">
        <f>SUMIFS(GL_BS!$G:$G,GL_BS!$R:$R,'Global TARF'!$A$101,GL_BS!$S:$S,'Global TARF'!$A115,GL_BS!$A:$A,'Global TARF'!D$8)</f>
        <v>0</v>
      </c>
      <c r="E115" s="184">
        <f>SUMIFS(GL_BS!$G:$G,GL_BS!$R:$R,'Global TARF'!$A$101,GL_BS!$S:$S,'Global TARF'!$A115,GL_BS!$A:$A,'Global TARF'!E$8)</f>
        <v>0</v>
      </c>
      <c r="F115" s="184"/>
      <c r="G115" s="536">
        <f>SUMIFS(GL_BS!$G:$G,GL_BS!$R:$R,'Global TARF'!$A$101,GL_BS!$S:$S,'Global TARF'!$A115,GL_BS!$A:$A,'Global TARF'!G$8)</f>
        <v>0</v>
      </c>
      <c r="H115" s="545">
        <f>SUMIFS(GL_BS!$G:$G,GL_BS!$R:$R,'Global TARF'!$A$101,GL_BS!$S:$S,'Global TARF'!$A115,GL_BS!$A:$A,'Global TARF'!H$8)</f>
        <v>95086.775397275997</v>
      </c>
      <c r="I115" s="184">
        <f>SUMIFS(GL_BS!$G:$G,GL_BS!$R:$R,'Global TARF'!$A$101,GL_BS!$S:$S,'Global TARF'!$A115,GL_BS!$A:$A,'Global TARF'!I$8)</f>
        <v>0</v>
      </c>
      <c r="J115" s="184">
        <f>SUMIFS(GL_BS!$G:$G,GL_BS!$R:$R,'Global TARF'!$A$101,GL_BS!$S:$S,'Global TARF'!$A115,GL_BS!$A:$A,'Global TARF'!J$8)</f>
        <v>0</v>
      </c>
      <c r="K115" s="184">
        <f>SUMIFS(GL_BS!$G:$G,GL_BS!$R:$R,'Global TARF'!$A$101,GL_BS!$S:$S,'Global TARF'!$A115,GL_BS!$A:$A,'Global TARF'!K$8)</f>
        <v>0</v>
      </c>
      <c r="L115" s="184">
        <f>SUMIFS(GL_BS!$G:$G,GL_BS!$R:$R,'Global TARF'!$A$101,GL_BS!$S:$S,'Global TARF'!$A115,GL_BS!$A:$A,'Global TARF'!L$8)</f>
        <v>0</v>
      </c>
      <c r="M115" s="536">
        <f>SUMIFS(GL_BS!$G:$G,GL_BS!$R:$R,'Global TARF'!$A$101,GL_BS!$S:$S,'Global TARF'!$A115,GL_BS!$A:$A,'Global TARF'!M$8)</f>
        <v>0</v>
      </c>
      <c r="N115" s="555">
        <f>SUMIFS(GL_BS!$G:$G,GL_BS!$R:$R,'Global TARF'!$A$101,GL_BS!$S:$S,'Global TARF'!$A115,GL_BS!$A:$A,'Global TARF'!N$8)</f>
        <v>0</v>
      </c>
      <c r="O115" s="18">
        <f>SUMIFS(GL_BS!$G:$G,GL_BS!$R:$R,'Global TARF'!$A$101,GL_BS!$S:$S,'Global TARF'!$A115,GL_BS!$A:$A,'Global TARF'!O$8)</f>
        <v>0</v>
      </c>
      <c r="P115" s="545">
        <f>SUMIFS(GL_PL!$G:$G,GL_PL!$Q:$Q,'Global TARF'!$A$101,GL_PL!$R:$R,'Global TARF'!$A115,GL_PL!$A:$A,'Global TARF'!P$8)</f>
        <v>0</v>
      </c>
      <c r="Q115" s="184">
        <f>SUMIFS(GL_PL!$G:$G,GL_PL!$Q:$Q,'Global TARF'!$A$101,GL_PL!$R:$R,'Global TARF'!$A115,GL_PL!$A:$A,'Global TARF'!Q$8)</f>
        <v>0</v>
      </c>
      <c r="R115" s="184">
        <f>SUMIFS(GL_PL!$G:$G,GL_PL!$Q:$Q,'Global TARF'!$A$101,GL_PL!$R:$R,'Global TARF'!$A115,GL_PL!$A:$A,'Global TARF'!R$8)</f>
        <v>0</v>
      </c>
      <c r="S115" s="536">
        <f>SUMIFS(GL_PL!$G:$G,GL_PL!$Q:$Q,'Global TARF'!$A$101,GL_PL!$R:$R,'Global TARF'!$A115,GL_PL!$A:$A,'Global TARF'!S$8)</f>
        <v>0</v>
      </c>
      <c r="T115" s="26">
        <f>-SUM(P115:R115,H115,C115)</f>
        <v>-95086.775397275997</v>
      </c>
      <c r="Z115" s="582">
        <f t="shared" si="108"/>
        <v>0</v>
      </c>
    </row>
    <row r="116" spans="1:26" x14ac:dyDescent="0.2">
      <c r="A116" s="534" t="s">
        <v>4481</v>
      </c>
      <c r="B116" s="184">
        <f>SUMIFS(GL_BS!$G:$G,GL_BS!$R:$R,'Global TARF'!$A$101,GL_BS!$S:$S,'Global TARF'!$A116,GL_BS!$A:$A,'Global TARF'!B$38)</f>
        <v>0</v>
      </c>
      <c r="C116" s="184">
        <f>SUMIFS(GL_BS!$G:$G,GL_BS!$R:$R,'Global TARF'!$A$101,GL_BS!$S:$S,'Global TARF'!$A116,GL_BS!$A:$A,'Global TARF'!C$8)</f>
        <v>0</v>
      </c>
      <c r="D116" s="184">
        <f>SUMIFS(GL_BS!$G:$G,GL_BS!$R:$R,'Global TARF'!$A$101,GL_BS!$S:$S,'Global TARF'!$A116,GL_BS!$A:$A,'Global TARF'!D$8)</f>
        <v>0</v>
      </c>
      <c r="E116" s="184">
        <f>SUMIFS(GL_BS!$G:$G,GL_BS!$R:$R,'Global TARF'!$A$101,GL_BS!$S:$S,'Global TARF'!$A116,GL_BS!$A:$A,'Global TARF'!E$8)</f>
        <v>0</v>
      </c>
      <c r="F116" s="184"/>
      <c r="G116" s="536">
        <f>SUMIFS(GL_BS!$G:$G,GL_BS!$R:$R,'Global TARF'!$A$101,GL_BS!$S:$S,'Global TARF'!$A116,GL_BS!$A:$A,'Global TARF'!G$8)</f>
        <v>0</v>
      </c>
      <c r="H116" s="545">
        <f>SUMIFS(GL_BS!$G:$G,GL_BS!$R:$R,'Global TARF'!$A$101,GL_BS!$S:$S,'Global TARF'!$A116,GL_BS!$A:$A,'Global TARF'!H$8)</f>
        <v>0</v>
      </c>
      <c r="I116" s="184">
        <f>SUMIFS(GL_BS!$G:$G,GL_BS!$R:$R,'Global TARF'!$A$101,GL_BS!$S:$S,'Global TARF'!$A116,GL_BS!$A:$A,'Global TARF'!I$8)</f>
        <v>0</v>
      </c>
      <c r="J116" s="184">
        <f>SUMIFS(GL_BS!$G:$G,GL_BS!$R:$R,'Global TARF'!$A$101,GL_BS!$S:$S,'Global TARF'!$A116,GL_BS!$A:$A,'Global TARF'!J$8)</f>
        <v>0</v>
      </c>
      <c r="K116" s="184">
        <f>SUMIFS(GL_BS!$G:$G,GL_BS!$R:$R,'Global TARF'!$A$101,GL_BS!$S:$S,'Global TARF'!$A116,GL_BS!$A:$A,'Global TARF'!K$8)</f>
        <v>0</v>
      </c>
      <c r="L116" s="184">
        <f>SUMIFS(GL_BS!$G:$G,GL_BS!$R:$R,'Global TARF'!$A$101,GL_BS!$S:$S,'Global TARF'!$A116,GL_BS!$A:$A,'Global TARF'!L$8)</f>
        <v>0</v>
      </c>
      <c r="M116" s="536">
        <f>SUMIFS(GL_BS!$G:$G,GL_BS!$R:$R,'Global TARF'!$A$101,GL_BS!$S:$S,'Global TARF'!$A116,GL_BS!$A:$A,'Global TARF'!M$8)</f>
        <v>0</v>
      </c>
      <c r="N116" s="555">
        <f>SUMIFS(GL_BS!$G:$G,GL_BS!$R:$R,'Global TARF'!$A$101,GL_BS!$S:$S,'Global TARF'!$A116,GL_BS!$A:$A,'Global TARF'!N$8)</f>
        <v>0</v>
      </c>
      <c r="O116" s="18">
        <f>SUMIFS(GL_BS!$G:$G,GL_BS!$R:$R,'Global TARF'!$A$101,GL_BS!$S:$S,'Global TARF'!$A116,GL_BS!$A:$A,'Global TARF'!O$8)</f>
        <v>0</v>
      </c>
      <c r="P116" s="545">
        <f>SUMIFS(GL_PL!$G:$G,GL_PL!$Q:$Q,'Global TARF'!$A$101,GL_PL!$R:$R,'Global TARF'!$A116,GL_PL!$A:$A,'Global TARF'!P$8)</f>
        <v>0</v>
      </c>
      <c r="Q116" s="184">
        <f>SUMIFS(GL_PL!$G:$G,GL_PL!$Q:$Q,'Global TARF'!$A$101,GL_PL!$R:$R,'Global TARF'!$A116,GL_PL!$A:$A,'Global TARF'!Q$8)</f>
        <v>0</v>
      </c>
      <c r="R116" s="184">
        <f>SUMIFS(GL_PL!$G:$G,GL_PL!$Q:$Q,'Global TARF'!$A$101,GL_PL!$R:$R,'Global TARF'!$A116,GL_PL!$A:$A,'Global TARF'!R$8)</f>
        <v>0</v>
      </c>
      <c r="S116" s="536">
        <f>SUMIFS(GL_PL!$G:$G,GL_PL!$Q:$Q,'Global TARF'!$A$101,GL_PL!$R:$R,'Global TARF'!$A116,GL_PL!$A:$A,'Global TARF'!S$8)</f>
        <v>0</v>
      </c>
      <c r="T116"/>
      <c r="Z116" s="582">
        <f t="shared" si="108"/>
        <v>0</v>
      </c>
    </row>
    <row r="117" spans="1:26" x14ac:dyDescent="0.2">
      <c r="A117" t="s">
        <v>4569</v>
      </c>
      <c r="B117" s="184">
        <f>SUMIFS(GL_BS!$G:$G,GL_BS!$R:$R,'Global TARF'!$A$101,GL_BS!$S:$S,'Global TARF'!$A117,GL_BS!$A:$A,'Global TARF'!B$38)</f>
        <v>0</v>
      </c>
      <c r="C117" s="184">
        <f>SUMIFS(GL_BS!$G:$G,GL_BS!$R:$R,'Global TARF'!$A$101,GL_BS!$S:$S,'Global TARF'!$A117,GL_BS!$A:$A,'Global TARF'!C$8)</f>
        <v>0</v>
      </c>
      <c r="D117" s="184">
        <f>SUMIFS(GL_BS!$G:$G,GL_BS!$R:$R,'Global TARF'!$A$101,GL_BS!$S:$S,'Global TARF'!$A117,GL_BS!$A:$A,'Global TARF'!D$8)</f>
        <v>0</v>
      </c>
      <c r="E117" s="184">
        <f>SUMIFS(GL_BS!$G:$G,GL_BS!$R:$R,'Global TARF'!$A$101,GL_BS!$S:$S,'Global TARF'!$A117,GL_BS!$A:$A,'Global TARF'!E$8)</f>
        <v>0</v>
      </c>
      <c r="F117" s="184"/>
      <c r="G117" s="536">
        <f>SUMIFS(GL_BS!$G:$G,GL_BS!$R:$R,'Global TARF'!$A$101,GL_BS!$S:$S,'Global TARF'!$A117,GL_BS!$A:$A,'Global TARF'!G$8)</f>
        <v>0</v>
      </c>
      <c r="H117" s="545">
        <f>SUMIFS(GL_BS!$G:$G,GL_BS!$R:$R,'Global TARF'!$A$101,GL_BS!$S:$S,'Global TARF'!$A117,GL_BS!$A:$A,'Global TARF'!H$8)</f>
        <v>-36239.720527899328</v>
      </c>
      <c r="I117" s="184">
        <f>SUMIFS(GL_BS!$G:$G,GL_BS!$R:$R,'Global TARF'!$A$101,GL_BS!$S:$S,'Global TARF'!$A117,GL_BS!$A:$A,'Global TARF'!I$8)</f>
        <v>0</v>
      </c>
      <c r="J117" s="184">
        <f>SUMIFS(GL_BS!$G:$G,GL_BS!$R:$R,'Global TARF'!$A$101,GL_BS!$S:$S,'Global TARF'!$A117,GL_BS!$A:$A,'Global TARF'!J$8)</f>
        <v>0</v>
      </c>
      <c r="K117" s="184">
        <f>SUMIFS(GL_BS!$G:$G,GL_BS!$R:$R,'Global TARF'!$A$101,GL_BS!$S:$S,'Global TARF'!$A117,GL_BS!$A:$A,'Global TARF'!K$8)</f>
        <v>0</v>
      </c>
      <c r="L117" s="184">
        <f>SUMIFS(GL_BS!$G:$G,GL_BS!$R:$R,'Global TARF'!$A$101,GL_BS!$S:$S,'Global TARF'!$A117,GL_BS!$A:$A,'Global TARF'!L$8)</f>
        <v>0</v>
      </c>
      <c r="M117" s="536">
        <f>SUMIFS(GL_BS!$G:$G,GL_BS!$R:$R,'Global TARF'!$A$101,GL_BS!$S:$S,'Global TARF'!$A117,GL_BS!$A:$A,'Global TARF'!M$8)</f>
        <v>0</v>
      </c>
      <c r="N117" s="555"/>
      <c r="O117" s="18"/>
      <c r="P117" s="545">
        <f>SUMIFS(GL_PL!$G:$G,GL_PL!$Q:$Q,'Global TARF'!$A$101,GL_PL!$R:$R,'Global TARF'!$A117,GL_PL!$A:$A,'Global TARF'!P$8)</f>
        <v>0</v>
      </c>
      <c r="Q117" s="184">
        <f>SUMIFS(GL_PL!$G:$G,GL_PL!$Q:$Q,'Global TARF'!$A$101,GL_PL!$R:$R,'Global TARF'!$A117,GL_PL!$A:$A,'Global TARF'!Q$8)</f>
        <v>0</v>
      </c>
      <c r="R117" s="184">
        <f>SUMIFS(GL_PL!$G:$G,GL_PL!$Q:$Q,'Global TARF'!$A$101,GL_PL!$R:$R,'Global TARF'!$A117,GL_PL!$A:$A,'Global TARF'!R$8)</f>
        <v>36331.592458156993</v>
      </c>
      <c r="S117" s="536">
        <f>SUMIFS(GL_PL!$G:$G,GL_PL!$Q:$Q,'Global TARF'!$A$101,GL_PL!$R:$R,'Global TARF'!$A117,GL_PL!$A:$A,'Global TARF'!S$8)</f>
        <v>0</v>
      </c>
      <c r="T117"/>
      <c r="Z117" s="582"/>
    </row>
    <row r="118" spans="1:26" x14ac:dyDescent="0.2">
      <c r="A118" t="s">
        <v>4587</v>
      </c>
      <c r="B118" s="184">
        <f>SUMIFS(GL_BS!$G:$G,GL_BS!$R:$R,'Global TARF'!$A$101,GL_BS!$S:$S,'Global TARF'!$A118,GL_BS!$A:$A,'Global TARF'!B$38)</f>
        <v>0</v>
      </c>
      <c r="C118" s="184">
        <f>SUMIFS(GL_BS!$G:$G,GL_BS!$R:$R,'Global TARF'!$A$101,GL_BS!$S:$S,'Global TARF'!$A118,GL_BS!$A:$A,'Global TARF'!C$8)</f>
        <v>0</v>
      </c>
      <c r="D118" s="184">
        <f>SUMIFS(GL_BS!$G:$G,GL_BS!$R:$R,'Global TARF'!$A$101,GL_BS!$S:$S,'Global TARF'!$A118,GL_BS!$A:$A,'Global TARF'!D$8)</f>
        <v>0</v>
      </c>
      <c r="E118" s="184">
        <f>SUMIFS(GL_BS!$G:$G,GL_BS!$R:$R,'Global TARF'!$A$101,GL_BS!$S:$S,'Global TARF'!$A118,GL_BS!$A:$A,'Global TARF'!E$8)</f>
        <v>0</v>
      </c>
      <c r="F118" s="184"/>
      <c r="G118" s="536">
        <f>SUMIFS(GL_BS!$G:$G,GL_BS!$R:$R,'Global TARF'!$A$101,GL_BS!$S:$S,'Global TARF'!$A118,GL_BS!$A:$A,'Global TARF'!G$8)</f>
        <v>0</v>
      </c>
      <c r="H118" s="545">
        <f>SUMIFS(GL_BS!$G:$G,GL_BS!$R:$R,'Global TARF'!$A$101,GL_BS!$S:$S,'Global TARF'!$A118,GL_BS!$A:$A,'Global TARF'!H$8)</f>
        <v>0</v>
      </c>
      <c r="I118" s="184">
        <f>SUMIFS(GL_BS!$G:$G,GL_BS!$R:$R,'Global TARF'!$A$101,GL_BS!$S:$S,'Global TARF'!$A118,GL_BS!$A:$A,'Global TARF'!I$8)</f>
        <v>0</v>
      </c>
      <c r="J118" s="184">
        <f>SUMIFS(GL_BS!$G:$G,GL_BS!$R:$R,'Global TARF'!$A$101,GL_BS!$S:$S,'Global TARF'!$A118,GL_BS!$A:$A,'Global TARF'!J$8)</f>
        <v>0</v>
      </c>
      <c r="K118" s="184">
        <f>SUMIFS(GL_BS!$G:$G,GL_BS!$R:$R,'Global TARF'!$A$101,GL_BS!$S:$S,'Global TARF'!$A118,GL_BS!$A:$A,'Global TARF'!K$8)</f>
        <v>0</v>
      </c>
      <c r="L118" s="184">
        <f>SUMIFS(GL_BS!$G:$G,GL_BS!$R:$R,'Global TARF'!$A$101,GL_BS!$S:$S,'Global TARF'!$A118,GL_BS!$A:$A,'Global TARF'!L$8)</f>
        <v>0</v>
      </c>
      <c r="M118" s="536">
        <f>SUMIFS(GL_BS!$G:$G,GL_BS!$R:$R,'Global TARF'!$A$101,GL_BS!$S:$S,'Global TARF'!$A118,GL_BS!$A:$A,'Global TARF'!M$8)</f>
        <v>0</v>
      </c>
      <c r="N118" s="555"/>
      <c r="O118" s="18"/>
      <c r="P118" s="545">
        <f>SUMIFS(GL_PL!$G:$G,GL_PL!$Q:$Q,'Global TARF'!$A$101,GL_PL!$R:$R,'Global TARF'!$A118,GL_PL!$A:$A,'Global TARF'!P$8)</f>
        <v>0</v>
      </c>
      <c r="Q118" s="184">
        <f>SUMIFS(GL_PL!$G:$G,GL_PL!$Q:$Q,'Global TARF'!$A$101,GL_PL!$R:$R,'Global TARF'!$A118,GL_PL!$A:$A,'Global TARF'!Q$8)</f>
        <v>0</v>
      </c>
      <c r="R118" s="184">
        <f>SUMIFS(GL_PL!$G:$G,GL_PL!$Q:$Q,'Global TARF'!$A$101,GL_PL!$R:$R,'Global TARF'!$A118,GL_PL!$A:$A,'Global TARF'!R$8)</f>
        <v>0</v>
      </c>
      <c r="S118" s="536">
        <f>SUMIFS(GL_PL!$G:$G,GL_PL!$Q:$Q,'Global TARF'!$A$101,GL_PL!$R:$R,'Global TARF'!$A118,GL_PL!$A:$A,'Global TARF'!S$8)</f>
        <v>0</v>
      </c>
      <c r="T118"/>
      <c r="Z118" s="582"/>
    </row>
    <row r="119" spans="1:26" x14ac:dyDescent="0.2">
      <c r="A119" t="s">
        <v>4369</v>
      </c>
      <c r="B119" s="184">
        <f>SUMIFS(GL_BS!$G:$G,GL_BS!$R:$R,'Global TARF'!$A$101,GL_BS!$S:$S,'Global TARF'!$A119,GL_BS!$A:$A,'Global TARF'!B$38)</f>
        <v>0</v>
      </c>
      <c r="C119" s="184">
        <f>SUMIFS(GL_BS!$G:$G,GL_BS!$R:$R,'Global TARF'!$A$101,GL_BS!$S:$S,'Global TARF'!$A119,GL_BS!$A:$A,'Global TARF'!C$8)</f>
        <v>0</v>
      </c>
      <c r="D119" s="184">
        <f>SUMIFS(GL_BS!$G:$G,GL_BS!$R:$R,'Global TARF'!$A$101,GL_BS!$S:$S,'Global TARF'!$A119,GL_BS!$A:$A,'Global TARF'!D$8)</f>
        <v>0</v>
      </c>
      <c r="E119" s="184">
        <f>SUMIFS(GL_BS!$G:$G,GL_BS!$R:$R,'Global TARF'!$A$101,GL_BS!$S:$S,'Global TARF'!$A119,GL_BS!$A:$A,'Global TARF'!E$8)</f>
        <v>0</v>
      </c>
      <c r="F119" s="184"/>
      <c r="G119" s="536">
        <f>SUMIFS(GL_BS!$G:$G,GL_BS!$R:$R,'Global TARF'!$A$101,GL_BS!$S:$S,'Global TARF'!$A119,GL_BS!$A:$A,'Global TARF'!G$8)</f>
        <v>0</v>
      </c>
      <c r="H119" s="545">
        <f>SUMIFS(GL_BS!$G:$G,GL_BS!$R:$R,'Global TARF'!$A$101,GL_BS!$S:$S,'Global TARF'!$A119,GL_BS!$A:$A,'Global TARF'!H$8)</f>
        <v>0</v>
      </c>
      <c r="I119" s="184">
        <f>SUMIFS(GL_BS!$G:$G,GL_BS!$R:$R,'Global TARF'!$A$101,GL_BS!$S:$S,'Global TARF'!$A119,GL_BS!$A:$A,'Global TARF'!I$8)</f>
        <v>0</v>
      </c>
      <c r="J119" s="184">
        <f>SUMIFS(GL_BS!$G:$G,GL_BS!$R:$R,'Global TARF'!$A$101,GL_BS!$S:$S,'Global TARF'!$A119,GL_BS!$A:$A,'Global TARF'!J$8)</f>
        <v>0</v>
      </c>
      <c r="K119" s="184">
        <f>SUMIFS(GL_BS!$G:$G,GL_BS!$R:$R,'Global TARF'!$A$101,GL_BS!$S:$S,'Global TARF'!$A119,GL_BS!$A:$A,'Global TARF'!K$8)</f>
        <v>0</v>
      </c>
      <c r="L119" s="184">
        <f>SUMIFS(GL_BS!$G:$G,GL_BS!$R:$R,'Global TARF'!$A$101,GL_BS!$S:$S,'Global TARF'!$A119,GL_BS!$A:$A,'Global TARF'!L$8)</f>
        <v>0</v>
      </c>
      <c r="M119" s="536">
        <f>SUMIFS(GL_BS!$G:$G,GL_BS!$R:$R,'Global TARF'!$A$101,GL_BS!$S:$S,'Global TARF'!$A119,GL_BS!$A:$A,'Global TARF'!M$8)</f>
        <v>0</v>
      </c>
      <c r="N119" s="555">
        <f>SUMIFS(GL_BS!$G:$G,GL_BS!$R:$R,'Global TARF'!$A$101,GL_BS!$S:$S,'Global TARF'!$A119,GL_BS!$A:$A,'Global TARF'!N$8)</f>
        <v>0</v>
      </c>
      <c r="O119" s="18">
        <f>SUMIFS(GL_BS!$G:$G,GL_BS!$R:$R,'Global TARF'!$A$101,GL_BS!$S:$S,'Global TARF'!$A119,GL_BS!$A:$A,'Global TARF'!O$8)</f>
        <v>0</v>
      </c>
      <c r="P119" s="545">
        <f>SUMIFS(GL_PL!$G:$G,GL_PL!$Q:$Q,'Global TARF'!$A$101,GL_PL!$R:$R,'Global TARF'!$A119,GL_PL!$A:$A,'Global TARF'!P$8)</f>
        <v>0</v>
      </c>
      <c r="Q119" s="184">
        <f>SUMIFS(GL_PL!$G:$G,GL_PL!$Q:$Q,'Global TARF'!$A$101,GL_PL!$R:$R,'Global TARF'!$A119,GL_PL!$A:$A,'Global TARF'!Q$8)</f>
        <v>0</v>
      </c>
      <c r="R119" s="184">
        <f>SUMIFS(GL_PL!$G:$G,GL_PL!$Q:$Q,'Global TARF'!$A$101,GL_PL!$R:$R,'Global TARF'!$A119,GL_PL!$A:$A,'Global TARF'!R$8)</f>
        <v>0</v>
      </c>
      <c r="S119" s="536">
        <f>SUMIFS(GL_PL!$G:$G,GL_PL!$Q:$Q,'Global TARF'!$A$101,GL_PL!$R:$R,'Global TARF'!$A119,GL_PL!$A:$A,'Global TARF'!S$8)</f>
        <v>0</v>
      </c>
      <c r="T119"/>
      <c r="Z119" s="582">
        <f t="shared" si="108"/>
        <v>0</v>
      </c>
    </row>
    <row r="120" spans="1:26" x14ac:dyDescent="0.2">
      <c r="A120" s="534" t="s">
        <v>799</v>
      </c>
      <c r="B120" s="184">
        <f>SUMIFS(GL_BS!$G:$G,GL_BS!$R:$R,'Global TARF'!$A$101,GL_BS!$S:$S,'Global TARF'!$A120,GL_BS!$A:$A,'Global TARF'!B$38)</f>
        <v>0</v>
      </c>
      <c r="C120" s="184">
        <f>SUMIFS(GL_BS!$G:$G,GL_BS!$R:$R,'Global TARF'!$A$101,GL_BS!$S:$S,'Global TARF'!$A120,GL_BS!$A:$A,'Global TARF'!C$8)</f>
        <v>0</v>
      </c>
      <c r="D120" s="184">
        <f>SUMIFS(GL_BS!$G:$G,GL_BS!$R:$R,'Global TARF'!$A$101,GL_BS!$S:$S,'Global TARF'!$A120,GL_BS!$A:$A,'Global TARF'!D$8)</f>
        <v>0</v>
      </c>
      <c r="E120" s="184">
        <f>SUMIFS(GL_BS!$G:$G,GL_BS!$R:$R,'Global TARF'!$A$101,GL_BS!$S:$S,'Global TARF'!$A120,GL_BS!$A:$A,'Global TARF'!E$8)</f>
        <v>0</v>
      </c>
      <c r="F120" s="184"/>
      <c r="G120" s="536">
        <f>SUMIFS(GL_BS!$G:$G,GL_BS!$R:$R,'Global TARF'!$A$101,GL_BS!$S:$S,'Global TARF'!$A120,GL_BS!$A:$A,'Global TARF'!G$8)</f>
        <v>0</v>
      </c>
      <c r="H120" s="545">
        <f>SUMIFS(GL_BS!$G:$G,GL_BS!$R:$R,'Global TARF'!$A$101,GL_BS!$S:$S,'Global TARF'!$A120,GL_BS!$A:$A,'Global TARF'!H$8)</f>
        <v>0</v>
      </c>
      <c r="I120" s="184">
        <f>SUMIFS(GL_BS!$G:$G,GL_BS!$R:$R,'Global TARF'!$A$101,GL_BS!$S:$S,'Global TARF'!$A120,GL_BS!$A:$A,'Global TARF'!I$8)</f>
        <v>0</v>
      </c>
      <c r="J120" s="184">
        <f>SUMIFS(GL_BS!$G:$G,GL_BS!$R:$R,'Global TARF'!$A$101,GL_BS!$S:$S,'Global TARF'!$A120,GL_BS!$A:$A,'Global TARF'!J$8)</f>
        <v>0</v>
      </c>
      <c r="K120" s="184">
        <f>SUMIFS(GL_BS!$G:$G,GL_BS!$R:$R,'Global TARF'!$A$101,GL_BS!$S:$S,'Global TARF'!$A120,GL_BS!$A:$A,'Global TARF'!K$8)</f>
        <v>0</v>
      </c>
      <c r="L120" s="184">
        <f>SUMIFS(GL_BS!$G:$G,GL_BS!$R:$R,'Global TARF'!$A$101,GL_BS!$S:$S,'Global TARF'!$A120,GL_BS!$A:$A,'Global TARF'!L$8)</f>
        <v>0</v>
      </c>
      <c r="M120" s="536">
        <f>SUMIFS(GL_BS!$G:$G,GL_BS!$R:$R,'Global TARF'!$A$101,GL_BS!$S:$S,'Global TARF'!$A120,GL_BS!$A:$A,'Global TARF'!M$8)</f>
        <v>0</v>
      </c>
      <c r="N120" s="555"/>
      <c r="O120" s="18"/>
      <c r="P120" s="545">
        <f>SUMIFS(GL_PL!$G:$G,GL_PL!$Q:$Q,'Global TARF'!$A$101,GL_PL!$R:$R,'Global TARF'!$A120,GL_PL!$A:$A,'Global TARF'!P$8)</f>
        <v>0</v>
      </c>
      <c r="Q120" s="184">
        <f>SUMIFS(GL_PL!$G:$G,GL_PL!$Q:$Q,'Global TARF'!$A$101,GL_PL!$R:$R,'Global TARF'!$A120,GL_PL!$A:$A,'Global TARF'!Q$8)</f>
        <v>0</v>
      </c>
      <c r="R120" s="184">
        <f>SUMIFS(GL_PL!$G:$G,GL_PL!$Q:$Q,'Global TARF'!$A$101,GL_PL!$R:$R,'Global TARF'!$A120,GL_PL!$A:$A,'Global TARF'!R$8)</f>
        <v>0</v>
      </c>
      <c r="S120" s="536">
        <f>SUMIFS(GL_PL!$G:$G,GL_PL!$Q:$Q,'Global TARF'!$A$101,GL_PL!$R:$R,'Global TARF'!$A120,GL_PL!$A:$A,'Global TARF'!S$8)</f>
        <v>0</v>
      </c>
      <c r="T120"/>
      <c r="Z120" s="582"/>
    </row>
    <row r="121" spans="1:26" x14ac:dyDescent="0.2">
      <c r="A121" s="534" t="s">
        <v>3845</v>
      </c>
      <c r="B121" s="184">
        <f>SUMIFS(GL_BS!$G:$G,GL_BS!$R:$R,'Global TARF'!$A$101,GL_BS!$S:$S,'Global TARF'!$A121,GL_BS!$A:$A,'Global TARF'!B$38)</f>
        <v>0</v>
      </c>
      <c r="C121" s="184">
        <f>SUMIFS(GL_BS!$G:$G,GL_BS!$R:$R,'Global TARF'!$A$101,GL_BS!$S:$S,'Global TARF'!$A121,GL_BS!$A:$A,'Global TARF'!C$8)</f>
        <v>0</v>
      </c>
      <c r="D121" s="184">
        <f>SUMIFS(GL_BS!$G:$G,GL_BS!$R:$R,'Global TARF'!$A$101,GL_BS!$S:$S,'Global TARF'!$A121,GL_BS!$A:$A,'Global TARF'!D$8)</f>
        <v>0</v>
      </c>
      <c r="E121" s="184">
        <f>SUMIFS(GL_BS!$G:$G,GL_BS!$R:$R,'Global TARF'!$A$101,GL_BS!$S:$S,'Global TARF'!$A121,GL_BS!$A:$A,'Global TARF'!E$8)</f>
        <v>0</v>
      </c>
      <c r="F121" s="184"/>
      <c r="G121" s="536">
        <f>SUMIFS(GL_BS!$G:$G,GL_BS!$R:$R,'Global TARF'!$A$101,GL_BS!$S:$S,'Global TARF'!$A121,GL_BS!$A:$A,'Global TARF'!G$8)</f>
        <v>0</v>
      </c>
      <c r="H121" s="545">
        <f>SUMIFS(GL_BS!$G:$G,GL_BS!$R:$R,'Global TARF'!$A$101,GL_BS!$S:$S,'Global TARF'!$A121,GL_BS!$A:$A,'Global TARF'!H$8)</f>
        <v>0</v>
      </c>
      <c r="I121" s="184">
        <f>SUMIFS(GL_BS!$G:$G,GL_BS!$R:$R,'Global TARF'!$A$101,GL_BS!$S:$S,'Global TARF'!$A121,GL_BS!$A:$A,'Global TARF'!I$8)</f>
        <v>0</v>
      </c>
      <c r="J121" s="184">
        <f>SUMIFS(GL_BS!$G:$G,GL_BS!$R:$R,'Global TARF'!$A$101,GL_BS!$S:$S,'Global TARF'!$A121,GL_BS!$A:$A,'Global TARF'!J$8)</f>
        <v>0</v>
      </c>
      <c r="K121" s="184">
        <f>SUMIFS(GL_BS!$G:$G,GL_BS!$R:$R,'Global TARF'!$A$101,GL_BS!$S:$S,'Global TARF'!$A121,GL_BS!$A:$A,'Global TARF'!K$8)</f>
        <v>0</v>
      </c>
      <c r="L121" s="184">
        <f>SUMIFS(GL_BS!$G:$G,GL_BS!$R:$R,'Global TARF'!$A$101,GL_BS!$S:$S,'Global TARF'!$A121,GL_BS!$A:$A,'Global TARF'!L$8)</f>
        <v>0</v>
      </c>
      <c r="M121" s="536">
        <f>SUMIFS(GL_BS!$G:$G,GL_BS!$R:$R,'Global TARF'!$A$101,GL_BS!$S:$S,'Global TARF'!$A121,GL_BS!$A:$A,'Global TARF'!M$8)</f>
        <v>0</v>
      </c>
      <c r="N121" s="555">
        <f>SUMIFS(GL_BS!$G:$G,GL_BS!$R:$R,'Global TARF'!$A$101,GL_BS!$S:$S,'Global TARF'!$A121,GL_BS!$A:$A,'Global TARF'!N$8)</f>
        <v>0</v>
      </c>
      <c r="O121" s="18">
        <f>SUMIFS(GL_BS!$G:$G,GL_BS!$R:$R,'Global TARF'!$A$101,GL_BS!$S:$S,'Global TARF'!$A121,GL_BS!$A:$A,'Global TARF'!O$8)</f>
        <v>0</v>
      </c>
      <c r="P121" s="545">
        <f>SUMIFS(GL_PL!$G:$G,GL_PL!$Q:$Q,'Global TARF'!$A$101,GL_PL!$R:$R,'Global TARF'!$A121,GL_PL!$A:$A,'Global TARF'!P$8)</f>
        <v>0</v>
      </c>
      <c r="Q121" s="184">
        <f>SUMIFS(GL_PL!$G:$G,GL_PL!$Q:$Q,'Global TARF'!$A$101,GL_PL!$R:$R,'Global TARF'!$A121,GL_PL!$A:$A,'Global TARF'!Q$8)</f>
        <v>0</v>
      </c>
      <c r="R121" s="184">
        <f>SUMIFS(GL_PL!$G:$G,GL_PL!$Q:$Q,'Global TARF'!$A$101,GL_PL!$R:$R,'Global TARF'!$A121,GL_PL!$A:$A,'Global TARF'!R$8)</f>
        <v>0</v>
      </c>
      <c r="S121" s="536">
        <f>SUMIFS(GL_PL!$G:$G,GL_PL!$Q:$Q,'Global TARF'!$A$101,GL_PL!$R:$R,'Global TARF'!$A121,GL_PL!$A:$A,'Global TARF'!S$8)</f>
        <v>0</v>
      </c>
      <c r="T121"/>
      <c r="Z121" s="582">
        <f t="shared" si="108"/>
        <v>0</v>
      </c>
    </row>
    <row r="122" spans="1:26" x14ac:dyDescent="0.2">
      <c r="A122" s="534" t="s">
        <v>792</v>
      </c>
      <c r="B122" s="184">
        <f>SUMIFS(GL_BS!$G:$G,GL_BS!$R:$R,'Global TARF'!$A$101,GL_BS!$S:$S,'Global TARF'!$A122,GL_BS!$A:$A,'Global TARF'!B$38)</f>
        <v>0</v>
      </c>
      <c r="C122" s="184">
        <f>SUMIFS(GL_BS!$G:$G,GL_BS!$R:$R,'Global TARF'!$A$101,GL_BS!$S:$S,'Global TARF'!$A122,GL_BS!$A:$A,'Global TARF'!C$8)</f>
        <v>0</v>
      </c>
      <c r="D122" s="184">
        <f>SUMIFS(GL_BS!$G:$G,GL_BS!$R:$R,'Global TARF'!$A$101,GL_BS!$S:$S,'Global TARF'!$A122,GL_BS!$A:$A,'Global TARF'!D$8)</f>
        <v>0</v>
      </c>
      <c r="E122" s="184">
        <f>SUMIFS(GL_BS!$G:$G,GL_BS!$R:$R,'Global TARF'!$A$101,GL_BS!$S:$S,'Global TARF'!$A122,GL_BS!$A:$A,'Global TARF'!E$8)</f>
        <v>0</v>
      </c>
      <c r="F122" s="184"/>
      <c r="G122" s="536">
        <f>SUMIFS(GL_BS!$G:$G,GL_BS!$R:$R,'Global TARF'!$A$101,GL_BS!$S:$S,'Global TARF'!$A122,GL_BS!$A:$A,'Global TARF'!G$8)</f>
        <v>0</v>
      </c>
      <c r="H122" s="545">
        <f>SUMIFS(GL_BS!$G:$G,GL_BS!$R:$R,'Global TARF'!$A$101,GL_BS!$S:$S,'Global TARF'!$A122,GL_BS!$A:$A,'Global TARF'!H$8)</f>
        <v>0</v>
      </c>
      <c r="I122" s="184">
        <f>SUMIFS(GL_BS!$G:$G,GL_BS!$R:$R,'Global TARF'!$A$101,GL_BS!$S:$S,'Global TARF'!$A122,GL_BS!$A:$A,'Global TARF'!I$8)</f>
        <v>0</v>
      </c>
      <c r="J122" s="184">
        <f>SUMIFS(GL_BS!$G:$G,GL_BS!$R:$R,'Global TARF'!$A$101,GL_BS!$S:$S,'Global TARF'!$A122,GL_BS!$A:$A,'Global TARF'!J$8)</f>
        <v>0</v>
      </c>
      <c r="K122" s="184">
        <f>SUMIFS(GL_BS!$G:$G,GL_BS!$R:$R,'Global TARF'!$A$101,GL_BS!$S:$S,'Global TARF'!$A122,GL_BS!$A:$A,'Global TARF'!K$8)</f>
        <v>0</v>
      </c>
      <c r="L122" s="184">
        <f>SUMIFS(GL_BS!$G:$G,GL_BS!$R:$R,'Global TARF'!$A$101,GL_BS!$S:$S,'Global TARF'!$A122,GL_BS!$A:$A,'Global TARF'!L$8)</f>
        <v>0</v>
      </c>
      <c r="M122" s="536">
        <f>SUMIFS(GL_BS!$G:$G,GL_BS!$R:$R,'Global TARF'!$A$101,GL_BS!$S:$S,'Global TARF'!$A122,GL_BS!$A:$A,'Global TARF'!M$8)</f>
        <v>0</v>
      </c>
      <c r="N122" s="555">
        <f>SUMIFS(GL_BS!$G:$G,GL_BS!$R:$R,'Global TARF'!$A$101,GL_BS!$S:$S,'Global TARF'!$A122,GL_BS!$A:$A,'Global TARF'!N$8)</f>
        <v>0</v>
      </c>
      <c r="O122" s="18">
        <f>SUMIFS(GL_BS!$G:$G,GL_BS!$R:$R,'Global TARF'!$A$101,GL_BS!$S:$S,'Global TARF'!$A122,GL_BS!$A:$A,'Global TARF'!O$8)</f>
        <v>0</v>
      </c>
      <c r="P122" s="545">
        <f>SUMIFS(GL_PL!$G:$G,GL_PL!$Q:$Q,'Global TARF'!$A$101,GL_PL!$R:$R,'Global TARF'!$A122,GL_PL!$A:$A,'Global TARF'!P$8)</f>
        <v>0</v>
      </c>
      <c r="Q122" s="184">
        <f>SUMIFS(GL_PL!$G:$G,GL_PL!$Q:$Q,'Global TARF'!$A$101,GL_PL!$R:$R,'Global TARF'!$A122,GL_PL!$A:$A,'Global TARF'!Q$8)</f>
        <v>0</v>
      </c>
      <c r="R122" s="184">
        <f>SUMIFS(GL_PL!$G:$G,GL_PL!$Q:$Q,'Global TARF'!$A$101,GL_PL!$R:$R,'Global TARF'!$A122,GL_PL!$A:$A,'Global TARF'!R$8)</f>
        <v>0</v>
      </c>
      <c r="S122" s="536">
        <f>SUMIFS(GL_PL!$G:$G,GL_PL!$Q:$Q,'Global TARF'!$A$101,GL_PL!$R:$R,'Global TARF'!$A122,GL_PL!$A:$A,'Global TARF'!S$8)</f>
        <v>0</v>
      </c>
      <c r="T122"/>
      <c r="V122" s="26">
        <f>-SUM(Q122,B122)</f>
        <v>0</v>
      </c>
      <c r="Z122" s="582">
        <f t="shared" si="108"/>
        <v>0</v>
      </c>
    </row>
    <row r="123" spans="1:26" x14ac:dyDescent="0.2">
      <c r="A123" s="534" t="s">
        <v>791</v>
      </c>
      <c r="B123" s="184">
        <f>SUMIFS(GL_BS!$G:$G,GL_BS!$R:$R,'Global TARF'!$A$101,GL_BS!$S:$S,'Global TARF'!$A123,GL_BS!$A:$A,'Global TARF'!B$38)</f>
        <v>0</v>
      </c>
      <c r="C123" s="184">
        <f>SUMIFS(GL_BS!$G:$G,GL_BS!$R:$R,'Global TARF'!$A$101,GL_BS!$S:$S,'Global TARF'!$A123,GL_BS!$A:$A,'Global TARF'!C$8)</f>
        <v>0</v>
      </c>
      <c r="D123" s="184">
        <f>SUMIFS(GL_BS!$G:$G,GL_BS!$R:$R,'Global TARF'!$A$101,GL_BS!$S:$S,'Global TARF'!$A123,GL_BS!$A:$A,'Global TARF'!D$8)</f>
        <v>0</v>
      </c>
      <c r="E123" s="184">
        <f>SUMIFS(GL_BS!$G:$G,GL_BS!$R:$R,'Global TARF'!$A$101,GL_BS!$S:$S,'Global TARF'!$A123,GL_BS!$A:$A,'Global TARF'!E$8)</f>
        <v>0</v>
      </c>
      <c r="F123" s="184"/>
      <c r="G123" s="536">
        <f>SUMIFS(GL_BS!$G:$G,GL_BS!$R:$R,'Global TARF'!$A$101,GL_BS!$S:$S,'Global TARF'!$A123,GL_BS!$A:$A,'Global TARF'!G$8)</f>
        <v>0</v>
      </c>
      <c r="H123" s="545">
        <f>SUMIFS(GL_BS!$G:$G,GL_BS!$R:$R,'Global TARF'!$A$101,GL_BS!$S:$S,'Global TARF'!$A123,GL_BS!$A:$A,'Global TARF'!H$8)</f>
        <v>0</v>
      </c>
      <c r="I123" s="184">
        <f>SUMIFS(GL_BS!$G:$G,GL_BS!$R:$R,'Global TARF'!$A$101,GL_BS!$S:$S,'Global TARF'!$A123,GL_BS!$A:$A,'Global TARF'!I$8)</f>
        <v>0</v>
      </c>
      <c r="J123" s="184">
        <f>SUMIFS(GL_BS!$G:$G,GL_BS!$R:$R,'Global TARF'!$A$101,GL_BS!$S:$S,'Global TARF'!$A123,GL_BS!$A:$A,'Global TARF'!J$8)</f>
        <v>0</v>
      </c>
      <c r="K123" s="184">
        <f>SUMIFS(GL_BS!$G:$G,GL_BS!$R:$R,'Global TARF'!$A$101,GL_BS!$S:$S,'Global TARF'!$A123,GL_BS!$A:$A,'Global TARF'!K$8)</f>
        <v>0</v>
      </c>
      <c r="L123" s="184">
        <f>SUMIFS(GL_BS!$G:$G,GL_BS!$R:$R,'Global TARF'!$A$101,GL_BS!$S:$S,'Global TARF'!$A123,GL_BS!$A:$A,'Global TARF'!L$8)</f>
        <v>0</v>
      </c>
      <c r="M123" s="536">
        <f>SUMIFS(GL_BS!$G:$G,GL_BS!$R:$R,'Global TARF'!$A$101,GL_BS!$S:$S,'Global TARF'!$A123,GL_BS!$A:$A,'Global TARF'!M$8)</f>
        <v>0</v>
      </c>
      <c r="N123" s="555">
        <f>SUMIFS(GL_BS!$G:$G,GL_BS!$R:$R,'Global TARF'!$A$101,GL_BS!$S:$S,'Global TARF'!$A123,GL_BS!$A:$A,'Global TARF'!N$8)</f>
        <v>0</v>
      </c>
      <c r="O123" s="18">
        <f>SUMIFS(GL_BS!$G:$G,GL_BS!$R:$R,'Global TARF'!$A$101,GL_BS!$S:$S,'Global TARF'!$A123,GL_BS!$A:$A,'Global TARF'!O$8)</f>
        <v>0</v>
      </c>
      <c r="P123" s="545">
        <f>SUMIFS(GL_PL!$G:$G,GL_PL!$Q:$Q,'Global TARF'!$A$101,GL_PL!$R:$R,'Global TARF'!$A123,GL_PL!$A:$A,'Global TARF'!P$8)</f>
        <v>0</v>
      </c>
      <c r="Q123" s="184">
        <f>SUMIFS(GL_PL!$G:$G,GL_PL!$Q:$Q,'Global TARF'!$A$101,GL_PL!$R:$R,'Global TARF'!$A123,GL_PL!$A:$A,'Global TARF'!Q$8)</f>
        <v>0</v>
      </c>
      <c r="R123" s="184">
        <f>SUMIFS(GL_PL!$G:$G,GL_PL!$Q:$Q,'Global TARF'!$A$101,GL_PL!$R:$R,'Global TARF'!$A123,GL_PL!$A:$A,'Global TARF'!R$8)</f>
        <v>0</v>
      </c>
      <c r="S123" s="536">
        <f>SUMIFS(GL_PL!$G:$G,GL_PL!$Q:$Q,'Global TARF'!$A$101,GL_PL!$R:$R,'Global TARF'!$A123,GL_PL!$A:$A,'Global TARF'!S$8)</f>
        <v>0</v>
      </c>
      <c r="T123" s="26">
        <f>-SUM(P123:R123)</f>
        <v>0</v>
      </c>
      <c r="U123" s="26"/>
      <c r="Z123" s="582">
        <f t="shared" si="108"/>
        <v>0</v>
      </c>
    </row>
    <row r="124" spans="1:26" x14ac:dyDescent="0.2">
      <c r="A124" s="534" t="s">
        <v>243</v>
      </c>
      <c r="B124" s="184">
        <f>SUMIFS(GL_BS!$G:$G,GL_BS!$R:$R,'Global TARF'!$A$101,GL_BS!$S:$S,'Global TARF'!$A124,GL_BS!$A:$A,'Global TARF'!B$38)</f>
        <v>0</v>
      </c>
      <c r="C124" s="184">
        <f>SUMIFS(GL_BS!$G:$G,GL_BS!$R:$R,'Global TARF'!$A$101,GL_BS!$S:$S,'Global TARF'!$A124,GL_BS!$A:$A,'Global TARF'!C$8)</f>
        <v>0</v>
      </c>
      <c r="D124" s="184">
        <f>SUMIFS(GL_BS!$G:$G,GL_BS!$R:$R,'Global TARF'!$A$101,GL_BS!$S:$S,'Global TARF'!$A124,GL_BS!$A:$A,'Global TARF'!D$8)</f>
        <v>0</v>
      </c>
      <c r="E124" s="184">
        <f>SUMIFS(GL_BS!$G:$G,GL_BS!$R:$R,'Global TARF'!$A$101,GL_BS!$S:$S,'Global TARF'!$A124,GL_BS!$A:$A,'Global TARF'!E$8)</f>
        <v>0</v>
      </c>
      <c r="F124" s="184"/>
      <c r="G124" s="536">
        <f>SUMIFS(GL_BS!$G:$G,GL_BS!$R:$R,'Global TARF'!$A$101,GL_BS!$S:$S,'Global TARF'!$A124,GL_BS!$A:$A,'Global TARF'!G$8)</f>
        <v>0</v>
      </c>
      <c r="H124" s="545">
        <f>SUMIFS(GL_BS!$G:$G,GL_BS!$R:$R,'Global TARF'!$A$101,GL_BS!$S:$S,'Global TARF'!$A124,GL_BS!$A:$A,'Global TARF'!H$8)</f>
        <v>0</v>
      </c>
      <c r="I124" s="184">
        <f>SUMIFS(GL_BS!$G:$G,GL_BS!$R:$R,'Global TARF'!$A$101,GL_BS!$S:$S,'Global TARF'!$A124,GL_BS!$A:$A,'Global TARF'!I$8)</f>
        <v>0</v>
      </c>
      <c r="J124" s="184">
        <f>SUMIFS(GL_BS!$G:$G,GL_BS!$R:$R,'Global TARF'!$A$101,GL_BS!$S:$S,'Global TARF'!$A124,GL_BS!$A:$A,'Global TARF'!J$8)</f>
        <v>0</v>
      </c>
      <c r="K124" s="184">
        <f>SUMIFS(GL_BS!$G:$G,GL_BS!$R:$R,'Global TARF'!$A$101,GL_BS!$S:$S,'Global TARF'!$A124,GL_BS!$A:$A,'Global TARF'!K$8)</f>
        <v>0</v>
      </c>
      <c r="L124" s="184">
        <f>SUMIFS(GL_BS!$G:$G,GL_BS!$R:$R,'Global TARF'!$A$101,GL_BS!$S:$S,'Global TARF'!$A124,GL_BS!$A:$A,'Global TARF'!L$8)</f>
        <v>0</v>
      </c>
      <c r="M124" s="536">
        <f>SUMIFS(GL_BS!$G:$G,GL_BS!$R:$R,'Global TARF'!$A$101,GL_BS!$S:$S,'Global TARF'!$A124,GL_BS!$A:$A,'Global TARF'!M$8)</f>
        <v>0</v>
      </c>
      <c r="N124" s="555">
        <f>SUMIFS(GL_BS!$G:$G,GL_BS!$R:$R,'Global TARF'!$A$101,GL_BS!$S:$S,'Global TARF'!$A124,GL_BS!$A:$A,'Global TARF'!N$8)</f>
        <v>0</v>
      </c>
      <c r="O124" s="18">
        <f>SUMIFS(GL_BS!$G:$G,GL_BS!$R:$R,'Global TARF'!$A$101,GL_BS!$S:$S,'Global TARF'!$A124,GL_BS!$A:$A,'Global TARF'!O$8)</f>
        <v>0</v>
      </c>
      <c r="P124" s="545">
        <f>SUMIFS(GL_PL!$G:$G,GL_PL!$Q:$Q,'Global TARF'!$A$101,GL_PL!$R:$R,'Global TARF'!$A124,GL_PL!$A:$A,'Global TARF'!P$8)</f>
        <v>0</v>
      </c>
      <c r="Q124" s="184">
        <f>SUMIFS(GL_PL!$G:$G,GL_PL!$Q:$Q,'Global TARF'!$A$101,GL_PL!$R:$R,'Global TARF'!$A124,GL_PL!$A:$A,'Global TARF'!Q$8)</f>
        <v>0</v>
      </c>
      <c r="R124" s="184">
        <f>SUMIFS(GL_PL!$G:$G,GL_PL!$Q:$Q,'Global TARF'!$A$101,GL_PL!$R:$R,'Global TARF'!$A124,GL_PL!$A:$A,'Global TARF'!R$8)</f>
        <v>0</v>
      </c>
      <c r="S124" s="536">
        <f>SUMIFS(GL_PL!$G:$G,GL_PL!$Q:$Q,'Global TARF'!$A$101,GL_PL!$R:$R,'Global TARF'!$A124,GL_PL!$A:$A,'Global TARF'!S$8)</f>
        <v>0</v>
      </c>
      <c r="T124"/>
      <c r="Z124" s="582">
        <f t="shared" si="108"/>
        <v>0</v>
      </c>
    </row>
    <row r="125" spans="1:26" x14ac:dyDescent="0.2">
      <c r="A125" s="534" t="s">
        <v>795</v>
      </c>
      <c r="B125" s="184">
        <f>SUMIFS(GL_BS!$G:$G,GL_BS!$R:$R,'Global TARF'!$A$101,GL_BS!$S:$S,'Global TARF'!$A125,GL_BS!$A:$A,'Global TARF'!B$38)</f>
        <v>0</v>
      </c>
      <c r="C125" s="184">
        <f>SUMIFS(GL_BS!$G:$G,GL_BS!$R:$R,'Global TARF'!$A$101,GL_BS!$S:$S,'Global TARF'!$A125,GL_BS!$A:$A,'Global TARF'!C$8)</f>
        <v>0</v>
      </c>
      <c r="D125" s="184">
        <f>SUMIFS(GL_BS!$G:$G,GL_BS!$R:$R,'Global TARF'!$A$101,GL_BS!$S:$S,'Global TARF'!$A125,GL_BS!$A:$A,'Global TARF'!D$8)</f>
        <v>0</v>
      </c>
      <c r="E125" s="184">
        <f>SUMIFS(GL_BS!$G:$G,GL_BS!$R:$R,'Global TARF'!$A$101,GL_BS!$S:$S,'Global TARF'!$A125,GL_BS!$A:$A,'Global TARF'!E$8)</f>
        <v>0</v>
      </c>
      <c r="F125" s="184"/>
      <c r="G125" s="536">
        <f>SUMIFS(GL_BS!$G:$G,GL_BS!$R:$R,'Global TARF'!$A$101,GL_BS!$S:$S,'Global TARF'!$A125,GL_BS!$A:$A,'Global TARF'!G$8)</f>
        <v>0</v>
      </c>
      <c r="H125" s="545">
        <f>SUMIFS(GL_BS!$G:$G,GL_BS!$R:$R,'Global TARF'!$A$101,GL_BS!$S:$S,'Global TARF'!$A125,GL_BS!$A:$A,'Global TARF'!H$8)</f>
        <v>0</v>
      </c>
      <c r="I125" s="184">
        <f>SUMIFS(GL_BS!$G:$G,GL_BS!$R:$R,'Global TARF'!$A$101,GL_BS!$S:$S,'Global TARF'!$A125,GL_BS!$A:$A,'Global TARF'!I$8)</f>
        <v>0</v>
      </c>
      <c r="J125" s="184">
        <f>SUMIFS(GL_BS!$G:$G,GL_BS!$R:$R,'Global TARF'!$A$101,GL_BS!$S:$S,'Global TARF'!$A125,GL_BS!$A:$A,'Global TARF'!J$8)</f>
        <v>0</v>
      </c>
      <c r="K125" s="184">
        <f>SUMIFS(GL_BS!$G:$G,GL_BS!$R:$R,'Global TARF'!$A$101,GL_BS!$S:$S,'Global TARF'!$A125,GL_BS!$A:$A,'Global TARF'!K$8)</f>
        <v>0</v>
      </c>
      <c r="L125" s="184">
        <f>SUMIFS(GL_BS!$G:$G,GL_BS!$R:$R,'Global TARF'!$A$101,GL_BS!$S:$S,'Global TARF'!$A125,GL_BS!$A:$A,'Global TARF'!L$8)</f>
        <v>0</v>
      </c>
      <c r="M125" s="536">
        <f>SUMIFS(GL_BS!$G:$G,GL_BS!$R:$R,'Global TARF'!$A$101,GL_BS!$S:$S,'Global TARF'!$A125,GL_BS!$A:$A,'Global TARF'!M$8)</f>
        <v>0</v>
      </c>
      <c r="N125" s="555">
        <f>SUMIFS(GL_BS!$G:$G,GL_BS!$R:$R,'Global TARF'!$A$101,GL_BS!$S:$S,'Global TARF'!$A125,GL_BS!$A:$A,'Global TARF'!N$8)</f>
        <v>0</v>
      </c>
      <c r="O125" s="18">
        <f>SUMIFS(GL_BS!$G:$G,GL_BS!$R:$R,'Global TARF'!$A$101,GL_BS!$S:$S,'Global TARF'!$A125,GL_BS!$A:$A,'Global TARF'!O$8)</f>
        <v>0</v>
      </c>
      <c r="P125" s="545">
        <f>SUMIFS(GL_PL!$G:$G,GL_PL!$Q:$Q,'Global TARF'!$A$101,GL_PL!$R:$R,'Global TARF'!$A125,GL_PL!$A:$A,'Global TARF'!P$8)</f>
        <v>0</v>
      </c>
      <c r="Q125" s="184">
        <f>SUMIFS(GL_PL!$G:$G,GL_PL!$Q:$Q,'Global TARF'!$A$101,GL_PL!$R:$R,'Global TARF'!$A125,GL_PL!$A:$A,'Global TARF'!Q$8)</f>
        <v>0</v>
      </c>
      <c r="R125" s="184">
        <f>SUMIFS(GL_PL!$G:$G,GL_PL!$Q:$Q,'Global TARF'!$A$101,GL_PL!$R:$R,'Global TARF'!$A125,GL_PL!$A:$A,'Global TARF'!R$8)</f>
        <v>0</v>
      </c>
      <c r="S125" s="536">
        <f>SUMIFS(GL_PL!$G:$G,GL_PL!$Q:$Q,'Global TARF'!$A$101,GL_PL!$R:$R,'Global TARF'!$A125,GL_PL!$A:$A,'Global TARF'!S$8)</f>
        <v>0</v>
      </c>
      <c r="T125" s="26">
        <f>-SUM(P125:R125)</f>
        <v>0</v>
      </c>
      <c r="U125" s="26"/>
      <c r="Z125" s="582">
        <f t="shared" si="108"/>
        <v>0</v>
      </c>
    </row>
    <row r="126" spans="1:26" ht="10.5" thickBot="1" x14ac:dyDescent="0.25">
      <c r="A126" s="534" t="s">
        <v>793</v>
      </c>
      <c r="B126" s="184">
        <f>SUMIFS(GL_BS!$G:$G,GL_BS!$R:$R,'Global TARF'!$A$101,GL_BS!$S:$S,'Global TARF'!$A126,GL_BS!$A:$A,'Global TARF'!B$38)</f>
        <v>0</v>
      </c>
      <c r="C126" s="184">
        <f>SUMIFS(GL_BS!$G:$G,GL_BS!$R:$R,'Global TARF'!$A$101,GL_BS!$S:$S,'Global TARF'!$A126,GL_BS!$A:$A,'Global TARF'!C$8)</f>
        <v>0</v>
      </c>
      <c r="D126" s="184">
        <f>SUMIFS(GL_BS!$G:$G,GL_BS!$R:$R,'Global TARF'!$A$101,GL_BS!$S:$S,'Global TARF'!$A126,GL_BS!$A:$A,'Global TARF'!D$8)</f>
        <v>0</v>
      </c>
      <c r="E126" s="184">
        <f>SUMIFS(GL_BS!$G:$G,GL_BS!$R:$R,'Global TARF'!$A$101,GL_BS!$S:$S,'Global TARF'!$A126,GL_BS!$A:$A,'Global TARF'!E$8)</f>
        <v>0</v>
      </c>
      <c r="F126" s="184"/>
      <c r="G126" s="536">
        <f>SUMIFS(GL_BS!$G:$G,GL_BS!$R:$R,'Global TARF'!$A$101,GL_BS!$S:$S,'Global TARF'!$A126,GL_BS!$A:$A,'Global TARF'!G$8)</f>
        <v>0</v>
      </c>
      <c r="H126" s="545">
        <f>SUMIFS(GL_BS!$G:$G,GL_BS!$R:$R,'Global TARF'!$A$101,GL_BS!$S:$S,'Global TARF'!$A126,GL_BS!$A:$A,'Global TARF'!H$8)</f>
        <v>0</v>
      </c>
      <c r="I126" s="184">
        <f>SUMIFS(GL_BS!$G:$G,GL_BS!$R:$R,'Global TARF'!$A$101,GL_BS!$S:$S,'Global TARF'!$A126,GL_BS!$A:$A,'Global TARF'!I$8)</f>
        <v>0</v>
      </c>
      <c r="J126" s="184">
        <f>SUMIFS(GL_BS!$G:$G,GL_BS!$R:$R,'Global TARF'!$A$101,GL_BS!$S:$S,'Global TARF'!$A126,GL_BS!$A:$A,'Global TARF'!J$8)</f>
        <v>0</v>
      </c>
      <c r="K126" s="184">
        <f>SUMIFS(GL_BS!$G:$G,GL_BS!$R:$R,'Global TARF'!$A$101,GL_BS!$S:$S,'Global TARF'!$A126,GL_BS!$A:$A,'Global TARF'!K$8)</f>
        <v>0</v>
      </c>
      <c r="L126" s="184">
        <f>SUMIFS(GL_BS!$G:$G,GL_BS!$R:$R,'Global TARF'!$A$101,GL_BS!$S:$S,'Global TARF'!$A126,GL_BS!$A:$A,'Global TARF'!L$8)</f>
        <v>0</v>
      </c>
      <c r="M126" s="536">
        <f>SUMIFS(GL_BS!$G:$G,GL_BS!$R:$R,'Global TARF'!$A$101,GL_BS!$S:$S,'Global TARF'!$A126,GL_BS!$A:$A,'Global TARF'!M$8)</f>
        <v>0</v>
      </c>
      <c r="N126" s="555">
        <f>SUMIFS(GL_BS!$G:$G,GL_BS!$R:$R,'Global TARF'!$A$101,GL_BS!$S:$S,'Global TARF'!$A126,GL_BS!$A:$A,'Global TARF'!N$8)</f>
        <v>0</v>
      </c>
      <c r="O126" s="18">
        <f>SUMIFS(GL_BS!$G:$G,GL_BS!$R:$R,'Global TARF'!$A$101,GL_BS!$S:$S,'Global TARF'!$A126,GL_BS!$A:$A,'Global TARF'!O$8)</f>
        <v>0</v>
      </c>
      <c r="P126" s="545">
        <f>SUMIFS(GL_PL!$G:$G,GL_PL!$Q:$Q,'Global TARF'!$A$101,GL_PL!$R:$R,'Global TARF'!$A126,GL_PL!$A:$A,'Global TARF'!P$8)</f>
        <v>0</v>
      </c>
      <c r="Q126" s="184">
        <f>SUMIFS(GL_PL!$G:$G,GL_PL!$Q:$Q,'Global TARF'!$A$101,GL_PL!$R:$R,'Global TARF'!$A126,GL_PL!$A:$A,'Global TARF'!Q$8)</f>
        <v>0</v>
      </c>
      <c r="R126" s="184">
        <f>SUMIFS(GL_PL!$G:$G,GL_PL!$Q:$Q,'Global TARF'!$A$101,GL_PL!$R:$R,'Global TARF'!$A126,GL_PL!$A:$A,'Global TARF'!R$8)</f>
        <v>0</v>
      </c>
      <c r="S126" s="536">
        <f>SUMIFS(GL_PL!$G:$G,GL_PL!$Q:$Q,'Global TARF'!$A$101,GL_PL!$R:$R,'Global TARF'!$A126,GL_PL!$A:$A,'Global TARF'!S$8)</f>
        <v>0</v>
      </c>
      <c r="T126"/>
      <c r="Z126" s="582">
        <f t="shared" si="108"/>
        <v>0</v>
      </c>
    </row>
    <row r="127" spans="1:26" s="23" customFormat="1" ht="10.5" thickBot="1" x14ac:dyDescent="0.25">
      <c r="A127" s="563" t="str">
        <f>$A$34</f>
        <v>Balance as of 06/31/2024</v>
      </c>
      <c r="B127" s="564">
        <f>SUM(B103:B126)</f>
        <v>0</v>
      </c>
      <c r="C127" s="564">
        <f>SUM(C103:C126)</f>
        <v>0</v>
      </c>
      <c r="D127" s="564">
        <f>SUM(D103:D126)</f>
        <v>0</v>
      </c>
      <c r="E127" s="564">
        <f t="shared" ref="E127:T127" si="109">SUM(E103:E126)</f>
        <v>-3.7736016013279999E-2</v>
      </c>
      <c r="F127" s="564"/>
      <c r="G127" s="566">
        <f t="shared" si="109"/>
        <v>6555.1335102203075</v>
      </c>
      <c r="H127" s="565">
        <f t="shared" si="109"/>
        <v>-30998.077364454388</v>
      </c>
      <c r="I127" s="565">
        <f t="shared" si="109"/>
        <v>0</v>
      </c>
      <c r="J127" s="565">
        <f t="shared" si="109"/>
        <v>0</v>
      </c>
      <c r="K127" s="565">
        <f t="shared" si="109"/>
        <v>0</v>
      </c>
      <c r="L127" s="564">
        <f t="shared" si="109"/>
        <v>0</v>
      </c>
      <c r="M127" s="566">
        <f t="shared" si="109"/>
        <v>0</v>
      </c>
      <c r="N127" s="567">
        <f t="shared" si="109"/>
        <v>-2651.34</v>
      </c>
      <c r="O127" s="564">
        <f t="shared" si="109"/>
        <v>0</v>
      </c>
      <c r="P127" s="565">
        <f t="shared" si="109"/>
        <v>0</v>
      </c>
      <c r="Q127" s="564">
        <f t="shared" si="109"/>
        <v>0</v>
      </c>
      <c r="R127" s="564">
        <f t="shared" si="109"/>
        <v>36331.592458156993</v>
      </c>
      <c r="S127" s="566">
        <f t="shared" ref="S127" si="110">SUM(S103:S126)</f>
        <v>0</v>
      </c>
      <c r="T127" s="564">
        <f t="shared" si="109"/>
        <v>-95086.775397275997</v>
      </c>
      <c r="U127" s="564"/>
      <c r="V127" s="564"/>
      <c r="W127" s="566"/>
      <c r="X127" s="27"/>
      <c r="Z127" s="583"/>
    </row>
    <row r="128" spans="1:26" x14ac:dyDescent="0.2">
      <c r="A128" s="534" t="s">
        <v>4289</v>
      </c>
      <c r="B128" s="186">
        <f>IFERROR(INDEX('BS_Q2 24'!$A$9:$O$279,MATCH('Global TARF'!B$8,'BS_Q2 24'!$A$9:$A$279,0),MATCH($A$101,'BS_Q2 24'!$A$8:$O$8)),0)</f>
        <v>0</v>
      </c>
      <c r="C128" s="186">
        <f>IFERROR(INDEX('BS_Q2 24'!$A$9:$O$279,MATCH('Global TARF'!C$8,'BS_Q2 24'!$A$9:$A$279,0),MATCH($A$101,'BS_Q2 24'!$A$8:$O$8)),0)</f>
        <v>0</v>
      </c>
      <c r="D128" s="186">
        <f>IFERROR(INDEX('BS_Q2 24'!$A$9:$O$279,MATCH('Global TARF'!D$8,'BS_Q2 24'!$A$9:$A$279,0),MATCH($A$101,'BS_Q2 24'!$A$8:$O$8)),0)</f>
        <v>0</v>
      </c>
      <c r="E128" s="186">
        <f>IFERROR(INDEX('BS_Q2 24'!$A$9:$O$279,MATCH('Global TARF'!E$8,'BS_Q2 24'!$A$9:$A$279,0),MATCH($A$101,'BS_Q2 24'!$A$8:$O$8)),0)</f>
        <v>-3.6571836691259997E-2</v>
      </c>
      <c r="F128" s="186">
        <f>IFERROR(INDEX('BS_Q2 24'!$A$9:$O$279,MATCH('Global TARF'!F$8,'BS_Q2 24'!$A$9:$A$279,0),MATCH($A$101,'BS_Q2 24'!$A$8:$O$8)),0)</f>
        <v>0</v>
      </c>
      <c r="G128" s="186">
        <f>IFERROR(INDEX('BS_Q2 24'!$A$9:$O$279,MATCH('Global TARF'!G$8,'BS_Q2 24'!$A$9:$A$279,0),MATCH($A$101,'BS_Q2 24'!$A$8:$O$8)),0)</f>
        <v>6555.1360085414426</v>
      </c>
      <c r="H128" s="546">
        <f>-IFERROR(INDEX('BS_Q2 24'!$A$9:$O$272,MATCH('Global TARF'!H$8,'BS_Q2 24'!$A$9:$A$272,0),MATCH($A$101,'BS_Q2 24'!$A$8:$O$8)),0)</f>
        <v>-30998.076662859166</v>
      </c>
      <c r="I128" s="546">
        <f>-IFERROR(INDEX('BS_Q2 24'!$A$9:$O$272,MATCH('Global TARF'!I$8,'BS_Q2 24'!$A$9:$A$272,0),MATCH($A$101,'BS_Q2 24'!$A$8:$O$8)),0)</f>
        <v>0</v>
      </c>
      <c r="J128" s="546">
        <f>-IFERROR(INDEX('BS_Q2 24'!$A$9:$O$272,MATCH('Global TARF'!J$8,'BS_Q2 24'!$A$9:$A$272,0),MATCH($A$101,'BS_Q2 24'!$A$8:$O$8)),0)</f>
        <v>0</v>
      </c>
      <c r="K128" s="546">
        <f>-IFERROR(INDEX('BS_Q2 24'!$A$9:$O$272,MATCH('Global TARF'!K$8,'BS_Q2 24'!$A$9:$A$272,0),MATCH($A$101,'BS_Q2 24'!$A$8:$O$8)),0)</f>
        <v>0</v>
      </c>
      <c r="L128" s="546">
        <f>-IFERROR(INDEX('BS_Q2 24'!$A$9:$O$272,MATCH('Global TARF'!L$8,'BS_Q2 24'!$A$9:$A$272,0),MATCH($A$101,'BS_Q2 24'!$A$8:$O$8)),0)</f>
        <v>0</v>
      </c>
      <c r="M128" s="546">
        <f>-IFERROR(INDEX('BS_Q2 24'!$A$9:$O$272,MATCH('Global TARF'!M$8,'BS_Q2 24'!$A$9:$A$272,0),MATCH($A$101,'BS_Q2 24'!$A$8:$O$8)),0)</f>
        <v>0</v>
      </c>
      <c r="N128" s="554" t="e">
        <f>-INDEX('BS_Q2 24'!$A$9:$O$118,MATCH('Global TARF'!N$8,'BS_Q2 24'!$A$9:$A$118,0),MATCH($A$101,'BS_Q2 24'!$A$8:$O$8))</f>
        <v>#N/A</v>
      </c>
      <c r="O128" s="24" t="e">
        <f>-INDEX('BS_Q2 24'!$A$9:$O$118,MATCH('Global TARF'!O$8,'BS_Q2 24'!$A$9:$A$118,0),MATCH($A$101,'BS_Q2 24'!$A$8:$O$8))</f>
        <v>#N/A</v>
      </c>
      <c r="P128" s="545">
        <f>-IFERROR(INDEX('IS_Q2 24'!$A$7:$O$700,MATCH('Global TARF'!P$8,'IS_Q2 24'!$A$7:$A$700,0),MATCH($A$101,'IS_Q2 24'!$A$8:$O$8)),0)</f>
        <v>0</v>
      </c>
      <c r="Q128" s="545">
        <f>-IFERROR(INDEX('IS_Q2 24'!$A$7:$O$700,MATCH('Global TARF'!Q$8,'IS_Q2 24'!$A$7:$A$700,0),MATCH($A$101,'IS_Q2 24'!$A$8:$O$8)),0)</f>
        <v>0</v>
      </c>
      <c r="R128" s="545">
        <f>-IFERROR(INDEX('IS_Q2 24'!$A$7:$O$700,MATCH('Global TARF'!R$8,'IS_Q2 24'!$A$7:$A$700,0),MATCH($A$101,'IS_Q2 24'!$A$8:$O$8)),0)</f>
        <v>36331.592458156993</v>
      </c>
      <c r="S128" s="545">
        <f>-IFERROR(INDEX('IS_Q2 24'!$A$7:$O$700,MATCH('Global TARF'!S$8,'IS_Q2 24'!$A$7:$A$700,0),MATCH($A$101,'IS_Q2 24'!$A$8:$O$8)),0)</f>
        <v>0</v>
      </c>
      <c r="T128"/>
      <c r="Z128" s="580"/>
    </row>
    <row r="129" spans="1:26" x14ac:dyDescent="0.2">
      <c r="A129" s="534"/>
      <c r="B129" t="b">
        <f t="shared" ref="B129:R129" si="111">ROUND(B127,0)=ROUND(B128,0)</f>
        <v>1</v>
      </c>
      <c r="C129" t="b">
        <f t="shared" si="111"/>
        <v>1</v>
      </c>
      <c r="D129" t="b">
        <f t="shared" ref="D129" si="112">ROUND(D127,0)=ROUND(D128,0)</f>
        <v>1</v>
      </c>
      <c r="E129" t="b">
        <f t="shared" si="111"/>
        <v>1</v>
      </c>
      <c r="G129" s="535" t="b">
        <f t="shared" si="111"/>
        <v>1</v>
      </c>
      <c r="H129" s="534" t="b">
        <f t="shared" si="111"/>
        <v>1</v>
      </c>
      <c r="I129" s="534" t="b">
        <f t="shared" si="111"/>
        <v>1</v>
      </c>
      <c r="J129" s="534" t="b">
        <f t="shared" si="111"/>
        <v>1</v>
      </c>
      <c r="K129" s="534" t="b">
        <f t="shared" si="111"/>
        <v>1</v>
      </c>
      <c r="L129" t="b">
        <f t="shared" si="111"/>
        <v>1</v>
      </c>
      <c r="M129" s="535" t="b">
        <f t="shared" si="111"/>
        <v>1</v>
      </c>
      <c r="N129" s="552" t="e">
        <f t="shared" si="111"/>
        <v>#N/A</v>
      </c>
      <c r="O129" t="e">
        <f t="shared" si="111"/>
        <v>#N/A</v>
      </c>
      <c r="P129" s="534" t="b">
        <f t="shared" si="111"/>
        <v>1</v>
      </c>
      <c r="Q129" t="b">
        <f t="shared" si="111"/>
        <v>1</v>
      </c>
      <c r="R129" t="b">
        <f t="shared" si="111"/>
        <v>1</v>
      </c>
      <c r="S129" s="535" t="b">
        <f t="shared" ref="S129" si="113">ROUND(S127,0)=ROUND(S128,0)</f>
        <v>1</v>
      </c>
      <c r="T129"/>
      <c r="Z129" s="580"/>
    </row>
    <row r="130" spans="1:26" x14ac:dyDescent="0.2">
      <c r="A130" s="534"/>
      <c r="C130" s="26">
        <f>C127-C128</f>
        <v>0</v>
      </c>
      <c r="D130" s="26">
        <f>D127-D128</f>
        <v>0</v>
      </c>
      <c r="E130" s="26">
        <f>E127-E128</f>
        <v>-1.1641793220200022E-3</v>
      </c>
      <c r="F130" s="26"/>
      <c r="G130" s="541">
        <f>G127-G128</f>
        <v>-2.4983211351354839E-3</v>
      </c>
      <c r="H130" s="537">
        <f>H127-H128</f>
        <v>-7.015952214715071E-4</v>
      </c>
      <c r="I130" s="26"/>
      <c r="J130" s="26"/>
      <c r="K130" s="26"/>
      <c r="M130" s="535"/>
      <c r="N130" s="552"/>
      <c r="P130" s="534"/>
      <c r="S130" s="535"/>
      <c r="T130"/>
      <c r="Z130" s="580"/>
    </row>
    <row r="131" spans="1:26" x14ac:dyDescent="0.2">
      <c r="A131" s="534"/>
      <c r="G131" s="535"/>
      <c r="H131" s="534"/>
      <c r="M131" s="535"/>
      <c r="N131" s="552"/>
      <c r="P131" s="534"/>
      <c r="S131" s="535"/>
      <c r="T131"/>
      <c r="Z131" s="580"/>
    </row>
    <row r="132" spans="1:26" x14ac:dyDescent="0.2">
      <c r="A132" s="534"/>
      <c r="G132" s="535"/>
      <c r="H132" s="534"/>
      <c r="M132" s="535"/>
      <c r="N132" s="552"/>
      <c r="P132" s="534"/>
      <c r="S132" s="535"/>
      <c r="T132"/>
      <c r="Z132" s="580"/>
    </row>
    <row r="133" spans="1:26" s="17" customFormat="1" ht="10.5" x14ac:dyDescent="0.25">
      <c r="A133" s="562">
        <v>203</v>
      </c>
      <c r="B133" s="558" t="s">
        <v>342</v>
      </c>
      <c r="C133" s="558" t="s">
        <v>220</v>
      </c>
      <c r="D133" s="558" t="str">
        <f>$D$8</f>
        <v>145700 - Income tax receivable - Long Term</v>
      </c>
      <c r="E133" s="558" t="s">
        <v>378</v>
      </c>
      <c r="F133" s="558" t="s">
        <v>427</v>
      </c>
      <c r="G133" s="559" t="s">
        <v>415</v>
      </c>
      <c r="H133" s="558" t="s">
        <v>240</v>
      </c>
      <c r="I133" s="558" t="s">
        <v>467</v>
      </c>
      <c r="J133" s="558" t="s">
        <v>4397</v>
      </c>
      <c r="K133" s="558" t="s">
        <v>4396</v>
      </c>
      <c r="L133" s="559" t="s">
        <v>502</v>
      </c>
      <c r="M133" s="559" t="s">
        <v>503</v>
      </c>
      <c r="N133" s="560" t="s">
        <v>877</v>
      </c>
      <c r="O133" s="561"/>
      <c r="P133" s="558" t="s">
        <v>20</v>
      </c>
      <c r="Q133" s="561" t="s">
        <v>57</v>
      </c>
      <c r="R133" s="561" t="s">
        <v>183</v>
      </c>
      <c r="S133" s="561" t="s">
        <v>3623</v>
      </c>
      <c r="T133" s="561" t="s">
        <v>4268</v>
      </c>
      <c r="U133" s="561" t="s">
        <v>4269</v>
      </c>
      <c r="V133" s="561" t="s">
        <v>794</v>
      </c>
      <c r="W133" s="561" t="s">
        <v>793</v>
      </c>
      <c r="Z133" s="579"/>
    </row>
    <row r="134" spans="1:26" ht="11" thickBot="1" x14ac:dyDescent="0.3">
      <c r="A134" s="538" t="s">
        <v>810</v>
      </c>
      <c r="G134" s="535"/>
      <c r="H134" s="534"/>
      <c r="M134" s="535"/>
      <c r="N134" s="550"/>
      <c r="P134" s="534"/>
      <c r="S134" s="535"/>
      <c r="T134"/>
      <c r="Z134" s="580"/>
    </row>
    <row r="135" spans="1:26" s="23" customFormat="1" ht="10.5" thickBot="1" x14ac:dyDescent="0.25">
      <c r="A135" s="563" t="str">
        <f>A10</f>
        <v>Balance as of 12/31/2023</v>
      </c>
      <c r="B135" s="564">
        <f>IFERROR(INDEX(BS_2023!$A$8:$O$271,MATCH('Global TARF'!B$8,BS_2023!$A$8:$A$271,0),MATCH($A$133,BS_2023!$A$7:$O$7)),0)</f>
        <v>0</v>
      </c>
      <c r="C135" s="564">
        <f>IFERROR(INDEX(BS_2023!$A$8:$O$271,MATCH('Global TARF'!C$8,BS_2023!$A$8:$A$271,0),MATCH($A$133,BS_2023!$A$7:$O$7)),0)</f>
        <v>0</v>
      </c>
      <c r="D135" s="564">
        <f>IFERROR(INDEX(BS_2023!$A$8:$O$271,MATCH('Global TARF'!D$8,BS_2023!$A$8:$A$271,0),MATCH($A$133,BS_2023!$A$7:$O$7)),0)</f>
        <v>0</v>
      </c>
      <c r="E135" s="564">
        <f>IFERROR(INDEX(BS_2023!$A$8:$O$271,MATCH('Global TARF'!E$8,BS_2023!$A$8:$A$271,0),MATCH($A$133,BS_2023!$A$7:$O$7)),0)</f>
        <v>0</v>
      </c>
      <c r="F135" s="564">
        <f>IFERROR(INDEX(BS_2023!$A$8:$O$271,MATCH('Global TARF'!F$8,BS_2023!$A$8:$A$271,0),MATCH($A$133,BS_2023!$A$7:$O$7)),0)</f>
        <v>0</v>
      </c>
      <c r="G135" s="564">
        <f>IFERROR(INDEX(BS_2023!$A$8:$O$271,MATCH('Global TARF'!G$8,BS_2023!$A$8:$A$271,0),MATCH($A$133,BS_2023!$A$7:$O$7)),0)</f>
        <v>0</v>
      </c>
      <c r="H135" s="565">
        <f>-IFERROR(INDEX(BS_2023!$A$8:$O$271,MATCH('Global TARF'!H$8,BS_2023!$A$8:$A$271,0),MATCH($A$133,BS_2023!$A$7:$O$7)),0)</f>
        <v>-36496.1420327218</v>
      </c>
      <c r="I135" s="565">
        <f>-IFERROR(INDEX(BS_2023!$A$8:$O$271,MATCH('Global TARF'!I$8,BS_2023!$A$8:$A$271,0),MATCH($A$133,BS_2023!$A$7:$O$7)),0)</f>
        <v>0</v>
      </c>
      <c r="J135" s="565">
        <f>-IFERROR(INDEX(BS_2023!$A$8:$O$271,MATCH('Global TARF'!J$8,BS_2023!$A$8:$A$271,0),MATCH($A$133,BS_2023!$A$7:$O$7)),0)</f>
        <v>0</v>
      </c>
      <c r="K135" s="565">
        <f>-IFERROR(INDEX(BS_2023!$A$8:$O$271,MATCH('Global TARF'!K$8,BS_2023!$A$8:$A$271,0),MATCH($A$133,BS_2023!$A$7:$O$7)),0)</f>
        <v>0</v>
      </c>
      <c r="L135" s="565">
        <f>-IFERROR(INDEX(BS_2023!$A$8:$O$271,MATCH('Global TARF'!L$8,BS_2023!$A$8:$A$271,0),MATCH($A$133,BS_2023!$A$7:$O$7)),0)</f>
        <v>0</v>
      </c>
      <c r="M135" s="565">
        <f>-IFERROR(INDEX(BS_2023!$A$8:$O$271,MATCH('Global TARF'!M$8,BS_2023!$A$8:$A$271,0),MATCH($A$133,BS_2023!$A$7:$O$7)),0)</f>
        <v>0</v>
      </c>
      <c r="N135" s="567"/>
      <c r="O135" s="564" t="e">
        <f>INDEX(BS_2023!$A$8:$O$245,MATCH('Global TARF'!O$8,BS_2023!$A$8:$A$245,0),MATCH($A$133,BS_2023!$A$7:$O$7))</f>
        <v>#N/A</v>
      </c>
      <c r="P135" s="563"/>
      <c r="Q135" s="574"/>
      <c r="R135" s="574"/>
      <c r="S135" s="575"/>
      <c r="T135" s="574"/>
      <c r="U135" s="574"/>
      <c r="V135" s="574"/>
      <c r="W135" s="575"/>
      <c r="Z135" s="583"/>
    </row>
    <row r="136" spans="1:26" x14ac:dyDescent="0.2">
      <c r="A136" s="534" t="s">
        <v>798</v>
      </c>
      <c r="C136" s="258"/>
      <c r="D136" s="258"/>
      <c r="G136" s="535"/>
      <c r="H136" s="547">
        <v>1040.24</v>
      </c>
      <c r="I136" s="258"/>
      <c r="J136" s="258"/>
      <c r="K136" s="258"/>
      <c r="M136" s="535"/>
      <c r="N136" s="553">
        <f>-SUM(H136,G136,C136,E136,M136,L136,F136,B136,D136)</f>
        <v>-1040.24</v>
      </c>
      <c r="P136" s="534"/>
      <c r="S136" s="535"/>
      <c r="T136"/>
      <c r="Z136" s="582">
        <f t="shared" ref="Z136:Z158" si="114">SUM(B136:Y136)</f>
        <v>0</v>
      </c>
    </row>
    <row r="137" spans="1:26" x14ac:dyDescent="0.2">
      <c r="A137" s="534"/>
      <c r="C137" s="258"/>
      <c r="D137" s="258"/>
      <c r="G137" s="535"/>
      <c r="H137" s="534"/>
      <c r="M137" s="535"/>
      <c r="N137" s="552"/>
      <c r="P137" s="534"/>
      <c r="S137" s="535"/>
      <c r="T137"/>
      <c r="Z137" s="582">
        <f t="shared" si="114"/>
        <v>0</v>
      </c>
    </row>
    <row r="138" spans="1:26" x14ac:dyDescent="0.2">
      <c r="A138" s="534"/>
      <c r="B138" s="184">
        <f>SUMIFS(GL_BS!$G:$G,GL_BS!$R:$R,'Global TARF'!$A$133,GL_BS!$S:$S,'Global TARF'!$A138,GL_BS!$A:$A,'Global TARF'!B$38)</f>
        <v>0</v>
      </c>
      <c r="C138" s="258">
        <f>SUMIFS(GL_BS!$G:$G,GL_BS!$R:$R,'Global TARF'!$A$133,GL_BS!$S:$S,'Global TARF'!$A138,GL_BS!$A:$A,'Global TARF'!C$8)</f>
        <v>0</v>
      </c>
      <c r="D138" s="258">
        <f>SUMIFS(GL_BS!$G:$G,GL_BS!$R:$R,'Global TARF'!$A$133,GL_BS!$S:$S,'Global TARF'!$A138,GL_BS!$A:$A,'Global TARF'!D$8)</f>
        <v>0</v>
      </c>
      <c r="E138" s="184">
        <f>SUMIFS(GL_BS!$G:$G,GL_BS!$R:$R,'Global TARF'!$A$133,GL_BS!$S:$S,'Global TARF'!$A138,GL_BS!$A:$A,'Global TARF'!E$8)</f>
        <v>0</v>
      </c>
      <c r="F138" s="184">
        <f>SUMIFS(GL_BS!$G:$G,GL_BS!$R:$R,'Global TARF'!$A$133,GL_BS!$S:$S,'Global TARF'!$A138,GL_BS!$A:$A,'Global TARF'!F$8)</f>
        <v>0</v>
      </c>
      <c r="G138" s="536">
        <f>SUMIFS(GL_BS!$G:$G,GL_BS!$R:$R,'Global TARF'!$A$133,GL_BS!$S:$S,'Global TARF'!$A138,GL_BS!$A:$A,'Global TARF'!G$8)</f>
        <v>0</v>
      </c>
      <c r="H138" s="545">
        <f>SUMIFS(GL_BS!$G:$G,GL_BS!$R:$R,'Global TARF'!$A$133,GL_BS!$S:$S,'Global TARF'!$A138,GL_BS!$A:$A,'Global TARF'!H$8)</f>
        <v>0</v>
      </c>
      <c r="I138" s="184">
        <f>SUMIFS(GL_BS!$G:$G,GL_BS!$R:$R,'Global TARF'!$A$133,GL_BS!$S:$S,'Global TARF'!$A138,GL_BS!$A:$A,'Global TARF'!I$8)</f>
        <v>0</v>
      </c>
      <c r="J138" s="184"/>
      <c r="K138" s="184"/>
      <c r="L138" s="184">
        <f>SUMIFS(GL_BS!$G:$G,GL_BS!$R:$R,'Global TARF'!$A$133,GL_BS!$S:$S,'Global TARF'!$A138,GL_BS!$A:$A,'Global TARF'!L$8)</f>
        <v>0</v>
      </c>
      <c r="M138" s="536">
        <f>SUMIFS(GL_BS!$G:$G,GL_BS!$R:$R,'Global TARF'!$A$133,GL_BS!$S:$S,'Global TARF'!$A138,GL_BS!$A:$A,'Global TARF'!M$8)</f>
        <v>0</v>
      </c>
      <c r="N138" s="555">
        <f>SUMIFS(GL_BS!$G:$G,GL_BS!$R:$R,'Global TARF'!$A$101,GL_BS!$S:$S,'Global TARF'!$A138,GL_BS!$A:$A,'Global TARF'!N$8)</f>
        <v>0</v>
      </c>
      <c r="O138" s="18">
        <f>SUMIFS(GL_BS!$G:$G,GL_BS!$R:$R,'Global TARF'!$A$101,GL_BS!$S:$S,'Global TARF'!$A138,GL_BS!$A:$A,'Global TARF'!O$8)</f>
        <v>0</v>
      </c>
      <c r="P138" s="545">
        <f>SUMIFS(GL_PL!$G:$G,GL_PL!$Q:$Q,'Global TARF'!$A$133,GL_PL!$R:$R,'Global TARF'!$A138,GL_PL!$A:$A,'Global TARF'!P$8)</f>
        <v>0</v>
      </c>
      <c r="Q138" s="184">
        <f>SUMIFS(GL_PL!$G:$G,GL_PL!$Q:$Q,'Global TARF'!$A$133,GL_PL!$R:$R,'Global TARF'!$A138,GL_PL!$A:$A,'Global TARF'!Q$8)</f>
        <v>0</v>
      </c>
      <c r="R138" s="184">
        <f>SUMIFS(GL_PL!$G:$G,GL_PL!$Q:$Q,'Global TARF'!$A$133,GL_PL!$R:$R,'Global TARF'!$A138,GL_PL!$A:$A,'Global TARF'!R$8)</f>
        <v>0</v>
      </c>
      <c r="S138" s="536">
        <f>SUMIFS(GL_PL!$G:$G,GL_PL!$Q:$Q,'Global TARF'!$A$133,GL_PL!$R:$R,'Global TARF'!$A138,GL_PL!$A:$A,'Global TARF'!S$8)</f>
        <v>0</v>
      </c>
      <c r="T138" s="26">
        <f t="shared" ref="T138:T143" si="115">-SUM(P138:R138,H138,C138)</f>
        <v>0</v>
      </c>
      <c r="U138" s="26"/>
      <c r="Z138" s="582">
        <f t="shared" si="114"/>
        <v>0</v>
      </c>
    </row>
    <row r="139" spans="1:26" x14ac:dyDescent="0.2">
      <c r="A139" s="534"/>
      <c r="B139" s="184">
        <f>SUMIFS(GL_BS!$G:$G,GL_BS!$R:$R,'Global TARF'!$A$133,GL_BS!$S:$S,'Global TARF'!$A139,GL_BS!$A:$A,'Global TARF'!B$38)</f>
        <v>0</v>
      </c>
      <c r="C139" s="258">
        <f>SUMIFS(GL_BS!$G:$G,GL_BS!$R:$R,'Global TARF'!$A$133,GL_BS!$S:$S,'Global TARF'!$A139,GL_BS!$A:$A,'Global TARF'!C$8)</f>
        <v>0</v>
      </c>
      <c r="D139" s="258">
        <f>SUMIFS(GL_BS!$G:$G,GL_BS!$R:$R,'Global TARF'!$A$133,GL_BS!$S:$S,'Global TARF'!$A139,GL_BS!$A:$A,'Global TARF'!D$8)</f>
        <v>0</v>
      </c>
      <c r="E139" s="184">
        <f>SUMIFS(GL_BS!$G:$G,GL_BS!$R:$R,'Global TARF'!$A$133,GL_BS!$S:$S,'Global TARF'!$A139,GL_BS!$A:$A,'Global TARF'!E$8)</f>
        <v>0</v>
      </c>
      <c r="F139" s="184">
        <f>SUMIFS(GL_BS!$G:$G,GL_BS!$R:$R,'Global TARF'!$A$133,GL_BS!$S:$S,'Global TARF'!$A139,GL_BS!$A:$A,'Global TARF'!F$8)</f>
        <v>0</v>
      </c>
      <c r="G139" s="536">
        <f>SUMIFS(GL_BS!$G:$G,GL_BS!$R:$R,'Global TARF'!$A$133,GL_BS!$S:$S,'Global TARF'!$A139,GL_BS!$A:$A,'Global TARF'!G$8)</f>
        <v>0</v>
      </c>
      <c r="H139" s="545">
        <f>SUMIFS(GL_BS!$G:$G,GL_BS!$R:$R,'Global TARF'!$A$133,GL_BS!$S:$S,'Global TARF'!$A139,GL_BS!$A:$A,'Global TARF'!H$8)</f>
        <v>0</v>
      </c>
      <c r="I139" s="184">
        <f>SUMIFS(GL_BS!$G:$G,GL_BS!$R:$R,'Global TARF'!$A$133,GL_BS!$S:$S,'Global TARF'!$A139,GL_BS!$A:$A,'Global TARF'!I$8)</f>
        <v>0</v>
      </c>
      <c r="J139" s="184">
        <f>SUMIFS(GL_BS!$G:$G,GL_BS!$R:$R,'Global TARF'!$A$133,GL_BS!$S:$S,'Global TARF'!$A139,GL_BS!$A:$A,'Global TARF'!J$8)</f>
        <v>0</v>
      </c>
      <c r="K139" s="184">
        <f>SUMIFS(GL_BS!$G:$G,GL_BS!$R:$R,'Global TARF'!$A$133,GL_BS!$S:$S,'Global TARF'!$A139,GL_BS!$A:$A,'Global TARF'!K$8)</f>
        <v>0</v>
      </c>
      <c r="L139" s="184">
        <f>SUMIFS(GL_BS!$G:$G,GL_BS!$R:$R,'Global TARF'!$A$133,GL_BS!$S:$S,'Global TARF'!$A139,GL_BS!$A:$A,'Global TARF'!L$8)</f>
        <v>0</v>
      </c>
      <c r="M139" s="536">
        <f>SUMIFS(GL_BS!$G:$G,GL_BS!$R:$R,'Global TARF'!$A$133,GL_BS!$S:$S,'Global TARF'!$A139,GL_BS!$A:$A,'Global TARF'!M$8)</f>
        <v>0</v>
      </c>
      <c r="N139" s="555">
        <f>SUMIFS(GL_BS!$G:$G,GL_BS!$R:$R,'Global TARF'!$A$101,GL_BS!$S:$S,'Global TARF'!$A139,GL_BS!$A:$A,'Global TARF'!N$8)</f>
        <v>0</v>
      </c>
      <c r="O139" s="18">
        <f>SUMIFS(GL_BS!$G:$G,GL_BS!$R:$R,'Global TARF'!$A$101,GL_BS!$S:$S,'Global TARF'!$A139,GL_BS!$A:$A,'Global TARF'!O$8)</f>
        <v>0</v>
      </c>
      <c r="P139" s="545">
        <f>SUMIFS(GL_PL!$G:$G,GL_PL!$Q:$Q,'Global TARF'!$A$133,GL_PL!$R:$R,'Global TARF'!$A139,GL_PL!$A:$A,'Global TARF'!P$8)</f>
        <v>0</v>
      </c>
      <c r="Q139" s="184">
        <f>SUMIFS(GL_PL!$G:$G,GL_PL!$Q:$Q,'Global TARF'!$A$133,GL_PL!$R:$R,'Global TARF'!$A139,GL_PL!$A:$A,'Global TARF'!Q$8)</f>
        <v>0</v>
      </c>
      <c r="R139" s="184">
        <f>SUMIFS(GL_PL!$G:$G,GL_PL!$Q:$Q,'Global TARF'!$A$133,GL_PL!$R:$R,'Global TARF'!$A139,GL_PL!$A:$A,'Global TARF'!R$8)</f>
        <v>0</v>
      </c>
      <c r="S139" s="536">
        <f>SUMIFS(GL_PL!$G:$G,GL_PL!$Q:$Q,'Global TARF'!$A$133,GL_PL!$R:$R,'Global TARF'!$A139,GL_PL!$A:$A,'Global TARF'!S$8)</f>
        <v>0</v>
      </c>
      <c r="T139" s="26">
        <f t="shared" si="115"/>
        <v>0</v>
      </c>
      <c r="U139" s="26"/>
      <c r="Z139" s="582">
        <f t="shared" si="114"/>
        <v>0</v>
      </c>
    </row>
    <row r="140" spans="1:26" x14ac:dyDescent="0.2">
      <c r="A140" s="534" t="s">
        <v>780</v>
      </c>
      <c r="B140" s="184">
        <f>SUMIFS(GL_BS!$G:$G,GL_BS!$R:$R,'Global TARF'!$A$133,GL_BS!$S:$S,'Global TARF'!$A140,GL_BS!$A:$A,'Global TARF'!B$38)</f>
        <v>0</v>
      </c>
      <c r="C140" s="258">
        <f>SUMIFS(GL_BS!$G:$G,GL_BS!$R:$R,'Global TARF'!$A$133,GL_BS!$S:$S,'Global TARF'!$A140,GL_BS!$A:$A,'Global TARF'!C$8)</f>
        <v>0</v>
      </c>
      <c r="D140" s="258">
        <f>SUMIFS(GL_BS!$G:$G,GL_BS!$R:$R,'Global TARF'!$A$133,GL_BS!$S:$S,'Global TARF'!$A140,GL_BS!$A:$A,'Global TARF'!D$8)</f>
        <v>0</v>
      </c>
      <c r="E140" s="184">
        <f>SUMIFS(GL_BS!$G:$G,GL_BS!$R:$R,'Global TARF'!$A$133,GL_BS!$S:$S,'Global TARF'!$A140,GL_BS!$A:$A,'Global TARF'!E$8)</f>
        <v>0</v>
      </c>
      <c r="F140" s="184">
        <f>SUMIFS(GL_BS!$G:$G,GL_BS!$R:$R,'Global TARF'!$A$133,GL_BS!$S:$S,'Global TARF'!$A140,GL_BS!$A:$A,'Global TARF'!F$8)</f>
        <v>0</v>
      </c>
      <c r="G140" s="536">
        <f>SUMIFS(GL_BS!$G:$G,GL_BS!$R:$R,'Global TARF'!$A$133,GL_BS!$S:$S,'Global TARF'!$A140,GL_BS!$A:$A,'Global TARF'!G$8)</f>
        <v>0</v>
      </c>
      <c r="H140" s="545">
        <f>SUMIFS(GL_BS!$G:$G,GL_BS!$R:$R,'Global TARF'!$A$133,GL_BS!$S:$S,'Global TARF'!$A140,GL_BS!$A:$A,'Global TARF'!H$8)</f>
        <v>0</v>
      </c>
      <c r="I140" s="184">
        <f>SUMIFS(GL_BS!$G:$G,GL_BS!$R:$R,'Global TARF'!$A$133,GL_BS!$S:$S,'Global TARF'!$A140,GL_BS!$A:$A,'Global TARF'!I$8)</f>
        <v>0</v>
      </c>
      <c r="J140" s="184">
        <f>SUMIFS(GL_BS!$G:$G,GL_BS!$R:$R,'Global TARF'!$A$133,GL_BS!$S:$S,'Global TARF'!$A140,GL_BS!$A:$A,'Global TARF'!J$8)</f>
        <v>0</v>
      </c>
      <c r="K140" s="184">
        <f>SUMIFS(GL_BS!$G:$G,GL_BS!$R:$R,'Global TARF'!$A$133,GL_BS!$S:$S,'Global TARF'!$A140,GL_BS!$A:$A,'Global TARF'!K$8)</f>
        <v>0</v>
      </c>
      <c r="L140" s="184">
        <f>SUMIFS(GL_BS!$G:$G,GL_BS!$R:$R,'Global TARF'!$A$133,GL_BS!$S:$S,'Global TARF'!$A140,GL_BS!$A:$A,'Global TARF'!L$8)</f>
        <v>0</v>
      </c>
      <c r="M140" s="536">
        <f>SUMIFS(GL_BS!$G:$G,GL_BS!$R:$R,'Global TARF'!$A$133,GL_BS!$S:$S,'Global TARF'!$A140,GL_BS!$A:$A,'Global TARF'!M$8)</f>
        <v>0</v>
      </c>
      <c r="N140" s="555">
        <f>SUMIFS(GL_BS!$G:$G,GL_BS!$R:$R,'Global TARF'!$A$101,GL_BS!$S:$S,'Global TARF'!$A140,GL_BS!$A:$A,'Global TARF'!N$8)</f>
        <v>0</v>
      </c>
      <c r="O140" s="18">
        <f>SUMIFS(GL_BS!$G:$G,GL_BS!$R:$R,'Global TARF'!$A$101,GL_BS!$S:$S,'Global TARF'!$A140,GL_BS!$A:$A,'Global TARF'!O$8)</f>
        <v>0</v>
      </c>
      <c r="P140" s="545">
        <f>SUMIFS(GL_PL!$G:$G,GL_PL!$Q:$Q,'Global TARF'!$A$133,GL_PL!$R:$R,'Global TARF'!$A140,GL_PL!$A:$A,'Global TARF'!P$8)</f>
        <v>0</v>
      </c>
      <c r="Q140" s="184">
        <f>SUMIFS(GL_PL!$G:$G,GL_PL!$Q:$Q,'Global TARF'!$A$133,GL_PL!$R:$R,'Global TARF'!$A140,GL_PL!$A:$A,'Global TARF'!Q$8)</f>
        <v>0</v>
      </c>
      <c r="R140" s="184">
        <f>SUMIFS(GL_PL!$G:$G,GL_PL!$Q:$Q,'Global TARF'!$A$133,GL_PL!$R:$R,'Global TARF'!$A140,GL_PL!$A:$A,'Global TARF'!R$8)</f>
        <v>0</v>
      </c>
      <c r="S140" s="536">
        <f>SUMIFS(GL_PL!$G:$G,GL_PL!$Q:$Q,'Global TARF'!$A$133,GL_PL!$R:$R,'Global TARF'!$A140,GL_PL!$A:$A,'Global TARF'!S$8)</f>
        <v>0</v>
      </c>
      <c r="T140" s="26">
        <f t="shared" si="115"/>
        <v>0</v>
      </c>
      <c r="U140" s="26"/>
      <c r="Z140" s="582">
        <f t="shared" si="114"/>
        <v>0</v>
      </c>
    </row>
    <row r="141" spans="1:26" x14ac:dyDescent="0.2">
      <c r="A141" s="534" t="s">
        <v>781</v>
      </c>
      <c r="B141" s="184">
        <f>SUMIFS(GL_BS!$G:$G,GL_BS!$R:$R,'Global TARF'!$A$133,GL_BS!$S:$S,'Global TARF'!$A141,GL_BS!$A:$A,'Global TARF'!B$38)</f>
        <v>0</v>
      </c>
      <c r="C141" s="258">
        <f>SUMIFS(GL_BS!$G:$G,GL_BS!$R:$R,'Global TARF'!$A$133,GL_BS!$S:$S,'Global TARF'!$A141,GL_BS!$A:$A,'Global TARF'!C$8)</f>
        <v>0</v>
      </c>
      <c r="D141" s="258">
        <f>SUMIFS(GL_BS!$G:$G,GL_BS!$R:$R,'Global TARF'!$A$133,GL_BS!$S:$S,'Global TARF'!$A141,GL_BS!$A:$A,'Global TARF'!D$8)</f>
        <v>0</v>
      </c>
      <c r="E141" s="184">
        <f>SUMIFS(GL_BS!$G:$G,GL_BS!$R:$R,'Global TARF'!$A$133,GL_BS!$S:$S,'Global TARF'!$A141,GL_BS!$A:$A,'Global TARF'!E$8)</f>
        <v>0</v>
      </c>
      <c r="F141" s="184">
        <f>SUMIFS(GL_BS!$G:$G,GL_BS!$R:$R,'Global TARF'!$A$133,GL_BS!$S:$S,'Global TARF'!$A141,GL_BS!$A:$A,'Global TARF'!F$8)</f>
        <v>0</v>
      </c>
      <c r="G141" s="536">
        <f>SUMIFS(GL_BS!$G:$G,GL_BS!$R:$R,'Global TARF'!$A$133,GL_BS!$S:$S,'Global TARF'!$A141,GL_BS!$A:$A,'Global TARF'!G$8)</f>
        <v>0</v>
      </c>
      <c r="H141" s="545">
        <f>SUMIFS(GL_BS!$G:$G,GL_BS!$R:$R,'Global TARF'!$A$133,GL_BS!$S:$S,'Global TARF'!$A141,GL_BS!$A:$A,'Global TARF'!H$8)</f>
        <v>0</v>
      </c>
      <c r="I141" s="184">
        <f>SUMIFS(GL_BS!$G:$G,GL_BS!$R:$R,'Global TARF'!$A$133,GL_BS!$S:$S,'Global TARF'!$A141,GL_BS!$A:$A,'Global TARF'!I$8)</f>
        <v>0</v>
      </c>
      <c r="J141" s="184">
        <f>SUMIFS(GL_BS!$G:$G,GL_BS!$R:$R,'Global TARF'!$A$133,GL_BS!$S:$S,'Global TARF'!$A141,GL_BS!$A:$A,'Global TARF'!J$8)</f>
        <v>0</v>
      </c>
      <c r="K141" s="184">
        <f>SUMIFS(GL_BS!$G:$G,GL_BS!$R:$R,'Global TARF'!$A$133,GL_BS!$S:$S,'Global TARF'!$A141,GL_BS!$A:$A,'Global TARF'!K$8)</f>
        <v>0</v>
      </c>
      <c r="L141" s="184">
        <f>SUMIFS(GL_BS!$G:$G,GL_BS!$R:$R,'Global TARF'!$A$133,GL_BS!$S:$S,'Global TARF'!$A141,GL_BS!$A:$A,'Global TARF'!L$8)</f>
        <v>0</v>
      </c>
      <c r="M141" s="536">
        <f>SUMIFS(GL_BS!$G:$G,GL_BS!$R:$R,'Global TARF'!$A$133,GL_BS!$S:$S,'Global TARF'!$A141,GL_BS!$A:$A,'Global TARF'!M$8)</f>
        <v>0</v>
      </c>
      <c r="N141" s="555">
        <f>SUMIFS(GL_BS!$G:$G,GL_BS!$R:$R,'Global TARF'!$A$101,GL_BS!$S:$S,'Global TARF'!$A141,GL_BS!$A:$A,'Global TARF'!N$8)</f>
        <v>0</v>
      </c>
      <c r="O141" s="18">
        <f>SUMIFS(GL_BS!$G:$G,GL_BS!$R:$R,'Global TARF'!$A$101,GL_BS!$S:$S,'Global TARF'!$A141,GL_BS!$A:$A,'Global TARF'!O$8)</f>
        <v>0</v>
      </c>
      <c r="P141" s="545">
        <f>SUMIFS(GL_PL!$G:$G,GL_PL!$Q:$Q,'Global TARF'!$A$133,GL_PL!$R:$R,'Global TARF'!$A141,GL_PL!$A:$A,'Global TARF'!P$8)</f>
        <v>0</v>
      </c>
      <c r="Q141" s="184">
        <f>SUMIFS(GL_PL!$G:$G,GL_PL!$Q:$Q,'Global TARF'!$A$133,GL_PL!$R:$R,'Global TARF'!$A141,GL_PL!$A:$A,'Global TARF'!Q$8)</f>
        <v>0</v>
      </c>
      <c r="R141" s="184">
        <f>SUMIFS(GL_PL!$G:$G,GL_PL!$Q:$Q,'Global TARF'!$A$133,GL_PL!$R:$R,'Global TARF'!$A141,GL_PL!$A:$A,'Global TARF'!R$8)</f>
        <v>0</v>
      </c>
      <c r="S141" s="536">
        <f>SUMIFS(GL_PL!$G:$G,GL_PL!$Q:$Q,'Global TARF'!$A$133,GL_PL!$R:$R,'Global TARF'!$A141,GL_PL!$A:$A,'Global TARF'!S$8)</f>
        <v>0</v>
      </c>
      <c r="T141" s="26">
        <f t="shared" si="115"/>
        <v>0</v>
      </c>
      <c r="U141" s="26"/>
      <c r="Z141" s="582">
        <f t="shared" si="114"/>
        <v>0</v>
      </c>
    </row>
    <row r="142" spans="1:26" x14ac:dyDescent="0.2">
      <c r="A142" s="534" t="s">
        <v>782</v>
      </c>
      <c r="B142" s="184">
        <f>SUMIFS(GL_BS!$G:$G,GL_BS!$R:$R,'Global TARF'!$A$133,GL_BS!$S:$S,'Global TARF'!$A142,GL_BS!$A:$A,'Global TARF'!B$38)</f>
        <v>0</v>
      </c>
      <c r="C142" s="258">
        <f>SUMIFS(GL_BS!$G:$G,GL_BS!$R:$R,'Global TARF'!$A$133,GL_BS!$S:$S,'Global TARF'!$A142,GL_BS!$A:$A,'Global TARF'!C$8)</f>
        <v>0</v>
      </c>
      <c r="D142" s="258">
        <f>SUMIFS(GL_BS!$G:$G,GL_BS!$R:$R,'Global TARF'!$A$133,GL_BS!$S:$S,'Global TARF'!$A142,GL_BS!$A:$A,'Global TARF'!D$8)</f>
        <v>0</v>
      </c>
      <c r="E142" s="184">
        <f>SUMIFS(GL_BS!$G:$G,GL_BS!$R:$R,'Global TARF'!$A$133,GL_BS!$S:$S,'Global TARF'!$A142,GL_BS!$A:$A,'Global TARF'!E$8)</f>
        <v>0</v>
      </c>
      <c r="F142" s="184">
        <f>SUMIFS(GL_BS!$G:$G,GL_BS!$R:$R,'Global TARF'!$A$133,GL_BS!$S:$S,'Global TARF'!$A142,GL_BS!$A:$A,'Global TARF'!F$8)</f>
        <v>0</v>
      </c>
      <c r="G142" s="536">
        <f>SUMIFS(GL_BS!$G:$G,GL_BS!$R:$R,'Global TARF'!$A$133,GL_BS!$S:$S,'Global TARF'!$A142,GL_BS!$A:$A,'Global TARF'!G$8)</f>
        <v>0</v>
      </c>
      <c r="H142" s="545">
        <f>SUMIFS(GL_BS!$G:$G,GL_BS!$R:$R,'Global TARF'!$A$133,GL_BS!$S:$S,'Global TARF'!$A142,GL_BS!$A:$A,'Global TARF'!H$8)</f>
        <v>0</v>
      </c>
      <c r="I142" s="184">
        <f>SUMIFS(GL_BS!$G:$G,GL_BS!$R:$R,'Global TARF'!$A$133,GL_BS!$S:$S,'Global TARF'!$A142,GL_BS!$A:$A,'Global TARF'!I$8)</f>
        <v>0</v>
      </c>
      <c r="J142" s="184">
        <f>SUMIFS(GL_BS!$G:$G,GL_BS!$R:$R,'Global TARF'!$A$133,GL_BS!$S:$S,'Global TARF'!$A142,GL_BS!$A:$A,'Global TARF'!J$8)</f>
        <v>0</v>
      </c>
      <c r="K142" s="184">
        <f>SUMIFS(GL_BS!$G:$G,GL_BS!$R:$R,'Global TARF'!$A$133,GL_BS!$S:$S,'Global TARF'!$A142,GL_BS!$A:$A,'Global TARF'!K$8)</f>
        <v>0</v>
      </c>
      <c r="L142" s="184">
        <f>SUMIFS(GL_BS!$G:$G,GL_BS!$R:$R,'Global TARF'!$A$133,GL_BS!$S:$S,'Global TARF'!$A142,GL_BS!$A:$A,'Global TARF'!L$8)</f>
        <v>0</v>
      </c>
      <c r="M142" s="536">
        <f>SUMIFS(GL_BS!$G:$G,GL_BS!$R:$R,'Global TARF'!$A$133,GL_BS!$S:$S,'Global TARF'!$A142,GL_BS!$A:$A,'Global TARF'!M$8)</f>
        <v>0</v>
      </c>
      <c r="N142" s="555">
        <f>SUMIFS(GL_BS!$G:$G,GL_BS!$R:$R,'Global TARF'!$A$101,GL_BS!$S:$S,'Global TARF'!$A142,GL_BS!$A:$A,'Global TARF'!N$8)</f>
        <v>0</v>
      </c>
      <c r="O142" s="18">
        <f>SUMIFS(GL_BS!$G:$G,GL_BS!$R:$R,'Global TARF'!$A$101,GL_BS!$S:$S,'Global TARF'!$A142,GL_BS!$A:$A,'Global TARF'!O$8)</f>
        <v>0</v>
      </c>
      <c r="P142" s="545">
        <f>SUMIFS(GL_PL!$G:$G,GL_PL!$Q:$Q,'Global TARF'!$A$133,GL_PL!$R:$R,'Global TARF'!$A142,GL_PL!$A:$A,'Global TARF'!P$8)</f>
        <v>0</v>
      </c>
      <c r="Q142" s="184">
        <f>SUMIFS(GL_PL!$G:$G,GL_PL!$Q:$Q,'Global TARF'!$A$133,GL_PL!$R:$R,'Global TARF'!$A142,GL_PL!$A:$A,'Global TARF'!Q$8)</f>
        <v>0</v>
      </c>
      <c r="R142" s="184">
        <f>SUMIFS(GL_PL!$G:$G,GL_PL!$Q:$Q,'Global TARF'!$A$133,GL_PL!$R:$R,'Global TARF'!$A142,GL_PL!$A:$A,'Global TARF'!R$8)</f>
        <v>0</v>
      </c>
      <c r="S142" s="536">
        <f>SUMIFS(GL_PL!$G:$G,GL_PL!$Q:$Q,'Global TARF'!$A$133,GL_PL!$R:$R,'Global TARF'!$A142,GL_PL!$A:$A,'Global TARF'!S$8)</f>
        <v>0</v>
      </c>
      <c r="T142" s="26">
        <f t="shared" si="115"/>
        <v>0</v>
      </c>
      <c r="U142" s="26"/>
      <c r="Z142" s="582">
        <f t="shared" si="114"/>
        <v>0</v>
      </c>
    </row>
    <row r="143" spans="1:26" x14ac:dyDescent="0.2">
      <c r="A143" s="534" t="s">
        <v>950</v>
      </c>
      <c r="B143" s="184">
        <f>SUMIFS(GL_BS!$G:$G,GL_BS!$R:$R,'Global TARF'!$A$133,GL_BS!$S:$S,'Global TARF'!$A143,GL_BS!$A:$A,'Global TARF'!B$38)</f>
        <v>0</v>
      </c>
      <c r="C143" s="258">
        <f>SUMIFS(GL_BS!$G:$G,GL_BS!$R:$R,'Global TARF'!$A$133,GL_BS!$S:$S,'Global TARF'!$A143,GL_BS!$A:$A,'Global TARF'!C$8)</f>
        <v>0</v>
      </c>
      <c r="D143" s="258">
        <f>SUMIFS(GL_BS!$G:$G,GL_BS!$R:$R,'Global TARF'!$A$133,GL_BS!$S:$S,'Global TARF'!$A143,GL_BS!$A:$A,'Global TARF'!D$8)</f>
        <v>0</v>
      </c>
      <c r="E143" s="184">
        <f>SUMIFS(GL_BS!$G:$G,GL_BS!$R:$R,'Global TARF'!$A$133,GL_BS!$S:$S,'Global TARF'!$A143,GL_BS!$A:$A,'Global TARF'!E$8)</f>
        <v>0</v>
      </c>
      <c r="F143" s="184">
        <f>SUMIFS(GL_BS!$G:$G,GL_BS!$R:$R,'Global TARF'!$A$133,GL_BS!$S:$S,'Global TARF'!$A143,GL_BS!$A:$A,'Global TARF'!F$8)</f>
        <v>0</v>
      </c>
      <c r="G143" s="536">
        <f>SUMIFS(GL_BS!$G:$G,GL_BS!$R:$R,'Global TARF'!$A$133,GL_BS!$S:$S,'Global TARF'!$A143,GL_BS!$A:$A,'Global TARF'!G$8)</f>
        <v>0</v>
      </c>
      <c r="H143" s="545">
        <f>SUMIFS(GL_BS!$G:$G,GL_BS!$R:$R,'Global TARF'!$A$133,GL_BS!$S:$S,'Global TARF'!$A143,GL_BS!$A:$A,'Global TARF'!H$8)</f>
        <v>0</v>
      </c>
      <c r="I143" s="184">
        <f>SUMIFS(GL_BS!$G:$G,GL_BS!$R:$R,'Global TARF'!$A$133,GL_BS!$S:$S,'Global TARF'!$A143,GL_BS!$A:$A,'Global TARF'!I$8)</f>
        <v>0</v>
      </c>
      <c r="J143" s="184">
        <f>SUMIFS(GL_BS!$G:$G,GL_BS!$R:$R,'Global TARF'!$A$133,GL_BS!$S:$S,'Global TARF'!$A143,GL_BS!$A:$A,'Global TARF'!J$8)</f>
        <v>0</v>
      </c>
      <c r="K143" s="184">
        <f>SUMIFS(GL_BS!$G:$G,GL_BS!$R:$R,'Global TARF'!$A$133,GL_BS!$S:$S,'Global TARF'!$A143,GL_BS!$A:$A,'Global TARF'!K$8)</f>
        <v>0</v>
      </c>
      <c r="L143" s="184">
        <f>SUMIFS(GL_BS!$G:$G,GL_BS!$R:$R,'Global TARF'!$A$133,GL_BS!$S:$S,'Global TARF'!$A143,GL_BS!$A:$A,'Global TARF'!L$8)</f>
        <v>0</v>
      </c>
      <c r="M143" s="536">
        <f>SUMIFS(GL_BS!$G:$G,GL_BS!$R:$R,'Global TARF'!$A$133,GL_BS!$S:$S,'Global TARF'!$A143,GL_BS!$A:$A,'Global TARF'!M$8)</f>
        <v>0</v>
      </c>
      <c r="N143" s="555">
        <f>SUMIFS(GL_BS!$G:$G,GL_BS!$R:$R,'Global TARF'!$A$101,GL_BS!$S:$S,'Global TARF'!$A143,GL_BS!$A:$A,'Global TARF'!N$8)</f>
        <v>0</v>
      </c>
      <c r="O143" s="18">
        <f>SUMIFS(GL_BS!$G:$G,GL_BS!$R:$R,'Global TARF'!$A$101,GL_BS!$S:$S,'Global TARF'!$A143,GL_BS!$A:$A,'Global TARF'!O$8)</f>
        <v>0</v>
      </c>
      <c r="P143" s="545">
        <f>SUMIFS(GL_PL!$G:$G,GL_PL!$Q:$Q,'Global TARF'!$A$133,GL_PL!$R:$R,'Global TARF'!$A143,GL_PL!$A:$A,'Global TARF'!P$8)</f>
        <v>0</v>
      </c>
      <c r="Q143" s="184">
        <f>SUMIFS(GL_PL!$G:$G,GL_PL!$Q:$Q,'Global TARF'!$A$133,GL_PL!$R:$R,'Global TARF'!$A143,GL_PL!$A:$A,'Global TARF'!Q$8)</f>
        <v>0</v>
      </c>
      <c r="R143" s="184">
        <f>SUMIFS(GL_PL!$G:$G,GL_PL!$Q:$Q,'Global TARF'!$A$133,GL_PL!$R:$R,'Global TARF'!$A143,GL_PL!$A:$A,'Global TARF'!R$8)</f>
        <v>0</v>
      </c>
      <c r="S143" s="536">
        <f>SUMIFS(GL_PL!$G:$G,GL_PL!$Q:$Q,'Global TARF'!$A$133,GL_PL!$R:$R,'Global TARF'!$A143,GL_PL!$A:$A,'Global TARF'!S$8)</f>
        <v>0</v>
      </c>
      <c r="T143" s="26">
        <f t="shared" si="115"/>
        <v>0</v>
      </c>
      <c r="U143" s="26"/>
      <c r="Z143" s="582">
        <f t="shared" si="114"/>
        <v>0</v>
      </c>
    </row>
    <row r="144" spans="1:26" x14ac:dyDescent="0.2">
      <c r="A144" s="534" t="s">
        <v>4586</v>
      </c>
      <c r="B144" s="184">
        <f>SUMIFS(GL_BS!$G:$G,GL_BS!$R:$R,'Global TARF'!$A$133,GL_BS!$S:$S,'Global TARF'!$A144,GL_BS!$A:$A,'Global TARF'!B$38)</f>
        <v>0</v>
      </c>
      <c r="C144" s="258">
        <f>SUMIFS(GL_BS!$G:$G,GL_BS!$R:$R,'Global TARF'!$A$133,GL_BS!$S:$S,'Global TARF'!$A144,GL_BS!$A:$A,'Global TARF'!C$8)</f>
        <v>0</v>
      </c>
      <c r="D144" s="258">
        <f>SUMIFS(GL_BS!$G:$G,GL_BS!$R:$R,'Global TARF'!$A$133,GL_BS!$S:$S,'Global TARF'!$A144,GL_BS!$A:$A,'Global TARF'!D$8)</f>
        <v>0</v>
      </c>
      <c r="E144" s="184">
        <f>SUMIFS(GL_BS!$G:$G,GL_BS!$R:$R,'Global TARF'!$A$133,GL_BS!$S:$S,'Global TARF'!$A144,GL_BS!$A:$A,'Global TARF'!E$8)</f>
        <v>0</v>
      </c>
      <c r="F144" s="184">
        <f>SUMIFS(GL_BS!$G:$G,GL_BS!$R:$R,'Global TARF'!$A$133,GL_BS!$S:$S,'Global TARF'!$A144,GL_BS!$A:$A,'Global TARF'!F$8)</f>
        <v>0</v>
      </c>
      <c r="G144" s="536">
        <f>SUMIFS(GL_BS!$G:$G,GL_BS!$R:$R,'Global TARF'!$A$133,GL_BS!$S:$S,'Global TARF'!$A144,GL_BS!$A:$A,'Global TARF'!G$8)</f>
        <v>0</v>
      </c>
      <c r="H144" s="545">
        <f>SUMIFS(GL_BS!$G:$G,GL_BS!$R:$R,'Global TARF'!$A$133,GL_BS!$S:$S,'Global TARF'!$A144,GL_BS!$A:$A,'Global TARF'!H$8)</f>
        <v>0</v>
      </c>
      <c r="I144" s="184">
        <f>SUMIFS(GL_BS!$G:$G,GL_BS!$R:$R,'Global TARF'!$A$133,GL_BS!$S:$S,'Global TARF'!$A144,GL_BS!$A:$A,'Global TARF'!I$8)</f>
        <v>0</v>
      </c>
      <c r="J144" s="184">
        <f>SUMIFS(GL_BS!$G:$G,GL_BS!$R:$R,'Global TARF'!$A$133,GL_BS!$S:$S,'Global TARF'!$A144,GL_BS!$A:$A,'Global TARF'!J$8)</f>
        <v>0</v>
      </c>
      <c r="K144" s="184">
        <f>SUMIFS(GL_BS!$G:$G,GL_BS!$R:$R,'Global TARF'!$A$133,GL_BS!$S:$S,'Global TARF'!$A144,GL_BS!$A:$A,'Global TARF'!K$8)</f>
        <v>0</v>
      </c>
      <c r="L144" s="184">
        <f>SUMIFS(GL_BS!$G:$G,GL_BS!$R:$R,'Global TARF'!$A$133,GL_BS!$S:$S,'Global TARF'!$A144,GL_BS!$A:$A,'Global TARF'!L$8)</f>
        <v>0</v>
      </c>
      <c r="M144" s="536">
        <f>SUMIFS(GL_BS!$G:$G,GL_BS!$R:$R,'Global TARF'!$A$133,GL_BS!$S:$S,'Global TARF'!$A144,GL_BS!$A:$A,'Global TARF'!M$8)</f>
        <v>0</v>
      </c>
      <c r="N144" s="555">
        <f>SUMIFS(GL_BS!$G:$G,GL_BS!$R:$R,'Global TARF'!$A$101,GL_BS!$S:$S,'Global TARF'!$A144,GL_BS!$A:$A,'Global TARF'!N$8)</f>
        <v>0</v>
      </c>
      <c r="O144" s="18">
        <f>SUMIFS(GL_BS!$G:$G,GL_BS!$R:$R,'Global TARF'!$A$101,GL_BS!$S:$S,'Global TARF'!$A144,GL_BS!$A:$A,'Global TARF'!O$8)</f>
        <v>0</v>
      </c>
      <c r="P144" s="545">
        <f>SUMIFS(GL_PL!$G:$G,GL_PL!$Q:$Q,'Global TARF'!$A$133,GL_PL!$R:$R,'Global TARF'!$A144,GL_PL!$A:$A,'Global TARF'!P$8)</f>
        <v>0</v>
      </c>
      <c r="Q144" s="184">
        <f>SUMIFS(GL_PL!$G:$G,GL_PL!$Q:$Q,'Global TARF'!$A$133,GL_PL!$R:$R,'Global TARF'!$A144,GL_PL!$A:$A,'Global TARF'!Q$8)</f>
        <v>0</v>
      </c>
      <c r="R144" s="184">
        <f>SUMIFS(GL_PL!$G:$G,GL_PL!$Q:$Q,'Global TARF'!$A$133,GL_PL!$R:$R,'Global TARF'!$A144,GL_PL!$A:$A,'Global TARF'!R$8)</f>
        <v>0</v>
      </c>
      <c r="S144" s="536">
        <f>SUMIFS(GL_PL!$G:$G,GL_PL!$Q:$Q,'Global TARF'!$A$133,GL_PL!$R:$R,'Global TARF'!$A144,GL_PL!$A:$A,'Global TARF'!S$8)</f>
        <v>0</v>
      </c>
      <c r="T144"/>
      <c r="V144" s="26">
        <f>-SUM(B144:R144)</f>
        <v>0</v>
      </c>
      <c r="Z144" s="582">
        <f t="shared" si="114"/>
        <v>0</v>
      </c>
    </row>
    <row r="145" spans="1:26" x14ac:dyDescent="0.2">
      <c r="A145" s="534" t="s">
        <v>779</v>
      </c>
      <c r="B145" s="184">
        <f>SUMIFS(GL_BS!$G:$G,GL_BS!$R:$R,'Global TARF'!$A$133,GL_BS!$S:$S,'Global TARF'!$A145,GL_BS!$A:$A,'Global TARF'!B$38)</f>
        <v>0</v>
      </c>
      <c r="C145" s="258">
        <f>SUMIFS(GL_BS!$G:$G,GL_BS!$R:$R,'Global TARF'!$A$133,GL_BS!$S:$S,'Global TARF'!$A145,GL_BS!$A:$A,'Global TARF'!C$8)</f>
        <v>0</v>
      </c>
      <c r="D145" s="258">
        <f>SUMIFS(GL_BS!$G:$G,GL_BS!$R:$R,'Global TARF'!$A$133,GL_BS!$S:$S,'Global TARF'!$A145,GL_BS!$A:$A,'Global TARF'!D$8)</f>
        <v>0</v>
      </c>
      <c r="E145" s="184">
        <f>SUMIFS(GL_BS!$G:$G,GL_BS!$R:$R,'Global TARF'!$A$133,GL_BS!$S:$S,'Global TARF'!$A145,GL_BS!$A:$A,'Global TARF'!E$8)</f>
        <v>0</v>
      </c>
      <c r="F145" s="184">
        <f>SUMIFS(GL_BS!$G:$G,GL_BS!$R:$R,'Global TARF'!$A$133,GL_BS!$S:$S,'Global TARF'!$A145,GL_BS!$A:$A,'Global TARF'!F$8)</f>
        <v>0</v>
      </c>
      <c r="G145" s="536">
        <f>SUMIFS(GL_BS!$G:$G,GL_BS!$R:$R,'Global TARF'!$A$133,GL_BS!$S:$S,'Global TARF'!$A145,GL_BS!$A:$A,'Global TARF'!G$8)</f>
        <v>0</v>
      </c>
      <c r="H145" s="545">
        <f>SUMIFS(GL_BS!$G:$G,GL_BS!$R:$R,'Global TARF'!$A$133,GL_BS!$S:$S,'Global TARF'!$A145,GL_BS!$A:$A,'Global TARF'!H$8)</f>
        <v>0</v>
      </c>
      <c r="I145" s="184">
        <f>SUMIFS(GL_BS!$G:$G,GL_BS!$R:$R,'Global TARF'!$A$133,GL_BS!$S:$S,'Global TARF'!$A145,GL_BS!$A:$A,'Global TARF'!I$8)</f>
        <v>0</v>
      </c>
      <c r="J145" s="184">
        <f>SUMIFS(GL_BS!$G:$G,GL_BS!$R:$R,'Global TARF'!$A$133,GL_BS!$S:$S,'Global TARF'!$A145,GL_BS!$A:$A,'Global TARF'!J$8)</f>
        <v>0</v>
      </c>
      <c r="K145" s="184">
        <f>SUMIFS(GL_BS!$G:$G,GL_BS!$R:$R,'Global TARF'!$A$133,GL_BS!$S:$S,'Global TARF'!$A145,GL_BS!$A:$A,'Global TARF'!K$8)</f>
        <v>0</v>
      </c>
      <c r="L145" s="184">
        <f>SUMIFS(GL_BS!$G:$G,GL_BS!$R:$R,'Global TARF'!$A$133,GL_BS!$S:$S,'Global TARF'!$A145,GL_BS!$A:$A,'Global TARF'!L$8)</f>
        <v>0</v>
      </c>
      <c r="M145" s="536">
        <f>SUMIFS(GL_BS!$G:$G,GL_BS!$R:$R,'Global TARF'!$A$133,GL_BS!$S:$S,'Global TARF'!$A145,GL_BS!$A:$A,'Global TARF'!M$8)</f>
        <v>0</v>
      </c>
      <c r="N145" s="555">
        <f>SUMIFS(GL_BS!$G:$G,GL_BS!$R:$R,'Global TARF'!$A$101,GL_BS!$S:$S,'Global TARF'!$A145,GL_BS!$A:$A,'Global TARF'!N$8)</f>
        <v>0</v>
      </c>
      <c r="O145" s="18">
        <f>SUMIFS(GL_BS!$G:$G,GL_BS!$R:$R,'Global TARF'!$A$101,GL_BS!$S:$S,'Global TARF'!$A145,GL_BS!$A:$A,'Global TARF'!O$8)</f>
        <v>0</v>
      </c>
      <c r="P145" s="545">
        <f>SUMIFS(GL_PL!$G:$G,GL_PL!$Q:$Q,'Global TARF'!$A$133,GL_PL!$R:$R,'Global TARF'!$A145,GL_PL!$A:$A,'Global TARF'!P$8)</f>
        <v>0</v>
      </c>
      <c r="Q145" s="184">
        <f>SUMIFS(GL_PL!$G:$G,GL_PL!$Q:$Q,'Global TARF'!$A$133,GL_PL!$R:$R,'Global TARF'!$A145,GL_PL!$A:$A,'Global TARF'!Q$8)</f>
        <v>0</v>
      </c>
      <c r="R145" s="184">
        <f>SUMIFS(GL_PL!$G:$G,GL_PL!$Q:$Q,'Global TARF'!$A$133,GL_PL!$R:$R,'Global TARF'!$A145,GL_PL!$A:$A,'Global TARF'!R$8)</f>
        <v>0</v>
      </c>
      <c r="S145" s="536">
        <f>SUMIFS(GL_PL!$G:$G,GL_PL!$Q:$Q,'Global TARF'!$A$133,GL_PL!$R:$R,'Global TARF'!$A145,GL_PL!$A:$A,'Global TARF'!S$8)</f>
        <v>0</v>
      </c>
      <c r="T145"/>
      <c r="V145" s="26">
        <f>-SUM(B145:R145)</f>
        <v>0</v>
      </c>
      <c r="Z145" s="582">
        <f t="shared" si="114"/>
        <v>0</v>
      </c>
    </row>
    <row r="146" spans="1:26" x14ac:dyDescent="0.2">
      <c r="A146" s="534" t="s">
        <v>4267</v>
      </c>
      <c r="B146" s="184">
        <f>SUMIFS(GL_BS!$G:$G,GL_BS!$R:$R,'Global TARF'!$A$133,GL_BS!$S:$S,'Global TARF'!$A146,GL_BS!$A:$A,'Global TARF'!B$38)</f>
        <v>0</v>
      </c>
      <c r="C146" s="258">
        <f>SUMIFS(GL_BS!$G:$G,GL_BS!$R:$R,'Global TARF'!$A$133,GL_BS!$S:$S,'Global TARF'!$A146,GL_BS!$A:$A,'Global TARF'!C$8)</f>
        <v>0</v>
      </c>
      <c r="D146" s="258">
        <f>SUMIFS(GL_BS!$G:$G,GL_BS!$R:$R,'Global TARF'!$A$133,GL_BS!$S:$S,'Global TARF'!$A146,GL_BS!$A:$A,'Global TARF'!D$8)</f>
        <v>0</v>
      </c>
      <c r="E146" s="184">
        <f>SUMIFS(GL_BS!$G:$G,GL_BS!$R:$R,'Global TARF'!$A$133,GL_BS!$S:$S,'Global TARF'!$A146,GL_BS!$A:$A,'Global TARF'!E$8)</f>
        <v>0</v>
      </c>
      <c r="F146" s="184">
        <f>SUMIFS(GL_BS!$G:$G,GL_BS!$R:$R,'Global TARF'!$A$133,GL_BS!$S:$S,'Global TARF'!$A146,GL_BS!$A:$A,'Global TARF'!F$8)</f>
        <v>0</v>
      </c>
      <c r="G146" s="536">
        <f>SUMIFS(GL_BS!$G:$G,GL_BS!$R:$R,'Global TARF'!$A$133,GL_BS!$S:$S,'Global TARF'!$A146,GL_BS!$A:$A,'Global TARF'!G$8)</f>
        <v>0</v>
      </c>
      <c r="H146" s="545">
        <f>SUMIFS(GL_BS!$G:$G,GL_BS!$R:$R,'Global TARF'!$A$133,GL_BS!$S:$S,'Global TARF'!$A146,GL_BS!$A:$A,'Global TARF'!H$8)</f>
        <v>0</v>
      </c>
      <c r="I146" s="184">
        <f>SUMIFS(GL_BS!$G:$G,GL_BS!$R:$R,'Global TARF'!$A$133,GL_BS!$S:$S,'Global TARF'!$A146,GL_BS!$A:$A,'Global TARF'!I$8)</f>
        <v>0</v>
      </c>
      <c r="J146" s="184">
        <f>SUMIFS(GL_BS!$G:$G,GL_BS!$R:$R,'Global TARF'!$A$133,GL_BS!$S:$S,'Global TARF'!$A146,GL_BS!$A:$A,'Global TARF'!J$8)</f>
        <v>0</v>
      </c>
      <c r="K146" s="184">
        <f>SUMIFS(GL_BS!$G:$G,GL_BS!$R:$R,'Global TARF'!$A$133,GL_BS!$S:$S,'Global TARF'!$A146,GL_BS!$A:$A,'Global TARF'!K$8)</f>
        <v>0</v>
      </c>
      <c r="L146" s="184">
        <f>SUMIFS(GL_BS!$G:$G,GL_BS!$R:$R,'Global TARF'!$A$133,GL_BS!$S:$S,'Global TARF'!$A146,GL_BS!$A:$A,'Global TARF'!L$8)</f>
        <v>0</v>
      </c>
      <c r="M146" s="536">
        <f>SUMIFS(GL_BS!$G:$G,GL_BS!$R:$R,'Global TARF'!$A$133,GL_BS!$S:$S,'Global TARF'!$A146,GL_BS!$A:$A,'Global TARF'!M$8)</f>
        <v>0</v>
      </c>
      <c r="N146" s="555">
        <f>SUMIFS(GL_BS!$G:$G,GL_BS!$R:$R,'Global TARF'!$A$101,GL_BS!$S:$S,'Global TARF'!$A146,GL_BS!$A:$A,'Global TARF'!N$8)</f>
        <v>0</v>
      </c>
      <c r="O146" s="18">
        <f>SUMIFS(GL_BS!$G:$G,GL_BS!$R:$R,'Global TARF'!$A$101,GL_BS!$S:$S,'Global TARF'!$A146,GL_BS!$A:$A,'Global TARF'!O$8)</f>
        <v>0</v>
      </c>
      <c r="P146" s="545">
        <f>SUMIFS(GL_PL!$G:$G,GL_PL!$Q:$Q,'Global TARF'!$A$133,GL_PL!$R:$R,'Global TARF'!$A146,GL_PL!$A:$A,'Global TARF'!P$8)</f>
        <v>0</v>
      </c>
      <c r="Q146" s="184">
        <f>SUMIFS(GL_PL!$G:$G,GL_PL!$Q:$Q,'Global TARF'!$A$133,GL_PL!$R:$R,'Global TARF'!$A146,GL_PL!$A:$A,'Global TARF'!Q$8)</f>
        <v>0</v>
      </c>
      <c r="R146" s="184">
        <f>SUMIFS(GL_PL!$G:$G,GL_PL!$Q:$Q,'Global TARF'!$A$133,GL_PL!$R:$R,'Global TARF'!$A146,GL_PL!$A:$A,'Global TARF'!R$8)</f>
        <v>0</v>
      </c>
      <c r="S146" s="536">
        <f>SUMIFS(GL_PL!$G:$G,GL_PL!$Q:$Q,'Global TARF'!$A$133,GL_PL!$R:$R,'Global TARF'!$A146,GL_PL!$A:$A,'Global TARF'!S$8)</f>
        <v>0</v>
      </c>
      <c r="T146"/>
      <c r="V146" s="26"/>
      <c r="W146" s="26">
        <f>-SUM(R146,H146)</f>
        <v>0</v>
      </c>
      <c r="Z146" s="582">
        <f t="shared" si="114"/>
        <v>0</v>
      </c>
    </row>
    <row r="147" spans="1:26" x14ac:dyDescent="0.2">
      <c r="A147" s="534" t="s">
        <v>4275</v>
      </c>
      <c r="B147" s="184">
        <f>SUMIFS(GL_BS!$G:$G,GL_BS!$R:$R,'Global TARF'!$A$133,GL_BS!$S:$S,'Global TARF'!$A147,GL_BS!$A:$A,'Global TARF'!B$38)</f>
        <v>0</v>
      </c>
      <c r="C147" s="258">
        <f>SUMIFS(GL_BS!$G:$G,GL_BS!$R:$R,'Global TARF'!$A$133,GL_BS!$S:$S,'Global TARF'!$A147,GL_BS!$A:$A,'Global TARF'!C$8)</f>
        <v>0</v>
      </c>
      <c r="D147" s="258">
        <f>SUMIFS(GL_BS!$G:$G,GL_BS!$R:$R,'Global TARF'!$A$133,GL_BS!$S:$S,'Global TARF'!$A147,GL_BS!$A:$A,'Global TARF'!D$8)</f>
        <v>0</v>
      </c>
      <c r="E147" s="184">
        <f>SUMIFS(GL_BS!$G:$G,GL_BS!$R:$R,'Global TARF'!$A$133,GL_BS!$S:$S,'Global TARF'!$A147,GL_BS!$A:$A,'Global TARF'!E$8)</f>
        <v>0</v>
      </c>
      <c r="F147" s="184">
        <f>SUMIFS(GL_BS!$G:$G,GL_BS!$R:$R,'Global TARF'!$A$133,GL_BS!$S:$S,'Global TARF'!$A147,GL_BS!$A:$A,'Global TARF'!F$8)</f>
        <v>0</v>
      </c>
      <c r="G147" s="536">
        <f>SUMIFS(GL_BS!$G:$G,GL_BS!$R:$R,'Global TARF'!$A$133,GL_BS!$S:$S,'Global TARF'!$A147,GL_BS!$A:$A,'Global TARF'!G$8)</f>
        <v>0</v>
      </c>
      <c r="H147" s="545">
        <f>SUMIFS(GL_BS!$G:$G,GL_BS!$R:$R,'Global TARF'!$A$133,GL_BS!$S:$S,'Global TARF'!$A147,GL_BS!$A:$A,'Global TARF'!H$8)</f>
        <v>11963.9474251596</v>
      </c>
      <c r="I147" s="184">
        <f>SUMIFS(GL_BS!$G:$G,GL_BS!$R:$R,'Global TARF'!$A$133,GL_BS!$S:$S,'Global TARF'!$A147,GL_BS!$A:$A,'Global TARF'!I$8)</f>
        <v>0</v>
      </c>
      <c r="J147" s="184">
        <f>SUMIFS(GL_BS!$G:$G,GL_BS!$R:$R,'Global TARF'!$A$133,GL_BS!$S:$S,'Global TARF'!$A147,GL_BS!$A:$A,'Global TARF'!J$8)</f>
        <v>0</v>
      </c>
      <c r="K147" s="184">
        <f>SUMIFS(GL_BS!$G:$G,GL_BS!$R:$R,'Global TARF'!$A$133,GL_BS!$S:$S,'Global TARF'!$A147,GL_BS!$A:$A,'Global TARF'!K$8)</f>
        <v>0</v>
      </c>
      <c r="L147" s="184">
        <f>SUMIFS(GL_BS!$G:$G,GL_BS!$R:$R,'Global TARF'!$A$133,GL_BS!$S:$S,'Global TARF'!$A147,GL_BS!$A:$A,'Global TARF'!L$8)</f>
        <v>0</v>
      </c>
      <c r="M147" s="536">
        <f>SUMIFS(GL_BS!$G:$G,GL_BS!$R:$R,'Global TARF'!$A$133,GL_BS!$S:$S,'Global TARF'!$A147,GL_BS!$A:$A,'Global TARF'!M$8)</f>
        <v>0</v>
      </c>
      <c r="N147" s="555">
        <f>SUMIFS(GL_BS!$G:$G,GL_BS!$R:$R,'Global TARF'!$A$101,GL_BS!$S:$S,'Global TARF'!$A147,GL_BS!$A:$A,'Global TARF'!N$8)</f>
        <v>0</v>
      </c>
      <c r="O147" s="18">
        <f>SUMIFS(GL_BS!$G:$G,GL_BS!$R:$R,'Global TARF'!$A$101,GL_BS!$S:$S,'Global TARF'!$A147,GL_BS!$A:$A,'Global TARF'!O$8)</f>
        <v>0</v>
      </c>
      <c r="P147" s="545">
        <f>SUMIFS(GL_PL!$G:$G,GL_PL!$Q:$Q,'Global TARF'!$A$133,GL_PL!$R:$R,'Global TARF'!$A147,GL_PL!$A:$A,'Global TARF'!P$8)</f>
        <v>0</v>
      </c>
      <c r="Q147" s="184">
        <f>SUMIFS(GL_PL!$G:$G,GL_PL!$Q:$Q,'Global TARF'!$A$133,GL_PL!$R:$R,'Global TARF'!$A147,GL_PL!$A:$A,'Global TARF'!Q$8)</f>
        <v>0</v>
      </c>
      <c r="R147" s="184">
        <f>SUMIFS(GL_PL!$G:$G,GL_PL!$Q:$Q,'Global TARF'!$A$133,GL_PL!$R:$R,'Global TARF'!$A147,GL_PL!$A:$A,'Global TARF'!R$8)</f>
        <v>0</v>
      </c>
      <c r="S147" s="536">
        <f>SUMIFS(GL_PL!$G:$G,GL_PL!$Q:$Q,'Global TARF'!$A$133,GL_PL!$R:$R,'Global TARF'!$A147,GL_PL!$A:$A,'Global TARF'!S$8)</f>
        <v>0</v>
      </c>
      <c r="T147" s="26">
        <f>-H147</f>
        <v>-11963.9474251596</v>
      </c>
      <c r="Z147" s="582">
        <f t="shared" si="114"/>
        <v>0</v>
      </c>
    </row>
    <row r="148" spans="1:26" x14ac:dyDescent="0.2">
      <c r="A148" s="534" t="s">
        <v>4481</v>
      </c>
      <c r="B148" s="184">
        <f>SUMIFS(GL_BS!$G:$G,GL_BS!$R:$R,'Global TARF'!$A$133,GL_BS!$S:$S,'Global TARF'!$A148,GL_BS!$A:$A,'Global TARF'!B$38)</f>
        <v>0</v>
      </c>
      <c r="C148" s="258">
        <f>SUMIFS(GL_BS!$G:$G,GL_BS!$R:$R,'Global TARF'!$A$133,GL_BS!$S:$S,'Global TARF'!$A148,GL_BS!$A:$A,'Global TARF'!C$8)</f>
        <v>0</v>
      </c>
      <c r="D148" s="258">
        <f>SUMIFS(GL_BS!$G:$G,GL_BS!$R:$R,'Global TARF'!$A$133,GL_BS!$S:$S,'Global TARF'!$A148,GL_BS!$A:$A,'Global TARF'!D$8)</f>
        <v>0</v>
      </c>
      <c r="E148" s="184">
        <f>SUMIFS(GL_BS!$G:$G,GL_BS!$R:$R,'Global TARF'!$A$133,GL_BS!$S:$S,'Global TARF'!$A148,GL_BS!$A:$A,'Global TARF'!E$8)</f>
        <v>0</v>
      </c>
      <c r="F148" s="184">
        <f>SUMIFS(GL_BS!$G:$G,GL_BS!$R:$R,'Global TARF'!$A$133,GL_BS!$S:$S,'Global TARF'!$A148,GL_BS!$A:$A,'Global TARF'!F$8)</f>
        <v>0</v>
      </c>
      <c r="G148" s="536">
        <f>SUMIFS(GL_BS!$G:$G,GL_BS!$R:$R,'Global TARF'!$A$133,GL_BS!$S:$S,'Global TARF'!$A148,GL_BS!$A:$A,'Global TARF'!G$8)</f>
        <v>0</v>
      </c>
      <c r="H148" s="545">
        <f>SUMIFS(GL_BS!$G:$G,GL_BS!$R:$R,'Global TARF'!$A$133,GL_BS!$S:$S,'Global TARF'!$A148,GL_BS!$A:$A,'Global TARF'!H$8)</f>
        <v>5918.7769859556001</v>
      </c>
      <c r="I148" s="184">
        <f>SUMIFS(GL_BS!$G:$G,GL_BS!$R:$R,'Global TARF'!$A$133,GL_BS!$S:$S,'Global TARF'!$A148,GL_BS!$A:$A,'Global TARF'!I$8)</f>
        <v>0</v>
      </c>
      <c r="J148" s="184">
        <f>SUMIFS(GL_BS!$G:$G,GL_BS!$R:$R,'Global TARF'!$A$133,GL_BS!$S:$S,'Global TARF'!$A148,GL_BS!$A:$A,'Global TARF'!J$8)</f>
        <v>0</v>
      </c>
      <c r="K148" s="184">
        <f>SUMIFS(GL_BS!$G:$G,GL_BS!$R:$R,'Global TARF'!$A$133,GL_BS!$S:$S,'Global TARF'!$A148,GL_BS!$A:$A,'Global TARF'!K$8)</f>
        <v>0</v>
      </c>
      <c r="L148" s="184">
        <f>SUMIFS(GL_BS!$G:$G,GL_BS!$R:$R,'Global TARF'!$A$133,GL_BS!$S:$S,'Global TARF'!$A148,GL_BS!$A:$A,'Global TARF'!L$8)</f>
        <v>0</v>
      </c>
      <c r="M148" s="536">
        <f>SUMIFS(GL_BS!$G:$G,GL_BS!$R:$R,'Global TARF'!$A$133,GL_BS!$S:$S,'Global TARF'!$A148,GL_BS!$A:$A,'Global TARF'!M$8)</f>
        <v>0</v>
      </c>
      <c r="N148" s="555">
        <f>SUMIFS(GL_BS!$G:$G,GL_BS!$R:$R,'Global TARF'!$A$101,GL_BS!$S:$S,'Global TARF'!$A148,GL_BS!$A:$A,'Global TARF'!N$8)</f>
        <v>0</v>
      </c>
      <c r="O148" s="18">
        <f>SUMIFS(GL_BS!$G:$G,GL_BS!$R:$R,'Global TARF'!$A$101,GL_BS!$S:$S,'Global TARF'!$A148,GL_BS!$A:$A,'Global TARF'!O$8)</f>
        <v>0</v>
      </c>
      <c r="P148" s="545">
        <f>SUMIFS(GL_PL!$G:$G,GL_PL!$Q:$Q,'Global TARF'!$A$133,GL_PL!$R:$R,'Global TARF'!$A148,GL_PL!$A:$A,'Global TARF'!P$8)</f>
        <v>0</v>
      </c>
      <c r="Q148" s="184">
        <f>SUMIFS(GL_PL!$G:$G,GL_PL!$Q:$Q,'Global TARF'!$A$133,GL_PL!$R:$R,'Global TARF'!$A148,GL_PL!$A:$A,'Global TARF'!Q$8)</f>
        <v>0</v>
      </c>
      <c r="R148" s="184">
        <f>SUMIFS(GL_PL!$G:$G,GL_PL!$Q:$Q,'Global TARF'!$A$133,GL_PL!$R:$R,'Global TARF'!$A148,GL_PL!$A:$A,'Global TARF'!R$8)</f>
        <v>0</v>
      </c>
      <c r="S148" s="536">
        <f>SUMIFS(GL_PL!$G:$G,GL_PL!$Q:$Q,'Global TARF'!$A$133,GL_PL!$R:$R,'Global TARF'!$A148,GL_PL!$A:$A,'Global TARF'!S$8)</f>
        <v>0</v>
      </c>
      <c r="T148" s="24">
        <v>-5918.78</v>
      </c>
      <c r="Z148" s="582">
        <f t="shared" si="114"/>
        <v>-3.014044399606064E-3</v>
      </c>
    </row>
    <row r="149" spans="1:26" x14ac:dyDescent="0.2">
      <c r="A149" t="s">
        <v>4569</v>
      </c>
      <c r="B149" s="184">
        <f>SUMIFS(GL_BS!$G:$G,GL_BS!$R:$R,'Global TARF'!$A$133,GL_BS!$S:$S,'Global TARF'!$A149,GL_BS!$A:$A,'Global TARF'!B$38)</f>
        <v>0</v>
      </c>
      <c r="C149" s="258">
        <f>SUMIFS(GL_BS!$G:$G,GL_BS!$R:$R,'Global TARF'!$A$133,GL_BS!$S:$S,'Global TARF'!$A149,GL_BS!$A:$A,'Global TARF'!C$8)</f>
        <v>0</v>
      </c>
      <c r="D149" s="258">
        <f>SUMIFS(GL_BS!$G:$G,GL_BS!$R:$R,'Global TARF'!$A$133,GL_BS!$S:$S,'Global TARF'!$A149,GL_BS!$A:$A,'Global TARF'!D$8)</f>
        <v>0</v>
      </c>
      <c r="E149" s="184">
        <f>SUMIFS(GL_BS!$G:$G,GL_BS!$R:$R,'Global TARF'!$A$133,GL_BS!$S:$S,'Global TARF'!$A149,GL_BS!$A:$A,'Global TARF'!E$8)</f>
        <v>0</v>
      </c>
      <c r="F149" s="184">
        <f>SUMIFS(GL_BS!$G:$G,GL_BS!$R:$R,'Global TARF'!$A$133,GL_BS!$S:$S,'Global TARF'!$A149,GL_BS!$A:$A,'Global TARF'!F$8)</f>
        <v>0</v>
      </c>
      <c r="G149" s="536">
        <f>SUMIFS(GL_BS!$G:$G,GL_BS!$R:$R,'Global TARF'!$A$133,GL_BS!$S:$S,'Global TARF'!$A149,GL_BS!$A:$A,'Global TARF'!G$8)</f>
        <v>0</v>
      </c>
      <c r="H149" s="545">
        <f>SUMIFS(GL_BS!$G:$G,GL_BS!$R:$R,'Global TARF'!$A$133,GL_BS!$S:$S,'Global TARF'!$A149,GL_BS!$A:$A,'Global TARF'!H$8)</f>
        <v>-28000.6551246708</v>
      </c>
      <c r="I149" s="184">
        <f>SUMIFS(GL_BS!$G:$G,GL_BS!$R:$R,'Global TARF'!$A$133,GL_BS!$S:$S,'Global TARF'!$A149,GL_BS!$A:$A,'Global TARF'!I$8)</f>
        <v>0</v>
      </c>
      <c r="J149" s="184">
        <f>SUMIFS(GL_BS!$G:$G,GL_BS!$R:$R,'Global TARF'!$A$133,GL_BS!$S:$S,'Global TARF'!$A149,GL_BS!$A:$A,'Global TARF'!J$8)</f>
        <v>0</v>
      </c>
      <c r="K149" s="184">
        <f>SUMIFS(GL_BS!$G:$G,GL_BS!$R:$R,'Global TARF'!$A$133,GL_BS!$S:$S,'Global TARF'!$A149,GL_BS!$A:$A,'Global TARF'!K$8)</f>
        <v>0</v>
      </c>
      <c r="L149" s="184">
        <f>SUMIFS(GL_BS!$G:$G,GL_BS!$R:$R,'Global TARF'!$A$133,GL_BS!$S:$S,'Global TARF'!$A149,GL_BS!$A:$A,'Global TARF'!L$8)</f>
        <v>0</v>
      </c>
      <c r="M149" s="536">
        <f>SUMIFS(GL_BS!$G:$G,GL_BS!$R:$R,'Global TARF'!$A$133,GL_BS!$S:$S,'Global TARF'!$A149,GL_BS!$A:$A,'Global TARF'!M$8)</f>
        <v>0</v>
      </c>
      <c r="N149" s="555">
        <v>-152.69999999999999</v>
      </c>
      <c r="O149" s="18">
        <f>SUMIFS(GL_BS!$G:$G,GL_BS!$R:$R,'Global TARF'!$A$101,GL_BS!$S:$S,'Global TARF'!$A149,GL_BS!$A:$A,'Global TARF'!O$8)</f>
        <v>0</v>
      </c>
      <c r="P149" s="545">
        <f>SUMIFS(GL_PL!$G:$G,GL_PL!$Q:$Q,'Global TARF'!$A$133,GL_PL!$R:$R,'Global TARF'!$A149,GL_PL!$A:$A,'Global TARF'!P$8)</f>
        <v>0</v>
      </c>
      <c r="Q149" s="184">
        <f>SUMIFS(GL_PL!$G:$G,GL_PL!$Q:$Q,'Global TARF'!$A$133,GL_PL!$R:$R,'Global TARF'!$A149,GL_PL!$A:$A,'Global TARF'!Q$8)</f>
        <v>0</v>
      </c>
      <c r="R149" s="184">
        <f>SUMIFS(GL_PL!$G:$G,GL_PL!$Q:$Q,'Global TARF'!$A$133,GL_PL!$R:$R,'Global TARF'!$A149,GL_PL!$A:$A,'Global TARF'!R$8)</f>
        <v>28153.358245873671</v>
      </c>
      <c r="S149" s="536">
        <f>SUMIFS(GL_PL!$G:$G,GL_PL!$Q:$Q,'Global TARF'!$A$133,GL_PL!$R:$R,'Global TARF'!$A149,GL_PL!$A:$A,'Global TARF'!S$8)</f>
        <v>0</v>
      </c>
      <c r="W149" s="18"/>
      <c r="Z149" s="582">
        <f t="shared" si="114"/>
        <v>3.1212028698064387E-3</v>
      </c>
    </row>
    <row r="150" spans="1:26" x14ac:dyDescent="0.2">
      <c r="A150" t="s">
        <v>4587</v>
      </c>
      <c r="B150" s="184">
        <f>SUMIFS(GL_BS!$G:$G,GL_BS!$R:$R,'Global TARF'!$A$133,GL_BS!$S:$S,'Global TARF'!$A150,GL_BS!$A:$A,'Global TARF'!B$38)</f>
        <v>0</v>
      </c>
      <c r="C150" s="258">
        <f>SUMIFS(GL_BS!$G:$G,GL_BS!$R:$R,'Global TARF'!$A$133,GL_BS!$S:$S,'Global TARF'!$A150,GL_BS!$A:$A,'Global TARF'!C$8)</f>
        <v>0</v>
      </c>
      <c r="D150" s="258">
        <f>SUMIFS(GL_BS!$G:$G,GL_BS!$R:$R,'Global TARF'!$A$133,GL_BS!$S:$S,'Global TARF'!$A150,GL_BS!$A:$A,'Global TARF'!D$8)</f>
        <v>0</v>
      </c>
      <c r="E150" s="184">
        <f>SUMIFS(GL_BS!$G:$G,GL_BS!$R:$R,'Global TARF'!$A$133,GL_BS!$S:$S,'Global TARF'!$A150,GL_BS!$A:$A,'Global TARF'!E$8)</f>
        <v>0</v>
      </c>
      <c r="F150" s="184">
        <f>SUMIFS(GL_BS!$G:$G,GL_BS!$R:$R,'Global TARF'!$A$133,GL_BS!$S:$S,'Global TARF'!$A150,GL_BS!$A:$A,'Global TARF'!F$8)</f>
        <v>0</v>
      </c>
      <c r="G150" s="536">
        <f>SUMIFS(GL_BS!$G:$G,GL_BS!$R:$R,'Global TARF'!$A$133,GL_BS!$S:$S,'Global TARF'!$A150,GL_BS!$A:$A,'Global TARF'!G$8)</f>
        <v>0</v>
      </c>
      <c r="H150" s="545">
        <f>SUMIFS(GL_BS!$G:$G,GL_BS!$R:$R,'Global TARF'!$A$133,GL_BS!$S:$S,'Global TARF'!$A150,GL_BS!$A:$A,'Global TARF'!H$8)</f>
        <v>0</v>
      </c>
      <c r="I150" s="184">
        <f>SUMIFS(GL_BS!$G:$G,GL_BS!$R:$R,'Global TARF'!$A$133,GL_BS!$S:$S,'Global TARF'!$A150,GL_BS!$A:$A,'Global TARF'!I$8)</f>
        <v>0</v>
      </c>
      <c r="J150" s="184">
        <f>SUMIFS(GL_BS!$G:$G,GL_BS!$R:$R,'Global TARF'!$A$133,GL_BS!$S:$S,'Global TARF'!$A150,GL_BS!$A:$A,'Global TARF'!J$8)</f>
        <v>0</v>
      </c>
      <c r="K150" s="184">
        <f>SUMIFS(GL_BS!$G:$G,GL_BS!$R:$R,'Global TARF'!$A$133,GL_BS!$S:$S,'Global TARF'!$A150,GL_BS!$A:$A,'Global TARF'!K$8)</f>
        <v>0</v>
      </c>
      <c r="L150" s="184">
        <f>SUMIFS(GL_BS!$G:$G,GL_BS!$R:$R,'Global TARF'!$A$133,GL_BS!$S:$S,'Global TARF'!$A150,GL_BS!$A:$A,'Global TARF'!L$8)</f>
        <v>0</v>
      </c>
      <c r="M150" s="536">
        <f>SUMIFS(GL_BS!$G:$G,GL_BS!$R:$R,'Global TARF'!$A$133,GL_BS!$S:$S,'Global TARF'!$A150,GL_BS!$A:$A,'Global TARF'!M$8)</f>
        <v>0</v>
      </c>
      <c r="N150" s="555"/>
      <c r="O150" s="18"/>
      <c r="P150" s="545">
        <f>SUMIFS(GL_PL!$G:$G,GL_PL!$Q:$Q,'Global TARF'!$A$133,GL_PL!$R:$R,'Global TARF'!$A150,GL_PL!$A:$A,'Global TARF'!P$8)</f>
        <v>0</v>
      </c>
      <c r="Q150" s="184">
        <f>SUMIFS(GL_PL!$G:$G,GL_PL!$Q:$Q,'Global TARF'!$A$133,GL_PL!$R:$R,'Global TARF'!$A150,GL_PL!$A:$A,'Global TARF'!Q$8)</f>
        <v>0</v>
      </c>
      <c r="R150" s="184">
        <f>SUMIFS(GL_PL!$G:$G,GL_PL!$Q:$Q,'Global TARF'!$A$133,GL_PL!$R:$R,'Global TARF'!$A150,GL_PL!$A:$A,'Global TARF'!R$8)</f>
        <v>0</v>
      </c>
      <c r="S150" s="536">
        <f>SUMIFS(GL_PL!$G:$G,GL_PL!$Q:$Q,'Global TARF'!$A$133,GL_PL!$R:$R,'Global TARF'!$A150,GL_PL!$A:$A,'Global TARF'!S$8)</f>
        <v>0</v>
      </c>
      <c r="T150"/>
      <c r="Z150" s="582"/>
    </row>
    <row r="151" spans="1:26" x14ac:dyDescent="0.2">
      <c r="A151" t="s">
        <v>4369</v>
      </c>
      <c r="B151" s="184">
        <f>SUMIFS(GL_BS!$G:$G,GL_BS!$R:$R,'Global TARF'!$A$133,GL_BS!$S:$S,'Global TARF'!$A151,GL_BS!$A:$A,'Global TARF'!B$38)</f>
        <v>0</v>
      </c>
      <c r="C151" s="258">
        <f>SUMIFS(GL_BS!$G:$G,GL_BS!$R:$R,'Global TARF'!$A$133,GL_BS!$S:$S,'Global TARF'!$A151,GL_BS!$A:$A,'Global TARF'!C$8)</f>
        <v>0</v>
      </c>
      <c r="D151" s="258">
        <f>SUMIFS(GL_BS!$G:$G,GL_BS!$R:$R,'Global TARF'!$A$133,GL_BS!$S:$S,'Global TARF'!$A151,GL_BS!$A:$A,'Global TARF'!D$8)</f>
        <v>0</v>
      </c>
      <c r="E151" s="184">
        <f>SUMIFS(GL_BS!$G:$G,GL_BS!$R:$R,'Global TARF'!$A$133,GL_BS!$S:$S,'Global TARF'!$A151,GL_BS!$A:$A,'Global TARF'!E$8)</f>
        <v>0</v>
      </c>
      <c r="F151" s="184">
        <f>SUMIFS(GL_BS!$G:$G,GL_BS!$R:$R,'Global TARF'!$A$133,GL_BS!$S:$S,'Global TARF'!$A151,GL_BS!$A:$A,'Global TARF'!F$8)</f>
        <v>0</v>
      </c>
      <c r="G151" s="536">
        <f>SUMIFS(GL_BS!$G:$G,GL_BS!$R:$R,'Global TARF'!$A$133,GL_BS!$S:$S,'Global TARF'!$A151,GL_BS!$A:$A,'Global TARF'!G$8)</f>
        <v>0</v>
      </c>
      <c r="H151" s="545">
        <f>SUMIFS(GL_BS!$G:$G,GL_BS!$R:$R,'Global TARF'!$A$133,GL_BS!$S:$S,'Global TARF'!$A151,GL_BS!$A:$A,'Global TARF'!H$8)</f>
        <v>0</v>
      </c>
      <c r="I151" s="184">
        <f>SUMIFS(GL_BS!$G:$G,GL_BS!$R:$R,'Global TARF'!$A$133,GL_BS!$S:$S,'Global TARF'!$A151,GL_BS!$A:$A,'Global TARF'!I$8)</f>
        <v>0</v>
      </c>
      <c r="J151" s="184">
        <f>SUMIFS(GL_BS!$G:$G,GL_BS!$R:$R,'Global TARF'!$A$133,GL_BS!$S:$S,'Global TARF'!$A151,GL_BS!$A:$A,'Global TARF'!J$8)</f>
        <v>0</v>
      </c>
      <c r="K151" s="184">
        <f>SUMIFS(GL_BS!$G:$G,GL_BS!$R:$R,'Global TARF'!$A$133,GL_BS!$S:$S,'Global TARF'!$A151,GL_BS!$A:$A,'Global TARF'!K$8)</f>
        <v>0</v>
      </c>
      <c r="L151" s="184">
        <f>SUMIFS(GL_BS!$G:$G,GL_BS!$R:$R,'Global TARF'!$A$133,GL_BS!$S:$S,'Global TARF'!$A151,GL_BS!$A:$A,'Global TARF'!L$8)</f>
        <v>0</v>
      </c>
      <c r="M151" s="536">
        <f>SUMIFS(GL_BS!$G:$G,GL_BS!$R:$R,'Global TARF'!$A$133,GL_BS!$S:$S,'Global TARF'!$A151,GL_BS!$A:$A,'Global TARF'!M$8)</f>
        <v>0</v>
      </c>
      <c r="N151" s="555"/>
      <c r="O151" s="18"/>
      <c r="P151" s="545">
        <f>SUMIFS(GL_PL!$G:$G,GL_PL!$Q:$Q,'Global TARF'!$A$133,GL_PL!$R:$R,'Global TARF'!$A151,GL_PL!$A:$A,'Global TARF'!P$8)</f>
        <v>0</v>
      </c>
      <c r="Q151" s="184">
        <f>SUMIFS(GL_PL!$G:$G,GL_PL!$Q:$Q,'Global TARF'!$A$133,GL_PL!$R:$R,'Global TARF'!$A151,GL_PL!$A:$A,'Global TARF'!Q$8)</f>
        <v>0</v>
      </c>
      <c r="R151" s="184">
        <f>SUMIFS(GL_PL!$G:$G,GL_PL!$Q:$Q,'Global TARF'!$A$133,GL_PL!$R:$R,'Global TARF'!$A151,GL_PL!$A:$A,'Global TARF'!R$8)</f>
        <v>0</v>
      </c>
      <c r="S151" s="536">
        <f>SUMIFS(GL_PL!$G:$G,GL_PL!$Q:$Q,'Global TARF'!$A$133,GL_PL!$R:$R,'Global TARF'!$A151,GL_PL!$A:$A,'Global TARF'!S$8)</f>
        <v>0</v>
      </c>
      <c r="T151"/>
      <c r="Z151" s="582"/>
    </row>
    <row r="152" spans="1:26" x14ac:dyDescent="0.2">
      <c r="A152" s="534" t="s">
        <v>799</v>
      </c>
      <c r="B152" s="184">
        <f>SUMIFS(GL_BS!$G:$G,GL_BS!$R:$R,'Global TARF'!$A$133,GL_BS!$S:$S,'Global TARF'!$A152,GL_BS!$A:$A,'Global TARF'!B$38)</f>
        <v>0</v>
      </c>
      <c r="C152" s="258">
        <f>SUMIFS(GL_BS!$G:$G,GL_BS!$R:$R,'Global TARF'!$A$133,GL_BS!$S:$S,'Global TARF'!$A152,GL_BS!$A:$A,'Global TARF'!C$8)</f>
        <v>0</v>
      </c>
      <c r="D152" s="258">
        <f>SUMIFS(GL_BS!$G:$G,GL_BS!$R:$R,'Global TARF'!$A$133,GL_BS!$S:$S,'Global TARF'!$A152,GL_BS!$A:$A,'Global TARF'!D$8)</f>
        <v>0</v>
      </c>
      <c r="E152" s="184">
        <f>SUMIFS(GL_BS!$G:$G,GL_BS!$R:$R,'Global TARF'!$A$133,GL_BS!$S:$S,'Global TARF'!$A152,GL_BS!$A:$A,'Global TARF'!E$8)</f>
        <v>0</v>
      </c>
      <c r="F152" s="184">
        <f>SUMIFS(GL_BS!$G:$G,GL_BS!$R:$R,'Global TARF'!$A$133,GL_BS!$S:$S,'Global TARF'!$A152,GL_BS!$A:$A,'Global TARF'!F$8)</f>
        <v>0</v>
      </c>
      <c r="G152" s="536">
        <f>SUMIFS(GL_BS!$G:$G,GL_BS!$R:$R,'Global TARF'!$A$133,GL_BS!$S:$S,'Global TARF'!$A152,GL_BS!$A:$A,'Global TARF'!G$8)</f>
        <v>0</v>
      </c>
      <c r="H152" s="545">
        <f>SUMIFS(GL_BS!$G:$G,GL_BS!$R:$R,'Global TARF'!$A$133,GL_BS!$S:$S,'Global TARF'!$A152,GL_BS!$A:$A,'Global TARF'!H$8)</f>
        <v>0</v>
      </c>
      <c r="I152" s="184">
        <f>SUMIFS(GL_BS!$G:$G,GL_BS!$R:$R,'Global TARF'!$A$133,GL_BS!$S:$S,'Global TARF'!$A152,GL_BS!$A:$A,'Global TARF'!I$8)</f>
        <v>0</v>
      </c>
      <c r="J152" s="184">
        <f>SUMIFS(GL_BS!$G:$G,GL_BS!$R:$R,'Global TARF'!$A$133,GL_BS!$S:$S,'Global TARF'!$A152,GL_BS!$A:$A,'Global TARF'!J$8)</f>
        <v>0</v>
      </c>
      <c r="K152" s="184">
        <f>SUMIFS(GL_BS!$G:$G,GL_BS!$R:$R,'Global TARF'!$A$133,GL_BS!$S:$S,'Global TARF'!$A152,GL_BS!$A:$A,'Global TARF'!K$8)</f>
        <v>0</v>
      </c>
      <c r="L152" s="184">
        <f>SUMIFS(GL_BS!$G:$G,GL_BS!$R:$R,'Global TARF'!$A$133,GL_BS!$S:$S,'Global TARF'!$A152,GL_BS!$A:$A,'Global TARF'!L$8)</f>
        <v>0</v>
      </c>
      <c r="M152" s="536">
        <f>SUMIFS(GL_BS!$G:$G,GL_BS!$R:$R,'Global TARF'!$A$133,GL_BS!$S:$S,'Global TARF'!$A152,GL_BS!$A:$A,'Global TARF'!M$8)</f>
        <v>0</v>
      </c>
      <c r="N152" s="555"/>
      <c r="O152" s="18"/>
      <c r="P152" s="545">
        <f>SUMIFS(GL_PL!$G:$G,GL_PL!$Q:$Q,'Global TARF'!$A$133,GL_PL!$R:$R,'Global TARF'!$A152,GL_PL!$A:$A,'Global TARF'!P$8)</f>
        <v>0</v>
      </c>
      <c r="Q152" s="184">
        <f>SUMIFS(GL_PL!$G:$G,GL_PL!$Q:$Q,'Global TARF'!$A$133,GL_PL!$R:$R,'Global TARF'!$A152,GL_PL!$A:$A,'Global TARF'!Q$8)</f>
        <v>0</v>
      </c>
      <c r="R152" s="184">
        <f>SUMIFS(GL_PL!$G:$G,GL_PL!$Q:$Q,'Global TARF'!$A$133,GL_PL!$R:$R,'Global TARF'!$A152,GL_PL!$A:$A,'Global TARF'!R$8)</f>
        <v>0</v>
      </c>
      <c r="S152" s="536">
        <f>SUMIFS(GL_PL!$G:$G,GL_PL!$Q:$Q,'Global TARF'!$A$133,GL_PL!$R:$R,'Global TARF'!$A152,GL_PL!$A:$A,'Global TARF'!S$8)</f>
        <v>0</v>
      </c>
      <c r="T152"/>
      <c r="Z152" s="582"/>
    </row>
    <row r="153" spans="1:26" x14ac:dyDescent="0.2">
      <c r="A153" s="534" t="s">
        <v>3845</v>
      </c>
      <c r="B153" s="184">
        <f>SUMIFS(GL_BS!$G:$G,GL_BS!$R:$R,'Global TARF'!$A$133,GL_BS!$S:$S,'Global TARF'!$A153,GL_BS!$A:$A,'Global TARF'!B$38)</f>
        <v>0</v>
      </c>
      <c r="C153" s="258">
        <f>SUMIFS(GL_BS!$G:$G,GL_BS!$R:$R,'Global TARF'!$A$133,GL_BS!$S:$S,'Global TARF'!$A153,GL_BS!$A:$A,'Global TARF'!C$8)</f>
        <v>0</v>
      </c>
      <c r="D153" s="258">
        <f>SUMIFS(GL_BS!$G:$G,GL_BS!$R:$R,'Global TARF'!$A$133,GL_BS!$S:$S,'Global TARF'!$A153,GL_BS!$A:$A,'Global TARF'!D$8)</f>
        <v>0</v>
      </c>
      <c r="E153" s="184">
        <f>SUMIFS(GL_BS!$G:$G,GL_BS!$R:$R,'Global TARF'!$A$133,GL_BS!$S:$S,'Global TARF'!$A153,GL_BS!$A:$A,'Global TARF'!E$8)</f>
        <v>0</v>
      </c>
      <c r="F153" s="184">
        <f>SUMIFS(GL_BS!$G:$G,GL_BS!$R:$R,'Global TARF'!$A$133,GL_BS!$S:$S,'Global TARF'!$A153,GL_BS!$A:$A,'Global TARF'!F$8)</f>
        <v>0</v>
      </c>
      <c r="G153" s="536">
        <f>SUMIFS(GL_BS!$G:$G,GL_BS!$R:$R,'Global TARF'!$A$133,GL_BS!$S:$S,'Global TARF'!$A153,GL_BS!$A:$A,'Global TARF'!G$8)</f>
        <v>0</v>
      </c>
      <c r="H153" s="545">
        <f>SUMIFS(GL_BS!$G:$G,GL_BS!$R:$R,'Global TARF'!$A$133,GL_BS!$S:$S,'Global TARF'!$A153,GL_BS!$A:$A,'Global TARF'!H$8)</f>
        <v>0</v>
      </c>
      <c r="I153" s="184">
        <f>SUMIFS(GL_BS!$G:$G,GL_BS!$R:$R,'Global TARF'!$A$133,GL_BS!$S:$S,'Global TARF'!$A153,GL_BS!$A:$A,'Global TARF'!I$8)</f>
        <v>0</v>
      </c>
      <c r="J153" s="184">
        <f>SUMIFS(GL_BS!$G:$G,GL_BS!$R:$R,'Global TARF'!$A$133,GL_BS!$S:$S,'Global TARF'!$A153,GL_BS!$A:$A,'Global TARF'!J$8)</f>
        <v>0</v>
      </c>
      <c r="K153" s="184">
        <f>SUMIFS(GL_BS!$G:$G,GL_BS!$R:$R,'Global TARF'!$A$133,GL_BS!$S:$S,'Global TARF'!$A153,GL_BS!$A:$A,'Global TARF'!K$8)</f>
        <v>0</v>
      </c>
      <c r="L153" s="184">
        <f>SUMIFS(GL_BS!$G:$G,GL_BS!$R:$R,'Global TARF'!$A$133,GL_BS!$S:$S,'Global TARF'!$A153,GL_BS!$A:$A,'Global TARF'!L$8)</f>
        <v>0</v>
      </c>
      <c r="M153" s="536">
        <f>SUMIFS(GL_BS!$G:$G,GL_BS!$R:$R,'Global TARF'!$A$133,GL_BS!$S:$S,'Global TARF'!$A153,GL_BS!$A:$A,'Global TARF'!M$8)</f>
        <v>0</v>
      </c>
      <c r="N153" s="555">
        <f>SUMIFS(GL_BS!$G:$G,GL_BS!$R:$R,'Global TARF'!$A$101,GL_BS!$S:$S,'Global TARF'!$A153,GL_BS!$A:$A,'Global TARF'!N$8)</f>
        <v>0</v>
      </c>
      <c r="O153" s="18">
        <f>SUMIFS(GL_BS!$G:$G,GL_BS!$R:$R,'Global TARF'!$A$101,GL_BS!$S:$S,'Global TARF'!$A153,GL_BS!$A:$A,'Global TARF'!O$8)</f>
        <v>0</v>
      </c>
      <c r="P153" s="545">
        <f>SUMIFS(GL_PL!$G:$G,GL_PL!$Q:$Q,'Global TARF'!$A$133,GL_PL!$R:$R,'Global TARF'!$A153,GL_PL!$A:$A,'Global TARF'!P$8)</f>
        <v>0</v>
      </c>
      <c r="Q153" s="184">
        <f>SUMIFS(GL_PL!$G:$G,GL_PL!$Q:$Q,'Global TARF'!$A$133,GL_PL!$R:$R,'Global TARF'!$A153,GL_PL!$A:$A,'Global TARF'!Q$8)</f>
        <v>0</v>
      </c>
      <c r="R153" s="184">
        <f>SUMIFS(GL_PL!$G:$G,GL_PL!$Q:$Q,'Global TARF'!$A$133,GL_PL!$R:$R,'Global TARF'!$A153,GL_PL!$A:$A,'Global TARF'!R$8)</f>
        <v>0</v>
      </c>
      <c r="S153" s="536">
        <f>SUMIFS(GL_PL!$G:$G,GL_PL!$Q:$Q,'Global TARF'!$A$133,GL_PL!$R:$R,'Global TARF'!$A153,GL_PL!$A:$A,'Global TARF'!S$8)</f>
        <v>0</v>
      </c>
      <c r="T153"/>
      <c r="Z153" s="582">
        <f t="shared" si="114"/>
        <v>0</v>
      </c>
    </row>
    <row r="154" spans="1:26" x14ac:dyDescent="0.2">
      <c r="A154" s="534" t="s">
        <v>792</v>
      </c>
      <c r="B154" s="184">
        <f>SUMIFS(GL_BS!$G:$G,GL_BS!$R:$R,'Global TARF'!$A$133,GL_BS!$S:$S,'Global TARF'!$A154,GL_BS!$A:$A,'Global TARF'!B$38)</f>
        <v>0</v>
      </c>
      <c r="C154" s="258">
        <f>SUMIFS(GL_BS!$G:$G,GL_BS!$R:$R,'Global TARF'!$A$133,GL_BS!$S:$S,'Global TARF'!$A154,GL_BS!$A:$A,'Global TARF'!C$8)</f>
        <v>0</v>
      </c>
      <c r="D154" s="258">
        <f>SUMIFS(GL_BS!$G:$G,GL_BS!$R:$R,'Global TARF'!$A$133,GL_BS!$S:$S,'Global TARF'!$A154,GL_BS!$A:$A,'Global TARF'!D$8)</f>
        <v>0</v>
      </c>
      <c r="E154" s="184">
        <f>SUMIFS(GL_BS!$G:$G,GL_BS!$R:$R,'Global TARF'!$A$133,GL_BS!$S:$S,'Global TARF'!$A154,GL_BS!$A:$A,'Global TARF'!E$8)</f>
        <v>0</v>
      </c>
      <c r="F154" s="184">
        <f>SUMIFS(GL_BS!$G:$G,GL_BS!$R:$R,'Global TARF'!$A$133,GL_BS!$S:$S,'Global TARF'!$A154,GL_BS!$A:$A,'Global TARF'!F$8)</f>
        <v>0</v>
      </c>
      <c r="G154" s="536">
        <f>SUMIFS(GL_BS!$G:$G,GL_BS!$R:$R,'Global TARF'!$A$133,GL_BS!$S:$S,'Global TARF'!$A154,GL_BS!$A:$A,'Global TARF'!G$8)</f>
        <v>0</v>
      </c>
      <c r="H154" s="545">
        <f>SUMIFS(GL_BS!$G:$G,GL_BS!$R:$R,'Global TARF'!$A$133,GL_BS!$S:$S,'Global TARF'!$A154,GL_BS!$A:$A,'Global TARF'!H$8)</f>
        <v>0</v>
      </c>
      <c r="I154" s="184">
        <f>SUMIFS(GL_BS!$G:$G,GL_BS!$R:$R,'Global TARF'!$A$133,GL_BS!$S:$S,'Global TARF'!$A154,GL_BS!$A:$A,'Global TARF'!I$8)</f>
        <v>0</v>
      </c>
      <c r="J154" s="184">
        <f>SUMIFS(GL_BS!$G:$G,GL_BS!$R:$R,'Global TARF'!$A$133,GL_BS!$S:$S,'Global TARF'!$A154,GL_BS!$A:$A,'Global TARF'!J$8)</f>
        <v>0</v>
      </c>
      <c r="K154" s="184">
        <f>SUMIFS(GL_BS!$G:$G,GL_BS!$R:$R,'Global TARF'!$A$133,GL_BS!$S:$S,'Global TARF'!$A154,GL_BS!$A:$A,'Global TARF'!K$8)</f>
        <v>0</v>
      </c>
      <c r="L154" s="184">
        <f>SUMIFS(GL_BS!$G:$G,GL_BS!$R:$R,'Global TARF'!$A$133,GL_BS!$S:$S,'Global TARF'!$A154,GL_BS!$A:$A,'Global TARF'!L$8)</f>
        <v>0</v>
      </c>
      <c r="M154" s="536">
        <f>SUMIFS(GL_BS!$G:$G,GL_BS!$R:$R,'Global TARF'!$A$133,GL_BS!$S:$S,'Global TARF'!$A154,GL_BS!$A:$A,'Global TARF'!M$8)</f>
        <v>0</v>
      </c>
      <c r="N154" s="555">
        <f>SUMIFS(GL_BS!$G:$G,GL_BS!$R:$R,'Global TARF'!$A$101,GL_BS!$S:$S,'Global TARF'!$A154,GL_BS!$A:$A,'Global TARF'!N$8)</f>
        <v>0</v>
      </c>
      <c r="O154" s="18">
        <f>SUMIFS(GL_BS!$G:$G,GL_BS!$R:$R,'Global TARF'!$A$101,GL_BS!$S:$S,'Global TARF'!$A154,GL_BS!$A:$A,'Global TARF'!O$8)</f>
        <v>0</v>
      </c>
      <c r="P154" s="545">
        <f>SUMIFS(GL_PL!$G:$G,GL_PL!$Q:$Q,'Global TARF'!$A$133,GL_PL!$R:$R,'Global TARF'!$A154,GL_PL!$A:$A,'Global TARF'!P$8)</f>
        <v>0</v>
      </c>
      <c r="Q154" s="184">
        <f>SUMIFS(GL_PL!$G:$G,GL_PL!$Q:$Q,'Global TARF'!$A$133,GL_PL!$R:$R,'Global TARF'!$A154,GL_PL!$A:$A,'Global TARF'!Q$8)</f>
        <v>0</v>
      </c>
      <c r="R154" s="184">
        <f>SUMIFS(GL_PL!$G:$G,GL_PL!$Q:$Q,'Global TARF'!$A$133,GL_PL!$R:$R,'Global TARF'!$A154,GL_PL!$A:$A,'Global TARF'!R$8)</f>
        <v>0</v>
      </c>
      <c r="S154" s="536">
        <f>SUMIFS(GL_PL!$G:$G,GL_PL!$Q:$Q,'Global TARF'!$A$133,GL_PL!$R:$R,'Global TARF'!$A154,GL_PL!$A:$A,'Global TARF'!S$8)</f>
        <v>0</v>
      </c>
      <c r="T154"/>
      <c r="V154" s="26">
        <f>-SUM(Q154,B154)</f>
        <v>0</v>
      </c>
      <c r="Z154" s="582">
        <f t="shared" si="114"/>
        <v>0</v>
      </c>
    </row>
    <row r="155" spans="1:26" x14ac:dyDescent="0.2">
      <c r="A155" s="534" t="s">
        <v>791</v>
      </c>
      <c r="B155" s="184">
        <f>SUMIFS(GL_BS!$G:$G,GL_BS!$R:$R,'Global TARF'!$A$133,GL_BS!$S:$S,'Global TARF'!$A155,GL_BS!$A:$A,'Global TARF'!B$38)</f>
        <v>0</v>
      </c>
      <c r="C155" s="258">
        <f>SUMIFS(GL_BS!$G:$G,GL_BS!$R:$R,'Global TARF'!$A$133,GL_BS!$S:$S,'Global TARF'!$A155,GL_BS!$A:$A,'Global TARF'!C$8)</f>
        <v>0</v>
      </c>
      <c r="D155" s="258">
        <f>SUMIFS(GL_BS!$G:$G,GL_BS!$R:$R,'Global TARF'!$A$133,GL_BS!$S:$S,'Global TARF'!$A155,GL_BS!$A:$A,'Global TARF'!D$8)</f>
        <v>0</v>
      </c>
      <c r="E155" s="184">
        <f>SUMIFS(GL_BS!$G:$G,GL_BS!$R:$R,'Global TARF'!$A$133,GL_BS!$S:$S,'Global TARF'!$A155,GL_BS!$A:$A,'Global TARF'!E$8)</f>
        <v>0</v>
      </c>
      <c r="F155" s="184">
        <f>SUMIFS(GL_BS!$G:$G,GL_BS!$R:$R,'Global TARF'!$A$133,GL_BS!$S:$S,'Global TARF'!$A155,GL_BS!$A:$A,'Global TARF'!F$8)</f>
        <v>0</v>
      </c>
      <c r="G155" s="536">
        <f>SUMIFS(GL_BS!$G:$G,GL_BS!$R:$R,'Global TARF'!$A$133,GL_BS!$S:$S,'Global TARF'!$A155,GL_BS!$A:$A,'Global TARF'!G$8)</f>
        <v>0</v>
      </c>
      <c r="H155" s="545">
        <f>SUMIFS(GL_BS!$G:$G,GL_BS!$R:$R,'Global TARF'!$A$133,GL_BS!$S:$S,'Global TARF'!$A155,GL_BS!$A:$A,'Global TARF'!H$8)</f>
        <v>0</v>
      </c>
      <c r="I155" s="184">
        <f>SUMIFS(GL_BS!$G:$G,GL_BS!$R:$R,'Global TARF'!$A$133,GL_BS!$S:$S,'Global TARF'!$A155,GL_BS!$A:$A,'Global TARF'!I$8)</f>
        <v>0</v>
      </c>
      <c r="J155" s="184">
        <f>SUMIFS(GL_BS!$G:$G,GL_BS!$R:$R,'Global TARF'!$A$133,GL_BS!$S:$S,'Global TARF'!$A155,GL_BS!$A:$A,'Global TARF'!J$8)</f>
        <v>0</v>
      </c>
      <c r="K155" s="184">
        <f>SUMIFS(GL_BS!$G:$G,GL_BS!$R:$R,'Global TARF'!$A$133,GL_BS!$S:$S,'Global TARF'!$A155,GL_BS!$A:$A,'Global TARF'!K$8)</f>
        <v>0</v>
      </c>
      <c r="L155" s="184">
        <f>SUMIFS(GL_BS!$G:$G,GL_BS!$R:$R,'Global TARF'!$A$133,GL_BS!$S:$S,'Global TARF'!$A155,GL_BS!$A:$A,'Global TARF'!L$8)</f>
        <v>0</v>
      </c>
      <c r="M155" s="536">
        <f>SUMIFS(GL_BS!$G:$G,GL_BS!$R:$R,'Global TARF'!$A$133,GL_BS!$S:$S,'Global TARF'!$A155,GL_BS!$A:$A,'Global TARF'!M$8)</f>
        <v>0</v>
      </c>
      <c r="N155" s="555">
        <f>SUMIFS(GL_BS!$G:$G,GL_BS!$R:$R,'Global TARF'!$A$101,GL_BS!$S:$S,'Global TARF'!$A155,GL_BS!$A:$A,'Global TARF'!N$8)</f>
        <v>0</v>
      </c>
      <c r="O155" s="18">
        <f>SUMIFS(GL_BS!$G:$G,GL_BS!$R:$R,'Global TARF'!$A$101,GL_BS!$S:$S,'Global TARF'!$A155,GL_BS!$A:$A,'Global TARF'!O$8)</f>
        <v>0</v>
      </c>
      <c r="P155" s="545">
        <f>SUMIFS(GL_PL!$G:$G,GL_PL!$Q:$Q,'Global TARF'!$A$133,GL_PL!$R:$R,'Global TARF'!$A155,GL_PL!$A:$A,'Global TARF'!P$8)</f>
        <v>0</v>
      </c>
      <c r="Q155" s="184">
        <f>SUMIFS(GL_PL!$G:$G,GL_PL!$Q:$Q,'Global TARF'!$A$133,GL_PL!$R:$R,'Global TARF'!$A155,GL_PL!$A:$A,'Global TARF'!Q$8)</f>
        <v>0</v>
      </c>
      <c r="R155" s="184">
        <f>SUMIFS(GL_PL!$G:$G,GL_PL!$Q:$Q,'Global TARF'!$A$133,GL_PL!$R:$R,'Global TARF'!$A155,GL_PL!$A:$A,'Global TARF'!R$8)</f>
        <v>0</v>
      </c>
      <c r="S155" s="536">
        <f>SUMIFS(GL_PL!$G:$G,GL_PL!$Q:$Q,'Global TARF'!$A$133,GL_PL!$R:$R,'Global TARF'!$A155,GL_PL!$A:$A,'Global TARF'!S$8)</f>
        <v>0</v>
      </c>
      <c r="T155" s="26">
        <f>-SUM(P155:R155)</f>
        <v>0</v>
      </c>
      <c r="U155" s="26"/>
      <c r="Z155" s="582">
        <f t="shared" si="114"/>
        <v>0</v>
      </c>
    </row>
    <row r="156" spans="1:26" x14ac:dyDescent="0.2">
      <c r="A156" s="534" t="s">
        <v>243</v>
      </c>
      <c r="B156" s="184">
        <f>SUMIFS(GL_BS!$G:$G,GL_BS!$R:$R,'Global TARF'!$A$133,GL_BS!$S:$S,'Global TARF'!$A156,GL_BS!$A:$A,'Global TARF'!B$38)</f>
        <v>0</v>
      </c>
      <c r="C156" s="258">
        <f>SUMIFS(GL_BS!$G:$G,GL_BS!$R:$R,'Global TARF'!$A$133,GL_BS!$S:$S,'Global TARF'!$A156,GL_BS!$A:$A,'Global TARF'!C$8)</f>
        <v>0</v>
      </c>
      <c r="D156" s="258">
        <f>SUMIFS(GL_BS!$G:$G,GL_BS!$R:$R,'Global TARF'!$A$133,GL_BS!$S:$S,'Global TARF'!$A156,GL_BS!$A:$A,'Global TARF'!D$8)</f>
        <v>0</v>
      </c>
      <c r="E156" s="184">
        <f>SUMIFS(GL_BS!$G:$G,GL_BS!$R:$R,'Global TARF'!$A$133,GL_BS!$S:$S,'Global TARF'!$A156,GL_BS!$A:$A,'Global TARF'!E$8)</f>
        <v>0</v>
      </c>
      <c r="F156" s="184">
        <f>SUMIFS(GL_BS!$G:$G,GL_BS!$R:$R,'Global TARF'!$A$133,GL_BS!$S:$S,'Global TARF'!$A156,GL_BS!$A:$A,'Global TARF'!F$8)</f>
        <v>0</v>
      </c>
      <c r="G156" s="536">
        <f>SUMIFS(GL_BS!$G:$G,GL_BS!$R:$R,'Global TARF'!$A$133,GL_BS!$S:$S,'Global TARF'!$A156,GL_BS!$A:$A,'Global TARF'!G$8)</f>
        <v>0</v>
      </c>
      <c r="H156" s="545">
        <f>SUMIFS(GL_BS!$G:$G,GL_BS!$R:$R,'Global TARF'!$A$133,GL_BS!$S:$S,'Global TARF'!$A156,GL_BS!$A:$A,'Global TARF'!H$8)</f>
        <v>-40.927584916000121</v>
      </c>
      <c r="I156" s="184">
        <f>SUMIFS(GL_BS!$G:$G,GL_BS!$R:$R,'Global TARF'!$A$133,GL_BS!$S:$S,'Global TARF'!$A156,GL_BS!$A:$A,'Global TARF'!I$8)</f>
        <v>0</v>
      </c>
      <c r="J156" s="184">
        <f>SUMIFS(GL_BS!$G:$G,GL_BS!$R:$R,'Global TARF'!$A$133,GL_BS!$S:$S,'Global TARF'!$A156,GL_BS!$A:$A,'Global TARF'!J$8)</f>
        <v>0</v>
      </c>
      <c r="K156" s="184">
        <f>SUMIFS(GL_BS!$G:$G,GL_BS!$R:$R,'Global TARF'!$A$133,GL_BS!$S:$S,'Global TARF'!$A156,GL_BS!$A:$A,'Global TARF'!K$8)</f>
        <v>0</v>
      </c>
      <c r="L156" s="184">
        <f>SUMIFS(GL_BS!$G:$G,GL_BS!$R:$R,'Global TARF'!$A$133,GL_BS!$S:$S,'Global TARF'!$A156,GL_BS!$A:$A,'Global TARF'!L$8)</f>
        <v>0</v>
      </c>
      <c r="M156" s="536">
        <f>SUMIFS(GL_BS!$G:$G,GL_BS!$R:$R,'Global TARF'!$A$133,GL_BS!$S:$S,'Global TARF'!$A156,GL_BS!$A:$A,'Global TARF'!M$8)</f>
        <v>0</v>
      </c>
      <c r="N156" s="555">
        <v>40.92</v>
      </c>
      <c r="O156" s="18">
        <f>SUMIFS(GL_BS!$G:$G,GL_BS!$R:$R,'Global TARF'!$A$101,GL_BS!$S:$S,'Global TARF'!$A156,GL_BS!$A:$A,'Global TARF'!O$8)</f>
        <v>0</v>
      </c>
      <c r="P156" s="545">
        <f>SUMIFS(GL_PL!$G:$G,GL_PL!$Q:$Q,'Global TARF'!$A$133,GL_PL!$R:$R,'Global TARF'!$A156,GL_PL!$A:$A,'Global TARF'!P$8)</f>
        <v>0</v>
      </c>
      <c r="Q156" s="184">
        <f>SUMIFS(GL_PL!$G:$G,GL_PL!$Q:$Q,'Global TARF'!$A$133,GL_PL!$R:$R,'Global TARF'!$A156,GL_PL!$A:$A,'Global TARF'!Q$8)</f>
        <v>0</v>
      </c>
      <c r="R156" s="184">
        <f>SUMIFS(GL_PL!$G:$G,GL_PL!$Q:$Q,'Global TARF'!$A$133,GL_PL!$R:$R,'Global TARF'!$A156,GL_PL!$A:$A,'Global TARF'!R$8)</f>
        <v>0</v>
      </c>
      <c r="S156" s="536">
        <f>SUMIFS(GL_PL!$G:$G,GL_PL!$Q:$Q,'Global TARF'!$A$133,GL_PL!$R:$R,'Global TARF'!$A156,GL_PL!$A:$A,'Global TARF'!S$8)</f>
        <v>0</v>
      </c>
      <c r="T156"/>
      <c r="V156" s="26"/>
      <c r="W156" s="26">
        <f>-SUM(B156:T156)</f>
        <v>7.5849160001197902E-3</v>
      </c>
      <c r="Z156" s="582">
        <f t="shared" si="114"/>
        <v>0</v>
      </c>
    </row>
    <row r="157" spans="1:26" x14ac:dyDescent="0.2">
      <c r="A157" s="534" t="s">
        <v>795</v>
      </c>
      <c r="B157" s="184">
        <f>SUMIFS(GL_BS!$G:$G,GL_BS!$R:$R,'Global TARF'!$A$133,GL_BS!$S:$S,'Global TARF'!$A157,GL_BS!$A:$A,'Global TARF'!B$38)</f>
        <v>0</v>
      </c>
      <c r="C157" s="258">
        <f>SUMIFS(GL_BS!$G:$G,GL_BS!$R:$R,'Global TARF'!$A$133,GL_BS!$S:$S,'Global TARF'!$A157,GL_BS!$A:$A,'Global TARF'!C$8)</f>
        <v>0</v>
      </c>
      <c r="D157" s="258">
        <f>SUMIFS(GL_BS!$G:$G,GL_BS!$R:$R,'Global TARF'!$A$133,GL_BS!$S:$S,'Global TARF'!$A157,GL_BS!$A:$A,'Global TARF'!D$8)</f>
        <v>0</v>
      </c>
      <c r="E157" s="184">
        <f>SUMIFS(GL_BS!$G:$G,GL_BS!$R:$R,'Global TARF'!$A$133,GL_BS!$S:$S,'Global TARF'!$A157,GL_BS!$A:$A,'Global TARF'!E$8)</f>
        <v>0</v>
      </c>
      <c r="F157" s="184">
        <f>SUMIFS(GL_BS!$G:$G,GL_BS!$R:$R,'Global TARF'!$A$133,GL_BS!$S:$S,'Global TARF'!$A157,GL_BS!$A:$A,'Global TARF'!F$8)</f>
        <v>0</v>
      </c>
      <c r="G157" s="536">
        <f>SUMIFS(GL_BS!$G:$G,GL_BS!$R:$R,'Global TARF'!$A$133,GL_BS!$S:$S,'Global TARF'!$A157,GL_BS!$A:$A,'Global TARF'!G$8)</f>
        <v>0</v>
      </c>
      <c r="H157" s="545">
        <f>SUMIFS(GL_BS!$G:$G,GL_BS!$R:$R,'Global TARF'!$A$133,GL_BS!$S:$S,'Global TARF'!$A157,GL_BS!$A:$A,'Global TARF'!H$8)</f>
        <v>0</v>
      </c>
      <c r="I157" s="184">
        <f>SUMIFS(GL_BS!$G:$G,GL_BS!$R:$R,'Global TARF'!$A$133,GL_BS!$S:$S,'Global TARF'!$A157,GL_BS!$A:$A,'Global TARF'!I$8)</f>
        <v>0</v>
      </c>
      <c r="J157" s="184">
        <f>SUMIFS(GL_BS!$G:$G,GL_BS!$R:$R,'Global TARF'!$A$133,GL_BS!$S:$S,'Global TARF'!$A157,GL_BS!$A:$A,'Global TARF'!J$8)</f>
        <v>0</v>
      </c>
      <c r="K157" s="184">
        <f>SUMIFS(GL_BS!$G:$G,GL_BS!$R:$R,'Global TARF'!$A$133,GL_BS!$S:$S,'Global TARF'!$A157,GL_BS!$A:$A,'Global TARF'!K$8)</f>
        <v>0</v>
      </c>
      <c r="L157" s="184">
        <f>SUMIFS(GL_BS!$G:$G,GL_BS!$R:$R,'Global TARF'!$A$133,GL_BS!$S:$S,'Global TARF'!$A157,GL_BS!$A:$A,'Global TARF'!L$8)</f>
        <v>0</v>
      </c>
      <c r="M157" s="536">
        <f>SUMIFS(GL_BS!$G:$G,GL_BS!$R:$R,'Global TARF'!$A$133,GL_BS!$S:$S,'Global TARF'!$A157,GL_BS!$A:$A,'Global TARF'!M$8)</f>
        <v>0</v>
      </c>
      <c r="N157" s="555">
        <f>SUMIFS(GL_BS!$G:$G,GL_BS!$R:$R,'Global TARF'!$A$101,GL_BS!$S:$S,'Global TARF'!$A157,GL_BS!$A:$A,'Global TARF'!N$8)</f>
        <v>0</v>
      </c>
      <c r="O157" s="18">
        <f>SUMIFS(GL_BS!$G:$G,GL_BS!$R:$R,'Global TARF'!$A$101,GL_BS!$S:$S,'Global TARF'!$A157,GL_BS!$A:$A,'Global TARF'!O$8)</f>
        <v>0</v>
      </c>
      <c r="P157" s="545">
        <f>SUMIFS(GL_PL!$G:$G,GL_PL!$Q:$Q,'Global TARF'!$A$133,GL_PL!$R:$R,'Global TARF'!$A157,GL_PL!$A:$A,'Global TARF'!P$8)</f>
        <v>0</v>
      </c>
      <c r="Q157" s="184">
        <f>SUMIFS(GL_PL!$G:$G,GL_PL!$Q:$Q,'Global TARF'!$A$133,GL_PL!$R:$R,'Global TARF'!$A157,GL_PL!$A:$A,'Global TARF'!Q$8)</f>
        <v>0</v>
      </c>
      <c r="R157" s="184">
        <f>SUMIFS(GL_PL!$G:$G,GL_PL!$Q:$Q,'Global TARF'!$A$133,GL_PL!$R:$R,'Global TARF'!$A157,GL_PL!$A:$A,'Global TARF'!R$8)</f>
        <v>0</v>
      </c>
      <c r="S157" s="536">
        <f>SUMIFS(GL_PL!$G:$G,GL_PL!$Q:$Q,'Global TARF'!$A$133,GL_PL!$R:$R,'Global TARF'!$A157,GL_PL!$A:$A,'Global TARF'!S$8)</f>
        <v>0</v>
      </c>
      <c r="T157" s="26">
        <f>-SUM(P157:R157)</f>
        <v>0</v>
      </c>
      <c r="U157" s="26"/>
      <c r="Z157" s="582">
        <f t="shared" si="114"/>
        <v>0</v>
      </c>
    </row>
    <row r="158" spans="1:26" ht="10.5" thickBot="1" x14ac:dyDescent="0.25">
      <c r="A158" s="534" t="s">
        <v>793</v>
      </c>
      <c r="B158" s="184">
        <f>SUMIFS(GL_BS!$G:$G,GL_BS!$R:$R,'Global TARF'!$A$133,GL_BS!$S:$S,'Global TARF'!$A158,GL_BS!$A:$A,'Global TARF'!B$38)</f>
        <v>0</v>
      </c>
      <c r="C158" s="258">
        <f>SUMIFS(GL_BS!$G:$G,GL_BS!$R:$R,'Global TARF'!$A$133,GL_BS!$S:$S,'Global TARF'!$A158,GL_BS!$A:$A,'Global TARF'!C$8)</f>
        <v>0</v>
      </c>
      <c r="D158" s="258">
        <f>SUMIFS(GL_BS!$G:$G,GL_BS!$R:$R,'Global TARF'!$A$133,GL_BS!$S:$S,'Global TARF'!$A158,GL_BS!$A:$A,'Global TARF'!D$8)</f>
        <v>0</v>
      </c>
      <c r="E158" s="184">
        <f>SUMIFS(GL_BS!$G:$G,GL_BS!$R:$R,'Global TARF'!$A$133,GL_BS!$S:$S,'Global TARF'!$A158,GL_BS!$A:$A,'Global TARF'!E$8)</f>
        <v>0</v>
      </c>
      <c r="F158" s="184">
        <f>SUMIFS(GL_BS!$G:$G,GL_BS!$R:$R,'Global TARF'!$A$133,GL_BS!$S:$S,'Global TARF'!$A158,GL_BS!$A:$A,'Global TARF'!F$8)</f>
        <v>0</v>
      </c>
      <c r="G158" s="536">
        <f>SUMIFS(GL_BS!$G:$G,GL_BS!$R:$R,'Global TARF'!$A$133,GL_BS!$S:$S,'Global TARF'!$A158,GL_BS!$A:$A,'Global TARF'!G$8)</f>
        <v>0</v>
      </c>
      <c r="H158" s="545">
        <f>SUMIFS(GL_BS!$G:$G,GL_BS!$R:$R,'Global TARF'!$A$133,GL_BS!$S:$S,'Global TARF'!$A158,GL_BS!$A:$A,'Global TARF'!H$8)</f>
        <v>0</v>
      </c>
      <c r="I158" s="184">
        <f>SUMIFS(GL_BS!$G:$G,GL_BS!$R:$R,'Global TARF'!$A$133,GL_BS!$S:$S,'Global TARF'!$A158,GL_BS!$A:$A,'Global TARF'!I$8)</f>
        <v>0</v>
      </c>
      <c r="J158" s="184">
        <f>SUMIFS(GL_BS!$G:$G,GL_BS!$R:$R,'Global TARF'!$A$133,GL_BS!$S:$S,'Global TARF'!$A158,GL_BS!$A:$A,'Global TARF'!J$8)</f>
        <v>0</v>
      </c>
      <c r="K158" s="184">
        <f>SUMIFS(GL_BS!$G:$G,GL_BS!$R:$R,'Global TARF'!$A$133,GL_BS!$S:$S,'Global TARF'!$A158,GL_BS!$A:$A,'Global TARF'!K$8)</f>
        <v>0</v>
      </c>
      <c r="L158" s="184">
        <f>SUMIFS(GL_BS!$G:$G,GL_BS!$R:$R,'Global TARF'!$A$133,GL_BS!$S:$S,'Global TARF'!$A158,GL_BS!$A:$A,'Global TARF'!L$8)</f>
        <v>0</v>
      </c>
      <c r="M158" s="536">
        <f>SUMIFS(GL_BS!$G:$G,GL_BS!$R:$R,'Global TARF'!$A$133,GL_BS!$S:$S,'Global TARF'!$A158,GL_BS!$A:$A,'Global TARF'!M$8)</f>
        <v>0</v>
      </c>
      <c r="N158" s="555">
        <f>SUMIFS(GL_BS!$G:$G,GL_BS!$R:$R,'Global TARF'!$A$101,GL_BS!$S:$S,'Global TARF'!$A158,GL_BS!$A:$A,'Global TARF'!N$8)</f>
        <v>0</v>
      </c>
      <c r="O158" s="18">
        <f>SUMIFS(GL_BS!$G:$G,GL_BS!$R:$R,'Global TARF'!$A$101,GL_BS!$S:$S,'Global TARF'!$A158,GL_BS!$A:$A,'Global TARF'!O$8)</f>
        <v>0</v>
      </c>
      <c r="P158" s="545">
        <f>SUMIFS(GL_PL!$G:$G,GL_PL!$Q:$Q,'Global TARF'!$A$133,GL_PL!$R:$R,'Global TARF'!$A158,GL_PL!$A:$A,'Global TARF'!P$8)</f>
        <v>0</v>
      </c>
      <c r="Q158" s="184">
        <f>SUMIFS(GL_PL!$G:$G,GL_PL!$Q:$Q,'Global TARF'!$A$133,GL_PL!$R:$R,'Global TARF'!$A158,GL_PL!$A:$A,'Global TARF'!Q$8)</f>
        <v>0</v>
      </c>
      <c r="R158" s="184">
        <f>SUMIFS(GL_PL!$G:$G,GL_PL!$Q:$Q,'Global TARF'!$A$133,GL_PL!$R:$R,'Global TARF'!$A158,GL_PL!$A:$A,'Global TARF'!R$8)</f>
        <v>0</v>
      </c>
      <c r="S158" s="536">
        <f>SUMIFS(GL_PL!$G:$G,GL_PL!$Q:$Q,'Global TARF'!$A$133,GL_PL!$R:$R,'Global TARF'!$A158,GL_PL!$A:$A,'Global TARF'!S$8)</f>
        <v>0</v>
      </c>
      <c r="T158"/>
      <c r="Z158" s="582">
        <f t="shared" si="114"/>
        <v>0</v>
      </c>
    </row>
    <row r="159" spans="1:26" s="23" customFormat="1" ht="10.5" thickBot="1" x14ac:dyDescent="0.25">
      <c r="A159" s="563" t="str">
        <f>$A$34</f>
        <v>Balance as of 06/31/2024</v>
      </c>
      <c r="B159" s="564">
        <f>SUM(B135:B158)</f>
        <v>0</v>
      </c>
      <c r="C159" s="564">
        <f>SUM(C135:C158)</f>
        <v>0</v>
      </c>
      <c r="D159" s="564">
        <f>SUM(D135:D158)</f>
        <v>0</v>
      </c>
      <c r="E159" s="564">
        <f t="shared" ref="E159:T159" si="116">SUM(E135:E158)</f>
        <v>0</v>
      </c>
      <c r="F159" s="564">
        <f t="shared" si="116"/>
        <v>0</v>
      </c>
      <c r="G159" s="566">
        <f t="shared" si="116"/>
        <v>0</v>
      </c>
      <c r="H159" s="565">
        <f t="shared" si="116"/>
        <v>-45614.7603311934</v>
      </c>
      <c r="I159" s="565">
        <f t="shared" si="116"/>
        <v>0</v>
      </c>
      <c r="J159" s="565">
        <f t="shared" si="116"/>
        <v>0</v>
      </c>
      <c r="K159" s="565">
        <f t="shared" si="116"/>
        <v>0</v>
      </c>
      <c r="L159" s="564">
        <f t="shared" si="116"/>
        <v>0</v>
      </c>
      <c r="M159" s="566">
        <f t="shared" si="116"/>
        <v>0</v>
      </c>
      <c r="N159" s="567">
        <f t="shared" si="116"/>
        <v>-1152.02</v>
      </c>
      <c r="O159" s="564" t="e">
        <f t="shared" si="116"/>
        <v>#N/A</v>
      </c>
      <c r="P159" s="565">
        <f t="shared" si="116"/>
        <v>0</v>
      </c>
      <c r="Q159" s="564">
        <f t="shared" si="116"/>
        <v>0</v>
      </c>
      <c r="R159" s="564">
        <f t="shared" si="116"/>
        <v>28153.358245873671</v>
      </c>
      <c r="S159" s="566">
        <f t="shared" ref="S159" si="117">SUM(S135:S158)</f>
        <v>0</v>
      </c>
      <c r="T159" s="564">
        <f t="shared" si="116"/>
        <v>-17882.727425159599</v>
      </c>
      <c r="U159" s="564"/>
      <c r="V159" s="564"/>
      <c r="W159" s="566"/>
      <c r="X159" s="27"/>
      <c r="Z159" s="583"/>
    </row>
    <row r="160" spans="1:26" x14ac:dyDescent="0.2">
      <c r="A160" s="534"/>
      <c r="B160" s="186">
        <f>IFERROR(INDEX('BS_Q2 24'!$A$9:$O$279,MATCH('Global TARF'!B$8,'BS_Q2 24'!$A$9:$A$279,0),MATCH($A$133,'BS_Q2 24'!$A$8:$O$8)),0)</f>
        <v>0</v>
      </c>
      <c r="C160" s="186">
        <f>IFERROR(INDEX('BS_Q2 24'!$A$9:$O$279,MATCH('Global TARF'!C$8,'BS_Q2 24'!$A$9:$A$279,0),MATCH($A$133,'BS_Q2 24'!$A$8:$O$8)),0)</f>
        <v>0</v>
      </c>
      <c r="D160" s="186">
        <f>IFERROR(INDEX('BS_Q2 24'!$A$9:$O$279,MATCH('Global TARF'!D$8,'BS_Q2 24'!$A$9:$A$279,0),MATCH($A$133,'BS_Q2 24'!$A$8:$O$8)),0)</f>
        <v>0</v>
      </c>
      <c r="E160" s="186">
        <f>IFERROR(INDEX('BS_Q2 24'!$A$9:$O$279,MATCH('Global TARF'!E$8,'BS_Q2 24'!$A$9:$A$279,0),MATCH($A$133,'BS_Q2 24'!$A$8:$O$8)),0)</f>
        <v>0</v>
      </c>
      <c r="F160" s="186">
        <f>IFERROR(INDEX('BS_Q2 24'!$A$9:$O$279,MATCH('Global TARF'!F$8,'BS_Q2 24'!$A$9:$A$279,0),MATCH($A$133,'BS_Q2 24'!$A$8:$O$8)),0)</f>
        <v>0</v>
      </c>
      <c r="G160" s="186">
        <f>IFERROR(INDEX('BS_Q2 24'!$A$9:$O$279,MATCH('Global TARF'!G$8,'BS_Q2 24'!$A$9:$A$279,0),MATCH($A$133,'BS_Q2 24'!$A$8:$O$8)),0)</f>
        <v>0</v>
      </c>
      <c r="H160" s="546">
        <f>-IFERROR(INDEX('BS_Q2 24'!$A$9:$O$279,MATCH('Global TARF'!H$8,'BS_Q2 24'!$A$9:$A$279,0),MATCH($A$133,'BS_Q2 24'!$A$8:$O$8)),0)</f>
        <v>-45614.762571502797</v>
      </c>
      <c r="I160" s="546">
        <f>-IFERROR(INDEX('BS_Q2 24'!$A$9:$O$279,MATCH('Global TARF'!I$8,'BS_Q2 24'!$A$9:$A$279,0),MATCH($A$133,'BS_Q2 24'!$A$8:$O$8)),0)</f>
        <v>0</v>
      </c>
      <c r="J160" s="546">
        <f>-IFERROR(INDEX('BS_Q2 24'!$A$9:$O$279,MATCH('Global TARF'!J$8,'BS_Q2 24'!$A$9:$A$279,0),MATCH($A$133,'BS_Q2 24'!$A$8:$O$8)),0)</f>
        <v>0</v>
      </c>
      <c r="K160" s="546">
        <f>-IFERROR(INDEX('BS_Q2 24'!$A$9:$O$279,MATCH('Global TARF'!K$8,'BS_Q2 24'!$A$9:$A$279,0),MATCH($A$133,'BS_Q2 24'!$A$8:$O$8)),0)</f>
        <v>0</v>
      </c>
      <c r="L160" s="186">
        <f>-IFERROR(INDEX('BS_Q2 24'!$A$9:$O$118,MATCH('Global TARF'!L$8,'BS_Q2 24'!$A$9:$A$118,0),MATCH($A$133,'BS_Q2 24'!$A$8:$O$8)),0)</f>
        <v>0</v>
      </c>
      <c r="M160" s="539">
        <f>-IFERROR(INDEX('BS_Q2 24'!$A$9:$O$118,MATCH('Global TARF'!M$8,'BS_Q2 24'!$A$9:$A$118,0),MATCH($A$133,'BS_Q2 24'!$A$8:$O$8)),0)</f>
        <v>0</v>
      </c>
      <c r="N160" s="539"/>
      <c r="O160" s="24" t="e">
        <f>INDEX('BS_Q2 24'!$A$9:$O$118,MATCH('Global TARF'!O$8,'BS_Q2 24'!$A$9:$A$118,0),MATCH($A$133,'BS_Q2 24'!$A$8:$O$8))</f>
        <v>#N/A</v>
      </c>
      <c r="P160" s="545">
        <f>-IFERROR(INDEX('IS_Q2 24'!$A$7:$O$700,MATCH('Global TARF'!P$8,'IS_Q2 24'!$A$7:$A$700,0),MATCH($A$133,'IS_Q2 24'!$A$8:$O$8)),0)</f>
        <v>0</v>
      </c>
      <c r="Q160" s="545">
        <f>-IFERROR(INDEX('IS_Q2 24'!$A$7:$O$700,MATCH('Global TARF'!Q$8,'IS_Q2 24'!$A$7:$A$700,0),MATCH($A$133,'IS_Q2 24'!$A$8:$O$8)),0)</f>
        <v>0</v>
      </c>
      <c r="R160" s="545">
        <f>-IFERROR(INDEX('IS_Q2 24'!$A$7:$O$700,MATCH('Global TARF'!R$8,'IS_Q2 24'!$A$7:$A$700,0),MATCH($A$133,'IS_Q2 24'!$A$8:$O$8)),0)</f>
        <v>28153.358245873671</v>
      </c>
      <c r="S160" s="545">
        <f>-IFERROR(INDEX('IS_Q2 24'!$A$7:$O$700,MATCH('Global TARF'!S$8,'IS_Q2 24'!$A$7:$A$700,0),MATCH($A$133,'IS_Q2 24'!$A$8:$O$8)),0)</f>
        <v>0</v>
      </c>
      <c r="T160" s="186"/>
      <c r="U160" s="186"/>
      <c r="Z160" s="580"/>
    </row>
    <row r="161" spans="1:26" x14ac:dyDescent="0.2">
      <c r="A161" s="534"/>
      <c r="B161" t="b">
        <f t="shared" ref="B161:R161" si="118">ROUND(B159,0)=ROUND(B160,0)</f>
        <v>1</v>
      </c>
      <c r="C161" t="b">
        <f t="shared" si="118"/>
        <v>1</v>
      </c>
      <c r="D161" t="b">
        <f t="shared" ref="D161" si="119">ROUND(D159,0)=ROUND(D160,0)</f>
        <v>1</v>
      </c>
      <c r="E161" t="b">
        <f t="shared" si="118"/>
        <v>1</v>
      </c>
      <c r="F161" t="b">
        <f t="shared" si="118"/>
        <v>1</v>
      </c>
      <c r="G161" s="535" t="b">
        <f t="shared" si="118"/>
        <v>1</v>
      </c>
      <c r="H161" s="534" t="b">
        <f t="shared" si="118"/>
        <v>1</v>
      </c>
      <c r="I161" s="534" t="b">
        <f t="shared" si="118"/>
        <v>1</v>
      </c>
      <c r="J161" s="534" t="b">
        <f t="shared" si="118"/>
        <v>1</v>
      </c>
      <c r="K161" s="534" t="b">
        <f t="shared" si="118"/>
        <v>1</v>
      </c>
      <c r="L161" t="b">
        <f t="shared" si="118"/>
        <v>1</v>
      </c>
      <c r="M161" s="535" t="b">
        <f t="shared" si="118"/>
        <v>1</v>
      </c>
      <c r="N161" s="552"/>
      <c r="O161" t="e">
        <f t="shared" si="118"/>
        <v>#N/A</v>
      </c>
      <c r="P161" s="534" t="b">
        <f t="shared" si="118"/>
        <v>1</v>
      </c>
      <c r="Q161" t="b">
        <f t="shared" si="118"/>
        <v>1</v>
      </c>
      <c r="R161" t="b">
        <f t="shared" si="118"/>
        <v>1</v>
      </c>
      <c r="S161" s="535" t="b">
        <f t="shared" ref="S161" si="120">ROUND(S159,0)=ROUND(S160,0)</f>
        <v>1</v>
      </c>
      <c r="T161"/>
      <c r="Z161" s="580"/>
    </row>
    <row r="162" spans="1:26" x14ac:dyDescent="0.2">
      <c r="A162" s="534"/>
      <c r="C162" s="26">
        <f>C160-C159</f>
        <v>0</v>
      </c>
      <c r="D162" s="26">
        <f>D160-D159</f>
        <v>0</v>
      </c>
      <c r="G162" s="535"/>
      <c r="H162" s="537">
        <f>H160-H159</f>
        <v>-2.2403093971661292E-3</v>
      </c>
      <c r="I162" s="26"/>
      <c r="J162" s="26"/>
      <c r="K162" s="26"/>
      <c r="M162" s="535"/>
      <c r="N162" s="552"/>
      <c r="P162" s="534"/>
      <c r="S162" s="535"/>
      <c r="T162"/>
      <c r="Z162" s="580"/>
    </row>
    <row r="163" spans="1:26" x14ac:dyDescent="0.2">
      <c r="A163" s="534"/>
      <c r="G163" s="535"/>
      <c r="H163" s="534"/>
      <c r="M163" s="535"/>
      <c r="N163" s="552"/>
      <c r="P163" s="534"/>
      <c r="S163" s="535"/>
      <c r="T163"/>
      <c r="Z163" s="580"/>
    </row>
    <row r="164" spans="1:26" x14ac:dyDescent="0.2">
      <c r="A164" s="534"/>
      <c r="G164" s="535"/>
      <c r="H164" s="534"/>
      <c r="M164" s="535"/>
      <c r="N164" s="552"/>
      <c r="P164" s="534"/>
      <c r="S164" s="535"/>
      <c r="T164"/>
      <c r="Z164" s="580"/>
    </row>
    <row r="165" spans="1:26" s="17" customFormat="1" ht="10.5" x14ac:dyDescent="0.25">
      <c r="A165" s="562">
        <v>204</v>
      </c>
      <c r="B165" s="558" t="s">
        <v>342</v>
      </c>
      <c r="C165" s="558" t="s">
        <v>220</v>
      </c>
      <c r="D165" s="558" t="str">
        <f>$D$8</f>
        <v>145700 - Income tax receivable - Long Term</v>
      </c>
      <c r="E165" s="558" t="s">
        <v>378</v>
      </c>
      <c r="F165" s="558" t="s">
        <v>427</v>
      </c>
      <c r="G165" s="559" t="s">
        <v>415</v>
      </c>
      <c r="H165" s="558" t="s">
        <v>240</v>
      </c>
      <c r="I165" s="558" t="s">
        <v>467</v>
      </c>
      <c r="J165" s="558" t="s">
        <v>4397</v>
      </c>
      <c r="K165" s="558" t="s">
        <v>4396</v>
      </c>
      <c r="L165" s="559" t="s">
        <v>502</v>
      </c>
      <c r="M165" s="559" t="s">
        <v>503</v>
      </c>
      <c r="N165" s="560" t="s">
        <v>877</v>
      </c>
      <c r="O165" s="561"/>
      <c r="P165" s="558" t="s">
        <v>20</v>
      </c>
      <c r="Q165" s="561" t="s">
        <v>57</v>
      </c>
      <c r="R165" s="561" t="s">
        <v>183</v>
      </c>
      <c r="S165" s="561" t="s">
        <v>3623</v>
      </c>
      <c r="T165" s="561" t="s">
        <v>4268</v>
      </c>
      <c r="U165" s="561" t="s">
        <v>4269</v>
      </c>
      <c r="V165" s="561" t="s">
        <v>794</v>
      </c>
      <c r="W165" s="561" t="s">
        <v>793</v>
      </c>
      <c r="Z165" s="579"/>
    </row>
    <row r="166" spans="1:26" ht="11" thickBot="1" x14ac:dyDescent="0.3">
      <c r="A166" s="538" t="s">
        <v>811</v>
      </c>
      <c r="G166" s="535"/>
      <c r="H166" s="534"/>
      <c r="M166" s="535"/>
      <c r="N166" s="550"/>
      <c r="P166" s="534"/>
      <c r="S166" s="535"/>
      <c r="T166"/>
      <c r="Z166" s="580"/>
    </row>
    <row r="167" spans="1:26" s="23" customFormat="1" ht="10.5" thickBot="1" x14ac:dyDescent="0.25">
      <c r="A167" s="563" t="str">
        <f>A10</f>
        <v>Balance as of 12/31/2023</v>
      </c>
      <c r="B167" s="564">
        <f>IFERROR(INDEX(BS_2023!$A$8:$O$271,MATCH('Global TARF'!B$8,BS_2023!$A$8:$A$271,0),MATCH($A$165,BS_2023!$A$7:$O$7)),0)</f>
        <v>0</v>
      </c>
      <c r="C167" s="564">
        <f>IFERROR(INDEX(BS_2023!$A$8:$O$271,MATCH('Global TARF'!C$8,BS_2023!$A$8:$A$271,0),MATCH($A$165,BS_2023!$A$7:$O$7)),0)</f>
        <v>0</v>
      </c>
      <c r="D167" s="564">
        <f>IFERROR(INDEX(BS_2023!$A$8:$O$271,MATCH('Global TARF'!D$8,BS_2023!$A$8:$A$271,0),MATCH($A$165,BS_2023!$A$7:$O$7)),0)</f>
        <v>0</v>
      </c>
      <c r="E167" s="564">
        <f>IFERROR(INDEX(BS_2023!$A$8:$O$271,MATCH('Global TARF'!E$8,BS_2023!$A$8:$A$271,0),MATCH($A$165,BS_2023!$A$7:$O$7)),0)</f>
        <v>0</v>
      </c>
      <c r="F167" s="564">
        <f>IFERROR(INDEX(BS_2023!$A$8:$O$271,MATCH('Global TARF'!F$8,BS_2023!$A$8:$A$271,0),MATCH($A$165,BS_2023!$A$7:$O$7)),0)</f>
        <v>0</v>
      </c>
      <c r="G167" s="564">
        <f>IFERROR(INDEX(BS_2023!$A$8:$O$271,MATCH('Global TARF'!G$8,BS_2023!$A$8:$A$271,0),MATCH($A$165,BS_2023!$A$7:$O$7)),0)</f>
        <v>0</v>
      </c>
      <c r="H167" s="565">
        <f>-IFERROR(INDEX(BS_2023!$A$8:$O$271,MATCH('Global TARF'!H$8,BS_2023!$A$8:$A$271,0),MATCH($A$165,BS_2023!$A$7:$O$7)),0)</f>
        <v>-66247.601315828404</v>
      </c>
      <c r="I167" s="565">
        <f>-IFERROR(INDEX(BS_2023!$A$8:$O$271,MATCH('Global TARF'!I$8,BS_2023!$A$8:$A$271,0),MATCH($A$165,BS_2023!$A$7:$O$7)),0)</f>
        <v>0</v>
      </c>
      <c r="J167" s="565">
        <f>-IFERROR(INDEX(BS_2023!$A$8:$O$271,MATCH('Global TARF'!J$8,BS_2023!$A$8:$A$271,0),MATCH($A$165,BS_2023!$A$7:$O$7)),0)</f>
        <v>0</v>
      </c>
      <c r="K167" s="565">
        <f>-IFERROR(INDEX(BS_2023!$A$8:$O$271,MATCH('Global TARF'!K$8,BS_2023!$A$8:$A$271,0),MATCH($A$165,BS_2023!$A$7:$O$7)),0)</f>
        <v>0</v>
      </c>
      <c r="L167" s="565">
        <f>-IFERROR(INDEX(BS_2023!$A$8:$O$271,MATCH('Global TARF'!L$8,BS_2023!$A$8:$A$271,0),MATCH($A$165,BS_2023!$A$7:$O$7)),0)</f>
        <v>0</v>
      </c>
      <c r="M167" s="565">
        <f>-IFERROR(INDEX(BS_2023!$A$8:$O$271,MATCH('Global TARF'!M$8,BS_2023!$A$8:$A$271,0),MATCH($A$165,BS_2023!$A$7:$O$7)),0)</f>
        <v>0</v>
      </c>
      <c r="N167" s="576"/>
      <c r="O167" s="574"/>
      <c r="P167" s="563"/>
      <c r="Q167" s="574"/>
      <c r="R167" s="574"/>
      <c r="S167" s="575"/>
      <c r="T167" s="574"/>
      <c r="U167" s="574"/>
      <c r="V167" s="574"/>
      <c r="W167" s="575"/>
      <c r="Z167" s="583"/>
    </row>
    <row r="168" spans="1:26" x14ac:dyDescent="0.2">
      <c r="A168" s="534" t="s">
        <v>798</v>
      </c>
      <c r="G168" s="535"/>
      <c r="H168" s="545">
        <v>1888.24</v>
      </c>
      <c r="I168" s="184"/>
      <c r="J168" s="184"/>
      <c r="K168" s="184"/>
      <c r="L168" s="184"/>
      <c r="M168" s="536"/>
      <c r="N168" s="553">
        <f>-SUM(H168,G168,C168,E168,M168,L168,F168,B168,D168,I168)</f>
        <v>-1888.24</v>
      </c>
      <c r="P168" s="534"/>
      <c r="S168" s="535"/>
      <c r="T168"/>
      <c r="Z168" s="582">
        <f t="shared" ref="Z168:Z190" si="121">SUM(B168:Y168)</f>
        <v>0</v>
      </c>
    </row>
    <row r="169" spans="1:26" x14ac:dyDescent="0.2">
      <c r="A169" s="534"/>
      <c r="G169" s="535"/>
      <c r="H169" s="534"/>
      <c r="M169" s="535"/>
      <c r="N169" s="552"/>
      <c r="P169" s="534"/>
      <c r="S169" s="535"/>
      <c r="T169" s="26">
        <f>-SUM(P169:R169,H169,C169)</f>
        <v>0</v>
      </c>
      <c r="U169" s="26"/>
      <c r="Z169" s="582">
        <f t="shared" si="121"/>
        <v>0</v>
      </c>
    </row>
    <row r="170" spans="1:26" x14ac:dyDescent="0.2">
      <c r="A170" s="534"/>
      <c r="B170" s="184">
        <f>SUMIFS(GL_BS!$G:$G,GL_BS!$R:$R,'Global TARF'!$A$165,GL_BS!$S:$S,'Global TARF'!$A170,GL_BS!$A:$A,'Global TARF'!B$38)</f>
        <v>0</v>
      </c>
      <c r="C170" s="184">
        <f>SUMIFS(GL_BS!$G:$G,GL_BS!$R:$R,'Global TARF'!$A$165,GL_BS!$S:$S,'Global TARF'!$A170,GL_BS!$A:$A,'Global TARF'!C$8)</f>
        <v>0</v>
      </c>
      <c r="D170" s="184">
        <f>SUMIFS(GL_BS!$G:$G,GL_BS!$R:$R,'Global TARF'!$A$165,GL_BS!$S:$S,'Global TARF'!$A170,GL_BS!$A:$A,'Global TARF'!D$8)</f>
        <v>0</v>
      </c>
      <c r="E170" s="184">
        <f>SUMIFS(GL_BS!$G:$G,GL_BS!$R:$R,'Global TARF'!$A$165,GL_BS!$S:$S,'Global TARF'!$A170,GL_BS!$A:$A,'Global TARF'!E$8)</f>
        <v>0</v>
      </c>
      <c r="F170" s="184">
        <f>SUMIFS(GL_BS!$G:$G,GL_BS!$R:$R,'Global TARF'!$A$165,GL_BS!$S:$S,'Global TARF'!$A170,GL_BS!$A:$A,'Global TARF'!F$8)</f>
        <v>0</v>
      </c>
      <c r="G170" s="536">
        <f>SUMIFS(GL_BS!$G:$G,GL_BS!$R:$R,'Global TARF'!$A$165,GL_BS!$S:$S,'Global TARF'!$A170,GL_BS!$A:$A,'Global TARF'!G$8)</f>
        <v>0</v>
      </c>
      <c r="H170" s="545">
        <f>SUMIFS(GL_BS!$G:$G,GL_BS!$R:$R,'Global TARF'!$A$165,GL_BS!$S:$S,'Global TARF'!$A170,GL_BS!$A:$A,'Global TARF'!H$8)</f>
        <v>0</v>
      </c>
      <c r="I170" s="184">
        <f>SUMIFS(GL_BS!$G:$G,GL_BS!$R:$R,'Global TARF'!$A$165,GL_BS!$S:$S,'Global TARF'!$A170,GL_BS!$A:$A,'Global TARF'!I$8)</f>
        <v>0</v>
      </c>
      <c r="J170" s="184">
        <f>SUMIFS(GL_BS!$G:$G,GL_BS!$R:$R,'Global TARF'!$A$165,GL_BS!$S:$S,'Global TARF'!$A170,GL_BS!$A:$A,'Global TARF'!J$8)</f>
        <v>0</v>
      </c>
      <c r="K170" s="184">
        <f>SUMIFS(GL_BS!$G:$G,GL_BS!$R:$R,'Global TARF'!$A$165,GL_BS!$S:$S,'Global TARF'!$A170,GL_BS!$A:$A,'Global TARF'!K$8)</f>
        <v>0</v>
      </c>
      <c r="L170" s="184">
        <f>SUMIFS(GL_BS!$G:$G,GL_BS!$R:$R,'Global TARF'!$A$165,GL_BS!$S:$S,'Global TARF'!$A170,GL_BS!$A:$A,'Global TARF'!L$8)</f>
        <v>0</v>
      </c>
      <c r="M170" s="536">
        <f>SUMIFS(GL_BS!$G:$G,GL_BS!$R:$R,'Global TARF'!$A$165,GL_BS!$S:$S,'Global TARF'!$A170,GL_BS!$A:$A,'Global TARF'!M$8)</f>
        <v>0</v>
      </c>
      <c r="N170" s="555">
        <f>SUMIFS(GL_BS!$G:$G,GL_BS!$R:$R,'Global TARF'!$A$165,GL_BS!$S:$S,'Global TARF'!$A170,GL_BS!$A:$A,'Global TARF'!N$8)</f>
        <v>0</v>
      </c>
      <c r="O170" s="18">
        <f>SUMIFS(GL_BS!$G:$G,GL_BS!$R:$R,'Global TARF'!$A$165,GL_BS!$S:$S,'Global TARF'!$A170,GL_BS!$A:$A,'Global TARF'!O$8)</f>
        <v>0</v>
      </c>
      <c r="P170" s="545">
        <f>SUMIFS(GL_PL!$G:$G,GL_PL!$Q:$Q,'Global TARF'!$A$165,GL_PL!$R:$R,'Global TARF'!$A138,GL_PL!$A:$A,'Global TARF'!P$8)</f>
        <v>0</v>
      </c>
      <c r="Q170" s="184">
        <f>SUMIFS(GL_PL!$G:$G,GL_PL!$Q:$Q,'Global TARF'!$A$165,GL_PL!$R:$R,'Global TARF'!$A138,GL_PL!$A:$A,'Global TARF'!Q$8)</f>
        <v>0</v>
      </c>
      <c r="R170" s="184">
        <f>SUMIFS(GL_PL!$G:$G,GL_PL!$Q:$Q,'Global TARF'!$A$165,GL_PL!$R:$R,'Global TARF'!$A138,GL_PL!$A:$A,'Global TARF'!R$8)</f>
        <v>0</v>
      </c>
      <c r="S170" s="536">
        <f>SUMIFS(GL_PL!$G:$G,GL_PL!$Q:$Q,'Global TARF'!$A$165,GL_PL!$R:$R,'Global TARF'!$A138,GL_PL!$A:$A,'Global TARF'!S$8)</f>
        <v>0</v>
      </c>
      <c r="T170" s="26">
        <f>-SUM(P170:R170,H170,C170)</f>
        <v>0</v>
      </c>
      <c r="U170" s="26"/>
      <c r="Z170" s="582">
        <f t="shared" si="121"/>
        <v>0</v>
      </c>
    </row>
    <row r="171" spans="1:26" x14ac:dyDescent="0.2">
      <c r="A171" s="534"/>
      <c r="B171" s="184">
        <f>SUMIFS(GL_BS!$G:$G,GL_BS!$R:$R,'Global TARF'!$A$165,GL_BS!$S:$S,'Global TARF'!$A171,GL_BS!$A:$A,'Global TARF'!B$38)</f>
        <v>0</v>
      </c>
      <c r="C171" s="184">
        <f>SUMIFS(GL_BS!$G:$G,GL_BS!$R:$R,'Global TARF'!$A$165,GL_BS!$S:$S,'Global TARF'!$A171,GL_BS!$A:$A,'Global TARF'!C$8)</f>
        <v>0</v>
      </c>
      <c r="D171" s="184">
        <f>SUMIFS(GL_BS!$G:$G,GL_BS!$R:$R,'Global TARF'!$A$165,GL_BS!$S:$S,'Global TARF'!$A171,GL_BS!$A:$A,'Global TARF'!D$8)</f>
        <v>0</v>
      </c>
      <c r="E171" s="184">
        <f>SUMIFS(GL_BS!$G:$G,GL_BS!$R:$R,'Global TARF'!$A$165,GL_BS!$S:$S,'Global TARF'!$A171,GL_BS!$A:$A,'Global TARF'!E$8)</f>
        <v>0</v>
      </c>
      <c r="F171" s="184">
        <f>SUMIFS(GL_BS!$G:$G,GL_BS!$R:$R,'Global TARF'!$A$165,GL_BS!$S:$S,'Global TARF'!$A171,GL_BS!$A:$A,'Global TARF'!F$8)</f>
        <v>0</v>
      </c>
      <c r="G171" s="536">
        <f>SUMIFS(GL_BS!$G:$G,GL_BS!$R:$R,'Global TARF'!$A$165,GL_BS!$S:$S,'Global TARF'!$A171,GL_BS!$A:$A,'Global TARF'!G$8)</f>
        <v>0</v>
      </c>
      <c r="H171" s="545">
        <f>SUMIFS(GL_BS!$G:$G,GL_BS!$R:$R,'Global TARF'!$A$165,GL_BS!$S:$S,'Global TARF'!$A171,GL_BS!$A:$A,'Global TARF'!H$8)</f>
        <v>0</v>
      </c>
      <c r="I171" s="184">
        <f>SUMIFS(GL_BS!$G:$G,GL_BS!$R:$R,'Global TARF'!$A$165,GL_BS!$S:$S,'Global TARF'!$A171,GL_BS!$A:$A,'Global TARF'!I$8)</f>
        <v>0</v>
      </c>
      <c r="J171" s="184">
        <f>SUMIFS(GL_BS!$G:$G,GL_BS!$R:$R,'Global TARF'!$A$165,GL_BS!$S:$S,'Global TARF'!$A171,GL_BS!$A:$A,'Global TARF'!J$8)</f>
        <v>0</v>
      </c>
      <c r="K171" s="184">
        <f>SUMIFS(GL_BS!$G:$G,GL_BS!$R:$R,'Global TARF'!$A$165,GL_BS!$S:$S,'Global TARF'!$A171,GL_BS!$A:$A,'Global TARF'!K$8)</f>
        <v>0</v>
      </c>
      <c r="L171" s="184">
        <f>SUMIFS(GL_BS!$G:$G,GL_BS!$R:$R,'Global TARF'!$A$165,GL_BS!$S:$S,'Global TARF'!$A171,GL_BS!$A:$A,'Global TARF'!L$8)</f>
        <v>0</v>
      </c>
      <c r="M171" s="536">
        <f>SUMIFS(GL_BS!$G:$G,GL_BS!$R:$R,'Global TARF'!$A$165,GL_BS!$S:$S,'Global TARF'!$A171,GL_BS!$A:$A,'Global TARF'!M$8)</f>
        <v>0</v>
      </c>
      <c r="N171" s="555">
        <f>SUMIFS(GL_BS!$G:$G,GL_BS!$R:$R,'Global TARF'!$A$165,GL_BS!$S:$S,'Global TARF'!$A171,GL_BS!$A:$A,'Global TARF'!N$8)</f>
        <v>0</v>
      </c>
      <c r="O171" s="18">
        <f>SUMIFS(GL_BS!$G:$G,GL_BS!$R:$R,'Global TARF'!$A$165,GL_BS!$S:$S,'Global TARF'!$A171,GL_BS!$A:$A,'Global TARF'!O$8)</f>
        <v>0</v>
      </c>
      <c r="P171" s="545">
        <f>SUMIFS(GL_PL!$G:$G,GL_PL!$Q:$Q,'Global TARF'!$A$165,GL_PL!$R:$R,'Global TARF'!$A139,GL_PL!$A:$A,'Global TARF'!P$8)</f>
        <v>0</v>
      </c>
      <c r="Q171" s="184">
        <f>SUMIFS(GL_PL!$G:$G,GL_PL!$Q:$Q,'Global TARF'!$A$165,GL_PL!$R:$R,'Global TARF'!$A139,GL_PL!$A:$A,'Global TARF'!Q$8)</f>
        <v>0</v>
      </c>
      <c r="R171" s="184">
        <f>SUMIFS(GL_PL!$G:$G,GL_PL!$Q:$Q,'Global TARF'!$A$165,GL_PL!$R:$R,'Global TARF'!$A139,GL_PL!$A:$A,'Global TARF'!R$8)</f>
        <v>0</v>
      </c>
      <c r="S171" s="536">
        <f>SUMIFS(GL_PL!$G:$G,GL_PL!$Q:$Q,'Global TARF'!$A$165,GL_PL!$R:$R,'Global TARF'!$A139,GL_PL!$A:$A,'Global TARF'!S$8)</f>
        <v>0</v>
      </c>
      <c r="T171" s="26">
        <f>-SUM(P171:R171,H171,C171)</f>
        <v>0</v>
      </c>
      <c r="U171" s="26"/>
      <c r="Z171" s="582">
        <f t="shared" si="121"/>
        <v>0</v>
      </c>
    </row>
    <row r="172" spans="1:26" x14ac:dyDescent="0.2">
      <c r="A172" s="534" t="s">
        <v>780</v>
      </c>
      <c r="B172" s="184">
        <f>SUMIFS(GL_BS!$G:$G,GL_BS!$R:$R,'Global TARF'!$A$165,GL_BS!$S:$S,'Global TARF'!$A172,GL_BS!$A:$A,'Global TARF'!B$38)</f>
        <v>0</v>
      </c>
      <c r="C172" s="184">
        <f>SUMIFS(GL_BS!$G:$G,GL_BS!$R:$R,'Global TARF'!$A$165,GL_BS!$S:$S,'Global TARF'!$A172,GL_BS!$A:$A,'Global TARF'!C$8)</f>
        <v>0</v>
      </c>
      <c r="D172" s="184">
        <f>SUMIFS(GL_BS!$G:$G,GL_BS!$R:$R,'Global TARF'!$A$165,GL_BS!$S:$S,'Global TARF'!$A172,GL_BS!$A:$A,'Global TARF'!D$8)</f>
        <v>0</v>
      </c>
      <c r="E172" s="184">
        <f>SUMIFS(GL_BS!$G:$G,GL_BS!$R:$R,'Global TARF'!$A$165,GL_BS!$S:$S,'Global TARF'!$A172,GL_BS!$A:$A,'Global TARF'!E$8)</f>
        <v>0</v>
      </c>
      <c r="F172" s="184">
        <f>SUMIFS(GL_BS!$G:$G,GL_BS!$R:$R,'Global TARF'!$A$165,GL_BS!$S:$S,'Global TARF'!$A172,GL_BS!$A:$A,'Global TARF'!F$8)</f>
        <v>0</v>
      </c>
      <c r="G172" s="536">
        <f>SUMIFS(GL_BS!$G:$G,GL_BS!$R:$R,'Global TARF'!$A$165,GL_BS!$S:$S,'Global TARF'!$A172,GL_BS!$A:$A,'Global TARF'!G$8)</f>
        <v>0</v>
      </c>
      <c r="H172" s="545">
        <f>SUMIFS(GL_BS!$G:$G,GL_BS!$R:$R,'Global TARF'!$A$165,GL_BS!$S:$S,'Global TARF'!$A172,GL_BS!$A:$A,'Global TARF'!H$8)</f>
        <v>0</v>
      </c>
      <c r="I172" s="184">
        <f>SUMIFS(GL_BS!$G:$G,GL_BS!$R:$R,'Global TARF'!$A$165,GL_BS!$S:$S,'Global TARF'!$A172,GL_BS!$A:$A,'Global TARF'!I$8)</f>
        <v>0</v>
      </c>
      <c r="J172" s="184">
        <f>SUMIFS(GL_BS!$G:$G,GL_BS!$R:$R,'Global TARF'!$A$165,GL_BS!$S:$S,'Global TARF'!$A172,GL_BS!$A:$A,'Global TARF'!J$8)</f>
        <v>0</v>
      </c>
      <c r="K172" s="184">
        <f>SUMIFS(GL_BS!$G:$G,GL_BS!$R:$R,'Global TARF'!$A$165,GL_BS!$S:$S,'Global TARF'!$A172,GL_BS!$A:$A,'Global TARF'!K$8)</f>
        <v>0</v>
      </c>
      <c r="L172" s="184">
        <f>SUMIFS(GL_BS!$G:$G,GL_BS!$R:$R,'Global TARF'!$A$165,GL_BS!$S:$S,'Global TARF'!$A172,GL_BS!$A:$A,'Global TARF'!L$8)</f>
        <v>0</v>
      </c>
      <c r="M172" s="536">
        <f>SUMIFS(GL_BS!$G:$G,GL_BS!$R:$R,'Global TARF'!$A$165,GL_BS!$S:$S,'Global TARF'!$A172,GL_BS!$A:$A,'Global TARF'!M$8)</f>
        <v>0</v>
      </c>
      <c r="N172" s="555">
        <f>SUMIFS(GL_BS!$G:$G,GL_BS!$R:$R,'Global TARF'!$A$165,GL_BS!$S:$S,'Global TARF'!$A172,GL_BS!$A:$A,'Global TARF'!N$8)</f>
        <v>0</v>
      </c>
      <c r="O172" s="18">
        <f>SUMIFS(GL_BS!$G:$G,GL_BS!$R:$R,'Global TARF'!$A$165,GL_BS!$S:$S,'Global TARF'!$A172,GL_BS!$A:$A,'Global TARF'!O$8)</f>
        <v>0</v>
      </c>
      <c r="P172" s="545">
        <f>SUMIFS(GL_PL!$G:$G,GL_PL!$Q:$Q,'Global TARF'!$A$165,GL_PL!$R:$R,'Global TARF'!$A140,GL_PL!$A:$A,'Global TARF'!P$8)</f>
        <v>0</v>
      </c>
      <c r="Q172" s="184">
        <f>SUMIFS(GL_PL!$G:$G,GL_PL!$Q:$Q,'Global TARF'!$A$165,GL_PL!$R:$R,'Global TARF'!$A140,GL_PL!$A:$A,'Global TARF'!Q$8)</f>
        <v>0</v>
      </c>
      <c r="R172" s="184">
        <f>SUMIFS(GL_PL!$G:$G,GL_PL!$Q:$Q,'Global TARF'!$A$165,GL_PL!$R:$R,'Global TARF'!$A140,GL_PL!$A:$A,'Global TARF'!R$8)</f>
        <v>0</v>
      </c>
      <c r="S172" s="536">
        <f>SUMIFS(GL_PL!$G:$G,GL_PL!$Q:$Q,'Global TARF'!$A$165,GL_PL!$R:$R,'Global TARF'!$A140,GL_PL!$A:$A,'Global TARF'!S$8)</f>
        <v>0</v>
      </c>
      <c r="T172" s="26">
        <f>-SUM(P172:R172,H172,C172)</f>
        <v>0</v>
      </c>
      <c r="U172" s="26"/>
      <c r="Z172" s="582">
        <f t="shared" si="121"/>
        <v>0</v>
      </c>
    </row>
    <row r="173" spans="1:26" x14ac:dyDescent="0.2">
      <c r="A173" s="534" t="s">
        <v>781</v>
      </c>
      <c r="B173" s="184">
        <f>SUMIFS(GL_BS!$G:$G,GL_BS!$R:$R,'Global TARF'!$A$165,GL_BS!$S:$S,'Global TARF'!$A173,GL_BS!$A:$A,'Global TARF'!B$38)</f>
        <v>0</v>
      </c>
      <c r="C173" s="184">
        <f>SUMIFS(GL_BS!$G:$G,GL_BS!$R:$R,'Global TARF'!$A$165,GL_BS!$S:$S,'Global TARF'!$A173,GL_BS!$A:$A,'Global TARF'!C$8)</f>
        <v>0</v>
      </c>
      <c r="D173" s="184">
        <f>SUMIFS(GL_BS!$G:$G,GL_BS!$R:$R,'Global TARF'!$A$165,GL_BS!$S:$S,'Global TARF'!$A173,GL_BS!$A:$A,'Global TARF'!D$8)</f>
        <v>0</v>
      </c>
      <c r="E173" s="184">
        <f>SUMIFS(GL_BS!$G:$G,GL_BS!$R:$R,'Global TARF'!$A$165,GL_BS!$S:$S,'Global TARF'!$A173,GL_BS!$A:$A,'Global TARF'!E$8)</f>
        <v>0</v>
      </c>
      <c r="F173" s="184">
        <f>SUMIFS(GL_BS!$G:$G,GL_BS!$R:$R,'Global TARF'!$A$165,GL_BS!$S:$S,'Global TARF'!$A173,GL_BS!$A:$A,'Global TARF'!F$8)</f>
        <v>0</v>
      </c>
      <c r="G173" s="536">
        <f>SUMIFS(GL_BS!$G:$G,GL_BS!$R:$R,'Global TARF'!$A$165,GL_BS!$S:$S,'Global TARF'!$A173,GL_BS!$A:$A,'Global TARF'!G$8)</f>
        <v>0</v>
      </c>
      <c r="H173" s="545">
        <f>SUMIFS(GL_BS!$G:$G,GL_BS!$R:$R,'Global TARF'!$A$165,GL_BS!$S:$S,'Global TARF'!$A173,GL_BS!$A:$A,'Global TARF'!H$8)</f>
        <v>0</v>
      </c>
      <c r="I173" s="184">
        <f>SUMIFS(GL_BS!$G:$G,GL_BS!$R:$R,'Global TARF'!$A$165,GL_BS!$S:$S,'Global TARF'!$A173,GL_BS!$A:$A,'Global TARF'!I$8)</f>
        <v>0</v>
      </c>
      <c r="J173" s="184">
        <f>SUMIFS(GL_BS!$G:$G,GL_BS!$R:$R,'Global TARF'!$A$165,GL_BS!$S:$S,'Global TARF'!$A173,GL_BS!$A:$A,'Global TARF'!J$8)</f>
        <v>0</v>
      </c>
      <c r="K173" s="184">
        <f>SUMIFS(GL_BS!$G:$G,GL_BS!$R:$R,'Global TARF'!$A$165,GL_BS!$S:$S,'Global TARF'!$A173,GL_BS!$A:$A,'Global TARF'!K$8)</f>
        <v>0</v>
      </c>
      <c r="L173" s="184">
        <f>SUMIFS(GL_BS!$G:$G,GL_BS!$R:$R,'Global TARF'!$A$165,GL_BS!$S:$S,'Global TARF'!$A173,GL_BS!$A:$A,'Global TARF'!L$8)</f>
        <v>0</v>
      </c>
      <c r="M173" s="536">
        <f>SUMIFS(GL_BS!$G:$G,GL_BS!$R:$R,'Global TARF'!$A$165,GL_BS!$S:$S,'Global TARF'!$A173,GL_BS!$A:$A,'Global TARF'!M$8)</f>
        <v>0</v>
      </c>
      <c r="N173" s="555">
        <f>SUMIFS(GL_BS!$G:$G,GL_BS!$R:$R,'Global TARF'!$A$165,GL_BS!$S:$S,'Global TARF'!$A173,GL_BS!$A:$A,'Global TARF'!N$8)</f>
        <v>0</v>
      </c>
      <c r="O173" s="18">
        <f>SUMIFS(GL_BS!$G:$G,GL_BS!$R:$R,'Global TARF'!$A$165,GL_BS!$S:$S,'Global TARF'!$A173,GL_BS!$A:$A,'Global TARF'!O$8)</f>
        <v>0</v>
      </c>
      <c r="P173" s="545">
        <f>SUMIFS(GL_PL!$G:$G,GL_PL!$Q:$Q,'Global TARF'!$A$165,GL_PL!$R:$R,'Global TARF'!$A141,GL_PL!$A:$A,'Global TARF'!P$8)</f>
        <v>0</v>
      </c>
      <c r="Q173" s="184">
        <f>SUMIFS(GL_PL!$G:$G,GL_PL!$Q:$Q,'Global TARF'!$A$165,GL_PL!$R:$R,'Global TARF'!$A141,GL_PL!$A:$A,'Global TARF'!Q$8)</f>
        <v>0</v>
      </c>
      <c r="R173" s="184">
        <f>SUMIFS(GL_PL!$G:$G,GL_PL!$Q:$Q,'Global TARF'!$A$165,GL_PL!$R:$R,'Global TARF'!$A141,GL_PL!$A:$A,'Global TARF'!R$8)</f>
        <v>0</v>
      </c>
      <c r="S173" s="536">
        <f>SUMIFS(GL_PL!$G:$G,GL_PL!$Q:$Q,'Global TARF'!$A$165,GL_PL!$R:$R,'Global TARF'!$A141,GL_PL!$A:$A,'Global TARF'!S$8)</f>
        <v>0</v>
      </c>
      <c r="T173" s="26">
        <f>-SUM(P173:R173,H173,C173)</f>
        <v>0</v>
      </c>
      <c r="U173" s="26"/>
      <c r="Z173" s="582">
        <f t="shared" si="121"/>
        <v>0</v>
      </c>
    </row>
    <row r="174" spans="1:26" x14ac:dyDescent="0.2">
      <c r="A174" s="534" t="s">
        <v>782</v>
      </c>
      <c r="B174" s="184">
        <f>SUMIFS(GL_BS!$G:$G,GL_BS!$R:$R,'Global TARF'!$A$165,GL_BS!$S:$S,'Global TARF'!$A174,GL_BS!$A:$A,'Global TARF'!B$38)</f>
        <v>0</v>
      </c>
      <c r="C174" s="184">
        <f>SUMIFS(GL_BS!$G:$G,GL_BS!$R:$R,'Global TARF'!$A$165,GL_BS!$S:$S,'Global TARF'!$A174,GL_BS!$A:$A,'Global TARF'!C$8)</f>
        <v>0</v>
      </c>
      <c r="D174" s="184">
        <f>SUMIFS(GL_BS!$G:$G,GL_BS!$R:$R,'Global TARF'!$A$165,GL_BS!$S:$S,'Global TARF'!$A174,GL_BS!$A:$A,'Global TARF'!D$8)</f>
        <v>0</v>
      </c>
      <c r="E174" s="184">
        <f>SUMIFS(GL_BS!$G:$G,GL_BS!$R:$R,'Global TARF'!$A$165,GL_BS!$S:$S,'Global TARF'!$A174,GL_BS!$A:$A,'Global TARF'!E$8)</f>
        <v>0</v>
      </c>
      <c r="F174" s="184">
        <f>SUMIFS(GL_BS!$G:$G,GL_BS!$R:$R,'Global TARF'!$A$165,GL_BS!$S:$S,'Global TARF'!$A174,GL_BS!$A:$A,'Global TARF'!F$8)</f>
        <v>0</v>
      </c>
      <c r="G174" s="536">
        <f>SUMIFS(GL_BS!$G:$G,GL_BS!$R:$R,'Global TARF'!$A$165,GL_BS!$S:$S,'Global TARF'!$A174,GL_BS!$A:$A,'Global TARF'!G$8)</f>
        <v>0</v>
      </c>
      <c r="H174" s="545">
        <f>SUMIFS(GL_BS!$G:$G,GL_BS!$R:$R,'Global TARF'!$A$165,GL_BS!$S:$S,'Global TARF'!$A174,GL_BS!$A:$A,'Global TARF'!H$8)</f>
        <v>0</v>
      </c>
      <c r="I174" s="184">
        <f>SUMIFS(GL_BS!$G:$G,GL_BS!$R:$R,'Global TARF'!$A$165,GL_BS!$S:$S,'Global TARF'!$A174,GL_BS!$A:$A,'Global TARF'!I$8)</f>
        <v>25491.762797904001</v>
      </c>
      <c r="J174" s="184">
        <f>SUMIFS(GL_BS!$G:$G,GL_BS!$R:$R,'Global TARF'!$A$165,GL_BS!$S:$S,'Global TARF'!$A174,GL_BS!$A:$A,'Global TARF'!J$8)</f>
        <v>0</v>
      </c>
      <c r="K174" s="184">
        <f>SUMIFS(GL_BS!$G:$G,GL_BS!$R:$R,'Global TARF'!$A$165,GL_BS!$S:$S,'Global TARF'!$A174,GL_BS!$A:$A,'Global TARF'!K$8)</f>
        <v>0</v>
      </c>
      <c r="L174" s="184">
        <f>SUMIFS(GL_BS!$G:$G,GL_BS!$R:$R,'Global TARF'!$A$165,GL_BS!$S:$S,'Global TARF'!$A174,GL_BS!$A:$A,'Global TARF'!L$8)</f>
        <v>0</v>
      </c>
      <c r="M174" s="536">
        <f>SUMIFS(GL_BS!$G:$G,GL_BS!$R:$R,'Global TARF'!$A$165,GL_BS!$S:$S,'Global TARF'!$A174,GL_BS!$A:$A,'Global TARF'!M$8)</f>
        <v>0</v>
      </c>
      <c r="N174" s="555">
        <f>SUMIFS(GL_BS!$G:$G,GL_BS!$R:$R,'Global TARF'!$A$165,GL_BS!$S:$S,'Global TARF'!$A174,GL_BS!$A:$A,'Global TARF'!N$8)</f>
        <v>0</v>
      </c>
      <c r="O174" s="18">
        <f>SUMIFS(GL_BS!$G:$G,GL_BS!$R:$R,'Global TARF'!$A$165,GL_BS!$S:$S,'Global TARF'!$A174,GL_BS!$A:$A,'Global TARF'!O$8)</f>
        <v>0</v>
      </c>
      <c r="P174" s="545">
        <f>SUMIFS(GL_PL!$G:$G,GL_PL!$Q:$Q,'Global TARF'!$A$165,GL_PL!$R:$R,'Global TARF'!$A142,GL_PL!$A:$A,'Global TARF'!P$8)</f>
        <v>0</v>
      </c>
      <c r="Q174" s="184">
        <f>SUMIFS(GL_PL!$G:$G,GL_PL!$Q:$Q,'Global TARF'!$A$165,GL_PL!$R:$R,'Global TARF'!$A142,GL_PL!$A:$A,'Global TARF'!Q$8)</f>
        <v>0</v>
      </c>
      <c r="R174" s="184">
        <f>SUMIFS(GL_PL!$G:$G,GL_PL!$Q:$Q,'Global TARF'!$A$165,GL_PL!$R:$R,'Global TARF'!$A142,GL_PL!$A:$A,'Global TARF'!R$8)</f>
        <v>0</v>
      </c>
      <c r="S174" s="536">
        <f>SUMIFS(GL_PL!$G:$G,GL_PL!$Q:$Q,'Global TARF'!$A$165,GL_PL!$R:$R,'Global TARF'!$A142,GL_PL!$A:$A,'Global TARF'!S$8)</f>
        <v>0</v>
      </c>
      <c r="T174" s="26">
        <f>-SUM(P174:R174,H174,C174,I174)</f>
        <v>-25491.762797904001</v>
      </c>
      <c r="U174" s="26"/>
      <c r="Z174" s="582">
        <f t="shared" si="121"/>
        <v>0</v>
      </c>
    </row>
    <row r="175" spans="1:26" x14ac:dyDescent="0.2">
      <c r="A175" s="534" t="s">
        <v>950</v>
      </c>
      <c r="B175" s="184">
        <f>SUMIFS(GL_BS!$G:$G,GL_BS!$R:$R,'Global TARF'!$A$165,GL_BS!$S:$S,'Global TARF'!$A175,GL_BS!$A:$A,'Global TARF'!B$38)</f>
        <v>0</v>
      </c>
      <c r="C175" s="184">
        <f>SUMIFS(GL_BS!$G:$G,GL_BS!$R:$R,'Global TARF'!$A$165,GL_BS!$S:$S,'Global TARF'!$A175,GL_BS!$A:$A,'Global TARF'!C$8)</f>
        <v>0</v>
      </c>
      <c r="D175" s="184">
        <f>SUMIFS(GL_BS!$G:$G,GL_BS!$R:$R,'Global TARF'!$A$165,GL_BS!$S:$S,'Global TARF'!$A175,GL_BS!$A:$A,'Global TARF'!D$8)</f>
        <v>0</v>
      </c>
      <c r="E175" s="184">
        <f>SUMIFS(GL_BS!$G:$G,GL_BS!$R:$R,'Global TARF'!$A$165,GL_BS!$S:$S,'Global TARF'!$A175,GL_BS!$A:$A,'Global TARF'!E$8)</f>
        <v>0</v>
      </c>
      <c r="F175" s="184">
        <f>SUMIFS(GL_BS!$G:$G,GL_BS!$R:$R,'Global TARF'!$A$165,GL_BS!$S:$S,'Global TARF'!$A175,GL_BS!$A:$A,'Global TARF'!F$8)</f>
        <v>0</v>
      </c>
      <c r="G175" s="536">
        <f>SUMIFS(GL_BS!$G:$G,GL_BS!$R:$R,'Global TARF'!$A$165,GL_BS!$S:$S,'Global TARF'!$A175,GL_BS!$A:$A,'Global TARF'!G$8)</f>
        <v>0</v>
      </c>
      <c r="H175" s="545">
        <f>SUMIFS(GL_BS!$G:$G,GL_BS!$R:$R,'Global TARF'!$A$165,GL_BS!$S:$S,'Global TARF'!$A175,GL_BS!$A:$A,'Global TARF'!H$8)</f>
        <v>0</v>
      </c>
      <c r="I175" s="184">
        <f>SUMIFS(GL_BS!$G:$G,GL_BS!$R:$R,'Global TARF'!$A$165,GL_BS!$S:$S,'Global TARF'!$A175,GL_BS!$A:$A,'Global TARF'!I$8)</f>
        <v>0</v>
      </c>
      <c r="J175" s="184">
        <f>SUMIFS(GL_BS!$G:$G,GL_BS!$R:$R,'Global TARF'!$A$165,GL_BS!$S:$S,'Global TARF'!$A175,GL_BS!$A:$A,'Global TARF'!J$8)</f>
        <v>0</v>
      </c>
      <c r="K175" s="184">
        <f>SUMIFS(GL_BS!$G:$G,GL_BS!$R:$R,'Global TARF'!$A$165,GL_BS!$S:$S,'Global TARF'!$A175,GL_BS!$A:$A,'Global TARF'!K$8)</f>
        <v>0</v>
      </c>
      <c r="L175" s="184">
        <f>SUMIFS(GL_BS!$G:$G,GL_BS!$R:$R,'Global TARF'!$A$165,GL_BS!$S:$S,'Global TARF'!$A175,GL_BS!$A:$A,'Global TARF'!L$8)</f>
        <v>0</v>
      </c>
      <c r="M175" s="536">
        <f>SUMIFS(GL_BS!$G:$G,GL_BS!$R:$R,'Global TARF'!$A$165,GL_BS!$S:$S,'Global TARF'!$A175,GL_BS!$A:$A,'Global TARF'!M$8)</f>
        <v>0</v>
      </c>
      <c r="N175" s="555">
        <f>SUMIFS(GL_BS!$G:$G,GL_BS!$R:$R,'Global TARF'!$A$165,GL_BS!$S:$S,'Global TARF'!$A175,GL_BS!$A:$A,'Global TARF'!N$8)</f>
        <v>0</v>
      </c>
      <c r="O175" s="18">
        <f>SUMIFS(GL_BS!$G:$G,GL_BS!$R:$R,'Global TARF'!$A$165,GL_BS!$S:$S,'Global TARF'!$A175,GL_BS!$A:$A,'Global TARF'!O$8)</f>
        <v>0</v>
      </c>
      <c r="P175" s="545">
        <f>SUMIFS(GL_PL!$G:$G,GL_PL!$Q:$Q,'Global TARF'!$A$165,GL_PL!$R:$R,'Global TARF'!$A143,GL_PL!$A:$A,'Global TARF'!P$8)</f>
        <v>0</v>
      </c>
      <c r="Q175" s="184">
        <f>SUMIFS(GL_PL!$G:$G,GL_PL!$Q:$Q,'Global TARF'!$A$165,GL_PL!$R:$R,'Global TARF'!$A143,GL_PL!$A:$A,'Global TARF'!Q$8)</f>
        <v>0</v>
      </c>
      <c r="R175" s="184">
        <f>SUMIFS(GL_PL!$G:$G,GL_PL!$Q:$Q,'Global TARF'!$A$165,GL_PL!$R:$R,'Global TARF'!$A143,GL_PL!$A:$A,'Global TARF'!R$8)</f>
        <v>0</v>
      </c>
      <c r="S175" s="536">
        <f>SUMIFS(GL_PL!$G:$G,GL_PL!$Q:$Q,'Global TARF'!$A$165,GL_PL!$R:$R,'Global TARF'!$A143,GL_PL!$A:$A,'Global TARF'!S$8)</f>
        <v>0</v>
      </c>
      <c r="T175" s="26">
        <f>-SUM(P175:R175,H175,C175)</f>
        <v>0</v>
      </c>
      <c r="U175" s="26"/>
      <c r="Z175" s="582">
        <f t="shared" si="121"/>
        <v>0</v>
      </c>
    </row>
    <row r="176" spans="1:26" x14ac:dyDescent="0.2">
      <c r="A176" s="534" t="s">
        <v>4586</v>
      </c>
      <c r="B176" s="184">
        <f>SUMIFS(GL_BS!$G:$G,GL_BS!$R:$R,'Global TARF'!$A$165,GL_BS!$S:$S,'Global TARF'!$A176,GL_BS!$A:$A,'Global TARF'!B$38)</f>
        <v>0</v>
      </c>
      <c r="C176" s="184">
        <f>SUMIFS(GL_BS!$G:$G,GL_BS!$R:$R,'Global TARF'!$A$165,GL_BS!$S:$S,'Global TARF'!$A176,GL_BS!$A:$A,'Global TARF'!C$8)</f>
        <v>0</v>
      </c>
      <c r="D176" s="184">
        <f>SUMIFS(GL_BS!$G:$G,GL_BS!$R:$R,'Global TARF'!$A$165,GL_BS!$S:$S,'Global TARF'!$A176,GL_BS!$A:$A,'Global TARF'!D$8)</f>
        <v>0</v>
      </c>
      <c r="E176" s="184">
        <f>SUMIFS(GL_BS!$G:$G,GL_BS!$R:$R,'Global TARF'!$A$165,GL_BS!$S:$S,'Global TARF'!$A176,GL_BS!$A:$A,'Global TARF'!E$8)</f>
        <v>0</v>
      </c>
      <c r="F176" s="184">
        <f>SUMIFS(GL_BS!$G:$G,GL_BS!$R:$R,'Global TARF'!$A$165,GL_BS!$S:$S,'Global TARF'!$A176,GL_BS!$A:$A,'Global TARF'!F$8)</f>
        <v>0</v>
      </c>
      <c r="G176" s="536">
        <f>SUMIFS(GL_BS!$G:$G,GL_BS!$R:$R,'Global TARF'!$A$165,GL_BS!$S:$S,'Global TARF'!$A176,GL_BS!$A:$A,'Global TARF'!G$8)</f>
        <v>0</v>
      </c>
      <c r="H176" s="545">
        <f>SUMIFS(GL_BS!$G:$G,GL_BS!$R:$R,'Global TARF'!$A$165,GL_BS!$S:$S,'Global TARF'!$A176,GL_BS!$A:$A,'Global TARF'!H$8)</f>
        <v>0</v>
      </c>
      <c r="I176" s="184">
        <f>SUMIFS(GL_BS!$G:$G,GL_BS!$R:$R,'Global TARF'!$A$165,GL_BS!$S:$S,'Global TARF'!$A176,GL_BS!$A:$A,'Global TARF'!I$8)</f>
        <v>0</v>
      </c>
      <c r="J176" s="184">
        <f>SUMIFS(GL_BS!$G:$G,GL_BS!$R:$R,'Global TARF'!$A$165,GL_BS!$S:$S,'Global TARF'!$A176,GL_BS!$A:$A,'Global TARF'!J$8)</f>
        <v>0</v>
      </c>
      <c r="K176" s="184">
        <f>SUMIFS(GL_BS!$G:$G,GL_BS!$R:$R,'Global TARF'!$A$165,GL_BS!$S:$S,'Global TARF'!$A176,GL_BS!$A:$A,'Global TARF'!K$8)</f>
        <v>0</v>
      </c>
      <c r="L176" s="184">
        <f>SUMIFS(GL_BS!$G:$G,GL_BS!$R:$R,'Global TARF'!$A$165,GL_BS!$S:$S,'Global TARF'!$A176,GL_BS!$A:$A,'Global TARF'!L$8)</f>
        <v>0</v>
      </c>
      <c r="M176" s="536">
        <f>SUMIFS(GL_BS!$G:$G,GL_BS!$R:$R,'Global TARF'!$A$165,GL_BS!$S:$S,'Global TARF'!$A176,GL_BS!$A:$A,'Global TARF'!M$8)</f>
        <v>0</v>
      </c>
      <c r="N176" s="555">
        <f>SUMIFS(GL_BS!$G:$G,GL_BS!$R:$R,'Global TARF'!$A$165,GL_BS!$S:$S,'Global TARF'!$A176,GL_BS!$A:$A,'Global TARF'!N$8)</f>
        <v>0</v>
      </c>
      <c r="O176" s="18">
        <f>SUMIFS(GL_BS!$G:$G,GL_BS!$R:$R,'Global TARF'!$A$165,GL_BS!$S:$S,'Global TARF'!$A176,GL_BS!$A:$A,'Global TARF'!O$8)</f>
        <v>0</v>
      </c>
      <c r="P176" s="545">
        <f>SUMIFS(GL_PL!$G:$G,GL_PL!$Q:$Q,'Global TARF'!$A$165,GL_PL!$R:$R,'Global TARF'!$A144,GL_PL!$A:$A,'Global TARF'!P$8)</f>
        <v>0</v>
      </c>
      <c r="Q176" s="184">
        <f>SUMIFS(GL_PL!$G:$G,GL_PL!$Q:$Q,'Global TARF'!$A$165,GL_PL!$R:$R,'Global TARF'!$A144,GL_PL!$A:$A,'Global TARF'!Q$8)</f>
        <v>0</v>
      </c>
      <c r="R176" s="184">
        <f>SUMIFS(GL_PL!$G:$G,GL_PL!$Q:$Q,'Global TARF'!$A$165,GL_PL!$R:$R,'Global TARF'!$A144,GL_PL!$A:$A,'Global TARF'!R$8)</f>
        <v>0</v>
      </c>
      <c r="S176" s="536">
        <f>SUMIFS(GL_PL!$G:$G,GL_PL!$Q:$Q,'Global TARF'!$A$165,GL_PL!$R:$R,'Global TARF'!$A144,GL_PL!$A:$A,'Global TARF'!S$8)</f>
        <v>0</v>
      </c>
      <c r="T176"/>
      <c r="V176" s="26">
        <f>-SUM(R176,Q176,P176,H176)</f>
        <v>0</v>
      </c>
      <c r="Z176" s="582">
        <f t="shared" si="121"/>
        <v>0</v>
      </c>
    </row>
    <row r="177" spans="1:32" x14ac:dyDescent="0.2">
      <c r="A177" s="534" t="s">
        <v>779</v>
      </c>
      <c r="B177" s="184">
        <f>SUMIFS(GL_BS!$G:$G,GL_BS!$R:$R,'Global TARF'!$A$165,GL_BS!$S:$S,'Global TARF'!$A177,GL_BS!$A:$A,'Global TARF'!B$38)</f>
        <v>0</v>
      </c>
      <c r="C177" s="184">
        <f>SUMIFS(GL_BS!$G:$G,GL_BS!$R:$R,'Global TARF'!$A$165,GL_BS!$S:$S,'Global TARF'!$A177,GL_BS!$A:$A,'Global TARF'!C$8)</f>
        <v>0</v>
      </c>
      <c r="D177" s="184">
        <f>SUMIFS(GL_BS!$G:$G,GL_BS!$R:$R,'Global TARF'!$A$165,GL_BS!$S:$S,'Global TARF'!$A177,GL_BS!$A:$A,'Global TARF'!D$8)</f>
        <v>0</v>
      </c>
      <c r="E177" s="184">
        <f>SUMIFS(GL_BS!$G:$G,GL_BS!$R:$R,'Global TARF'!$A$165,GL_BS!$S:$S,'Global TARF'!$A177,GL_BS!$A:$A,'Global TARF'!E$8)</f>
        <v>0</v>
      </c>
      <c r="F177" s="184">
        <f>SUMIFS(GL_BS!$G:$G,GL_BS!$R:$R,'Global TARF'!$A$165,GL_BS!$S:$S,'Global TARF'!$A177,GL_BS!$A:$A,'Global TARF'!F$8)</f>
        <v>0</v>
      </c>
      <c r="G177" s="536">
        <f>SUMIFS(GL_BS!$G:$G,GL_BS!$R:$R,'Global TARF'!$A$165,GL_BS!$S:$S,'Global TARF'!$A177,GL_BS!$A:$A,'Global TARF'!G$8)</f>
        <v>0</v>
      </c>
      <c r="H177" s="545">
        <f>SUMIFS(GL_BS!$G:$G,GL_BS!$R:$R,'Global TARF'!$A$165,GL_BS!$S:$S,'Global TARF'!$A177,GL_BS!$A:$A,'Global TARF'!H$8)</f>
        <v>0</v>
      </c>
      <c r="I177" s="184">
        <f>SUMIFS(GL_BS!$G:$G,GL_BS!$R:$R,'Global TARF'!$A$165,GL_BS!$S:$S,'Global TARF'!$A177,GL_BS!$A:$A,'Global TARF'!I$8)</f>
        <v>0</v>
      </c>
      <c r="J177" s="184">
        <f>SUMIFS(GL_BS!$G:$G,GL_BS!$R:$R,'Global TARF'!$A$165,GL_BS!$S:$S,'Global TARF'!$A177,GL_BS!$A:$A,'Global TARF'!J$8)</f>
        <v>0</v>
      </c>
      <c r="K177" s="184">
        <f>SUMIFS(GL_BS!$G:$G,GL_BS!$R:$R,'Global TARF'!$A$165,GL_BS!$S:$S,'Global TARF'!$A177,GL_BS!$A:$A,'Global TARF'!K$8)</f>
        <v>0</v>
      </c>
      <c r="L177" s="184">
        <f>SUMIFS(GL_BS!$G:$G,GL_BS!$R:$R,'Global TARF'!$A$165,GL_BS!$S:$S,'Global TARF'!$A177,GL_BS!$A:$A,'Global TARF'!L$8)</f>
        <v>0</v>
      </c>
      <c r="M177" s="536">
        <f>SUMIFS(GL_BS!$G:$G,GL_BS!$R:$R,'Global TARF'!$A$165,GL_BS!$S:$S,'Global TARF'!$A177,GL_BS!$A:$A,'Global TARF'!M$8)</f>
        <v>0</v>
      </c>
      <c r="N177" s="555">
        <f>SUMIFS(GL_BS!$G:$G,GL_BS!$R:$R,'Global TARF'!$A$165,GL_BS!$S:$S,'Global TARF'!$A177,GL_BS!$A:$A,'Global TARF'!N$8)</f>
        <v>0</v>
      </c>
      <c r="O177" s="18">
        <f>SUMIFS(GL_BS!$G:$G,GL_BS!$R:$R,'Global TARF'!$A$165,GL_BS!$S:$S,'Global TARF'!$A177,GL_BS!$A:$A,'Global TARF'!O$8)</f>
        <v>0</v>
      </c>
      <c r="P177" s="545">
        <f>SUMIFS(GL_PL!$G:$G,GL_PL!$Q:$Q,'Global TARF'!$A$165,GL_PL!$R:$R,'Global TARF'!$A145,GL_PL!$A:$A,'Global TARF'!P$8)</f>
        <v>0</v>
      </c>
      <c r="Q177" s="184">
        <f>SUMIFS(GL_PL!$G:$G,GL_PL!$Q:$Q,'Global TARF'!$A$165,GL_PL!$R:$R,'Global TARF'!$A145,GL_PL!$A:$A,'Global TARF'!Q$8)</f>
        <v>0</v>
      </c>
      <c r="R177" s="184">
        <f>SUMIFS(GL_PL!$G:$G,GL_PL!$Q:$Q,'Global TARF'!$A$165,GL_PL!$R:$R,'Global TARF'!$A145,GL_PL!$A:$A,'Global TARF'!R$8)</f>
        <v>0</v>
      </c>
      <c r="S177" s="536">
        <f>SUMIFS(GL_PL!$G:$G,GL_PL!$Q:$Q,'Global TARF'!$A$165,GL_PL!$R:$R,'Global TARF'!$A145,GL_PL!$A:$A,'Global TARF'!S$8)</f>
        <v>0</v>
      </c>
      <c r="T177"/>
      <c r="V177" s="26">
        <f>-SUM(R177,Q177,P177,H177)</f>
        <v>0</v>
      </c>
      <c r="Z177" s="582">
        <f t="shared" si="121"/>
        <v>0</v>
      </c>
    </row>
    <row r="178" spans="1:32" x14ac:dyDescent="0.2">
      <c r="A178" s="534" t="s">
        <v>4267</v>
      </c>
      <c r="B178" s="184">
        <f>SUMIFS(GL_BS!$G:$G,GL_BS!$R:$R,'Global TARF'!$A$165,GL_BS!$S:$S,'Global TARF'!$A178,GL_BS!$A:$A,'Global TARF'!B$38)</f>
        <v>0</v>
      </c>
      <c r="C178" s="184">
        <f>SUMIFS(GL_BS!$G:$G,GL_BS!$R:$R,'Global TARF'!$A$165,GL_BS!$S:$S,'Global TARF'!$A178,GL_BS!$A:$A,'Global TARF'!C$8)</f>
        <v>0</v>
      </c>
      <c r="D178" s="184">
        <f>SUMIFS(GL_BS!$G:$G,GL_BS!$R:$R,'Global TARF'!$A$165,GL_BS!$S:$S,'Global TARF'!$A178,GL_BS!$A:$A,'Global TARF'!D$8)</f>
        <v>0</v>
      </c>
      <c r="E178" s="184">
        <f>SUMIFS(GL_BS!$G:$G,GL_BS!$R:$R,'Global TARF'!$A$165,GL_BS!$S:$S,'Global TARF'!$A178,GL_BS!$A:$A,'Global TARF'!E$8)</f>
        <v>0</v>
      </c>
      <c r="F178" s="184">
        <f>SUMIFS(GL_BS!$G:$G,GL_BS!$R:$R,'Global TARF'!$A$165,GL_BS!$S:$S,'Global TARF'!$A178,GL_BS!$A:$A,'Global TARF'!F$8)</f>
        <v>0</v>
      </c>
      <c r="G178" s="536">
        <f>SUMIFS(GL_BS!$G:$G,GL_BS!$R:$R,'Global TARF'!$A$165,GL_BS!$S:$S,'Global TARF'!$A178,GL_BS!$A:$A,'Global TARF'!G$8)</f>
        <v>0</v>
      </c>
      <c r="H178" s="545">
        <f>SUMIFS(GL_BS!$G:$G,GL_BS!$R:$R,'Global TARF'!$A$165,GL_BS!$S:$S,'Global TARF'!$A178,GL_BS!$A:$A,'Global TARF'!H$8)</f>
        <v>0</v>
      </c>
      <c r="I178" s="184">
        <f>SUMIFS(GL_BS!$G:$G,GL_BS!$R:$R,'Global TARF'!$A$165,GL_BS!$S:$S,'Global TARF'!$A178,GL_BS!$A:$A,'Global TARF'!I$8)</f>
        <v>0</v>
      </c>
      <c r="J178" s="184">
        <f>SUMIFS(GL_BS!$G:$G,GL_BS!$R:$R,'Global TARF'!$A$165,GL_BS!$S:$S,'Global TARF'!$A178,GL_BS!$A:$A,'Global TARF'!J$8)</f>
        <v>0</v>
      </c>
      <c r="K178" s="184">
        <f>SUMIFS(GL_BS!$G:$G,GL_BS!$R:$R,'Global TARF'!$A$165,GL_BS!$S:$S,'Global TARF'!$A178,GL_BS!$A:$A,'Global TARF'!K$8)</f>
        <v>0</v>
      </c>
      <c r="L178" s="184">
        <f>SUMIFS(GL_BS!$G:$G,GL_BS!$R:$R,'Global TARF'!$A$165,GL_BS!$S:$S,'Global TARF'!$A178,GL_BS!$A:$A,'Global TARF'!L$8)</f>
        <v>0</v>
      </c>
      <c r="M178" s="536">
        <f>SUMIFS(GL_BS!$G:$G,GL_BS!$R:$R,'Global TARF'!$A$165,GL_BS!$S:$S,'Global TARF'!$A178,GL_BS!$A:$A,'Global TARF'!M$8)</f>
        <v>0</v>
      </c>
      <c r="N178" s="555">
        <f>SUMIFS(GL_BS!$G:$G,GL_BS!$R:$R,'Global TARF'!$A$165,GL_BS!$S:$S,'Global TARF'!$A178,GL_BS!$A:$A,'Global TARF'!N$8)</f>
        <v>0</v>
      </c>
      <c r="O178" s="18">
        <f>SUMIFS(GL_BS!$G:$G,GL_BS!$R:$R,'Global TARF'!$A$165,GL_BS!$S:$S,'Global TARF'!$A178,GL_BS!$A:$A,'Global TARF'!O$8)</f>
        <v>0</v>
      </c>
      <c r="P178" s="545">
        <f>SUMIFS(GL_PL!$G:$G,GL_PL!$Q:$Q,'Global TARF'!$A$165,GL_PL!$R:$R,'Global TARF'!$A146,GL_PL!$A:$A,'Global TARF'!P$8)</f>
        <v>0</v>
      </c>
      <c r="Q178" s="184">
        <f>SUMIFS(GL_PL!$G:$G,GL_PL!$Q:$Q,'Global TARF'!$A$165,GL_PL!$R:$R,'Global TARF'!$A146,GL_PL!$A:$A,'Global TARF'!Q$8)</f>
        <v>0</v>
      </c>
      <c r="R178" s="184">
        <f>SUMIFS(GL_PL!$G:$G,GL_PL!$Q:$Q,'Global TARF'!$A$165,GL_PL!$R:$R,'Global TARF'!$A146,GL_PL!$A:$A,'Global TARF'!R$8)</f>
        <v>0</v>
      </c>
      <c r="S178" s="536">
        <f>SUMIFS(GL_PL!$G:$G,GL_PL!$Q:$Q,'Global TARF'!$A$165,GL_PL!$R:$R,'Global TARF'!$A146,GL_PL!$A:$A,'Global TARF'!S$8)</f>
        <v>0</v>
      </c>
      <c r="T178"/>
      <c r="W178" s="26">
        <f>-SUM(R178,H178)</f>
        <v>0</v>
      </c>
      <c r="Z178" s="582">
        <f t="shared" si="121"/>
        <v>0</v>
      </c>
    </row>
    <row r="179" spans="1:32" x14ac:dyDescent="0.2">
      <c r="A179" s="534" t="s">
        <v>4275</v>
      </c>
      <c r="B179" s="184">
        <f>SUMIFS(GL_BS!$G:$G,GL_BS!$R:$R,'Global TARF'!$A$165,GL_BS!$S:$S,'Global TARF'!$A179,GL_BS!$A:$A,'Global TARF'!B$38)</f>
        <v>0</v>
      </c>
      <c r="C179" s="184">
        <f>SUMIFS(GL_BS!$G:$G,GL_BS!$R:$R,'Global TARF'!$A$165,GL_BS!$S:$S,'Global TARF'!$A179,GL_BS!$A:$A,'Global TARF'!C$8)</f>
        <v>0</v>
      </c>
      <c r="D179" s="184">
        <f>SUMIFS(GL_BS!$G:$G,GL_BS!$R:$R,'Global TARF'!$A$165,GL_BS!$S:$S,'Global TARF'!$A179,GL_BS!$A:$A,'Global TARF'!D$8)</f>
        <v>0</v>
      </c>
      <c r="E179" s="184">
        <f>SUMIFS(GL_BS!$G:$G,GL_BS!$R:$R,'Global TARF'!$A$165,GL_BS!$S:$S,'Global TARF'!$A179,GL_BS!$A:$A,'Global TARF'!E$8)</f>
        <v>0</v>
      </c>
      <c r="F179" s="184">
        <f>SUMIFS(GL_BS!$G:$G,GL_BS!$R:$R,'Global TARF'!$A$165,GL_BS!$S:$S,'Global TARF'!$A179,GL_BS!$A:$A,'Global TARF'!F$8)</f>
        <v>0</v>
      </c>
      <c r="G179" s="536">
        <f>SUMIFS(GL_BS!$G:$G,GL_BS!$R:$R,'Global TARF'!$A$165,GL_BS!$S:$S,'Global TARF'!$A179,GL_BS!$A:$A,'Global TARF'!G$8)</f>
        <v>0</v>
      </c>
      <c r="H179" s="545">
        <f>SUMIFS(GL_BS!$G:$G,GL_BS!$R:$R,'Global TARF'!$A$165,GL_BS!$S:$S,'Global TARF'!$A179,GL_BS!$A:$A,'Global TARF'!H$8)</f>
        <v>11432.2228722</v>
      </c>
      <c r="I179" s="184">
        <f>SUMIFS(GL_BS!$G:$G,GL_BS!$R:$R,'Global TARF'!$A$165,GL_BS!$S:$S,'Global TARF'!$A179,GL_BS!$A:$A,'Global TARF'!I$8)</f>
        <v>0</v>
      </c>
      <c r="J179" s="184">
        <f>SUMIFS(GL_BS!$G:$G,GL_BS!$R:$R,'Global TARF'!$A$165,GL_BS!$S:$S,'Global TARF'!$A179,GL_BS!$A:$A,'Global TARF'!J$8)</f>
        <v>0</v>
      </c>
      <c r="K179" s="184">
        <f>SUMIFS(GL_BS!$G:$G,GL_BS!$R:$R,'Global TARF'!$A$165,GL_BS!$S:$S,'Global TARF'!$A179,GL_BS!$A:$A,'Global TARF'!K$8)</f>
        <v>0</v>
      </c>
      <c r="L179" s="184">
        <f>SUMIFS(GL_BS!$G:$G,GL_BS!$R:$R,'Global TARF'!$A$165,GL_BS!$S:$S,'Global TARF'!$A179,GL_BS!$A:$A,'Global TARF'!L$8)</f>
        <v>0</v>
      </c>
      <c r="M179" s="536">
        <f>SUMIFS(GL_BS!$G:$G,GL_BS!$R:$R,'Global TARF'!$A$165,GL_BS!$S:$S,'Global TARF'!$A179,GL_BS!$A:$A,'Global TARF'!M$8)</f>
        <v>0</v>
      </c>
      <c r="N179" s="555">
        <f>SUMIFS(GL_BS!$G:$G,GL_BS!$R:$R,'Global TARF'!$A$165,GL_BS!$S:$S,'Global TARF'!$A179,GL_BS!$A:$A,'Global TARF'!N$8)</f>
        <v>0</v>
      </c>
      <c r="O179" s="18">
        <f>SUMIFS(GL_BS!$G:$G,GL_BS!$R:$R,'Global TARF'!$A$165,GL_BS!$S:$S,'Global TARF'!$A179,GL_BS!$A:$A,'Global TARF'!O$8)</f>
        <v>0</v>
      </c>
      <c r="P179" s="545">
        <f>SUMIFS(GL_PL!$G:$G,GL_PL!$Q:$Q,'Global TARF'!$A$165,GL_PL!$R:$R,'Global TARF'!$A147,GL_PL!$A:$A,'Global TARF'!P$8)</f>
        <v>0</v>
      </c>
      <c r="Q179" s="184">
        <f>SUMIFS(GL_PL!$G:$G,GL_PL!$Q:$Q,'Global TARF'!$A$165,GL_PL!$R:$R,'Global TARF'!$A147,GL_PL!$A:$A,'Global TARF'!Q$8)</f>
        <v>0</v>
      </c>
      <c r="R179" s="184">
        <f>SUMIFS(GL_PL!$G:$G,GL_PL!$Q:$Q,'Global TARF'!$A$165,GL_PL!$R:$R,'Global TARF'!$A147,GL_PL!$A:$A,'Global TARF'!R$8)</f>
        <v>0</v>
      </c>
      <c r="S179" s="536">
        <f>SUMIFS(GL_PL!$G:$G,GL_PL!$Q:$Q,'Global TARF'!$A$165,GL_PL!$R:$R,'Global TARF'!$A147,GL_PL!$A:$A,'Global TARF'!S$8)</f>
        <v>0</v>
      </c>
      <c r="T179" s="26">
        <f>-H179-I179</f>
        <v>-11432.2228722</v>
      </c>
      <c r="Z179" s="582">
        <f t="shared" si="121"/>
        <v>0</v>
      </c>
    </row>
    <row r="180" spans="1:32" x14ac:dyDescent="0.2">
      <c r="A180" s="534" t="s">
        <v>4481</v>
      </c>
      <c r="B180" s="184">
        <f>SUMIFS(GL_BS!$G:$G,GL_BS!$R:$R,'Global TARF'!$A$165,GL_BS!$S:$S,'Global TARF'!$A180,GL_BS!$A:$A,'Global TARF'!B$38)</f>
        <v>0</v>
      </c>
      <c r="C180" s="184">
        <f>SUMIFS(GL_BS!$G:$G,GL_BS!$R:$R,'Global TARF'!$A$165,GL_BS!$S:$S,'Global TARF'!$A180,GL_BS!$A:$A,'Global TARF'!C$8)</f>
        <v>0</v>
      </c>
      <c r="D180" s="184">
        <f>SUMIFS(GL_BS!$G:$G,GL_BS!$R:$R,'Global TARF'!$A$165,GL_BS!$S:$S,'Global TARF'!$A180,GL_BS!$A:$A,'Global TARF'!D$8)</f>
        <v>0</v>
      </c>
      <c r="E180" s="184">
        <f>SUMIFS(GL_BS!$G:$G,GL_BS!$R:$R,'Global TARF'!$A$165,GL_BS!$S:$S,'Global TARF'!$A180,GL_BS!$A:$A,'Global TARF'!E$8)</f>
        <v>0</v>
      </c>
      <c r="F180" s="184">
        <f>SUMIFS(GL_BS!$G:$G,GL_BS!$R:$R,'Global TARF'!$A$165,GL_BS!$S:$S,'Global TARF'!$A180,GL_BS!$A:$A,'Global TARF'!F$8)</f>
        <v>0</v>
      </c>
      <c r="G180" s="536">
        <f>SUMIFS(GL_BS!$G:$G,GL_BS!$R:$R,'Global TARF'!$A$165,GL_BS!$S:$S,'Global TARF'!$A180,GL_BS!$A:$A,'Global TARF'!G$8)</f>
        <v>0</v>
      </c>
      <c r="H180" s="545">
        <f>SUMIFS(GL_BS!$G:$G,GL_BS!$R:$R,'Global TARF'!$A$165,GL_BS!$S:$S,'Global TARF'!$A180,GL_BS!$A:$A,'Global TARF'!H$8)</f>
        <v>21982.902689217601</v>
      </c>
      <c r="I180" s="184">
        <f>SUMIFS(GL_BS!$G:$G,GL_BS!$R:$R,'Global TARF'!$A$165,GL_BS!$S:$S,'Global TARF'!$A180,GL_BS!$A:$A,'Global TARF'!I$8)</f>
        <v>0</v>
      </c>
      <c r="J180" s="184">
        <f>SUMIFS(GL_BS!$G:$G,GL_BS!$R:$R,'Global TARF'!$A$165,GL_BS!$S:$S,'Global TARF'!$A180,GL_BS!$A:$A,'Global TARF'!J$8)</f>
        <v>0</v>
      </c>
      <c r="K180" s="184">
        <f>SUMIFS(GL_BS!$G:$G,GL_BS!$R:$R,'Global TARF'!$A$165,GL_BS!$S:$S,'Global TARF'!$A180,GL_BS!$A:$A,'Global TARF'!K$8)</f>
        <v>0</v>
      </c>
      <c r="L180" s="184">
        <f>SUMIFS(GL_BS!$G:$G,GL_BS!$R:$R,'Global TARF'!$A$165,GL_BS!$S:$S,'Global TARF'!$A180,GL_BS!$A:$A,'Global TARF'!L$8)</f>
        <v>0</v>
      </c>
      <c r="M180" s="536">
        <f>SUMIFS(GL_BS!$G:$G,GL_BS!$R:$R,'Global TARF'!$A$165,GL_BS!$S:$S,'Global TARF'!$A180,GL_BS!$A:$A,'Global TARF'!M$8)</f>
        <v>0</v>
      </c>
      <c r="N180" s="555">
        <f>SUMIFS(GL_BS!$G:$G,GL_BS!$R:$R,'Global TARF'!$A$165,GL_BS!$S:$S,'Global TARF'!$A180,GL_BS!$A:$A,'Global TARF'!N$8)</f>
        <v>0</v>
      </c>
      <c r="O180" s="18">
        <f>SUMIFS(GL_BS!$G:$G,GL_BS!$R:$R,'Global TARF'!$A$165,GL_BS!$S:$S,'Global TARF'!$A180,GL_BS!$A:$A,'Global TARF'!O$8)</f>
        <v>0</v>
      </c>
      <c r="P180" s="545">
        <f>SUMIFS(GL_PL!$G:$G,GL_PL!$Q:$Q,'Global TARF'!$A$165,GL_PL!$R:$R,'Global TARF'!$A148,GL_PL!$A:$A,'Global TARF'!P$8)</f>
        <v>0</v>
      </c>
      <c r="Q180" s="184">
        <f>SUMIFS(GL_PL!$G:$G,GL_PL!$Q:$Q,'Global TARF'!$A$165,GL_PL!$R:$R,'Global TARF'!$A148,GL_PL!$A:$A,'Global TARF'!Q$8)</f>
        <v>0</v>
      </c>
      <c r="R180" s="184">
        <f>SUMIFS(GL_PL!$G:$G,GL_PL!$Q:$Q,'Global TARF'!$A$165,GL_PL!$R:$R,'Global TARF'!$A148,GL_PL!$A:$A,'Global TARF'!R$8)</f>
        <v>0</v>
      </c>
      <c r="S180" s="536">
        <f>SUMIFS(GL_PL!$G:$G,GL_PL!$Q:$Q,'Global TARF'!$A$165,GL_PL!$R:$R,'Global TARF'!$A148,GL_PL!$A:$A,'Global TARF'!S$8)</f>
        <v>0</v>
      </c>
      <c r="T180" s="26">
        <f>-H180</f>
        <v>-21982.902689217601</v>
      </c>
      <c r="Z180" s="582">
        <f t="shared" si="121"/>
        <v>0</v>
      </c>
    </row>
    <row r="181" spans="1:32" x14ac:dyDescent="0.2">
      <c r="A181" t="s">
        <v>4569</v>
      </c>
      <c r="B181" s="184">
        <f>SUMIFS(GL_BS!$G:$G,GL_BS!$R:$R,'Global TARF'!$A$165,GL_BS!$S:$S,'Global TARF'!$A181,GL_BS!$A:$A,'Global TARF'!B$38)</f>
        <v>0</v>
      </c>
      <c r="C181" s="184">
        <f>SUMIFS(GL_BS!$G:$G,GL_BS!$R:$R,'Global TARF'!$A$165,GL_BS!$S:$S,'Global TARF'!$A181,GL_BS!$A:$A,'Global TARF'!C$8)</f>
        <v>0</v>
      </c>
      <c r="D181" s="184">
        <f>SUMIFS(GL_BS!$G:$G,GL_BS!$R:$R,'Global TARF'!$A$165,GL_BS!$S:$S,'Global TARF'!$A181,GL_BS!$A:$A,'Global TARF'!D$8)</f>
        <v>0</v>
      </c>
      <c r="E181" s="184">
        <f>SUMIFS(GL_BS!$G:$G,GL_BS!$R:$R,'Global TARF'!$A$165,GL_BS!$S:$S,'Global TARF'!$A181,GL_BS!$A:$A,'Global TARF'!E$8)</f>
        <v>0</v>
      </c>
      <c r="F181" s="184">
        <f>SUMIFS(GL_BS!$G:$G,GL_BS!$R:$R,'Global TARF'!$A$165,GL_BS!$S:$S,'Global TARF'!$A181,GL_BS!$A:$A,'Global TARF'!F$8)</f>
        <v>0</v>
      </c>
      <c r="G181" s="536">
        <f>SUMIFS(GL_BS!$G:$G,GL_BS!$R:$R,'Global TARF'!$A$165,GL_BS!$S:$S,'Global TARF'!$A181,GL_BS!$A:$A,'Global TARF'!G$8)</f>
        <v>0</v>
      </c>
      <c r="H181" s="545">
        <f>SUMIFS(GL_BS!$G:$G,GL_BS!$R:$R,'Global TARF'!$A$165,GL_BS!$S:$S,'Global TARF'!$A181,GL_BS!$A:$A,'Global TARF'!H$8)</f>
        <v>-61388.717086616402</v>
      </c>
      <c r="I181" s="184">
        <f>SUMIFS(GL_BS!$G:$G,GL_BS!$R:$R,'Global TARF'!$A$165,GL_BS!$S:$S,'Global TARF'!$A181,GL_BS!$A:$A,'Global TARF'!I$8)</f>
        <v>0</v>
      </c>
      <c r="J181" s="184">
        <f>SUMIFS(GL_BS!$G:$G,GL_BS!$R:$R,'Global TARF'!$A$165,GL_BS!$S:$S,'Global TARF'!$A181,GL_BS!$A:$A,'Global TARF'!J$8)</f>
        <v>0</v>
      </c>
      <c r="K181" s="184">
        <f>SUMIFS(GL_BS!$G:$G,GL_BS!$R:$R,'Global TARF'!$A$165,GL_BS!$S:$S,'Global TARF'!$A181,GL_BS!$A:$A,'Global TARF'!K$8)</f>
        <v>0</v>
      </c>
      <c r="L181" s="184">
        <f>SUMIFS(GL_BS!$G:$G,GL_BS!$R:$R,'Global TARF'!$A$165,GL_BS!$S:$S,'Global TARF'!$A181,GL_BS!$A:$A,'Global TARF'!L$8)</f>
        <v>0</v>
      </c>
      <c r="M181" s="536">
        <f>SUMIFS(GL_BS!$G:$G,GL_BS!$R:$R,'Global TARF'!$A$165,GL_BS!$S:$S,'Global TARF'!$A181,GL_BS!$A:$A,'Global TARF'!M$8)</f>
        <v>0</v>
      </c>
      <c r="N181" s="555">
        <v>-455.41</v>
      </c>
      <c r="O181" s="18">
        <f>SUMIFS(GL_BS!$G:$G,GL_BS!$R:$R,'Global TARF'!$A$165,GL_BS!$S:$S,'Global TARF'!$A181,GL_BS!$A:$A,'Global TARF'!O$8)</f>
        <v>0</v>
      </c>
      <c r="P181" s="545">
        <f>SUMIFS(GL_PL!$G:$G,GL_PL!$Q:$Q,'Global TARF'!$A$165,GL_PL!$R:$R,'Global TARF'!$A149,GL_PL!$A:$A,'Global TARF'!P$8)</f>
        <v>0</v>
      </c>
      <c r="Q181" s="184">
        <f>SUMIFS(GL_PL!$G:$G,GL_PL!$Q:$Q,'Global TARF'!$A$165,GL_PL!$R:$R,'Global TARF'!$A149,GL_PL!$A:$A,'Global TARF'!Q$8)</f>
        <v>0</v>
      </c>
      <c r="R181" s="184">
        <f>SUMIFS(GL_PL!$G:$G,GL_PL!$Q:$Q,'Global TARF'!$A$165,GL_PL!$R:$R,'Global TARF'!$A149,GL_PL!$A:$A,'Global TARF'!R$8)</f>
        <v>61844.12233447218</v>
      </c>
      <c r="S181" s="536">
        <f>SUMIFS(GL_PL!$G:$G,GL_PL!$Q:$Q,'Global TARF'!$A$165,GL_PL!$R:$R,'Global TARF'!$A149,GL_PL!$A:$A,'Global TARF'!S$8)</f>
        <v>0</v>
      </c>
      <c r="W181" s="18"/>
      <c r="Z181" s="582">
        <f t="shared" si="121"/>
        <v>-4.7521442247671075E-3</v>
      </c>
    </row>
    <row r="182" spans="1:32" x14ac:dyDescent="0.2">
      <c r="A182" t="s">
        <v>4587</v>
      </c>
      <c r="B182" s="184">
        <f>SUMIFS(GL_BS!$G:$G,GL_BS!$R:$R,'Global TARF'!$A$165,GL_BS!$S:$S,'Global TARF'!$A182,GL_BS!$A:$A,'Global TARF'!B$38)</f>
        <v>0</v>
      </c>
      <c r="C182" s="184">
        <f>SUMIFS(GL_BS!$G:$G,GL_BS!$R:$R,'Global TARF'!$A$165,GL_BS!$S:$S,'Global TARF'!$A182,GL_BS!$A:$A,'Global TARF'!C$8)</f>
        <v>0</v>
      </c>
      <c r="D182" s="184">
        <f>SUMIFS(GL_BS!$G:$G,GL_BS!$R:$R,'Global TARF'!$A$165,GL_BS!$S:$S,'Global TARF'!$A182,GL_BS!$A:$A,'Global TARF'!D$8)</f>
        <v>0</v>
      </c>
      <c r="E182" s="184">
        <f>SUMIFS(GL_BS!$G:$G,GL_BS!$R:$R,'Global TARF'!$A$165,GL_BS!$S:$S,'Global TARF'!$A182,GL_BS!$A:$A,'Global TARF'!E$8)</f>
        <v>0</v>
      </c>
      <c r="F182" s="184">
        <f>SUMIFS(GL_BS!$G:$G,GL_BS!$R:$R,'Global TARF'!$A$165,GL_BS!$S:$S,'Global TARF'!$A182,GL_BS!$A:$A,'Global TARF'!F$8)</f>
        <v>0</v>
      </c>
      <c r="G182" s="536">
        <f>SUMIFS(GL_BS!$G:$G,GL_BS!$R:$R,'Global TARF'!$A$165,GL_BS!$S:$S,'Global TARF'!$A182,GL_BS!$A:$A,'Global TARF'!G$8)</f>
        <v>0</v>
      </c>
      <c r="H182" s="545">
        <f>SUMIFS(GL_BS!$G:$G,GL_BS!$R:$R,'Global TARF'!$A$165,GL_BS!$S:$S,'Global TARF'!$A182,GL_BS!$A:$A,'Global TARF'!H$8)</f>
        <v>0</v>
      </c>
      <c r="I182" s="184">
        <f>SUMIFS(GL_BS!$G:$G,GL_BS!$R:$R,'Global TARF'!$A$165,GL_BS!$S:$S,'Global TARF'!$A182,GL_BS!$A:$A,'Global TARF'!I$8)</f>
        <v>0</v>
      </c>
      <c r="J182" s="184">
        <f>SUMIFS(GL_BS!$G:$G,GL_BS!$R:$R,'Global TARF'!$A$165,GL_BS!$S:$S,'Global TARF'!$A182,GL_BS!$A:$A,'Global TARF'!J$8)</f>
        <v>0</v>
      </c>
      <c r="K182" s="184">
        <f>SUMIFS(GL_BS!$G:$G,GL_BS!$R:$R,'Global TARF'!$A$165,GL_BS!$S:$S,'Global TARF'!$A182,GL_BS!$A:$A,'Global TARF'!K$8)</f>
        <v>0</v>
      </c>
      <c r="L182" s="184">
        <f>SUMIFS(GL_BS!$G:$G,GL_BS!$R:$R,'Global TARF'!$A$165,GL_BS!$S:$S,'Global TARF'!$A182,GL_BS!$A:$A,'Global TARF'!L$8)</f>
        <v>0</v>
      </c>
      <c r="M182" s="536">
        <f>SUMIFS(GL_BS!$G:$G,GL_BS!$R:$R,'Global TARF'!$A$165,GL_BS!$S:$S,'Global TARF'!$A182,GL_BS!$A:$A,'Global TARF'!M$8)</f>
        <v>0</v>
      </c>
      <c r="N182" s="555"/>
      <c r="O182" s="18"/>
      <c r="P182" s="545">
        <f>SUMIFS(GL_PL!$G:$G,GL_PL!$Q:$Q,'Global TARF'!$A$165,GL_PL!$R:$R,'Global TARF'!$A150,GL_PL!$A:$A,'Global TARF'!P$8)</f>
        <v>0</v>
      </c>
      <c r="Q182" s="184">
        <f>SUMIFS(GL_PL!$G:$G,GL_PL!$Q:$Q,'Global TARF'!$A$165,GL_PL!$R:$R,'Global TARF'!$A150,GL_PL!$A:$A,'Global TARF'!Q$8)</f>
        <v>0</v>
      </c>
      <c r="R182" s="184">
        <f>SUMIFS(GL_PL!$G:$G,GL_PL!$Q:$Q,'Global TARF'!$A$165,GL_PL!$R:$R,'Global TARF'!$A150,GL_PL!$A:$A,'Global TARF'!R$8)</f>
        <v>0</v>
      </c>
      <c r="S182" s="536">
        <f>SUMIFS(GL_PL!$G:$G,GL_PL!$Q:$Q,'Global TARF'!$A$165,GL_PL!$R:$R,'Global TARF'!$A150,GL_PL!$A:$A,'Global TARF'!S$8)</f>
        <v>0</v>
      </c>
      <c r="T182"/>
      <c r="Z182" s="582"/>
    </row>
    <row r="183" spans="1:32" x14ac:dyDescent="0.2">
      <c r="A183" t="s">
        <v>4369</v>
      </c>
      <c r="B183" s="184">
        <f>SUMIFS(GL_BS!$G:$G,GL_BS!$R:$R,'Global TARF'!$A$165,GL_BS!$S:$S,'Global TARF'!$A183,GL_BS!$A:$A,'Global TARF'!B$38)</f>
        <v>0</v>
      </c>
      <c r="C183" s="184">
        <f>SUMIFS(GL_BS!$G:$G,GL_BS!$R:$R,'Global TARF'!$A$165,GL_BS!$S:$S,'Global TARF'!$A183,GL_BS!$A:$A,'Global TARF'!C$8)</f>
        <v>0</v>
      </c>
      <c r="D183" s="184">
        <f>SUMIFS(GL_BS!$G:$G,GL_BS!$R:$R,'Global TARF'!$A$165,GL_BS!$S:$S,'Global TARF'!$A183,GL_BS!$A:$A,'Global TARF'!D$8)</f>
        <v>0</v>
      </c>
      <c r="E183" s="184">
        <f>SUMIFS(GL_BS!$G:$G,GL_BS!$R:$R,'Global TARF'!$A$165,GL_BS!$S:$S,'Global TARF'!$A183,GL_BS!$A:$A,'Global TARF'!E$8)</f>
        <v>0</v>
      </c>
      <c r="F183" s="184">
        <f>SUMIFS(GL_BS!$G:$G,GL_BS!$R:$R,'Global TARF'!$A$165,GL_BS!$S:$S,'Global TARF'!$A183,GL_BS!$A:$A,'Global TARF'!F$8)</f>
        <v>0</v>
      </c>
      <c r="G183" s="536">
        <f>SUMIFS(GL_BS!$G:$G,GL_BS!$R:$R,'Global TARF'!$A$165,GL_BS!$S:$S,'Global TARF'!$A183,GL_BS!$A:$A,'Global TARF'!G$8)</f>
        <v>0</v>
      </c>
      <c r="H183" s="545">
        <f>SUMIFS(GL_BS!$G:$G,GL_BS!$R:$R,'Global TARF'!$A$165,GL_BS!$S:$S,'Global TARF'!$A183,GL_BS!$A:$A,'Global TARF'!H$8)</f>
        <v>0</v>
      </c>
      <c r="I183" s="184">
        <f>SUMIFS(GL_BS!$G:$G,GL_BS!$R:$R,'Global TARF'!$A$165,GL_BS!$S:$S,'Global TARF'!$A183,GL_BS!$A:$A,'Global TARF'!I$8)</f>
        <v>0</v>
      </c>
      <c r="J183" s="184">
        <f>SUMIFS(GL_BS!$G:$G,GL_BS!$R:$R,'Global TARF'!$A$165,GL_BS!$S:$S,'Global TARF'!$A183,GL_BS!$A:$A,'Global TARF'!J$8)</f>
        <v>0</v>
      </c>
      <c r="K183" s="184">
        <f>SUMIFS(GL_BS!$G:$G,GL_BS!$R:$R,'Global TARF'!$A$165,GL_BS!$S:$S,'Global TARF'!$A183,GL_BS!$A:$A,'Global TARF'!K$8)</f>
        <v>0</v>
      </c>
      <c r="L183" s="184">
        <f>SUMIFS(GL_BS!$G:$G,GL_BS!$R:$R,'Global TARF'!$A$165,GL_BS!$S:$S,'Global TARF'!$A183,GL_BS!$A:$A,'Global TARF'!L$8)</f>
        <v>0</v>
      </c>
      <c r="M183" s="536">
        <f>SUMIFS(GL_BS!$G:$G,GL_BS!$R:$R,'Global TARF'!$A$165,GL_BS!$S:$S,'Global TARF'!$A183,GL_BS!$A:$A,'Global TARF'!M$8)</f>
        <v>0</v>
      </c>
      <c r="N183" s="555"/>
      <c r="O183" s="18"/>
      <c r="P183" s="545">
        <f>SUMIFS(GL_PL!$G:$G,GL_PL!$Q:$Q,'Global TARF'!$A$165,GL_PL!$R:$R,'Global TARF'!$A151,GL_PL!$A:$A,'Global TARF'!P$8)</f>
        <v>0</v>
      </c>
      <c r="Q183" s="184">
        <f>SUMIFS(GL_PL!$G:$G,GL_PL!$Q:$Q,'Global TARF'!$A$165,GL_PL!$R:$R,'Global TARF'!$A151,GL_PL!$A:$A,'Global TARF'!Q$8)</f>
        <v>0</v>
      </c>
      <c r="R183" s="184">
        <f>SUMIFS(GL_PL!$G:$G,GL_PL!$Q:$Q,'Global TARF'!$A$165,GL_PL!$R:$R,'Global TARF'!$A151,GL_PL!$A:$A,'Global TARF'!R$8)</f>
        <v>0</v>
      </c>
      <c r="S183" s="536">
        <f>SUMIFS(GL_PL!$G:$G,GL_PL!$Q:$Q,'Global TARF'!$A$165,GL_PL!$R:$R,'Global TARF'!$A151,GL_PL!$A:$A,'Global TARF'!S$8)</f>
        <v>0</v>
      </c>
      <c r="T183"/>
      <c r="Z183" s="582"/>
    </row>
    <row r="184" spans="1:32" x14ac:dyDescent="0.2">
      <c r="A184" s="534" t="s">
        <v>799</v>
      </c>
      <c r="B184" s="184">
        <f>SUMIFS(GL_BS!$G:$G,GL_BS!$R:$R,'Global TARF'!$A$165,GL_BS!$S:$S,'Global TARF'!$A184,GL_BS!$A:$A,'Global TARF'!B$38)</f>
        <v>0</v>
      </c>
      <c r="C184" s="184">
        <f>SUMIFS(GL_BS!$G:$G,GL_BS!$R:$R,'Global TARF'!$A$165,GL_BS!$S:$S,'Global TARF'!$A184,GL_BS!$A:$A,'Global TARF'!C$8)</f>
        <v>0</v>
      </c>
      <c r="D184" s="184">
        <f>SUMIFS(GL_BS!$G:$G,GL_BS!$R:$R,'Global TARF'!$A$165,GL_BS!$S:$S,'Global TARF'!$A184,GL_BS!$A:$A,'Global TARF'!D$8)</f>
        <v>0</v>
      </c>
      <c r="E184" s="184">
        <f>SUMIFS(GL_BS!$G:$G,GL_BS!$R:$R,'Global TARF'!$A$165,GL_BS!$S:$S,'Global TARF'!$A184,GL_BS!$A:$A,'Global TARF'!E$8)</f>
        <v>0</v>
      </c>
      <c r="F184" s="184">
        <f>SUMIFS(GL_BS!$G:$G,GL_BS!$R:$R,'Global TARF'!$A$165,GL_BS!$S:$S,'Global TARF'!$A184,GL_BS!$A:$A,'Global TARF'!F$8)</f>
        <v>0</v>
      </c>
      <c r="G184" s="536">
        <f>SUMIFS(GL_BS!$G:$G,GL_BS!$R:$R,'Global TARF'!$A$165,GL_BS!$S:$S,'Global TARF'!$A184,GL_BS!$A:$A,'Global TARF'!G$8)</f>
        <v>0</v>
      </c>
      <c r="H184" s="545">
        <f>SUMIFS(GL_BS!$G:$G,GL_BS!$R:$R,'Global TARF'!$A$165,GL_BS!$S:$S,'Global TARF'!$A184,GL_BS!$A:$A,'Global TARF'!H$8)</f>
        <v>0</v>
      </c>
      <c r="I184" s="184">
        <f>SUMIFS(GL_BS!$G:$G,GL_BS!$R:$R,'Global TARF'!$A$165,GL_BS!$S:$S,'Global TARF'!$A184,GL_BS!$A:$A,'Global TARF'!I$8)</f>
        <v>0</v>
      </c>
      <c r="J184" s="184">
        <f>SUMIFS(GL_BS!$G:$G,GL_BS!$R:$R,'Global TARF'!$A$165,GL_BS!$S:$S,'Global TARF'!$A184,GL_BS!$A:$A,'Global TARF'!J$8)</f>
        <v>0</v>
      </c>
      <c r="K184" s="184">
        <f>SUMIFS(GL_BS!$G:$G,GL_BS!$R:$R,'Global TARF'!$A$165,GL_BS!$S:$S,'Global TARF'!$A184,GL_BS!$A:$A,'Global TARF'!K$8)</f>
        <v>0</v>
      </c>
      <c r="L184" s="184">
        <f>SUMIFS(GL_BS!$G:$G,GL_BS!$R:$R,'Global TARF'!$A$165,GL_BS!$S:$S,'Global TARF'!$A184,GL_BS!$A:$A,'Global TARF'!L$8)</f>
        <v>0</v>
      </c>
      <c r="M184" s="536">
        <f>SUMIFS(GL_BS!$G:$G,GL_BS!$R:$R,'Global TARF'!$A$165,GL_BS!$S:$S,'Global TARF'!$A184,GL_BS!$A:$A,'Global TARF'!M$8)</f>
        <v>0</v>
      </c>
      <c r="N184" s="555"/>
      <c r="O184" s="18"/>
      <c r="P184" s="545">
        <f>SUMIFS(GL_PL!$G:$G,GL_PL!$Q:$Q,'Global TARF'!$A$165,GL_PL!$R:$R,'Global TARF'!$A152,GL_PL!$A:$A,'Global TARF'!P$8)</f>
        <v>0</v>
      </c>
      <c r="Q184" s="184">
        <f>SUMIFS(GL_PL!$G:$G,GL_PL!$Q:$Q,'Global TARF'!$A$165,GL_PL!$R:$R,'Global TARF'!$A152,GL_PL!$A:$A,'Global TARF'!Q$8)</f>
        <v>0</v>
      </c>
      <c r="R184" s="184">
        <f>SUMIFS(GL_PL!$G:$G,GL_PL!$Q:$Q,'Global TARF'!$A$165,GL_PL!$R:$R,'Global TARF'!$A152,GL_PL!$A:$A,'Global TARF'!R$8)</f>
        <v>0</v>
      </c>
      <c r="S184" s="536">
        <f>SUMIFS(GL_PL!$G:$G,GL_PL!$Q:$Q,'Global TARF'!$A$165,GL_PL!$R:$R,'Global TARF'!$A152,GL_PL!$A:$A,'Global TARF'!S$8)</f>
        <v>0</v>
      </c>
      <c r="T184"/>
      <c r="Z184" s="582"/>
    </row>
    <row r="185" spans="1:32" x14ac:dyDescent="0.2">
      <c r="A185" s="534" t="s">
        <v>3845</v>
      </c>
      <c r="B185" s="184">
        <f>SUMIFS(GL_BS!$G:$G,GL_BS!$R:$R,'Global TARF'!$A$165,GL_BS!$S:$S,'Global TARF'!$A185,GL_BS!$A:$A,'Global TARF'!B$38)</f>
        <v>0</v>
      </c>
      <c r="C185" s="184">
        <f>SUMIFS(GL_BS!$G:$G,GL_BS!$R:$R,'Global TARF'!$A$165,GL_BS!$S:$S,'Global TARF'!$A185,GL_BS!$A:$A,'Global TARF'!C$8)</f>
        <v>0</v>
      </c>
      <c r="D185" s="184">
        <f>SUMIFS(GL_BS!$G:$G,GL_BS!$R:$R,'Global TARF'!$A$165,GL_BS!$S:$S,'Global TARF'!$A185,GL_BS!$A:$A,'Global TARF'!D$8)</f>
        <v>0</v>
      </c>
      <c r="E185" s="184">
        <f>SUMIFS(GL_BS!$G:$G,GL_BS!$R:$R,'Global TARF'!$A$165,GL_BS!$S:$S,'Global TARF'!$A185,GL_BS!$A:$A,'Global TARF'!E$8)</f>
        <v>0</v>
      </c>
      <c r="F185" s="184">
        <f>SUMIFS(GL_BS!$G:$G,GL_BS!$R:$R,'Global TARF'!$A$165,GL_BS!$S:$S,'Global TARF'!$A185,GL_BS!$A:$A,'Global TARF'!F$8)</f>
        <v>0</v>
      </c>
      <c r="G185" s="536">
        <f>SUMIFS(GL_BS!$G:$G,GL_BS!$R:$R,'Global TARF'!$A$165,GL_BS!$S:$S,'Global TARF'!$A185,GL_BS!$A:$A,'Global TARF'!G$8)</f>
        <v>0</v>
      </c>
      <c r="H185" s="545">
        <f>SUMIFS(GL_BS!$G:$G,GL_BS!$R:$R,'Global TARF'!$A$165,GL_BS!$S:$S,'Global TARF'!$A185,GL_BS!$A:$A,'Global TARF'!H$8)</f>
        <v>25491.33</v>
      </c>
      <c r="I185" s="184">
        <f>SUMIFS(GL_BS!$G:$G,GL_BS!$R:$R,'Global TARF'!$A$165,GL_BS!$S:$S,'Global TARF'!$A185,GL_BS!$A:$A,'Global TARF'!I$8)</f>
        <v>-25491.33321696</v>
      </c>
      <c r="J185" s="184">
        <f>SUMIFS(GL_BS!$G:$G,GL_BS!$R:$R,'Global TARF'!$A$165,GL_BS!$S:$S,'Global TARF'!$A185,GL_BS!$A:$A,'Global TARF'!J$8)</f>
        <v>0</v>
      </c>
      <c r="K185" s="184">
        <f>SUMIFS(GL_BS!$G:$G,GL_BS!$R:$R,'Global TARF'!$A$165,GL_BS!$S:$S,'Global TARF'!$A185,GL_BS!$A:$A,'Global TARF'!K$8)</f>
        <v>0</v>
      </c>
      <c r="L185" s="184">
        <f>SUMIFS(GL_BS!$G:$G,GL_BS!$R:$R,'Global TARF'!$A$165,GL_BS!$S:$S,'Global TARF'!$A185,GL_BS!$A:$A,'Global TARF'!L$8)</f>
        <v>0</v>
      </c>
      <c r="M185" s="536">
        <f>SUMIFS(GL_BS!$G:$G,GL_BS!$R:$R,'Global TARF'!$A$165,GL_BS!$S:$S,'Global TARF'!$A185,GL_BS!$A:$A,'Global TARF'!M$8)</f>
        <v>0</v>
      </c>
      <c r="N185" s="555">
        <f>SUMIFS(GL_BS!$G:$G,GL_BS!$R:$R,'Global TARF'!$A$165,GL_BS!$S:$S,'Global TARF'!$A185,GL_BS!$A:$A,'Global TARF'!N$8)</f>
        <v>0</v>
      </c>
      <c r="O185" s="18">
        <f>SUMIFS(GL_BS!$G:$G,GL_BS!$R:$R,'Global TARF'!$A$165,GL_BS!$S:$S,'Global TARF'!$A185,GL_BS!$A:$A,'Global TARF'!O$8)</f>
        <v>0</v>
      </c>
      <c r="P185" s="545">
        <f>SUMIFS(GL_PL!$G:$G,GL_PL!$Q:$Q,'Global TARF'!$A$165,GL_PL!$R:$R,'Global TARF'!$A153,GL_PL!$A:$A,'Global TARF'!P$8)</f>
        <v>0</v>
      </c>
      <c r="Q185" s="184">
        <f>SUMIFS(GL_PL!$G:$G,GL_PL!$Q:$Q,'Global TARF'!$A$165,GL_PL!$R:$R,'Global TARF'!$A153,GL_PL!$A:$A,'Global TARF'!Q$8)</f>
        <v>0</v>
      </c>
      <c r="R185" s="184">
        <f>SUMIFS(GL_PL!$G:$G,GL_PL!$Q:$Q,'Global TARF'!$A$165,GL_PL!$R:$R,'Global TARF'!$A153,GL_PL!$A:$A,'Global TARF'!R$8)</f>
        <v>0</v>
      </c>
      <c r="S185" s="536">
        <f>SUMIFS(GL_PL!$G:$G,GL_PL!$Q:$Q,'Global TARF'!$A$165,GL_PL!$R:$R,'Global TARF'!$A153,GL_PL!$A:$A,'Global TARF'!S$8)</f>
        <v>0</v>
      </c>
      <c r="T185"/>
      <c r="W185" s="26">
        <f>-SUM(H185,I185)</f>
        <v>3.2169599980989005E-3</v>
      </c>
      <c r="Z185" s="582">
        <f t="shared" si="121"/>
        <v>0</v>
      </c>
      <c r="AF185" s="31"/>
    </row>
    <row r="186" spans="1:32" x14ac:dyDescent="0.2">
      <c r="A186" s="534" t="s">
        <v>792</v>
      </c>
      <c r="B186" s="184">
        <f>SUMIFS(GL_BS!$G:$G,GL_BS!$R:$R,'Global TARF'!$A$165,GL_BS!$S:$S,'Global TARF'!$A186,GL_BS!$A:$A,'Global TARF'!B$38)</f>
        <v>0</v>
      </c>
      <c r="C186" s="184">
        <f>SUMIFS(GL_BS!$G:$G,GL_BS!$R:$R,'Global TARF'!$A$165,GL_BS!$S:$S,'Global TARF'!$A186,GL_BS!$A:$A,'Global TARF'!C$8)</f>
        <v>0</v>
      </c>
      <c r="D186" s="184">
        <f>SUMIFS(GL_BS!$G:$G,GL_BS!$R:$R,'Global TARF'!$A$165,GL_BS!$S:$S,'Global TARF'!$A186,GL_BS!$A:$A,'Global TARF'!D$8)</f>
        <v>0</v>
      </c>
      <c r="E186" s="184">
        <f>SUMIFS(GL_BS!$G:$G,GL_BS!$R:$R,'Global TARF'!$A$165,GL_BS!$S:$S,'Global TARF'!$A186,GL_BS!$A:$A,'Global TARF'!E$8)</f>
        <v>0</v>
      </c>
      <c r="F186" s="184">
        <f>SUMIFS(GL_BS!$G:$G,GL_BS!$R:$R,'Global TARF'!$A$165,GL_BS!$S:$S,'Global TARF'!$A186,GL_BS!$A:$A,'Global TARF'!F$8)</f>
        <v>0</v>
      </c>
      <c r="G186" s="536">
        <f>SUMIFS(GL_BS!$G:$G,GL_BS!$R:$R,'Global TARF'!$A$165,GL_BS!$S:$S,'Global TARF'!$A186,GL_BS!$A:$A,'Global TARF'!G$8)</f>
        <v>0</v>
      </c>
      <c r="H186" s="545">
        <f>SUMIFS(GL_BS!$G:$G,GL_BS!$R:$R,'Global TARF'!$A$165,GL_BS!$S:$S,'Global TARF'!$A186,GL_BS!$A:$A,'Global TARF'!H$8)</f>
        <v>0</v>
      </c>
      <c r="I186" s="184">
        <f>SUMIFS(GL_BS!$G:$G,GL_BS!$R:$R,'Global TARF'!$A$165,GL_BS!$S:$S,'Global TARF'!$A186,GL_BS!$A:$A,'Global TARF'!I$8)</f>
        <v>0</v>
      </c>
      <c r="J186" s="184">
        <f>SUMIFS(GL_BS!$G:$G,GL_BS!$R:$R,'Global TARF'!$A$165,GL_BS!$S:$S,'Global TARF'!$A186,GL_BS!$A:$A,'Global TARF'!J$8)</f>
        <v>0</v>
      </c>
      <c r="K186" s="184">
        <f>SUMIFS(GL_BS!$G:$G,GL_BS!$R:$R,'Global TARF'!$A$165,GL_BS!$S:$S,'Global TARF'!$A186,GL_BS!$A:$A,'Global TARF'!K$8)</f>
        <v>0</v>
      </c>
      <c r="L186" s="184">
        <f>SUMIFS(GL_BS!$G:$G,GL_BS!$R:$R,'Global TARF'!$A$165,GL_BS!$S:$S,'Global TARF'!$A186,GL_BS!$A:$A,'Global TARF'!L$8)</f>
        <v>0</v>
      </c>
      <c r="M186" s="536">
        <f>SUMIFS(GL_BS!$G:$G,GL_BS!$R:$R,'Global TARF'!$A$165,GL_BS!$S:$S,'Global TARF'!$A186,GL_BS!$A:$A,'Global TARF'!M$8)</f>
        <v>0</v>
      </c>
      <c r="N186" s="555">
        <f>SUMIFS(GL_BS!$G:$G,GL_BS!$R:$R,'Global TARF'!$A$165,GL_BS!$S:$S,'Global TARF'!$A186,GL_BS!$A:$A,'Global TARF'!N$8)</f>
        <v>0</v>
      </c>
      <c r="O186" s="18">
        <f>SUMIFS(GL_BS!$G:$G,GL_BS!$R:$R,'Global TARF'!$A$165,GL_BS!$S:$S,'Global TARF'!$A186,GL_BS!$A:$A,'Global TARF'!O$8)</f>
        <v>0</v>
      </c>
      <c r="P186" s="545">
        <f>SUMIFS(GL_PL!$G:$G,GL_PL!$Q:$Q,'Global TARF'!$A$165,GL_PL!$R:$R,'Global TARF'!$A154,GL_PL!$A:$A,'Global TARF'!P$8)</f>
        <v>0</v>
      </c>
      <c r="Q186" s="184">
        <f>SUMIFS(GL_PL!$G:$G,GL_PL!$Q:$Q,'Global TARF'!$A$165,GL_PL!$R:$R,'Global TARF'!$A154,GL_PL!$A:$A,'Global TARF'!Q$8)</f>
        <v>0</v>
      </c>
      <c r="R186" s="184">
        <f>SUMIFS(GL_PL!$G:$G,GL_PL!$Q:$Q,'Global TARF'!$A$165,GL_PL!$R:$R,'Global TARF'!$A154,GL_PL!$A:$A,'Global TARF'!R$8)</f>
        <v>0</v>
      </c>
      <c r="S186" s="536">
        <f>SUMIFS(GL_PL!$G:$G,GL_PL!$Q:$Q,'Global TARF'!$A$165,GL_PL!$R:$R,'Global TARF'!$A154,GL_PL!$A:$A,'Global TARF'!S$8)</f>
        <v>0</v>
      </c>
      <c r="T186"/>
      <c r="V186" s="26">
        <f>-SUM(Q186,B186)</f>
        <v>0</v>
      </c>
      <c r="Z186" s="582">
        <f t="shared" si="121"/>
        <v>0</v>
      </c>
      <c r="AF186" s="31"/>
    </row>
    <row r="187" spans="1:32" x14ac:dyDescent="0.2">
      <c r="A187" s="534" t="s">
        <v>791</v>
      </c>
      <c r="B187" s="184">
        <f>SUMIFS(GL_BS!$G:$G,GL_BS!$R:$R,'Global TARF'!$A$165,GL_BS!$S:$S,'Global TARF'!$A187,GL_BS!$A:$A,'Global TARF'!B$38)</f>
        <v>0</v>
      </c>
      <c r="C187" s="184">
        <f>SUMIFS(GL_BS!$G:$G,GL_BS!$R:$R,'Global TARF'!$A$165,GL_BS!$S:$S,'Global TARF'!$A187,GL_BS!$A:$A,'Global TARF'!C$8)</f>
        <v>0</v>
      </c>
      <c r="D187" s="184">
        <f>SUMIFS(GL_BS!$G:$G,GL_BS!$R:$R,'Global TARF'!$A$165,GL_BS!$S:$S,'Global TARF'!$A187,GL_BS!$A:$A,'Global TARF'!D$8)</f>
        <v>0</v>
      </c>
      <c r="E187" s="184">
        <f>SUMIFS(GL_BS!$G:$G,GL_BS!$R:$R,'Global TARF'!$A$165,GL_BS!$S:$S,'Global TARF'!$A187,GL_BS!$A:$A,'Global TARF'!E$8)</f>
        <v>0</v>
      </c>
      <c r="F187" s="184">
        <f>SUMIFS(GL_BS!$G:$G,GL_BS!$R:$R,'Global TARF'!$A$165,GL_BS!$S:$S,'Global TARF'!$A187,GL_BS!$A:$A,'Global TARF'!F$8)</f>
        <v>0</v>
      </c>
      <c r="G187" s="536">
        <f>SUMIFS(GL_BS!$G:$G,GL_BS!$R:$R,'Global TARF'!$A$165,GL_BS!$S:$S,'Global TARF'!$A187,GL_BS!$A:$A,'Global TARF'!G$8)</f>
        <v>0</v>
      </c>
      <c r="H187" s="545">
        <f>SUMIFS(GL_BS!$G:$G,GL_BS!$R:$R,'Global TARF'!$A$165,GL_BS!$S:$S,'Global TARF'!$A187,GL_BS!$A:$A,'Global TARF'!H$8)</f>
        <v>0</v>
      </c>
      <c r="I187" s="184">
        <f>SUMIFS(GL_BS!$G:$G,GL_BS!$R:$R,'Global TARF'!$A$165,GL_BS!$S:$S,'Global TARF'!$A187,GL_BS!$A:$A,'Global TARF'!I$8)</f>
        <v>0</v>
      </c>
      <c r="J187" s="184">
        <f>SUMIFS(GL_BS!$G:$G,GL_BS!$R:$R,'Global TARF'!$A$165,GL_BS!$S:$S,'Global TARF'!$A187,GL_BS!$A:$A,'Global TARF'!J$8)</f>
        <v>0</v>
      </c>
      <c r="K187" s="184">
        <f>SUMIFS(GL_BS!$G:$G,GL_BS!$R:$R,'Global TARF'!$A$165,GL_BS!$S:$S,'Global TARF'!$A187,GL_BS!$A:$A,'Global TARF'!K$8)</f>
        <v>0</v>
      </c>
      <c r="L187" s="184">
        <f>SUMIFS(GL_BS!$G:$G,GL_BS!$R:$R,'Global TARF'!$A$165,GL_BS!$S:$S,'Global TARF'!$A187,GL_BS!$A:$A,'Global TARF'!L$8)</f>
        <v>0</v>
      </c>
      <c r="M187" s="536">
        <f>SUMIFS(GL_BS!$G:$G,GL_BS!$R:$R,'Global TARF'!$A$165,GL_BS!$S:$S,'Global TARF'!$A187,GL_BS!$A:$A,'Global TARF'!M$8)</f>
        <v>0</v>
      </c>
      <c r="N187" s="555">
        <f>SUMIFS(GL_BS!$G:$G,GL_BS!$R:$R,'Global TARF'!$A$165,GL_BS!$S:$S,'Global TARF'!$A187,GL_BS!$A:$A,'Global TARF'!N$8)</f>
        <v>0</v>
      </c>
      <c r="O187" s="18">
        <f>SUMIFS(GL_BS!$G:$G,GL_BS!$R:$R,'Global TARF'!$A$165,GL_BS!$S:$S,'Global TARF'!$A187,GL_BS!$A:$A,'Global TARF'!O$8)</f>
        <v>0</v>
      </c>
      <c r="P187" s="545">
        <f>SUMIFS(GL_PL!$G:$G,GL_PL!$Q:$Q,'Global TARF'!$A$165,GL_PL!$R:$R,'Global TARF'!$A155,GL_PL!$A:$A,'Global TARF'!P$8)</f>
        <v>0</v>
      </c>
      <c r="Q187" s="184">
        <f>SUMIFS(GL_PL!$G:$G,GL_PL!$Q:$Q,'Global TARF'!$A$165,GL_PL!$R:$R,'Global TARF'!$A155,GL_PL!$A:$A,'Global TARF'!Q$8)</f>
        <v>0</v>
      </c>
      <c r="R187" s="184">
        <f>SUMIFS(GL_PL!$G:$G,GL_PL!$Q:$Q,'Global TARF'!$A$165,GL_PL!$R:$R,'Global TARF'!$A155,GL_PL!$A:$A,'Global TARF'!R$8)</f>
        <v>0</v>
      </c>
      <c r="S187" s="536">
        <f>SUMIFS(GL_PL!$G:$G,GL_PL!$Q:$Q,'Global TARF'!$A$165,GL_PL!$R:$R,'Global TARF'!$A155,GL_PL!$A:$A,'Global TARF'!S$8)</f>
        <v>0</v>
      </c>
      <c r="T187" s="26">
        <f>-SUM(P187:R187)</f>
        <v>0</v>
      </c>
      <c r="U187" s="26"/>
      <c r="Z187" s="582">
        <f t="shared" si="121"/>
        <v>0</v>
      </c>
      <c r="AF187" s="31"/>
    </row>
    <row r="188" spans="1:32" x14ac:dyDescent="0.2">
      <c r="A188" s="534" t="s">
        <v>243</v>
      </c>
      <c r="B188" s="184">
        <f>SUMIFS(GL_BS!$G:$G,GL_BS!$R:$R,'Global TARF'!$A$165,GL_BS!$S:$S,'Global TARF'!$A188,GL_BS!$A:$A,'Global TARF'!B$38)</f>
        <v>0</v>
      </c>
      <c r="C188" s="184">
        <f>SUMIFS(GL_BS!$G:$G,GL_BS!$R:$R,'Global TARF'!$A$165,GL_BS!$S:$S,'Global TARF'!$A188,GL_BS!$A:$A,'Global TARF'!C$8)</f>
        <v>0</v>
      </c>
      <c r="D188" s="184">
        <f>SUMIFS(GL_BS!$G:$G,GL_BS!$R:$R,'Global TARF'!$A$165,GL_BS!$S:$S,'Global TARF'!$A188,GL_BS!$A:$A,'Global TARF'!D$8)</f>
        <v>0</v>
      </c>
      <c r="E188" s="184">
        <f>SUMIFS(GL_BS!$G:$G,GL_BS!$R:$R,'Global TARF'!$A$165,GL_BS!$S:$S,'Global TARF'!$A188,GL_BS!$A:$A,'Global TARF'!E$8)</f>
        <v>0</v>
      </c>
      <c r="F188" s="184">
        <f>SUMIFS(GL_BS!$G:$G,GL_BS!$R:$R,'Global TARF'!$A$165,GL_BS!$S:$S,'Global TARF'!$A188,GL_BS!$A:$A,'Global TARF'!F$8)</f>
        <v>0</v>
      </c>
      <c r="G188" s="536">
        <f>SUMIFS(GL_BS!$G:$G,GL_BS!$R:$R,'Global TARF'!$A$165,GL_BS!$S:$S,'Global TARF'!$A188,GL_BS!$A:$A,'Global TARF'!G$8)</f>
        <v>0</v>
      </c>
      <c r="H188" s="545">
        <f>SUMIFS(GL_BS!$G:$G,GL_BS!$R:$R,'Global TARF'!$A$165,GL_BS!$S:$S,'Global TARF'!$A188,GL_BS!$A:$A,'Global TARF'!H$8)</f>
        <v>0</v>
      </c>
      <c r="I188" s="184">
        <f>SUMIFS(GL_BS!$G:$G,GL_BS!$R:$R,'Global TARF'!$A$165,GL_BS!$S:$S,'Global TARF'!$A188,GL_BS!$A:$A,'Global TARF'!I$8)</f>
        <v>0</v>
      </c>
      <c r="J188" s="184">
        <f>SUMIFS(GL_BS!$G:$G,GL_BS!$R:$R,'Global TARF'!$A$165,GL_BS!$S:$S,'Global TARF'!$A188,GL_BS!$A:$A,'Global TARF'!J$8)</f>
        <v>0</v>
      </c>
      <c r="K188" s="184">
        <f>SUMIFS(GL_BS!$G:$G,GL_BS!$R:$R,'Global TARF'!$A$165,GL_BS!$S:$S,'Global TARF'!$A188,GL_BS!$A:$A,'Global TARF'!K$8)</f>
        <v>0</v>
      </c>
      <c r="L188" s="184">
        <f>SUMIFS(GL_BS!$G:$G,GL_BS!$R:$R,'Global TARF'!$A$165,GL_BS!$S:$S,'Global TARF'!$A188,GL_BS!$A:$A,'Global TARF'!L$8)</f>
        <v>0</v>
      </c>
      <c r="M188" s="536">
        <f>SUMIFS(GL_BS!$G:$G,GL_BS!$R:$R,'Global TARF'!$A$165,GL_BS!$S:$S,'Global TARF'!$A188,GL_BS!$A:$A,'Global TARF'!M$8)</f>
        <v>0</v>
      </c>
      <c r="N188" s="555">
        <f>SUMIFS(GL_BS!$G:$G,GL_BS!$R:$R,'Global TARF'!$A$165,GL_BS!$S:$S,'Global TARF'!$A188,GL_BS!$A:$A,'Global TARF'!N$8)</f>
        <v>0</v>
      </c>
      <c r="O188" s="18">
        <f>SUMIFS(GL_BS!$G:$G,GL_BS!$R:$R,'Global TARF'!$A$165,GL_BS!$S:$S,'Global TARF'!$A188,GL_BS!$A:$A,'Global TARF'!O$8)</f>
        <v>0</v>
      </c>
      <c r="P188" s="545">
        <f>SUMIFS(GL_PL!$G:$G,GL_PL!$Q:$Q,'Global TARF'!$A$165,GL_PL!$R:$R,'Global TARF'!$A156,GL_PL!$A:$A,'Global TARF'!P$8)</f>
        <v>0</v>
      </c>
      <c r="Q188" s="184">
        <f>SUMIFS(GL_PL!$G:$G,GL_PL!$Q:$Q,'Global TARF'!$A$165,GL_PL!$R:$R,'Global TARF'!$A156,GL_PL!$A:$A,'Global TARF'!Q$8)</f>
        <v>0</v>
      </c>
      <c r="R188" s="184">
        <f>SUMIFS(GL_PL!$G:$G,GL_PL!$Q:$Q,'Global TARF'!$A$165,GL_PL!$R:$R,'Global TARF'!$A156,GL_PL!$A:$A,'Global TARF'!R$8)</f>
        <v>0</v>
      </c>
      <c r="S188" s="536">
        <f>SUMIFS(GL_PL!$G:$G,GL_PL!$Q:$Q,'Global TARF'!$A$165,GL_PL!$R:$R,'Global TARF'!$A156,GL_PL!$A:$A,'Global TARF'!S$8)</f>
        <v>0</v>
      </c>
      <c r="T188"/>
      <c r="Z188" s="582">
        <f t="shared" si="121"/>
        <v>0</v>
      </c>
    </row>
    <row r="189" spans="1:32" x14ac:dyDescent="0.2">
      <c r="A189" s="534" t="s">
        <v>795</v>
      </c>
      <c r="B189" s="184">
        <f>SUMIFS(GL_BS!$G:$G,GL_BS!$R:$R,'Global TARF'!$A$165,GL_BS!$S:$S,'Global TARF'!$A189,GL_BS!$A:$A,'Global TARF'!B$38)</f>
        <v>0</v>
      </c>
      <c r="C189" s="184">
        <f>SUMIFS(GL_BS!$G:$G,GL_BS!$R:$R,'Global TARF'!$A$165,GL_BS!$S:$S,'Global TARF'!$A189,GL_BS!$A:$A,'Global TARF'!C$8)</f>
        <v>0</v>
      </c>
      <c r="D189" s="184">
        <f>SUMIFS(GL_BS!$G:$G,GL_BS!$R:$R,'Global TARF'!$A$165,GL_BS!$S:$S,'Global TARF'!$A189,GL_BS!$A:$A,'Global TARF'!D$8)</f>
        <v>0</v>
      </c>
      <c r="E189" s="184">
        <f>SUMIFS(GL_BS!$G:$G,GL_BS!$R:$R,'Global TARF'!$A$165,GL_BS!$S:$S,'Global TARF'!$A189,GL_BS!$A:$A,'Global TARF'!E$8)</f>
        <v>0</v>
      </c>
      <c r="F189" s="184">
        <f>SUMIFS(GL_BS!$G:$G,GL_BS!$R:$R,'Global TARF'!$A$165,GL_BS!$S:$S,'Global TARF'!$A189,GL_BS!$A:$A,'Global TARF'!F$8)</f>
        <v>0</v>
      </c>
      <c r="G189" s="536">
        <f>SUMIFS(GL_BS!$G:$G,GL_BS!$R:$R,'Global TARF'!$A$165,GL_BS!$S:$S,'Global TARF'!$A189,GL_BS!$A:$A,'Global TARF'!G$8)</f>
        <v>0</v>
      </c>
      <c r="H189" s="545">
        <f>SUMIFS(GL_BS!$G:$G,GL_BS!$R:$R,'Global TARF'!$A$165,GL_BS!$S:$S,'Global TARF'!$A189,GL_BS!$A:$A,'Global TARF'!H$8)</f>
        <v>0</v>
      </c>
      <c r="I189" s="184">
        <f>SUMIFS(GL_BS!$G:$G,GL_BS!$R:$R,'Global TARF'!$A$165,GL_BS!$S:$S,'Global TARF'!$A189,GL_BS!$A:$A,'Global TARF'!I$8)</f>
        <v>0</v>
      </c>
      <c r="J189" s="184">
        <f>SUMIFS(GL_BS!$G:$G,GL_BS!$R:$R,'Global TARF'!$A$165,GL_BS!$S:$S,'Global TARF'!$A189,GL_BS!$A:$A,'Global TARF'!J$8)</f>
        <v>0</v>
      </c>
      <c r="K189" s="184">
        <f>SUMIFS(GL_BS!$G:$G,GL_BS!$R:$R,'Global TARF'!$A$165,GL_BS!$S:$S,'Global TARF'!$A189,GL_BS!$A:$A,'Global TARF'!K$8)</f>
        <v>0</v>
      </c>
      <c r="L189" s="184">
        <f>SUMIFS(GL_BS!$G:$G,GL_BS!$R:$R,'Global TARF'!$A$165,GL_BS!$S:$S,'Global TARF'!$A189,GL_BS!$A:$A,'Global TARF'!L$8)</f>
        <v>0</v>
      </c>
      <c r="M189" s="536">
        <f>SUMIFS(GL_BS!$G:$G,GL_BS!$R:$R,'Global TARF'!$A$165,GL_BS!$S:$S,'Global TARF'!$A189,GL_BS!$A:$A,'Global TARF'!M$8)</f>
        <v>0</v>
      </c>
      <c r="N189" s="555">
        <f>SUMIFS(GL_BS!$G:$G,GL_BS!$R:$R,'Global TARF'!$A$165,GL_BS!$S:$S,'Global TARF'!$A189,GL_BS!$A:$A,'Global TARF'!N$8)</f>
        <v>0</v>
      </c>
      <c r="O189" s="18">
        <f>SUMIFS(GL_BS!$G:$G,GL_BS!$R:$R,'Global TARF'!$A$165,GL_BS!$S:$S,'Global TARF'!$A189,GL_BS!$A:$A,'Global TARF'!O$8)</f>
        <v>0</v>
      </c>
      <c r="P189" s="545">
        <f>SUMIFS(GL_PL!$G:$G,GL_PL!$Q:$Q,'Global TARF'!$A$165,GL_PL!$R:$R,'Global TARF'!$A157,GL_PL!$A:$A,'Global TARF'!P$8)</f>
        <v>0</v>
      </c>
      <c r="Q189" s="184">
        <f>SUMIFS(GL_PL!$G:$G,GL_PL!$Q:$Q,'Global TARF'!$A$165,GL_PL!$R:$R,'Global TARF'!$A157,GL_PL!$A:$A,'Global TARF'!Q$8)</f>
        <v>0</v>
      </c>
      <c r="R189" s="184">
        <f>SUMIFS(GL_PL!$G:$G,GL_PL!$Q:$Q,'Global TARF'!$A$165,GL_PL!$R:$R,'Global TARF'!$A157,GL_PL!$A:$A,'Global TARF'!R$8)</f>
        <v>0</v>
      </c>
      <c r="S189" s="536">
        <f>SUMIFS(GL_PL!$G:$G,GL_PL!$Q:$Q,'Global TARF'!$A$165,GL_PL!$R:$R,'Global TARF'!$A157,GL_PL!$A:$A,'Global TARF'!S$8)</f>
        <v>0</v>
      </c>
      <c r="T189" s="26">
        <f>-SUM(P189:R189)</f>
        <v>0</v>
      </c>
      <c r="U189" s="26"/>
      <c r="Z189" s="582">
        <f t="shared" si="121"/>
        <v>0</v>
      </c>
    </row>
    <row r="190" spans="1:32" ht="10.5" thickBot="1" x14ac:dyDescent="0.25">
      <c r="A190" s="534" t="s">
        <v>793</v>
      </c>
      <c r="B190" s="184">
        <f>SUMIFS(GL_BS!$G:$G,GL_BS!$R:$R,'Global TARF'!$A$165,GL_BS!$S:$S,'Global TARF'!$A190,GL_BS!$A:$A,'Global TARF'!B$38)</f>
        <v>0</v>
      </c>
      <c r="C190" s="184">
        <f>SUMIFS(GL_BS!$G:$G,GL_BS!$R:$R,'Global TARF'!$A$165,GL_BS!$S:$S,'Global TARF'!$A190,GL_BS!$A:$A,'Global TARF'!C$8)</f>
        <v>0</v>
      </c>
      <c r="D190" s="184">
        <f>SUMIFS(GL_BS!$G:$G,GL_BS!$R:$R,'Global TARF'!$A$165,GL_BS!$S:$S,'Global TARF'!$A190,GL_BS!$A:$A,'Global TARF'!D$8)</f>
        <v>0</v>
      </c>
      <c r="E190" s="184">
        <f>SUMIFS(GL_BS!$G:$G,GL_BS!$R:$R,'Global TARF'!$A$165,GL_BS!$S:$S,'Global TARF'!$A190,GL_BS!$A:$A,'Global TARF'!E$8)</f>
        <v>0</v>
      </c>
      <c r="F190" s="184">
        <f>SUMIFS(GL_BS!$G:$G,GL_BS!$R:$R,'Global TARF'!$A$165,GL_BS!$S:$S,'Global TARF'!$A190,GL_BS!$A:$A,'Global TARF'!F$8)</f>
        <v>0</v>
      </c>
      <c r="G190" s="536">
        <f>SUMIFS(GL_BS!$G:$G,GL_BS!$R:$R,'Global TARF'!$A$165,GL_BS!$S:$S,'Global TARF'!$A190,GL_BS!$A:$A,'Global TARF'!G$8)</f>
        <v>0</v>
      </c>
      <c r="H190" s="545">
        <f>SUMIFS(GL_BS!$G:$G,GL_BS!$R:$R,'Global TARF'!$A$165,GL_BS!$S:$S,'Global TARF'!$A190,GL_BS!$A:$A,'Global TARF'!H$8)</f>
        <v>0</v>
      </c>
      <c r="I190" s="184">
        <f>SUMIFS(GL_BS!$G:$G,GL_BS!$R:$R,'Global TARF'!$A$165,GL_BS!$S:$S,'Global TARF'!$A190,GL_BS!$A:$A,'Global TARF'!I$8)</f>
        <v>0</v>
      </c>
      <c r="J190" s="184">
        <f>SUMIFS(GL_BS!$G:$G,GL_BS!$R:$R,'Global TARF'!$A$165,GL_BS!$S:$S,'Global TARF'!$A190,GL_BS!$A:$A,'Global TARF'!J$8)</f>
        <v>0</v>
      </c>
      <c r="K190" s="184">
        <f>SUMIFS(GL_BS!$G:$G,GL_BS!$R:$R,'Global TARF'!$A$165,GL_BS!$S:$S,'Global TARF'!$A190,GL_BS!$A:$A,'Global TARF'!K$8)</f>
        <v>0</v>
      </c>
      <c r="L190" s="184">
        <f>SUMIFS(GL_BS!$G:$G,GL_BS!$R:$R,'Global TARF'!$A$165,GL_BS!$S:$S,'Global TARF'!$A190,GL_BS!$A:$A,'Global TARF'!L$8)</f>
        <v>0</v>
      </c>
      <c r="M190" s="536">
        <f>SUMIFS(GL_BS!$G:$G,GL_BS!$R:$R,'Global TARF'!$A$165,GL_BS!$S:$S,'Global TARF'!$A190,GL_BS!$A:$A,'Global TARF'!M$8)</f>
        <v>0</v>
      </c>
      <c r="N190" s="555">
        <f>SUMIFS(GL_BS!$G:$G,GL_BS!$R:$R,'Global TARF'!$A$165,GL_BS!$S:$S,'Global TARF'!$A190,GL_BS!$A:$A,'Global TARF'!N$8)</f>
        <v>0</v>
      </c>
      <c r="O190" s="18">
        <f>SUMIFS(GL_BS!$G:$G,GL_BS!$R:$R,'Global TARF'!$A$165,GL_BS!$S:$S,'Global TARF'!$A190,GL_BS!$A:$A,'Global TARF'!O$8)</f>
        <v>0</v>
      </c>
      <c r="P190" s="545">
        <f>SUMIFS(GL_PL!$G:$G,GL_PL!$Q:$Q,'Global TARF'!$A$165,GL_PL!$R:$R,'Global TARF'!$A158,GL_PL!$A:$A,'Global TARF'!P$8)</f>
        <v>0</v>
      </c>
      <c r="Q190" s="184">
        <f>SUMIFS(GL_PL!$G:$G,GL_PL!$Q:$Q,'Global TARF'!$A$165,GL_PL!$R:$R,'Global TARF'!$A158,GL_PL!$A:$A,'Global TARF'!Q$8)</f>
        <v>0</v>
      </c>
      <c r="R190" s="184">
        <f>SUMIFS(GL_PL!$G:$G,GL_PL!$Q:$Q,'Global TARF'!$A$165,GL_PL!$R:$R,'Global TARF'!$A158,GL_PL!$A:$A,'Global TARF'!R$8)</f>
        <v>0</v>
      </c>
      <c r="S190" s="536">
        <f>SUMIFS(GL_PL!$G:$G,GL_PL!$Q:$Q,'Global TARF'!$A$165,GL_PL!$R:$R,'Global TARF'!$A158,GL_PL!$A:$A,'Global TARF'!S$8)</f>
        <v>0</v>
      </c>
      <c r="T190"/>
      <c r="V190" s="26">
        <f>-SUM(B190:T190)</f>
        <v>0</v>
      </c>
      <c r="Z190" s="582">
        <f t="shared" si="121"/>
        <v>0</v>
      </c>
    </row>
    <row r="191" spans="1:32" s="23" customFormat="1" ht="10.5" thickBot="1" x14ac:dyDescent="0.25">
      <c r="A191" s="563" t="str">
        <f>$A$34</f>
        <v>Balance as of 06/31/2024</v>
      </c>
      <c r="B191" s="564">
        <f>SUM(B167:B190)</f>
        <v>0</v>
      </c>
      <c r="C191" s="564">
        <f>SUM(C167:C190)</f>
        <v>0</v>
      </c>
      <c r="D191" s="564">
        <f>SUM(D167:D190)</f>
        <v>0</v>
      </c>
      <c r="E191" s="564">
        <f t="shared" ref="E191:T191" si="122">SUM(E167:E190)</f>
        <v>0</v>
      </c>
      <c r="F191" s="564"/>
      <c r="G191" s="566">
        <f t="shared" si="122"/>
        <v>0</v>
      </c>
      <c r="H191" s="565">
        <f t="shared" si="122"/>
        <v>-66841.622841027202</v>
      </c>
      <c r="I191" s="565">
        <f t="shared" si="122"/>
        <v>0.42958094400091795</v>
      </c>
      <c r="J191" s="565">
        <f t="shared" si="122"/>
        <v>0</v>
      </c>
      <c r="K191" s="565">
        <f t="shared" si="122"/>
        <v>0</v>
      </c>
      <c r="L191" s="564">
        <f t="shared" si="122"/>
        <v>0</v>
      </c>
      <c r="M191" s="566">
        <f t="shared" si="122"/>
        <v>0</v>
      </c>
      <c r="N191" s="567">
        <f t="shared" si="122"/>
        <v>-2343.65</v>
      </c>
      <c r="O191" s="564">
        <f t="shared" si="122"/>
        <v>0</v>
      </c>
      <c r="P191" s="565">
        <f t="shared" si="122"/>
        <v>0</v>
      </c>
      <c r="Q191" s="564">
        <f t="shared" si="122"/>
        <v>0</v>
      </c>
      <c r="R191" s="564">
        <f t="shared" si="122"/>
        <v>61844.12233447218</v>
      </c>
      <c r="S191" s="566">
        <f t="shared" ref="S191" si="123">SUM(S167:S190)</f>
        <v>0</v>
      </c>
      <c r="T191" s="564">
        <f t="shared" si="122"/>
        <v>-58906.888359321601</v>
      </c>
      <c r="U191" s="564"/>
      <c r="V191" s="564"/>
      <c r="W191" s="566"/>
      <c r="X191" s="27"/>
      <c r="Z191" s="583"/>
    </row>
    <row r="192" spans="1:32" x14ac:dyDescent="0.2">
      <c r="A192" s="534"/>
      <c r="B192" s="186">
        <f>IFERROR(INDEX('BS_Q2 24'!$A$9:$O$279,MATCH('Global TARF'!B$8,'BS_Q2 24'!$A$9:$A$279,0),MATCH($A$165,'BS_Q2 24'!$A$8:$O$8)),0)</f>
        <v>0</v>
      </c>
      <c r="C192" s="186">
        <f>IFERROR(INDEX('BS_Q2 24'!$A$9:$O$279,MATCH('Global TARF'!C$8,'BS_Q2 24'!$A$9:$A$279,0),MATCH($A$165,'BS_Q2 24'!$A$8:$O$8)),0)</f>
        <v>0</v>
      </c>
      <c r="D192" s="186">
        <f>IFERROR(INDEX('BS_Q2 24'!$A$9:$O$279,MATCH('Global TARF'!D$8,'BS_Q2 24'!$A$9:$A$279,0),MATCH($A$165,'BS_Q2 24'!$A$8:$O$8)),0)</f>
        <v>0</v>
      </c>
      <c r="E192" s="186">
        <f>IFERROR(INDEX('BS_Q2 24'!$A$9:$O$279,MATCH('Global TARF'!E$8,'BS_Q2 24'!$A$9:$A$279,0),MATCH($A$165,'BS_Q2 24'!$A$8:$O$8)),0)</f>
        <v>0</v>
      </c>
      <c r="F192" s="186">
        <f>IFERROR(INDEX('BS_Q2 24'!$A$9:$O$279,MATCH('Global TARF'!F$8,'BS_Q2 24'!$A$9:$A$279,0),MATCH($A$165,'BS_Q2 24'!$A$8:$O$8)),0)</f>
        <v>0</v>
      </c>
      <c r="G192" s="186">
        <f>IFERROR(INDEX('BS_Q2 24'!$A$9:$O$279,MATCH('Global TARF'!G$8,'BS_Q2 24'!$A$9:$A$279,0),MATCH($A$165,'BS_Q2 24'!$A$8:$O$8)),0)</f>
        <v>0</v>
      </c>
      <c r="H192" s="545">
        <f>-IFERROR(INDEX('BS_Q2 24'!$A$9:$O$279,MATCH('Global TARF'!H$8,'BS_Q2 24'!$A$9:$A$279,0),MATCH($A$165,'BS_Q2 24'!$A$8:$O$8)),0)</f>
        <v>-66841.624278327596</v>
      </c>
      <c r="I192" s="545">
        <f>-IFERROR(INDEX('BS_Q2 24'!$A$9:$O$279,MATCH('Global TARF'!I$8,'BS_Q2 24'!$A$9:$A$279,0),MATCH($A$165,'BS_Q2 24'!$A$8:$O$8)),0)</f>
        <v>0.42958094400000002</v>
      </c>
      <c r="J192" s="545">
        <f>-IFERROR(INDEX('BS_Q2 24'!$A$9:$O$279,MATCH('Global TARF'!J$8,'BS_Q2 24'!$A$9:$A$279,0),MATCH($A$165,'BS_Q2 24'!$A$8:$O$8)),0)</f>
        <v>0</v>
      </c>
      <c r="K192" s="545">
        <f>-IFERROR(INDEX('BS_Q2 24'!$A$9:$O$279,MATCH('Global TARF'!K$8,'BS_Q2 24'!$A$9:$A$279,0),MATCH($A$165,'BS_Q2 24'!$A$8:$O$8)),0)</f>
        <v>0</v>
      </c>
      <c r="L192" s="545">
        <f>-IFERROR(INDEX('BS_Q2 24'!$A$9:$O$279,MATCH('Global TARF'!L$8,'BS_Q2 24'!$A$9:$A$279,0),MATCH($A$165,'BS_Q2 24'!$A$8:$O$8)),0)</f>
        <v>0</v>
      </c>
      <c r="M192" s="545">
        <f>-IFERROR(INDEX('BS_Q2 24'!$A$9:$O$279,MATCH('Global TARF'!M$8,'BS_Q2 24'!$A$9:$A$279,0),MATCH($A$165,'BS_Q2 24'!$A$8:$O$8)),0)</f>
        <v>0</v>
      </c>
      <c r="N192" s="554" t="e">
        <f>-INDEX('BS_Q2 24'!$A$9:$O$118,MATCH('Global TARF'!N$8,'BS_Q2 24'!$A$9:$A$118,0),MATCH($A$101,'BS_Q2 24'!$A$8:$O$8))</f>
        <v>#N/A</v>
      </c>
      <c r="O192" s="24" t="e">
        <f>-INDEX('BS_Q2 24'!$A$9:$O$118,MATCH('Global TARF'!O$8,'BS_Q2 24'!$A$9:$A$118,0),MATCH($A$101,'BS_Q2 24'!$A$8:$O$8))</f>
        <v>#N/A</v>
      </c>
      <c r="P192" s="545">
        <f>-IFERROR(INDEX('IS_Q2 24'!$A$7:$O$700,MATCH('Global TARF'!P$8,'IS_Q2 24'!$A$7:$A$700,0),MATCH($A$165,'IS_Q2 24'!$A$8:$O$8)),0)</f>
        <v>0</v>
      </c>
      <c r="Q192" s="545">
        <f>-IFERROR(INDEX('IS_Q2 24'!$A$7:$O$700,MATCH('Global TARF'!Q$8,'IS_Q2 24'!$A$7:$A$700,0),MATCH($A$165,'IS_Q2 24'!$A$8:$O$8)),0)</f>
        <v>0</v>
      </c>
      <c r="R192" s="545">
        <f>-IFERROR(INDEX('IS_Q2 24'!$A$7:$O$700,MATCH('Global TARF'!R$8,'IS_Q2 24'!$A$7:$A$700,0),MATCH($A$165,'IS_Q2 24'!$A$8:$O$8)),0)</f>
        <v>61844.12233447218</v>
      </c>
      <c r="S192" s="545">
        <f>-IFERROR(INDEX('IS_Q2 24'!$A$7:$O$700,MATCH('Global TARF'!S$8,'IS_Q2 24'!$A$7:$A$700,0),MATCH($A$165,'IS_Q2 24'!$A$8:$O$8)),0)</f>
        <v>0</v>
      </c>
      <c r="T192"/>
      <c r="Z192" s="580"/>
    </row>
    <row r="193" spans="1:26" x14ac:dyDescent="0.2">
      <c r="A193" s="534"/>
      <c r="B193" t="b">
        <f t="shared" ref="B193:R193" si="124">ROUND(B191,0)=ROUND(B192,0)</f>
        <v>1</v>
      </c>
      <c r="C193" t="b">
        <f t="shared" si="124"/>
        <v>1</v>
      </c>
      <c r="D193" t="b">
        <f t="shared" ref="D193" si="125">ROUND(D191,0)=ROUND(D192,0)</f>
        <v>1</v>
      </c>
      <c r="E193" t="b">
        <f t="shared" si="124"/>
        <v>1</v>
      </c>
      <c r="F193" t="b">
        <f t="shared" si="124"/>
        <v>1</v>
      </c>
      <c r="G193" s="535" t="b">
        <f t="shared" si="124"/>
        <v>1</v>
      </c>
      <c r="H193" s="534" t="b">
        <f t="shared" si="124"/>
        <v>1</v>
      </c>
      <c r="I193" s="534" t="b">
        <f t="shared" si="124"/>
        <v>1</v>
      </c>
      <c r="J193" s="534" t="b">
        <f t="shared" si="124"/>
        <v>1</v>
      </c>
      <c r="K193" s="534" t="b">
        <f t="shared" si="124"/>
        <v>1</v>
      </c>
      <c r="L193" t="b">
        <f t="shared" si="124"/>
        <v>1</v>
      </c>
      <c r="M193" s="535" t="b">
        <f t="shared" si="124"/>
        <v>1</v>
      </c>
      <c r="N193" s="552" t="e">
        <f t="shared" si="124"/>
        <v>#N/A</v>
      </c>
      <c r="O193" t="e">
        <f t="shared" si="124"/>
        <v>#N/A</v>
      </c>
      <c r="P193" s="534" t="b">
        <f t="shared" si="124"/>
        <v>1</v>
      </c>
      <c r="Q193" t="b">
        <f t="shared" si="124"/>
        <v>1</v>
      </c>
      <c r="R193" t="b">
        <f t="shared" si="124"/>
        <v>1</v>
      </c>
      <c r="S193" s="535" t="b">
        <f t="shared" ref="S193" si="126">ROUND(S191,0)=ROUND(S192,0)</f>
        <v>1</v>
      </c>
      <c r="T193"/>
      <c r="Z193" s="580"/>
    </row>
    <row r="194" spans="1:26" x14ac:dyDescent="0.2">
      <c r="A194" s="534"/>
      <c r="B194" s="26">
        <f>B192-B191</f>
        <v>0</v>
      </c>
      <c r="C194" s="26">
        <f>C192-C191</f>
        <v>0</v>
      </c>
      <c r="D194" s="26">
        <f>D192-D191</f>
        <v>0</v>
      </c>
      <c r="E194" s="26">
        <f t="shared" ref="E194:R194" si="127">E192-E191</f>
        <v>0</v>
      </c>
      <c r="F194" s="26"/>
      <c r="G194" s="541">
        <f t="shared" si="127"/>
        <v>0</v>
      </c>
      <c r="H194" s="537">
        <f t="shared" si="127"/>
        <v>-1.4373003941727802E-3</v>
      </c>
      <c r="I194" s="26">
        <f t="shared" ref="I194" si="128">I192-I191</f>
        <v>-9.1793239676007943E-13</v>
      </c>
      <c r="J194" s="26"/>
      <c r="K194" s="26"/>
      <c r="L194" s="26">
        <f t="shared" si="127"/>
        <v>0</v>
      </c>
      <c r="M194" s="541">
        <f t="shared" si="127"/>
        <v>0</v>
      </c>
      <c r="N194" s="556" t="e">
        <f t="shared" si="127"/>
        <v>#N/A</v>
      </c>
      <c r="O194" s="26" t="e">
        <f t="shared" si="127"/>
        <v>#N/A</v>
      </c>
      <c r="P194" s="537">
        <f t="shared" si="127"/>
        <v>0</v>
      </c>
      <c r="Q194" s="26">
        <f t="shared" si="127"/>
        <v>0</v>
      </c>
      <c r="R194" s="26">
        <f t="shared" si="127"/>
        <v>0</v>
      </c>
      <c r="S194" s="541">
        <f t="shared" ref="S194" si="129">S192-S191</f>
        <v>0</v>
      </c>
      <c r="T194" s="26"/>
      <c r="U194" s="26"/>
      <c r="V194" s="26"/>
      <c r="Z194" s="580"/>
    </row>
    <row r="195" spans="1:26" x14ac:dyDescent="0.2">
      <c r="A195" s="534"/>
      <c r="G195" s="535"/>
      <c r="H195" s="534"/>
      <c r="M195" s="535"/>
      <c r="N195" s="552"/>
      <c r="P195" s="534"/>
      <c r="S195" s="535"/>
      <c r="T195"/>
      <c r="Z195" s="580"/>
    </row>
    <row r="196" spans="1:26" x14ac:dyDescent="0.2">
      <c r="A196" s="534"/>
      <c r="G196" s="535"/>
      <c r="H196" s="534"/>
      <c r="M196" s="535"/>
      <c r="N196" s="552"/>
      <c r="P196" s="534"/>
      <c r="S196" s="535"/>
      <c r="T196"/>
      <c r="Z196" s="580"/>
    </row>
    <row r="197" spans="1:26" s="17" customFormat="1" ht="10.5" x14ac:dyDescent="0.25">
      <c r="A197" s="562">
        <v>205</v>
      </c>
      <c r="B197" s="558" t="s">
        <v>342</v>
      </c>
      <c r="C197" s="558" t="s">
        <v>220</v>
      </c>
      <c r="D197" s="558" t="str">
        <f>$D$8</f>
        <v>145700 - Income tax receivable - Long Term</v>
      </c>
      <c r="E197" s="558" t="s">
        <v>378</v>
      </c>
      <c r="F197" s="558" t="s">
        <v>427</v>
      </c>
      <c r="G197" s="559" t="s">
        <v>415</v>
      </c>
      <c r="H197" s="558" t="s">
        <v>240</v>
      </c>
      <c r="I197" s="558" t="s">
        <v>467</v>
      </c>
      <c r="J197" s="558" t="s">
        <v>4397</v>
      </c>
      <c r="K197" s="558" t="s">
        <v>4396</v>
      </c>
      <c r="L197" s="559" t="s">
        <v>502</v>
      </c>
      <c r="M197" s="559" t="s">
        <v>503</v>
      </c>
      <c r="N197" s="560" t="s">
        <v>877</v>
      </c>
      <c r="O197" s="561"/>
      <c r="P197" s="558" t="s">
        <v>20</v>
      </c>
      <c r="Q197" s="561" t="s">
        <v>57</v>
      </c>
      <c r="R197" s="561" t="s">
        <v>183</v>
      </c>
      <c r="S197" s="561" t="s">
        <v>3623</v>
      </c>
      <c r="T197" s="561" t="s">
        <v>4268</v>
      </c>
      <c r="U197" s="561" t="s">
        <v>4269</v>
      </c>
      <c r="V197" s="561" t="s">
        <v>794</v>
      </c>
      <c r="W197" s="561" t="s">
        <v>793</v>
      </c>
      <c r="Z197" s="579"/>
    </row>
    <row r="198" spans="1:26" ht="11" thickBot="1" x14ac:dyDescent="0.3">
      <c r="A198" s="538" t="s">
        <v>789</v>
      </c>
      <c r="G198" s="535"/>
      <c r="H198" s="534"/>
      <c r="M198" s="535"/>
      <c r="N198" s="550"/>
      <c r="P198" s="534"/>
      <c r="S198" s="535"/>
      <c r="T198"/>
      <c r="Z198" s="580"/>
    </row>
    <row r="199" spans="1:26" s="23" customFormat="1" ht="10.5" thickBot="1" x14ac:dyDescent="0.25">
      <c r="A199" s="563" t="str">
        <f>A10</f>
        <v>Balance as of 12/31/2023</v>
      </c>
      <c r="B199" s="564">
        <f>IFERROR(INDEX(BS_2023!$A$8:$O$271,MATCH('Global TARF'!B$8,BS_2023!$A$8:$A$271,0),MATCH($A$197,BS_2023!$A$7:$O$7)),0)</f>
        <v>0</v>
      </c>
      <c r="C199" s="564">
        <f>IFERROR(INDEX(BS_2023!$A$8:$O$271,MATCH('Global TARF'!C$8,BS_2023!$A$8:$A$271,0),MATCH($A$197,BS_2023!$A$7:$O$7)),0)</f>
        <v>0</v>
      </c>
      <c r="D199" s="564">
        <f>IFERROR(INDEX(BS_2023!$A$8:$O$271,MATCH('Global TARF'!D$8,BS_2023!$A$8:$A$271,0),MATCH($A$197,BS_2023!$A$7:$O$7)),0)</f>
        <v>0</v>
      </c>
      <c r="E199" s="564">
        <f>IFERROR(INDEX(BS_2023!$A$8:$O$271,MATCH('Global TARF'!E$8,BS_2023!$A$8:$A$271,0),MATCH($A$197,BS_2023!$A$7:$O$7)),0)</f>
        <v>0</v>
      </c>
      <c r="F199" s="564">
        <f>IFERROR(INDEX(BS_2023!$A$8:$O$271,MATCH('Global TARF'!F$8,BS_2023!$A$8:$A$271,0),MATCH($A$197,BS_2023!$A$7:$O$7)),0)</f>
        <v>0</v>
      </c>
      <c r="G199" s="564">
        <f>IFERROR(INDEX(BS_2023!$A$8:$O$271,MATCH('Global TARF'!G$8,BS_2023!$A$8:$A$271,0),MATCH($A$197,BS_2023!$A$7:$O$7)),0)</f>
        <v>0</v>
      </c>
      <c r="H199" s="565">
        <f>-IFERROR(INDEX(BS_2023!$A$8:$O$261,MATCH('Global TARF'!H$8,BS_2023!$A$8:$A$261,0),MATCH($A$197,BS_2023!$A$7:$O$7)),0)</f>
        <v>-100562.30048568361</v>
      </c>
      <c r="I199" s="565">
        <f>-IFERROR(INDEX(BS_2023!$A$8:$O$261,MATCH('Global TARF'!I$8,BS_2023!$A$8:$A$261,0),MATCH($A$197,BS_2023!$A$7:$O$7)),0)</f>
        <v>0</v>
      </c>
      <c r="J199" s="565">
        <f>-IFERROR(INDEX(BS_2023!$A$8:$O$261,MATCH('Global TARF'!J$8,BS_2023!$A$8:$A$261,0),MATCH($A$197,BS_2023!$A$7:$O$7)),0)</f>
        <v>0</v>
      </c>
      <c r="K199" s="565">
        <f>-IFERROR(INDEX(BS_2023!$A$8:$O$261,MATCH('Global TARF'!K$8,BS_2023!$A$8:$A$261,0),MATCH($A$197,BS_2023!$A$7:$O$7)),0)</f>
        <v>0</v>
      </c>
      <c r="L199" s="565">
        <f>-IFERROR(INDEX(BS_2023!$A$8:$O$261,MATCH('Global TARF'!L$8,BS_2023!$A$8:$A$261,0),MATCH($A$197,BS_2023!$A$7:$O$7)),0)</f>
        <v>0</v>
      </c>
      <c r="M199" s="565">
        <f>-IFERROR(INDEX(BS_2023!$A$8:$O$261,MATCH('Global TARF'!M$8,BS_2023!$A$8:$A$261,0),MATCH($A$197,BS_2023!$A$7:$O$7)),0)</f>
        <v>0</v>
      </c>
      <c r="N199" s="567" t="e">
        <f>INDEX(BS_2023!$A$8:$O$245,MATCH('Global TARF'!N$8,BS_2023!$A$8:$A$245,0),MATCH($A$197,BS_2023!$A$7:$O$7))</f>
        <v>#N/A</v>
      </c>
      <c r="O199" s="564" t="e">
        <f>INDEX(BS_2023!$A$8:$O$245,MATCH('Global TARF'!O$8,BS_2023!$A$8:$A$245,0),MATCH($A$197,BS_2023!$A$7:$O$7))</f>
        <v>#N/A</v>
      </c>
      <c r="P199" s="563"/>
      <c r="Q199" s="574"/>
      <c r="R199" s="574"/>
      <c r="S199" s="575"/>
      <c r="T199" s="574"/>
      <c r="U199" s="574"/>
      <c r="V199" s="574"/>
      <c r="W199" s="575"/>
      <c r="Z199" s="583"/>
    </row>
    <row r="200" spans="1:26" x14ac:dyDescent="0.2">
      <c r="A200" s="534" t="s">
        <v>798</v>
      </c>
      <c r="G200" s="535"/>
      <c r="H200" s="545">
        <v>629.12</v>
      </c>
      <c r="I200" s="184"/>
      <c r="J200" s="184"/>
      <c r="K200" s="184"/>
      <c r="M200" s="535"/>
      <c r="N200" s="553">
        <f>-SUM(H200,G200,C200,E200,M200,L200,F200,B200,D200)</f>
        <v>-629.12</v>
      </c>
      <c r="P200" s="534"/>
      <c r="S200" s="535"/>
      <c r="T200"/>
      <c r="Z200" s="582">
        <f t="shared" ref="Z200:Z222" si="130">SUM(B200:Y200)</f>
        <v>0</v>
      </c>
    </row>
    <row r="201" spans="1:26" x14ac:dyDescent="0.2">
      <c r="A201" s="534"/>
      <c r="G201" s="535"/>
      <c r="H201" s="534"/>
      <c r="M201" s="535"/>
      <c r="N201" s="552"/>
      <c r="P201" s="534"/>
      <c r="S201" s="535"/>
      <c r="T201"/>
      <c r="Z201" s="582">
        <f t="shared" si="130"/>
        <v>0</v>
      </c>
    </row>
    <row r="202" spans="1:26" x14ac:dyDescent="0.2">
      <c r="A202" s="534"/>
      <c r="B202" s="184">
        <f>SUMIFS(GL_BS!$G:$G,GL_BS!$R:$R,'Global TARF'!$A$197,GL_BS!$S:$S,'Global TARF'!$A202,GL_BS!$A:$A,'Global TARF'!B$38)</f>
        <v>0</v>
      </c>
      <c r="C202" s="184">
        <f>SUMIFS(GL_BS!$G:$G,GL_BS!$R:$R,'Global TARF'!$A$197,GL_BS!$S:$S,'Global TARF'!$A202,GL_BS!$A:$A,'Global TARF'!C$8)</f>
        <v>0</v>
      </c>
      <c r="D202" s="184">
        <f>SUMIFS(GL_BS!$G:$G,GL_BS!$R:$R,'Global TARF'!$A$197,GL_BS!$S:$S,'Global TARF'!$A202,GL_BS!$A:$A,'Global TARF'!D$8)</f>
        <v>0</v>
      </c>
      <c r="E202" s="184">
        <f>SUMIFS(GL_BS!$G:$G,GL_BS!$R:$R,'Global TARF'!$A$197,GL_BS!$S:$S,'Global TARF'!$A202,GL_BS!$A:$A,'Global TARF'!E$8)</f>
        <v>0</v>
      </c>
      <c r="F202" s="184"/>
      <c r="G202" s="536">
        <f>SUMIFS(GL_BS!$G:$G,GL_BS!$R:$R,'Global TARF'!$A$197,GL_BS!$S:$S,'Global TARF'!$A202,GL_BS!$A:$A,'Global TARF'!G$8)</f>
        <v>0</v>
      </c>
      <c r="H202" s="545">
        <f>SUMIFS(GL_BS!$G:$G,GL_BS!$R:$R,'Global TARF'!$A$197,GL_BS!$S:$S,'Global TARF'!$A202,GL_BS!$A:$A,'Global TARF'!H$8)</f>
        <v>0</v>
      </c>
      <c r="I202" s="184"/>
      <c r="J202" s="184"/>
      <c r="K202" s="184"/>
      <c r="L202" s="184">
        <f>SUMIFS(GL_BS!$G:$G,GL_BS!$R:$R,'Global TARF'!$A$197,GL_BS!$S:$S,'Global TARF'!$A202,GL_BS!$A:$A,'Global TARF'!L$8)</f>
        <v>0</v>
      </c>
      <c r="M202" s="536">
        <f>SUMIFS(GL_BS!$G:$G,GL_BS!$R:$R,'Global TARF'!$A$197,GL_BS!$S:$S,'Global TARF'!$A202,GL_BS!$A:$A,'Global TARF'!M$8)</f>
        <v>0</v>
      </c>
      <c r="N202" s="555">
        <f>SUMIFS(GL_BS!$G:$G,GL_BS!$R:$R,'Global TARF'!$A$101,GL_BS!$S:$S,'Global TARF'!$A202,GL_BS!$A:$A,'Global TARF'!N$8)</f>
        <v>0</v>
      </c>
      <c r="O202" s="18">
        <f>SUMIFS(GL_BS!$G:$G,GL_BS!$R:$R,'Global TARF'!$A$101,GL_BS!$S:$S,'Global TARF'!$A202,GL_BS!$A:$A,'Global TARF'!O$8)</f>
        <v>0</v>
      </c>
      <c r="P202" s="545">
        <f>SUMIFS(GL_PL!$G:$G,GL_PL!$Q:$Q,'Global TARF'!$A$197,GL_PL!$R:$R,'Global TARF'!$A202,GL_PL!$A:$A,'Global TARF'!P$8)</f>
        <v>0</v>
      </c>
      <c r="Q202" s="184">
        <f>SUMIFS(GL_PL!$G:$G,GL_PL!$Q:$Q,'Global TARF'!$A$197,GL_PL!$R:$R,'Global TARF'!$A202,GL_PL!$A:$A,'Global TARF'!Q$8)</f>
        <v>0</v>
      </c>
      <c r="R202" s="184">
        <f>SUMIFS(GL_PL!$G:$G,GL_PL!$Q:$Q,'Global TARF'!$A$197,GL_PL!$R:$R,'Global TARF'!$A202,GL_PL!$A:$A,'Global TARF'!R$8)</f>
        <v>0</v>
      </c>
      <c r="S202" s="536">
        <f>SUMIFS(GL_PL!$G:$G,GL_PL!$Q:$Q,'Global TARF'!$A$197,GL_PL!$R:$R,'Global TARF'!$A202,GL_PL!$A:$A,'Global TARF'!S$8)</f>
        <v>0</v>
      </c>
      <c r="T202" s="26">
        <f>-P202</f>
        <v>0</v>
      </c>
      <c r="U202" s="26"/>
      <c r="Z202" s="582">
        <f t="shared" si="130"/>
        <v>0</v>
      </c>
    </row>
    <row r="203" spans="1:26" x14ac:dyDescent="0.2">
      <c r="A203" s="534"/>
      <c r="B203" s="184">
        <f>SUMIFS(GL_BS!$G:$G,GL_BS!$R:$R,'Global TARF'!$A$197,GL_BS!$S:$S,'Global TARF'!$A203,GL_BS!$A:$A,'Global TARF'!B$38)</f>
        <v>0</v>
      </c>
      <c r="C203" s="184">
        <f>SUMIFS(GL_BS!$G:$G,GL_BS!$R:$R,'Global TARF'!$A$197,GL_BS!$S:$S,'Global TARF'!$A203,GL_BS!$A:$A,'Global TARF'!C$8)</f>
        <v>0</v>
      </c>
      <c r="D203" s="184">
        <f>SUMIFS(GL_BS!$G:$G,GL_BS!$R:$R,'Global TARF'!$A$197,GL_BS!$S:$S,'Global TARF'!$A203,GL_BS!$A:$A,'Global TARF'!D$8)</f>
        <v>0</v>
      </c>
      <c r="E203" s="184">
        <f>SUMIFS(GL_BS!$G:$G,GL_BS!$R:$R,'Global TARF'!$A$197,GL_BS!$S:$S,'Global TARF'!$A203,GL_BS!$A:$A,'Global TARF'!E$8)</f>
        <v>0</v>
      </c>
      <c r="F203" s="184"/>
      <c r="G203" s="536">
        <f>SUMIFS(GL_BS!$G:$G,GL_BS!$R:$R,'Global TARF'!$A$197,GL_BS!$S:$S,'Global TARF'!$A203,GL_BS!$A:$A,'Global TARF'!G$8)</f>
        <v>0</v>
      </c>
      <c r="H203" s="545">
        <f>SUMIFS(GL_BS!$G:$G,GL_BS!$R:$R,'Global TARF'!$A$197,GL_BS!$S:$S,'Global TARF'!$A203,GL_BS!$A:$A,'Global TARF'!H$8)</f>
        <v>0</v>
      </c>
      <c r="I203" s="184"/>
      <c r="J203" s="184"/>
      <c r="K203" s="184"/>
      <c r="L203" s="184">
        <f>SUMIFS(GL_BS!$G:$G,GL_BS!$R:$R,'Global TARF'!$A$197,GL_BS!$S:$S,'Global TARF'!$A203,GL_BS!$A:$A,'Global TARF'!L$8)</f>
        <v>0</v>
      </c>
      <c r="M203" s="536">
        <f>SUMIFS(GL_BS!$G:$G,GL_BS!$R:$R,'Global TARF'!$A$197,GL_BS!$S:$S,'Global TARF'!$A203,GL_BS!$A:$A,'Global TARF'!M$8)</f>
        <v>0</v>
      </c>
      <c r="N203" s="555">
        <f>SUMIFS(GL_BS!$G:$G,GL_BS!$R:$R,'Global TARF'!$A$101,GL_BS!$S:$S,'Global TARF'!$A203,GL_BS!$A:$A,'Global TARF'!N$8)</f>
        <v>0</v>
      </c>
      <c r="O203" s="18">
        <f>SUMIFS(GL_BS!$G:$G,GL_BS!$R:$R,'Global TARF'!$A$101,GL_BS!$S:$S,'Global TARF'!$A203,GL_BS!$A:$A,'Global TARF'!O$8)</f>
        <v>0</v>
      </c>
      <c r="P203" s="545">
        <f>SUMIFS(GL_PL!$G:$G,GL_PL!$Q:$Q,'Global TARF'!$A$197,GL_PL!$R:$R,'Global TARF'!$A203,GL_PL!$A:$A,'Global TARF'!P$8)</f>
        <v>0</v>
      </c>
      <c r="Q203" s="184">
        <f>SUMIFS(GL_PL!$G:$G,GL_PL!$Q:$Q,'Global TARF'!$A$197,GL_PL!$R:$R,'Global TARF'!$A203,GL_PL!$A:$A,'Global TARF'!Q$8)</f>
        <v>0</v>
      </c>
      <c r="R203" s="184">
        <f>SUMIFS(GL_PL!$G:$G,GL_PL!$Q:$Q,'Global TARF'!$A$197,GL_PL!$R:$R,'Global TARF'!$A203,GL_PL!$A:$A,'Global TARF'!R$8)</f>
        <v>0</v>
      </c>
      <c r="S203" s="536">
        <f>SUMIFS(GL_PL!$G:$G,GL_PL!$Q:$Q,'Global TARF'!$A$197,GL_PL!$R:$R,'Global TARF'!$A203,GL_PL!$A:$A,'Global TARF'!S$8)</f>
        <v>0</v>
      </c>
      <c r="T203" s="26">
        <f>-SUM(P203,H203,C203,Q203,R203)</f>
        <v>0</v>
      </c>
      <c r="U203" s="26"/>
      <c r="Z203" s="582">
        <f t="shared" si="130"/>
        <v>0</v>
      </c>
    </row>
    <row r="204" spans="1:26" x14ac:dyDescent="0.2">
      <c r="A204" s="534" t="s">
        <v>780</v>
      </c>
      <c r="B204" s="184">
        <f>SUMIFS(GL_BS!$G:$G,GL_BS!$R:$R,'Global TARF'!$A$197,GL_BS!$S:$S,'Global TARF'!$A204,GL_BS!$A:$A,'Global TARF'!B$38)</f>
        <v>0</v>
      </c>
      <c r="C204" s="184">
        <f>SUMIFS(GL_BS!$G:$G,GL_BS!$R:$R,'Global TARF'!$A$197,GL_BS!$S:$S,'Global TARF'!$A204,GL_BS!$A:$A,'Global TARF'!C$8)</f>
        <v>0</v>
      </c>
      <c r="D204" s="184">
        <f>SUMIFS(GL_BS!$G:$G,GL_BS!$R:$R,'Global TARF'!$A$197,GL_BS!$S:$S,'Global TARF'!$A204,GL_BS!$A:$A,'Global TARF'!D$8)</f>
        <v>0</v>
      </c>
      <c r="E204" s="184">
        <f>SUMIFS(GL_BS!$G:$G,GL_BS!$R:$R,'Global TARF'!$A$197,GL_BS!$S:$S,'Global TARF'!$A204,GL_BS!$A:$A,'Global TARF'!E$8)</f>
        <v>0</v>
      </c>
      <c r="F204" s="184">
        <f>SUMIFS(GL_BS!$G:$G,GL_BS!$R:$R,'Global TARF'!$A$197,GL_BS!$S:$S,'Global TARF'!$A204,GL_BS!$A:$A,'Global TARF'!F$8)</f>
        <v>0</v>
      </c>
      <c r="G204" s="536">
        <f>SUMIFS(GL_BS!$G:$G,GL_BS!$R:$R,'Global TARF'!$A$197,GL_BS!$S:$S,'Global TARF'!$A204,GL_BS!$A:$A,'Global TARF'!G$8)</f>
        <v>0</v>
      </c>
      <c r="H204" s="545">
        <f>SUMIFS(GL_BS!$G:$G,GL_BS!$R:$R,'Global TARF'!$A$197,GL_BS!$S:$S,'Global TARF'!$A204,GL_BS!$A:$A,'Global TARF'!H$8)</f>
        <v>0</v>
      </c>
      <c r="I204" s="184">
        <f>SUMIFS(GL_BS!$G:$G,GL_BS!$R:$R,'Global TARF'!$A$197,GL_BS!$S:$S,'Global TARF'!$A204,GL_BS!$A:$A,'Global TARF'!I$8)</f>
        <v>0</v>
      </c>
      <c r="J204" s="184">
        <f>SUMIFS(GL_BS!$G:$G,GL_BS!$R:$R,'Global TARF'!$A$197,GL_BS!$S:$S,'Global TARF'!$A204,GL_BS!$A:$A,'Global TARF'!J$8)</f>
        <v>0</v>
      </c>
      <c r="K204" s="184">
        <f>SUMIFS(GL_BS!$G:$G,GL_BS!$R:$R,'Global TARF'!$A$197,GL_BS!$S:$S,'Global TARF'!$A204,GL_BS!$A:$A,'Global TARF'!K$8)</f>
        <v>0</v>
      </c>
      <c r="L204" s="184">
        <f>SUMIFS(GL_BS!$G:$G,GL_BS!$R:$R,'Global TARF'!$A$197,GL_BS!$S:$S,'Global TARF'!$A204,GL_BS!$A:$A,'Global TARF'!L$8)</f>
        <v>0</v>
      </c>
      <c r="M204" s="536">
        <f>SUMIFS(GL_BS!$G:$G,GL_BS!$R:$R,'Global TARF'!$A$197,GL_BS!$S:$S,'Global TARF'!$A204,GL_BS!$A:$A,'Global TARF'!M$8)</f>
        <v>0</v>
      </c>
      <c r="N204" s="555">
        <f>SUMIFS(GL_BS!$G:$G,GL_BS!$R:$R,'Global TARF'!$A$101,GL_BS!$S:$S,'Global TARF'!$A204,GL_BS!$A:$A,'Global TARF'!N$8)</f>
        <v>0</v>
      </c>
      <c r="O204" s="18">
        <f>SUMIFS(GL_BS!$G:$G,GL_BS!$R:$R,'Global TARF'!$A$101,GL_BS!$S:$S,'Global TARF'!$A204,GL_BS!$A:$A,'Global TARF'!O$8)</f>
        <v>0</v>
      </c>
      <c r="P204" s="545">
        <f>SUMIFS(GL_PL!$G:$G,GL_PL!$Q:$Q,'Global TARF'!$A$197,GL_PL!$R:$R,'Global TARF'!$A204,GL_PL!$A:$A,'Global TARF'!P$8)</f>
        <v>0</v>
      </c>
      <c r="Q204" s="184">
        <f>SUMIFS(GL_PL!$G:$G,GL_PL!$Q:$Q,'Global TARF'!$A$197,GL_PL!$R:$R,'Global TARF'!$A204,GL_PL!$A:$A,'Global TARF'!Q$8)</f>
        <v>0</v>
      </c>
      <c r="R204" s="184">
        <f>SUMIFS(GL_PL!$G:$G,GL_PL!$Q:$Q,'Global TARF'!$A$197,GL_PL!$R:$R,'Global TARF'!$A204,GL_PL!$A:$A,'Global TARF'!R$8)</f>
        <v>0</v>
      </c>
      <c r="S204" s="536">
        <f>SUMIFS(GL_PL!$G:$G,GL_PL!$Q:$Q,'Global TARF'!$A$197,GL_PL!$R:$R,'Global TARF'!$A204,GL_PL!$A:$A,'Global TARF'!S$8)</f>
        <v>0</v>
      </c>
      <c r="T204" s="26">
        <f>-SUM(P204:R204,H204,C204)</f>
        <v>0</v>
      </c>
      <c r="U204" s="26"/>
      <c r="Z204" s="582">
        <f t="shared" si="130"/>
        <v>0</v>
      </c>
    </row>
    <row r="205" spans="1:26" x14ac:dyDescent="0.2">
      <c r="A205" s="534" t="s">
        <v>781</v>
      </c>
      <c r="B205" s="184">
        <f>SUMIFS(GL_BS!$G:$G,GL_BS!$R:$R,'Global TARF'!$A$197,GL_BS!$S:$S,'Global TARF'!$A205,GL_BS!$A:$A,'Global TARF'!B$38)</f>
        <v>0</v>
      </c>
      <c r="C205" s="184">
        <f>SUMIFS(GL_BS!$G:$G,GL_BS!$R:$R,'Global TARF'!$A$197,GL_BS!$S:$S,'Global TARF'!$A205,GL_BS!$A:$A,'Global TARF'!C$8)</f>
        <v>0</v>
      </c>
      <c r="D205" s="184">
        <f>SUMIFS(GL_BS!$G:$G,GL_BS!$R:$R,'Global TARF'!$A$197,GL_BS!$S:$S,'Global TARF'!$A205,GL_BS!$A:$A,'Global TARF'!D$8)</f>
        <v>0</v>
      </c>
      <c r="E205" s="184">
        <f>SUMIFS(GL_BS!$G:$G,GL_BS!$R:$R,'Global TARF'!$A$197,GL_BS!$S:$S,'Global TARF'!$A205,GL_BS!$A:$A,'Global TARF'!E$8)</f>
        <v>0</v>
      </c>
      <c r="F205" s="184">
        <f>SUMIFS(GL_BS!$G:$G,GL_BS!$R:$R,'Global TARF'!$A$197,GL_BS!$S:$S,'Global TARF'!$A205,GL_BS!$A:$A,'Global TARF'!F$8)</f>
        <v>0</v>
      </c>
      <c r="G205" s="536">
        <f>SUMIFS(GL_BS!$G:$G,GL_BS!$R:$R,'Global TARF'!$A$197,GL_BS!$S:$S,'Global TARF'!$A205,GL_BS!$A:$A,'Global TARF'!G$8)</f>
        <v>0</v>
      </c>
      <c r="H205" s="545">
        <f>SUMIFS(GL_BS!$G:$G,GL_BS!$R:$R,'Global TARF'!$A$197,GL_BS!$S:$S,'Global TARF'!$A205,GL_BS!$A:$A,'Global TARF'!H$8)</f>
        <v>0</v>
      </c>
      <c r="I205" s="184">
        <f>SUMIFS(GL_BS!$G:$G,GL_BS!$R:$R,'Global TARF'!$A$197,GL_BS!$S:$S,'Global TARF'!$A205,GL_BS!$A:$A,'Global TARF'!I$8)</f>
        <v>0</v>
      </c>
      <c r="J205" s="184">
        <f>SUMIFS(GL_BS!$G:$G,GL_BS!$R:$R,'Global TARF'!$A$197,GL_BS!$S:$S,'Global TARF'!$A205,GL_BS!$A:$A,'Global TARF'!J$8)</f>
        <v>0</v>
      </c>
      <c r="K205" s="184">
        <f>SUMIFS(GL_BS!$G:$G,GL_BS!$R:$R,'Global TARF'!$A$197,GL_BS!$S:$S,'Global TARF'!$A205,GL_BS!$A:$A,'Global TARF'!K$8)</f>
        <v>0</v>
      </c>
      <c r="L205" s="184">
        <f>SUMIFS(GL_BS!$G:$G,GL_BS!$R:$R,'Global TARF'!$A$197,GL_BS!$S:$S,'Global TARF'!$A205,GL_BS!$A:$A,'Global TARF'!L$8)</f>
        <v>0</v>
      </c>
      <c r="M205" s="536">
        <f>SUMIFS(GL_BS!$G:$G,GL_BS!$R:$R,'Global TARF'!$A$197,GL_BS!$S:$S,'Global TARF'!$A205,GL_BS!$A:$A,'Global TARF'!M$8)</f>
        <v>0</v>
      </c>
      <c r="N205" s="555">
        <f>SUMIFS(GL_BS!$G:$G,GL_BS!$R:$R,'Global TARF'!$A$101,GL_BS!$S:$S,'Global TARF'!$A205,GL_BS!$A:$A,'Global TARF'!N$8)</f>
        <v>0</v>
      </c>
      <c r="O205" s="18">
        <f>SUMIFS(GL_BS!$G:$G,GL_BS!$R:$R,'Global TARF'!$A$101,GL_BS!$S:$S,'Global TARF'!$A205,GL_BS!$A:$A,'Global TARF'!O$8)</f>
        <v>0</v>
      </c>
      <c r="P205" s="545">
        <f>SUMIFS(GL_PL!$G:$G,GL_PL!$Q:$Q,'Global TARF'!$A$197,GL_PL!$R:$R,'Global TARF'!$A205,GL_PL!$A:$A,'Global TARF'!P$8)</f>
        <v>0</v>
      </c>
      <c r="Q205" s="184">
        <f>SUMIFS(GL_PL!$G:$G,GL_PL!$Q:$Q,'Global TARF'!$A$197,GL_PL!$R:$R,'Global TARF'!$A205,GL_PL!$A:$A,'Global TARF'!Q$8)</f>
        <v>0</v>
      </c>
      <c r="R205" s="184">
        <f>SUMIFS(GL_PL!$G:$G,GL_PL!$Q:$Q,'Global TARF'!$A$197,GL_PL!$R:$R,'Global TARF'!$A205,GL_PL!$A:$A,'Global TARF'!R$8)</f>
        <v>0</v>
      </c>
      <c r="S205" s="536">
        <f>SUMIFS(GL_PL!$G:$G,GL_PL!$Q:$Q,'Global TARF'!$A$197,GL_PL!$R:$R,'Global TARF'!$A205,GL_PL!$A:$A,'Global TARF'!S$8)</f>
        <v>0</v>
      </c>
      <c r="T205"/>
      <c r="Z205" s="582">
        <f t="shared" si="130"/>
        <v>0</v>
      </c>
    </row>
    <row r="206" spans="1:26" x14ac:dyDescent="0.2">
      <c r="A206" s="534" t="s">
        <v>782</v>
      </c>
      <c r="B206" s="184">
        <f>SUMIFS(GL_BS!$G:$G,GL_BS!$R:$R,'Global TARF'!$A$197,GL_BS!$S:$S,'Global TARF'!$A206,GL_BS!$A:$A,'Global TARF'!B$38)</f>
        <v>0</v>
      </c>
      <c r="C206" s="184">
        <f>SUMIFS(GL_BS!$G:$G,GL_BS!$R:$R,'Global TARF'!$A$197,GL_BS!$S:$S,'Global TARF'!$A206,GL_BS!$A:$A,'Global TARF'!C$8)</f>
        <v>0</v>
      </c>
      <c r="D206" s="184">
        <f>SUMIFS(GL_BS!$G:$G,GL_BS!$R:$R,'Global TARF'!$A$197,GL_BS!$S:$S,'Global TARF'!$A206,GL_BS!$A:$A,'Global TARF'!D$8)</f>
        <v>0</v>
      </c>
      <c r="E206" s="184">
        <f>SUMIFS(GL_BS!$G:$G,GL_BS!$R:$R,'Global TARF'!$A$197,GL_BS!$S:$S,'Global TARF'!$A206,GL_BS!$A:$A,'Global TARF'!E$8)</f>
        <v>0</v>
      </c>
      <c r="F206" s="184">
        <f>SUMIFS(GL_BS!$G:$G,GL_BS!$R:$R,'Global TARF'!$A$197,GL_BS!$S:$S,'Global TARF'!$A206,GL_BS!$A:$A,'Global TARF'!F$8)</f>
        <v>0</v>
      </c>
      <c r="G206" s="536">
        <f>SUMIFS(GL_BS!$G:$G,GL_BS!$R:$R,'Global TARF'!$A$197,GL_BS!$S:$S,'Global TARF'!$A206,GL_BS!$A:$A,'Global TARF'!G$8)</f>
        <v>0</v>
      </c>
      <c r="H206" s="545">
        <f>SUMIFS(GL_BS!$G:$G,GL_BS!$R:$R,'Global TARF'!$A$197,GL_BS!$S:$S,'Global TARF'!$A206,GL_BS!$A:$A,'Global TARF'!H$8)</f>
        <v>0</v>
      </c>
      <c r="I206" s="184">
        <f>SUMIFS(GL_BS!$G:$G,GL_BS!$R:$R,'Global TARF'!$A$197,GL_BS!$S:$S,'Global TARF'!$A206,GL_BS!$A:$A,'Global TARF'!I$8)</f>
        <v>0</v>
      </c>
      <c r="J206" s="184">
        <f>SUMIFS(GL_BS!$G:$G,GL_BS!$R:$R,'Global TARF'!$A$197,GL_BS!$S:$S,'Global TARF'!$A206,GL_BS!$A:$A,'Global TARF'!J$8)</f>
        <v>0</v>
      </c>
      <c r="K206" s="184">
        <f>SUMIFS(GL_BS!$G:$G,GL_BS!$R:$R,'Global TARF'!$A$197,GL_BS!$S:$S,'Global TARF'!$A206,GL_BS!$A:$A,'Global TARF'!K$8)</f>
        <v>0</v>
      </c>
      <c r="L206" s="184">
        <f>SUMIFS(GL_BS!$G:$G,GL_BS!$R:$R,'Global TARF'!$A$197,GL_BS!$S:$S,'Global TARF'!$A206,GL_BS!$A:$A,'Global TARF'!L$8)</f>
        <v>0</v>
      </c>
      <c r="M206" s="536">
        <f>SUMIFS(GL_BS!$G:$G,GL_BS!$R:$R,'Global TARF'!$A$197,GL_BS!$S:$S,'Global TARF'!$A206,GL_BS!$A:$A,'Global TARF'!M$8)</f>
        <v>0</v>
      </c>
      <c r="N206" s="555">
        <f>SUMIFS(GL_BS!$G:$G,GL_BS!$R:$R,'Global TARF'!$A$101,GL_BS!$S:$S,'Global TARF'!$A206,GL_BS!$A:$A,'Global TARF'!N$8)</f>
        <v>0</v>
      </c>
      <c r="O206" s="18">
        <f>SUMIFS(GL_BS!$G:$G,GL_BS!$R:$R,'Global TARF'!$A$101,GL_BS!$S:$S,'Global TARF'!$A206,GL_BS!$A:$A,'Global TARF'!O$8)</f>
        <v>0</v>
      </c>
      <c r="P206" s="545">
        <f>SUMIFS(GL_PL!$G:$G,GL_PL!$Q:$Q,'Global TARF'!$A$197,GL_PL!$R:$R,'Global TARF'!$A206,GL_PL!$A:$A,'Global TARF'!P$8)</f>
        <v>0</v>
      </c>
      <c r="Q206" s="184">
        <f>SUMIFS(GL_PL!$G:$G,GL_PL!$Q:$Q,'Global TARF'!$A$197,GL_PL!$R:$R,'Global TARF'!$A206,GL_PL!$A:$A,'Global TARF'!Q$8)</f>
        <v>0</v>
      </c>
      <c r="R206" s="184">
        <f>SUMIFS(GL_PL!$G:$G,GL_PL!$Q:$Q,'Global TARF'!$A$197,GL_PL!$R:$R,'Global TARF'!$A206,GL_PL!$A:$A,'Global TARF'!R$8)</f>
        <v>0</v>
      </c>
      <c r="S206" s="536">
        <f>SUMIFS(GL_PL!$G:$G,GL_PL!$Q:$Q,'Global TARF'!$A$197,GL_PL!$R:$R,'Global TARF'!$A206,GL_PL!$A:$A,'Global TARF'!S$8)</f>
        <v>0</v>
      </c>
      <c r="T206" s="26">
        <f>-H206</f>
        <v>0</v>
      </c>
      <c r="Z206" s="582">
        <f t="shared" si="130"/>
        <v>0</v>
      </c>
    </row>
    <row r="207" spans="1:26" x14ac:dyDescent="0.2">
      <c r="A207" s="534" t="s">
        <v>950</v>
      </c>
      <c r="B207" s="184">
        <f>SUMIFS(GL_BS!$G:$G,GL_BS!$R:$R,'Global TARF'!$A$197,GL_BS!$S:$S,'Global TARF'!$A207,GL_BS!$A:$A,'Global TARF'!B$38)</f>
        <v>0</v>
      </c>
      <c r="C207" s="184">
        <f>SUMIFS(GL_BS!$G:$G,GL_BS!$R:$R,'Global TARF'!$A$197,GL_BS!$S:$S,'Global TARF'!$A207,GL_BS!$A:$A,'Global TARF'!C$8)</f>
        <v>0</v>
      </c>
      <c r="D207" s="184">
        <f>SUMIFS(GL_BS!$G:$G,GL_BS!$R:$R,'Global TARF'!$A$197,GL_BS!$S:$S,'Global TARF'!$A207,GL_BS!$A:$A,'Global TARF'!D$8)</f>
        <v>0</v>
      </c>
      <c r="E207" s="184">
        <f>SUMIFS(GL_BS!$G:$G,GL_BS!$R:$R,'Global TARF'!$A$197,GL_BS!$S:$S,'Global TARF'!$A207,GL_BS!$A:$A,'Global TARF'!E$8)</f>
        <v>0</v>
      </c>
      <c r="F207" s="184">
        <f>SUMIFS(GL_BS!$G:$G,GL_BS!$R:$R,'Global TARF'!$A$197,GL_BS!$S:$S,'Global TARF'!$A207,GL_BS!$A:$A,'Global TARF'!F$8)</f>
        <v>0</v>
      </c>
      <c r="G207" s="536">
        <f>SUMIFS(GL_BS!$G:$G,GL_BS!$R:$R,'Global TARF'!$A$197,GL_BS!$S:$S,'Global TARF'!$A207,GL_BS!$A:$A,'Global TARF'!G$8)</f>
        <v>0</v>
      </c>
      <c r="H207" s="545">
        <f>SUMIFS(GL_BS!$G:$G,GL_BS!$R:$R,'Global TARF'!$A$197,GL_BS!$S:$S,'Global TARF'!$A207,GL_BS!$A:$A,'Global TARF'!H$8)</f>
        <v>0</v>
      </c>
      <c r="I207" s="184">
        <f>SUMIFS(GL_BS!$G:$G,GL_BS!$R:$R,'Global TARF'!$A$197,GL_BS!$S:$S,'Global TARF'!$A207,GL_BS!$A:$A,'Global TARF'!I$8)</f>
        <v>0</v>
      </c>
      <c r="J207" s="184">
        <f>SUMIFS(GL_BS!$G:$G,GL_BS!$R:$R,'Global TARF'!$A$197,GL_BS!$S:$S,'Global TARF'!$A207,GL_BS!$A:$A,'Global TARF'!J$8)</f>
        <v>0</v>
      </c>
      <c r="K207" s="184">
        <f>SUMIFS(GL_BS!$G:$G,GL_BS!$R:$R,'Global TARF'!$A$197,GL_BS!$S:$S,'Global TARF'!$A207,GL_BS!$A:$A,'Global TARF'!K$8)</f>
        <v>0</v>
      </c>
      <c r="L207" s="184">
        <f>SUMIFS(GL_BS!$G:$G,GL_BS!$R:$R,'Global TARF'!$A$197,GL_BS!$S:$S,'Global TARF'!$A207,GL_BS!$A:$A,'Global TARF'!L$8)</f>
        <v>0</v>
      </c>
      <c r="M207" s="536">
        <f>SUMIFS(GL_BS!$G:$G,GL_BS!$R:$R,'Global TARF'!$A$197,GL_BS!$S:$S,'Global TARF'!$A207,GL_BS!$A:$A,'Global TARF'!M$8)</f>
        <v>0</v>
      </c>
      <c r="N207" s="555">
        <f>SUMIFS(GL_BS!$G:$G,GL_BS!$R:$R,'Global TARF'!$A$101,GL_BS!$S:$S,'Global TARF'!$A207,GL_BS!$A:$A,'Global TARF'!N$8)</f>
        <v>0</v>
      </c>
      <c r="O207" s="18">
        <f>SUMIFS(GL_BS!$G:$G,GL_BS!$R:$R,'Global TARF'!$A$101,GL_BS!$S:$S,'Global TARF'!$A207,GL_BS!$A:$A,'Global TARF'!O$8)</f>
        <v>0</v>
      </c>
      <c r="P207" s="545">
        <f>SUMIFS(GL_PL!$G:$G,GL_PL!$Q:$Q,'Global TARF'!$A$197,GL_PL!$R:$R,'Global TARF'!$A207,GL_PL!$A:$A,'Global TARF'!P$8)</f>
        <v>0</v>
      </c>
      <c r="Q207" s="184">
        <f>SUMIFS(GL_PL!$G:$G,GL_PL!$Q:$Q,'Global TARF'!$A$197,GL_PL!$R:$R,'Global TARF'!$A207,GL_PL!$A:$A,'Global TARF'!Q$8)</f>
        <v>0</v>
      </c>
      <c r="R207" s="184">
        <f>SUMIFS(GL_PL!$G:$G,GL_PL!$Q:$Q,'Global TARF'!$A$197,GL_PL!$R:$R,'Global TARF'!$A207,GL_PL!$A:$A,'Global TARF'!R$8)</f>
        <v>0</v>
      </c>
      <c r="S207" s="536">
        <f>SUMIFS(GL_PL!$G:$G,GL_PL!$Q:$Q,'Global TARF'!$A$197,GL_PL!$R:$R,'Global TARF'!$A207,GL_PL!$A:$A,'Global TARF'!S$8)</f>
        <v>0</v>
      </c>
      <c r="T207"/>
      <c r="Z207" s="582">
        <f t="shared" si="130"/>
        <v>0</v>
      </c>
    </row>
    <row r="208" spans="1:26" x14ac:dyDescent="0.2">
      <c r="A208" s="534" t="s">
        <v>4586</v>
      </c>
      <c r="B208" s="184">
        <f>SUMIFS(GL_BS!$G:$G,GL_BS!$R:$R,'Global TARF'!$A$197,GL_BS!$S:$S,'Global TARF'!$A208,GL_BS!$A:$A,'Global TARF'!B$38)</f>
        <v>0</v>
      </c>
      <c r="C208" s="184">
        <f>SUMIFS(GL_BS!$G:$G,GL_BS!$R:$R,'Global TARF'!$A$197,GL_BS!$S:$S,'Global TARF'!$A208,GL_BS!$A:$A,'Global TARF'!C$8)</f>
        <v>0</v>
      </c>
      <c r="D208" s="184">
        <f>SUMIFS(GL_BS!$G:$G,GL_BS!$R:$R,'Global TARF'!$A$197,GL_BS!$S:$S,'Global TARF'!$A208,GL_BS!$A:$A,'Global TARF'!D$8)</f>
        <v>0</v>
      </c>
      <c r="E208" s="184">
        <f>SUMIFS(GL_BS!$G:$G,GL_BS!$R:$R,'Global TARF'!$A$197,GL_BS!$S:$S,'Global TARF'!$A208,GL_BS!$A:$A,'Global TARF'!E$8)</f>
        <v>0</v>
      </c>
      <c r="F208" s="184">
        <f>SUMIFS(GL_BS!$G:$G,GL_BS!$R:$R,'Global TARF'!$A$197,GL_BS!$S:$S,'Global TARF'!$A208,GL_BS!$A:$A,'Global TARF'!F$8)</f>
        <v>0</v>
      </c>
      <c r="G208" s="536">
        <f>SUMIFS(GL_BS!$G:$G,GL_BS!$R:$R,'Global TARF'!$A$197,GL_BS!$S:$S,'Global TARF'!$A208,GL_BS!$A:$A,'Global TARF'!G$8)</f>
        <v>0</v>
      </c>
      <c r="H208" s="545">
        <f>SUMIFS(GL_BS!$G:$G,GL_BS!$R:$R,'Global TARF'!$A$197,GL_BS!$S:$S,'Global TARF'!$A208,GL_BS!$A:$A,'Global TARF'!H$8)</f>
        <v>0</v>
      </c>
      <c r="I208" s="184">
        <f>SUMIFS(GL_BS!$G:$G,GL_BS!$R:$R,'Global TARF'!$A$197,GL_BS!$S:$S,'Global TARF'!$A208,GL_BS!$A:$A,'Global TARF'!I$8)</f>
        <v>0</v>
      </c>
      <c r="J208" s="184">
        <f>SUMIFS(GL_BS!$G:$G,GL_BS!$R:$R,'Global TARF'!$A$197,GL_BS!$S:$S,'Global TARF'!$A208,GL_BS!$A:$A,'Global TARF'!J$8)</f>
        <v>0</v>
      </c>
      <c r="K208" s="184">
        <f>SUMIFS(GL_BS!$G:$G,GL_BS!$R:$R,'Global TARF'!$A$197,GL_BS!$S:$S,'Global TARF'!$A208,GL_BS!$A:$A,'Global TARF'!K$8)</f>
        <v>0</v>
      </c>
      <c r="L208" s="184">
        <f>SUMIFS(GL_BS!$G:$G,GL_BS!$R:$R,'Global TARF'!$A$197,GL_BS!$S:$S,'Global TARF'!$A208,GL_BS!$A:$A,'Global TARF'!L$8)</f>
        <v>0</v>
      </c>
      <c r="M208" s="536">
        <f>SUMIFS(GL_BS!$G:$G,GL_BS!$R:$R,'Global TARF'!$A$197,GL_BS!$S:$S,'Global TARF'!$A208,GL_BS!$A:$A,'Global TARF'!M$8)</f>
        <v>0</v>
      </c>
      <c r="N208" s="555">
        <f>SUMIFS(GL_BS!$G:$G,GL_BS!$R:$R,'Global TARF'!$A$101,GL_BS!$S:$S,'Global TARF'!$A208,GL_BS!$A:$A,'Global TARF'!N$8)</f>
        <v>0</v>
      </c>
      <c r="O208" s="18">
        <f>SUMIFS(GL_BS!$G:$G,GL_BS!$R:$R,'Global TARF'!$A$101,GL_BS!$S:$S,'Global TARF'!$A208,GL_BS!$A:$A,'Global TARF'!O$8)</f>
        <v>0</v>
      </c>
      <c r="P208" s="545">
        <f>SUMIFS(GL_PL!$G:$G,GL_PL!$Q:$Q,'Global TARF'!$A$197,GL_PL!$R:$R,'Global TARF'!$A208,GL_PL!$A:$A,'Global TARF'!P$8)</f>
        <v>0</v>
      </c>
      <c r="Q208" s="184">
        <f>SUMIFS(GL_PL!$G:$G,GL_PL!$Q:$Q,'Global TARF'!$A$197,GL_PL!$R:$R,'Global TARF'!$A208,GL_PL!$A:$A,'Global TARF'!Q$8)</f>
        <v>0</v>
      </c>
      <c r="R208" s="184">
        <f>SUMIFS(GL_PL!$G:$G,GL_PL!$Q:$Q,'Global TARF'!$A$197,GL_PL!$R:$R,'Global TARF'!$A208,GL_PL!$A:$A,'Global TARF'!R$8)</f>
        <v>0</v>
      </c>
      <c r="S208" s="536">
        <f>SUMIFS(GL_PL!$G:$G,GL_PL!$Q:$Q,'Global TARF'!$A$197,GL_PL!$R:$R,'Global TARF'!$A208,GL_PL!$A:$A,'Global TARF'!S$8)</f>
        <v>0</v>
      </c>
      <c r="T208"/>
      <c r="Z208" s="582">
        <f t="shared" si="130"/>
        <v>0</v>
      </c>
    </row>
    <row r="209" spans="1:26" x14ac:dyDescent="0.2">
      <c r="A209" s="534" t="s">
        <v>779</v>
      </c>
      <c r="B209" s="184">
        <f>SUMIFS(GL_BS!$G:$G,GL_BS!$R:$R,'Global TARF'!$A$197,GL_BS!$S:$S,'Global TARF'!$A209,GL_BS!$A:$A,'Global TARF'!B$38)</f>
        <v>0</v>
      </c>
      <c r="C209" s="184">
        <f>SUMIFS(GL_BS!$G:$G,GL_BS!$R:$R,'Global TARF'!$A$197,GL_BS!$S:$S,'Global TARF'!$A209,GL_BS!$A:$A,'Global TARF'!C$8)</f>
        <v>0</v>
      </c>
      <c r="D209" s="184">
        <f>SUMIFS(GL_BS!$G:$G,GL_BS!$R:$R,'Global TARF'!$A$197,GL_BS!$S:$S,'Global TARF'!$A209,GL_BS!$A:$A,'Global TARF'!D$8)</f>
        <v>0</v>
      </c>
      <c r="E209" s="184">
        <f>SUMIFS(GL_BS!$G:$G,GL_BS!$R:$R,'Global TARF'!$A$197,GL_BS!$S:$S,'Global TARF'!$A209,GL_BS!$A:$A,'Global TARF'!E$8)</f>
        <v>0</v>
      </c>
      <c r="F209" s="184">
        <f>SUMIFS(GL_BS!$G:$G,GL_BS!$R:$R,'Global TARF'!$A$197,GL_BS!$S:$S,'Global TARF'!$A209,GL_BS!$A:$A,'Global TARF'!F$8)</f>
        <v>0</v>
      </c>
      <c r="G209" s="536">
        <f>SUMIFS(GL_BS!$G:$G,GL_BS!$R:$R,'Global TARF'!$A$197,GL_BS!$S:$S,'Global TARF'!$A209,GL_BS!$A:$A,'Global TARF'!G$8)</f>
        <v>0</v>
      </c>
      <c r="H209" s="545">
        <f>SUMIFS(GL_BS!$G:$G,GL_BS!$R:$R,'Global TARF'!$A$197,GL_BS!$S:$S,'Global TARF'!$A209,GL_BS!$A:$A,'Global TARF'!H$8)</f>
        <v>0</v>
      </c>
      <c r="I209" s="184">
        <f>SUMIFS(GL_BS!$G:$G,GL_BS!$R:$R,'Global TARF'!$A$197,GL_BS!$S:$S,'Global TARF'!$A209,GL_BS!$A:$A,'Global TARF'!I$8)</f>
        <v>0</v>
      </c>
      <c r="J209" s="184">
        <f>SUMIFS(GL_BS!$G:$G,GL_BS!$R:$R,'Global TARF'!$A$197,GL_BS!$S:$S,'Global TARF'!$A209,GL_BS!$A:$A,'Global TARF'!J$8)</f>
        <v>0</v>
      </c>
      <c r="K209" s="184">
        <f>SUMIFS(GL_BS!$G:$G,GL_BS!$R:$R,'Global TARF'!$A$197,GL_BS!$S:$S,'Global TARF'!$A209,GL_BS!$A:$A,'Global TARF'!K$8)</f>
        <v>0</v>
      </c>
      <c r="L209" s="184">
        <f>SUMIFS(GL_BS!$G:$G,GL_BS!$R:$R,'Global TARF'!$A$197,GL_BS!$S:$S,'Global TARF'!$A209,GL_BS!$A:$A,'Global TARF'!L$8)</f>
        <v>0</v>
      </c>
      <c r="M209" s="536">
        <f>SUMIFS(GL_BS!$G:$G,GL_BS!$R:$R,'Global TARF'!$A$197,GL_BS!$S:$S,'Global TARF'!$A209,GL_BS!$A:$A,'Global TARF'!M$8)</f>
        <v>0</v>
      </c>
      <c r="N209" s="555">
        <f>SUMIFS(GL_BS!$G:$G,GL_BS!$R:$R,'Global TARF'!$A$101,GL_BS!$S:$S,'Global TARF'!$A209,GL_BS!$A:$A,'Global TARF'!N$8)</f>
        <v>0</v>
      </c>
      <c r="O209" s="18">
        <f>SUMIFS(GL_BS!$G:$G,GL_BS!$R:$R,'Global TARF'!$A$101,GL_BS!$S:$S,'Global TARF'!$A209,GL_BS!$A:$A,'Global TARF'!O$8)</f>
        <v>0</v>
      </c>
      <c r="P209" s="545">
        <f>SUMIFS(GL_PL!$G:$G,GL_PL!$Q:$Q,'Global TARF'!$A$197,GL_PL!$R:$R,'Global TARF'!$A209,GL_PL!$A:$A,'Global TARF'!P$8)</f>
        <v>0</v>
      </c>
      <c r="Q209" s="184">
        <f>SUMIFS(GL_PL!$G:$G,GL_PL!$Q:$Q,'Global TARF'!$A$197,GL_PL!$R:$R,'Global TARF'!$A209,GL_PL!$A:$A,'Global TARF'!Q$8)</f>
        <v>0</v>
      </c>
      <c r="R209" s="184">
        <f>SUMIFS(GL_PL!$G:$G,GL_PL!$Q:$Q,'Global TARF'!$A$197,GL_PL!$R:$R,'Global TARF'!$A209,GL_PL!$A:$A,'Global TARF'!R$8)</f>
        <v>0</v>
      </c>
      <c r="S209" s="536">
        <f>SUMIFS(GL_PL!$G:$G,GL_PL!$Q:$Q,'Global TARF'!$A$197,GL_PL!$R:$R,'Global TARF'!$A209,GL_PL!$A:$A,'Global TARF'!S$8)</f>
        <v>0</v>
      </c>
      <c r="T209"/>
      <c r="V209" s="26">
        <f>-SUM(B209:S209)</f>
        <v>0</v>
      </c>
      <c r="Z209" s="582">
        <f t="shared" si="130"/>
        <v>0</v>
      </c>
    </row>
    <row r="210" spans="1:26" x14ac:dyDescent="0.2">
      <c r="A210" s="534" t="s">
        <v>4267</v>
      </c>
      <c r="B210" s="184">
        <f>SUMIFS(GL_BS!$G:$G,GL_BS!$R:$R,'Global TARF'!$A$197,GL_BS!$S:$S,'Global TARF'!$A210,GL_BS!$A:$A,'Global TARF'!B$38)</f>
        <v>0</v>
      </c>
      <c r="C210" s="184">
        <f>SUMIFS(GL_BS!$G:$G,GL_BS!$R:$R,'Global TARF'!$A$197,GL_BS!$S:$S,'Global TARF'!$A210,GL_BS!$A:$A,'Global TARF'!C$8)</f>
        <v>0</v>
      </c>
      <c r="D210" s="184">
        <f>SUMIFS(GL_BS!$G:$G,GL_BS!$R:$R,'Global TARF'!$A$197,GL_BS!$S:$S,'Global TARF'!$A210,GL_BS!$A:$A,'Global TARF'!D$8)</f>
        <v>0</v>
      </c>
      <c r="E210" s="184">
        <f>SUMIFS(GL_BS!$G:$G,GL_BS!$R:$R,'Global TARF'!$A$197,GL_BS!$S:$S,'Global TARF'!$A210,GL_BS!$A:$A,'Global TARF'!E$8)</f>
        <v>0</v>
      </c>
      <c r="F210" s="184">
        <f>SUMIFS(GL_BS!$G:$G,GL_BS!$R:$R,'Global TARF'!$A$197,GL_BS!$S:$S,'Global TARF'!$A210,GL_BS!$A:$A,'Global TARF'!F$8)</f>
        <v>0</v>
      </c>
      <c r="G210" s="536">
        <f>SUMIFS(GL_BS!$G:$G,GL_BS!$R:$R,'Global TARF'!$A$197,GL_BS!$S:$S,'Global TARF'!$A210,GL_BS!$A:$A,'Global TARF'!G$8)</f>
        <v>0</v>
      </c>
      <c r="H210" s="545">
        <f>SUMIFS(GL_BS!$G:$G,GL_BS!$R:$R,'Global TARF'!$A$197,GL_BS!$S:$S,'Global TARF'!$A210,GL_BS!$A:$A,'Global TARF'!H$8)</f>
        <v>0</v>
      </c>
      <c r="I210" s="184">
        <f>SUMIFS(GL_BS!$G:$G,GL_BS!$R:$R,'Global TARF'!$A$197,GL_BS!$S:$S,'Global TARF'!$A210,GL_BS!$A:$A,'Global TARF'!I$8)</f>
        <v>0</v>
      </c>
      <c r="J210" s="184">
        <f>SUMIFS(GL_BS!$G:$G,GL_BS!$R:$R,'Global TARF'!$A$197,GL_BS!$S:$S,'Global TARF'!$A210,GL_BS!$A:$A,'Global TARF'!J$8)</f>
        <v>0</v>
      </c>
      <c r="K210" s="184">
        <f>SUMIFS(GL_BS!$G:$G,GL_BS!$R:$R,'Global TARF'!$A$197,GL_BS!$S:$S,'Global TARF'!$A210,GL_BS!$A:$A,'Global TARF'!K$8)</f>
        <v>0</v>
      </c>
      <c r="L210" s="184">
        <f>SUMIFS(GL_BS!$G:$G,GL_BS!$R:$R,'Global TARF'!$A$197,GL_BS!$S:$S,'Global TARF'!$A210,GL_BS!$A:$A,'Global TARF'!L$8)</f>
        <v>0</v>
      </c>
      <c r="M210" s="536">
        <f>SUMIFS(GL_BS!$G:$G,GL_BS!$R:$R,'Global TARF'!$A$197,GL_BS!$S:$S,'Global TARF'!$A210,GL_BS!$A:$A,'Global TARF'!M$8)</f>
        <v>0</v>
      </c>
      <c r="N210" s="555">
        <f>SUMIFS(GL_BS!$G:$G,GL_BS!$R:$R,'Global TARF'!$A$101,GL_BS!$S:$S,'Global TARF'!$A210,GL_BS!$A:$A,'Global TARF'!N$8)</f>
        <v>0</v>
      </c>
      <c r="O210" s="18">
        <f>SUMIFS(GL_BS!$G:$G,GL_BS!$R:$R,'Global TARF'!$A$101,GL_BS!$S:$S,'Global TARF'!$A210,GL_BS!$A:$A,'Global TARF'!O$8)</f>
        <v>0</v>
      </c>
      <c r="P210" s="545">
        <f>SUMIFS(GL_PL!$G:$G,GL_PL!$Q:$Q,'Global TARF'!$A$197,GL_PL!$R:$R,'Global TARF'!$A210,GL_PL!$A:$A,'Global TARF'!P$8)</f>
        <v>0</v>
      </c>
      <c r="Q210" s="184">
        <f>SUMIFS(GL_PL!$G:$G,GL_PL!$Q:$Q,'Global TARF'!$A$197,GL_PL!$R:$R,'Global TARF'!$A210,GL_PL!$A:$A,'Global TARF'!Q$8)</f>
        <v>0</v>
      </c>
      <c r="R210" s="184">
        <f>SUMIFS(GL_PL!$G:$G,GL_PL!$Q:$Q,'Global TARF'!$A$197,GL_PL!$R:$R,'Global TARF'!$A210,GL_PL!$A:$A,'Global TARF'!R$8)</f>
        <v>0</v>
      </c>
      <c r="S210" s="536">
        <f>SUMIFS(GL_PL!$G:$G,GL_PL!$Q:$Q,'Global TARF'!$A$197,GL_PL!$R:$R,'Global TARF'!$A210,GL_PL!$A:$A,'Global TARF'!S$8)</f>
        <v>0</v>
      </c>
      <c r="T210"/>
      <c r="W210" s="26"/>
      <c r="Z210" s="582">
        <f t="shared" si="130"/>
        <v>0</v>
      </c>
    </row>
    <row r="211" spans="1:26" x14ac:dyDescent="0.2">
      <c r="A211" s="534" t="s">
        <v>4275</v>
      </c>
      <c r="B211" s="184">
        <f>SUMIFS(GL_BS!$G:$G,GL_BS!$R:$R,'Global TARF'!$A$197,GL_BS!$S:$S,'Global TARF'!$A211,GL_BS!$A:$A,'Global TARF'!B$38)</f>
        <v>0</v>
      </c>
      <c r="C211" s="184">
        <f>SUMIFS(GL_BS!$G:$G,GL_BS!$R:$R,'Global TARF'!$A$197,GL_BS!$S:$S,'Global TARF'!$A211,GL_BS!$A:$A,'Global TARF'!C$8)</f>
        <v>0</v>
      </c>
      <c r="D211" s="184">
        <f>SUMIFS(GL_BS!$G:$G,GL_BS!$R:$R,'Global TARF'!$A$197,GL_BS!$S:$S,'Global TARF'!$A211,GL_BS!$A:$A,'Global TARF'!D$8)</f>
        <v>0</v>
      </c>
      <c r="E211" s="184">
        <f>SUMIFS(GL_BS!$G:$G,GL_BS!$R:$R,'Global TARF'!$A$197,GL_BS!$S:$S,'Global TARF'!$A211,GL_BS!$A:$A,'Global TARF'!E$8)</f>
        <v>0</v>
      </c>
      <c r="F211" s="184">
        <f>SUMIFS(GL_BS!$G:$G,GL_BS!$R:$R,'Global TARF'!$A$197,GL_BS!$S:$S,'Global TARF'!$A211,GL_BS!$A:$A,'Global TARF'!F$8)</f>
        <v>0</v>
      </c>
      <c r="G211" s="536">
        <f>SUMIFS(GL_BS!$G:$G,GL_BS!$R:$R,'Global TARF'!$A$197,GL_BS!$S:$S,'Global TARF'!$A211,GL_BS!$A:$A,'Global TARF'!G$8)</f>
        <v>0</v>
      </c>
      <c r="H211" s="545">
        <f>SUMIFS(GL_BS!$G:$G,GL_BS!$R:$R,'Global TARF'!$A$197,GL_BS!$S:$S,'Global TARF'!$A211,GL_BS!$A:$A,'Global TARF'!H$8)</f>
        <v>105396.86620500406</v>
      </c>
      <c r="I211" s="184">
        <f>SUMIFS(GL_BS!$G:$G,GL_BS!$R:$R,'Global TARF'!$A$197,GL_BS!$S:$S,'Global TARF'!$A211,GL_BS!$A:$A,'Global TARF'!I$8)</f>
        <v>0</v>
      </c>
      <c r="J211" s="184">
        <f>SUMIFS(GL_BS!$G:$G,GL_BS!$R:$R,'Global TARF'!$A$197,GL_BS!$S:$S,'Global TARF'!$A211,GL_BS!$A:$A,'Global TARF'!J$8)</f>
        <v>0</v>
      </c>
      <c r="K211" s="184">
        <f>SUMIFS(GL_BS!$G:$G,GL_BS!$R:$R,'Global TARF'!$A$197,GL_BS!$S:$S,'Global TARF'!$A211,GL_BS!$A:$A,'Global TARF'!K$8)</f>
        <v>0</v>
      </c>
      <c r="L211" s="184">
        <f>SUMIFS(GL_BS!$G:$G,GL_BS!$R:$R,'Global TARF'!$A$197,GL_BS!$S:$S,'Global TARF'!$A211,GL_BS!$A:$A,'Global TARF'!L$8)</f>
        <v>0</v>
      </c>
      <c r="M211" s="536">
        <f>SUMIFS(GL_BS!$G:$G,GL_BS!$R:$R,'Global TARF'!$A$197,GL_BS!$S:$S,'Global TARF'!$A211,GL_BS!$A:$A,'Global TARF'!M$8)</f>
        <v>0</v>
      </c>
      <c r="N211" s="555">
        <f>SUMIFS(GL_BS!$G:$G,GL_BS!$R:$R,'Global TARF'!$A$101,GL_BS!$S:$S,'Global TARF'!$A211,GL_BS!$A:$A,'Global TARF'!N$8)</f>
        <v>0</v>
      </c>
      <c r="O211" s="18">
        <f>SUMIFS(GL_BS!$G:$G,GL_BS!$R:$R,'Global TARF'!$A$101,GL_BS!$S:$S,'Global TARF'!$A211,GL_BS!$A:$A,'Global TARF'!O$8)</f>
        <v>0</v>
      </c>
      <c r="P211" s="545">
        <f>SUMIFS(GL_PL!$G:$G,GL_PL!$Q:$Q,'Global TARF'!$A$197,GL_PL!$R:$R,'Global TARF'!$A211,GL_PL!$A:$A,'Global TARF'!P$8)</f>
        <v>0</v>
      </c>
      <c r="Q211" s="184">
        <f>SUMIFS(GL_PL!$G:$G,GL_PL!$Q:$Q,'Global TARF'!$A$197,GL_PL!$R:$R,'Global TARF'!$A211,GL_PL!$A:$A,'Global TARF'!Q$8)</f>
        <v>0</v>
      </c>
      <c r="R211" s="184">
        <f>SUMIFS(GL_PL!$G:$G,GL_PL!$Q:$Q,'Global TARF'!$A$197,GL_PL!$R:$R,'Global TARF'!$A211,GL_PL!$A:$A,'Global TARF'!R$8)</f>
        <v>0</v>
      </c>
      <c r="S211" s="536">
        <f>SUMIFS(GL_PL!$G:$G,GL_PL!$Q:$Q,'Global TARF'!$A$197,GL_PL!$R:$R,'Global TARF'!$A211,GL_PL!$A:$A,'Global TARF'!S$8)</f>
        <v>0</v>
      </c>
      <c r="T211" s="26">
        <f>-H211</f>
        <v>-105396.86620500406</v>
      </c>
      <c r="Z211" s="582">
        <f t="shared" si="130"/>
        <v>0</v>
      </c>
    </row>
    <row r="212" spans="1:26" x14ac:dyDescent="0.2">
      <c r="A212" s="534" t="s">
        <v>4481</v>
      </c>
      <c r="B212" s="184">
        <f>SUMIFS(GL_BS!$G:$G,GL_BS!$R:$R,'Global TARF'!$A$197,GL_BS!$S:$S,'Global TARF'!$A212,GL_BS!$A:$A,'Global TARF'!B$38)</f>
        <v>0</v>
      </c>
      <c r="C212" s="184">
        <f>SUMIFS(GL_BS!$G:$G,GL_BS!$R:$R,'Global TARF'!$A$197,GL_BS!$S:$S,'Global TARF'!$A212,GL_BS!$A:$A,'Global TARF'!C$8)</f>
        <v>0</v>
      </c>
      <c r="D212" s="184">
        <f>SUMIFS(GL_BS!$G:$G,GL_BS!$R:$R,'Global TARF'!$A$197,GL_BS!$S:$S,'Global TARF'!$A212,GL_BS!$A:$A,'Global TARF'!D$8)</f>
        <v>0</v>
      </c>
      <c r="E212" s="184">
        <f>SUMIFS(GL_BS!$G:$G,GL_BS!$R:$R,'Global TARF'!$A$197,GL_BS!$S:$S,'Global TARF'!$A212,GL_BS!$A:$A,'Global TARF'!E$8)</f>
        <v>0</v>
      </c>
      <c r="F212" s="184">
        <f>SUMIFS(GL_BS!$G:$G,GL_BS!$R:$R,'Global TARF'!$A$197,GL_BS!$S:$S,'Global TARF'!$A212,GL_BS!$A:$A,'Global TARF'!F$8)</f>
        <v>0</v>
      </c>
      <c r="G212" s="536">
        <f>SUMIFS(GL_BS!$G:$G,GL_BS!$R:$R,'Global TARF'!$A$197,GL_BS!$S:$S,'Global TARF'!$A212,GL_BS!$A:$A,'Global TARF'!G$8)</f>
        <v>0</v>
      </c>
      <c r="H212" s="545">
        <f>SUMIFS(GL_BS!$G:$G,GL_BS!$R:$R,'Global TARF'!$A$197,GL_BS!$S:$S,'Global TARF'!$A212,GL_BS!$A:$A,'Global TARF'!H$8)</f>
        <v>0</v>
      </c>
      <c r="I212" s="184">
        <f>SUMIFS(GL_BS!$G:$G,GL_BS!$R:$R,'Global TARF'!$A$197,GL_BS!$S:$S,'Global TARF'!$A212,GL_BS!$A:$A,'Global TARF'!I$8)</f>
        <v>0</v>
      </c>
      <c r="J212" s="184">
        <f>SUMIFS(GL_BS!$G:$G,GL_BS!$R:$R,'Global TARF'!$A$197,GL_BS!$S:$S,'Global TARF'!$A212,GL_BS!$A:$A,'Global TARF'!J$8)</f>
        <v>0</v>
      </c>
      <c r="K212" s="184">
        <f>SUMIFS(GL_BS!$G:$G,GL_BS!$R:$R,'Global TARF'!$A$197,GL_BS!$S:$S,'Global TARF'!$A212,GL_BS!$A:$A,'Global TARF'!K$8)</f>
        <v>0</v>
      </c>
      <c r="L212" s="184">
        <f>SUMIFS(GL_BS!$G:$G,GL_BS!$R:$R,'Global TARF'!$A$197,GL_BS!$S:$S,'Global TARF'!$A212,GL_BS!$A:$A,'Global TARF'!L$8)</f>
        <v>0</v>
      </c>
      <c r="M212" s="536">
        <f>SUMIFS(GL_BS!$G:$G,GL_BS!$R:$R,'Global TARF'!$A$197,GL_BS!$S:$S,'Global TARF'!$A212,GL_BS!$A:$A,'Global TARF'!M$8)</f>
        <v>0</v>
      </c>
      <c r="N212" s="555">
        <f>SUMIFS(GL_BS!$G:$G,GL_BS!$R:$R,'Global TARF'!$A$101,GL_BS!$S:$S,'Global TARF'!$A212,GL_BS!$A:$A,'Global TARF'!N$8)</f>
        <v>0</v>
      </c>
      <c r="O212" s="18">
        <f>SUMIFS(GL_BS!$G:$G,GL_BS!$R:$R,'Global TARF'!$A$101,GL_BS!$S:$S,'Global TARF'!$A212,GL_BS!$A:$A,'Global TARF'!O$8)</f>
        <v>0</v>
      </c>
      <c r="P212" s="545">
        <f>SUMIFS(GL_PL!$G:$G,GL_PL!$Q:$Q,'Global TARF'!$A$197,GL_PL!$R:$R,'Global TARF'!$A212,GL_PL!$A:$A,'Global TARF'!P$8)</f>
        <v>0</v>
      </c>
      <c r="Q212" s="184">
        <f>SUMIFS(GL_PL!$G:$G,GL_PL!$Q:$Q,'Global TARF'!$A$197,GL_PL!$R:$R,'Global TARF'!$A212,GL_PL!$A:$A,'Global TARF'!Q$8)</f>
        <v>0</v>
      </c>
      <c r="R212" s="184">
        <f>SUMIFS(GL_PL!$G:$G,GL_PL!$Q:$Q,'Global TARF'!$A$197,GL_PL!$R:$R,'Global TARF'!$A212,GL_PL!$A:$A,'Global TARF'!R$8)</f>
        <v>0</v>
      </c>
      <c r="S212" s="536">
        <f>SUMIFS(GL_PL!$G:$G,GL_PL!$Q:$Q,'Global TARF'!$A$197,GL_PL!$R:$R,'Global TARF'!$A212,GL_PL!$A:$A,'Global TARF'!S$8)</f>
        <v>0</v>
      </c>
      <c r="T212"/>
      <c r="Z212" s="582">
        <f t="shared" si="130"/>
        <v>0</v>
      </c>
    </row>
    <row r="213" spans="1:26" x14ac:dyDescent="0.2">
      <c r="A213" t="s">
        <v>4569</v>
      </c>
      <c r="B213" s="184">
        <f>SUMIFS(GL_BS!$G:$G,GL_BS!$R:$R,'Global TARF'!$A$197,GL_BS!$S:$S,'Global TARF'!$A213,GL_BS!$A:$A,'Global TARF'!B$38)</f>
        <v>0</v>
      </c>
      <c r="C213" s="184">
        <f>SUMIFS(GL_BS!$G:$G,GL_BS!$R:$R,'Global TARF'!$A$197,GL_BS!$S:$S,'Global TARF'!$A213,GL_BS!$A:$A,'Global TARF'!C$8)</f>
        <v>0</v>
      </c>
      <c r="D213" s="184">
        <f>SUMIFS(GL_BS!$G:$G,GL_BS!$R:$R,'Global TARF'!$A$197,GL_BS!$S:$S,'Global TARF'!$A213,GL_BS!$A:$A,'Global TARF'!D$8)</f>
        <v>0</v>
      </c>
      <c r="E213" s="184">
        <f>SUMIFS(GL_BS!$G:$G,GL_BS!$R:$R,'Global TARF'!$A$197,GL_BS!$S:$S,'Global TARF'!$A213,GL_BS!$A:$A,'Global TARF'!E$8)</f>
        <v>0</v>
      </c>
      <c r="F213" s="184">
        <f>SUMIFS(GL_BS!$G:$G,GL_BS!$R:$R,'Global TARF'!$A$197,GL_BS!$S:$S,'Global TARF'!$A213,GL_BS!$A:$A,'Global TARF'!F$8)</f>
        <v>0</v>
      </c>
      <c r="G213" s="536">
        <f>SUMIFS(GL_BS!$G:$G,GL_BS!$R:$R,'Global TARF'!$A$197,GL_BS!$S:$S,'Global TARF'!$A213,GL_BS!$A:$A,'Global TARF'!G$8)</f>
        <v>0</v>
      </c>
      <c r="H213" s="545">
        <f>SUMIFS(GL_BS!$G:$G,GL_BS!$R:$R,'Global TARF'!$A$197,GL_BS!$S:$S,'Global TARF'!$A213,GL_BS!$A:$A,'Global TARF'!H$8)</f>
        <v>-58113.439833469078</v>
      </c>
      <c r="I213" s="184">
        <f>SUMIFS(GL_BS!$G:$G,GL_BS!$R:$R,'Global TARF'!$A$197,GL_BS!$S:$S,'Global TARF'!$A213,GL_BS!$A:$A,'Global TARF'!I$8)</f>
        <v>0</v>
      </c>
      <c r="J213" s="184">
        <f>SUMIFS(GL_BS!$G:$G,GL_BS!$R:$R,'Global TARF'!$A$197,GL_BS!$S:$S,'Global TARF'!$A213,GL_BS!$A:$A,'Global TARF'!J$8)</f>
        <v>0</v>
      </c>
      <c r="K213" s="184">
        <f>SUMIFS(GL_BS!$G:$G,GL_BS!$R:$R,'Global TARF'!$A$197,GL_BS!$S:$S,'Global TARF'!$A213,GL_BS!$A:$A,'Global TARF'!K$8)</f>
        <v>0</v>
      </c>
      <c r="L213" s="184">
        <f>SUMIFS(GL_BS!$G:$G,GL_BS!$R:$R,'Global TARF'!$A$197,GL_BS!$S:$S,'Global TARF'!$A213,GL_BS!$A:$A,'Global TARF'!L$8)</f>
        <v>0</v>
      </c>
      <c r="M213" s="536">
        <f>SUMIFS(GL_BS!$G:$G,GL_BS!$R:$R,'Global TARF'!$A$197,GL_BS!$S:$S,'Global TARF'!$A213,GL_BS!$A:$A,'Global TARF'!M$8)</f>
        <v>0</v>
      </c>
      <c r="N213" s="555">
        <v>-117.63</v>
      </c>
      <c r="O213" s="18">
        <f>SUMIFS(GL_BS!$G:$G,GL_BS!$R:$R,'Global TARF'!$A$101,GL_BS!$S:$S,'Global TARF'!$A213,GL_BS!$A:$A,'Global TARF'!O$8)</f>
        <v>0</v>
      </c>
      <c r="P213" s="545">
        <f>SUMIFS(GL_PL!$G:$G,GL_PL!$Q:$Q,'Global TARF'!$A$197,GL_PL!$R:$R,'Global TARF'!$A213,GL_PL!$A:$A,'Global TARF'!P$8)</f>
        <v>0</v>
      </c>
      <c r="Q213" s="184">
        <f>SUMIFS(GL_PL!$G:$G,GL_PL!$Q:$Q,'Global TARF'!$A$197,GL_PL!$R:$R,'Global TARF'!$A213,GL_PL!$A:$A,'Global TARF'!Q$8)</f>
        <v>0</v>
      </c>
      <c r="R213" s="184">
        <f>SUMIFS(GL_PL!$G:$G,GL_PL!$Q:$Q,'Global TARF'!$A$197,GL_PL!$R:$R,'Global TARF'!$A213,GL_PL!$A:$A,'Global TARF'!R$8)</f>
        <v>58231.06585992749</v>
      </c>
      <c r="S213" s="536">
        <f>SUMIFS(GL_PL!$G:$G,GL_PL!$Q:$Q,'Global TARF'!$A$197,GL_PL!$R:$R,'Global TARF'!$A213,GL_PL!$A:$A,'Global TARF'!S$8)</f>
        <v>0</v>
      </c>
      <c r="W213" s="18"/>
      <c r="Z213" s="582">
        <f t="shared" si="130"/>
        <v>-3.9735415848554112E-3</v>
      </c>
    </row>
    <row r="214" spans="1:26" x14ac:dyDescent="0.2">
      <c r="A214" t="s">
        <v>4587</v>
      </c>
      <c r="B214" s="184">
        <f>SUMIFS(GL_BS!$G:$G,GL_BS!$R:$R,'Global TARF'!$A$197,GL_BS!$S:$S,'Global TARF'!$A214,GL_BS!$A:$A,'Global TARF'!B$38)</f>
        <v>0</v>
      </c>
      <c r="C214" s="184">
        <f>SUMIFS(GL_BS!$G:$G,GL_BS!$R:$R,'Global TARF'!$A$197,GL_BS!$S:$S,'Global TARF'!$A214,GL_BS!$A:$A,'Global TARF'!C$8)</f>
        <v>0</v>
      </c>
      <c r="D214" s="184">
        <f>SUMIFS(GL_BS!$G:$G,GL_BS!$R:$R,'Global TARF'!$A$197,GL_BS!$S:$S,'Global TARF'!$A214,GL_BS!$A:$A,'Global TARF'!D$8)</f>
        <v>0</v>
      </c>
      <c r="E214" s="184">
        <f>SUMIFS(GL_BS!$G:$G,GL_BS!$R:$R,'Global TARF'!$A$197,GL_BS!$S:$S,'Global TARF'!$A214,GL_BS!$A:$A,'Global TARF'!E$8)</f>
        <v>0</v>
      </c>
      <c r="F214" s="184">
        <f>SUMIFS(GL_BS!$G:$G,GL_BS!$R:$R,'Global TARF'!$A$197,GL_BS!$S:$S,'Global TARF'!$A214,GL_BS!$A:$A,'Global TARF'!F$8)</f>
        <v>0</v>
      </c>
      <c r="G214" s="536">
        <f>SUMIFS(GL_BS!$G:$G,GL_BS!$R:$R,'Global TARF'!$A$197,GL_BS!$S:$S,'Global TARF'!$A214,GL_BS!$A:$A,'Global TARF'!G$8)</f>
        <v>0</v>
      </c>
      <c r="H214" s="545">
        <f>SUMIFS(GL_BS!$G:$G,GL_BS!$R:$R,'Global TARF'!$A$197,GL_BS!$S:$S,'Global TARF'!$A214,GL_BS!$A:$A,'Global TARF'!H$8)</f>
        <v>0</v>
      </c>
      <c r="I214" s="184">
        <f>SUMIFS(GL_BS!$G:$G,GL_BS!$R:$R,'Global TARF'!$A$197,GL_BS!$S:$S,'Global TARF'!$A214,GL_BS!$A:$A,'Global TARF'!I$8)</f>
        <v>0</v>
      </c>
      <c r="J214" s="184">
        <f>SUMIFS(GL_BS!$G:$G,GL_BS!$R:$R,'Global TARF'!$A$197,GL_BS!$S:$S,'Global TARF'!$A214,GL_BS!$A:$A,'Global TARF'!J$8)</f>
        <v>0</v>
      </c>
      <c r="K214" s="184">
        <f>SUMIFS(GL_BS!$G:$G,GL_BS!$R:$R,'Global TARF'!$A$197,GL_BS!$S:$S,'Global TARF'!$A214,GL_BS!$A:$A,'Global TARF'!K$8)</f>
        <v>0</v>
      </c>
      <c r="L214" s="184">
        <f>SUMIFS(GL_BS!$G:$G,GL_BS!$R:$R,'Global TARF'!$A$197,GL_BS!$S:$S,'Global TARF'!$A214,GL_BS!$A:$A,'Global TARF'!L$8)</f>
        <v>0</v>
      </c>
      <c r="M214" s="536">
        <f>SUMIFS(GL_BS!$G:$G,GL_BS!$R:$R,'Global TARF'!$A$197,GL_BS!$S:$S,'Global TARF'!$A214,GL_BS!$A:$A,'Global TARF'!M$8)</f>
        <v>0</v>
      </c>
      <c r="N214" s="555"/>
      <c r="O214" s="18"/>
      <c r="P214" s="545">
        <f>SUMIFS(GL_PL!$G:$G,GL_PL!$Q:$Q,'Global TARF'!$A$197,GL_PL!$R:$R,'Global TARF'!$A214,GL_PL!$A:$A,'Global TARF'!P$8)</f>
        <v>0</v>
      </c>
      <c r="Q214" s="184">
        <f>SUMIFS(GL_PL!$G:$G,GL_PL!$Q:$Q,'Global TARF'!$A$197,GL_PL!$R:$R,'Global TARF'!$A214,GL_PL!$A:$A,'Global TARF'!Q$8)</f>
        <v>0</v>
      </c>
      <c r="R214" s="184">
        <f>SUMIFS(GL_PL!$G:$G,GL_PL!$Q:$Q,'Global TARF'!$A$197,GL_PL!$R:$R,'Global TARF'!$A214,GL_PL!$A:$A,'Global TARF'!R$8)</f>
        <v>0</v>
      </c>
      <c r="S214" s="536">
        <f>SUMIFS(GL_PL!$G:$G,GL_PL!$Q:$Q,'Global TARF'!$A$197,GL_PL!$R:$R,'Global TARF'!$A214,GL_PL!$A:$A,'Global TARF'!S$8)</f>
        <v>0</v>
      </c>
      <c r="T214"/>
      <c r="Z214" s="582"/>
    </row>
    <row r="215" spans="1:26" x14ac:dyDescent="0.2">
      <c r="A215" t="s">
        <v>4369</v>
      </c>
      <c r="B215" s="184">
        <f>SUMIFS(GL_BS!$G:$G,GL_BS!$R:$R,'Global TARF'!$A$197,GL_BS!$S:$S,'Global TARF'!$A215,GL_BS!$A:$A,'Global TARF'!B$38)</f>
        <v>0</v>
      </c>
      <c r="C215" s="184">
        <f>SUMIFS(GL_BS!$G:$G,GL_BS!$R:$R,'Global TARF'!$A$197,GL_BS!$S:$S,'Global TARF'!$A215,GL_BS!$A:$A,'Global TARF'!C$8)</f>
        <v>0</v>
      </c>
      <c r="D215" s="184">
        <f>SUMIFS(GL_BS!$G:$G,GL_BS!$R:$R,'Global TARF'!$A$197,GL_BS!$S:$S,'Global TARF'!$A215,GL_BS!$A:$A,'Global TARF'!D$8)</f>
        <v>0</v>
      </c>
      <c r="E215" s="184">
        <f>SUMIFS(GL_BS!$G:$G,GL_BS!$R:$R,'Global TARF'!$A$197,GL_BS!$S:$S,'Global TARF'!$A215,GL_BS!$A:$A,'Global TARF'!E$8)</f>
        <v>0</v>
      </c>
      <c r="F215" s="184">
        <f>SUMIFS(GL_BS!$G:$G,GL_BS!$R:$R,'Global TARF'!$A$197,GL_BS!$S:$S,'Global TARF'!$A215,GL_BS!$A:$A,'Global TARF'!F$8)</f>
        <v>0</v>
      </c>
      <c r="G215" s="536">
        <f>SUMIFS(GL_BS!$G:$G,GL_BS!$R:$R,'Global TARF'!$A$197,GL_BS!$S:$S,'Global TARF'!$A215,GL_BS!$A:$A,'Global TARF'!G$8)</f>
        <v>0</v>
      </c>
      <c r="H215" s="545">
        <f>SUMIFS(GL_BS!$G:$G,GL_BS!$R:$R,'Global TARF'!$A$197,GL_BS!$S:$S,'Global TARF'!$A215,GL_BS!$A:$A,'Global TARF'!H$8)</f>
        <v>0</v>
      </c>
      <c r="I215" s="184">
        <f>SUMIFS(GL_BS!$G:$G,GL_BS!$R:$R,'Global TARF'!$A$197,GL_BS!$S:$S,'Global TARF'!$A215,GL_BS!$A:$A,'Global TARF'!I$8)</f>
        <v>0</v>
      </c>
      <c r="J215" s="184">
        <f>SUMIFS(GL_BS!$G:$G,GL_BS!$R:$R,'Global TARF'!$A$197,GL_BS!$S:$S,'Global TARF'!$A215,GL_BS!$A:$A,'Global TARF'!J$8)</f>
        <v>0</v>
      </c>
      <c r="K215" s="184">
        <f>SUMIFS(GL_BS!$G:$G,GL_BS!$R:$R,'Global TARF'!$A$197,GL_BS!$S:$S,'Global TARF'!$A215,GL_BS!$A:$A,'Global TARF'!K$8)</f>
        <v>0</v>
      </c>
      <c r="L215" s="184">
        <f>SUMIFS(GL_BS!$G:$G,GL_BS!$R:$R,'Global TARF'!$A$197,GL_BS!$S:$S,'Global TARF'!$A215,GL_BS!$A:$A,'Global TARF'!L$8)</f>
        <v>0</v>
      </c>
      <c r="M215" s="536">
        <f>SUMIFS(GL_BS!$G:$G,GL_BS!$R:$R,'Global TARF'!$A$197,GL_BS!$S:$S,'Global TARF'!$A215,GL_BS!$A:$A,'Global TARF'!M$8)</f>
        <v>0</v>
      </c>
      <c r="N215" s="555"/>
      <c r="O215" s="18"/>
      <c r="P215" s="545">
        <f>SUMIFS(GL_PL!$G:$G,GL_PL!$Q:$Q,'Global TARF'!$A$197,GL_PL!$R:$R,'Global TARF'!$A215,GL_PL!$A:$A,'Global TARF'!P$8)</f>
        <v>0</v>
      </c>
      <c r="Q215" s="184">
        <f>SUMIFS(GL_PL!$G:$G,GL_PL!$Q:$Q,'Global TARF'!$A$197,GL_PL!$R:$R,'Global TARF'!$A215,GL_PL!$A:$A,'Global TARF'!Q$8)</f>
        <v>0</v>
      </c>
      <c r="R215" s="184">
        <f>SUMIFS(GL_PL!$G:$G,GL_PL!$Q:$Q,'Global TARF'!$A$197,GL_PL!$R:$R,'Global TARF'!$A215,GL_PL!$A:$A,'Global TARF'!R$8)</f>
        <v>0</v>
      </c>
      <c r="S215" s="536">
        <f>SUMIFS(GL_PL!$G:$G,GL_PL!$Q:$Q,'Global TARF'!$A$197,GL_PL!$R:$R,'Global TARF'!$A215,GL_PL!$A:$A,'Global TARF'!S$8)</f>
        <v>0</v>
      </c>
      <c r="T215"/>
      <c r="Z215" s="582"/>
    </row>
    <row r="216" spans="1:26" x14ac:dyDescent="0.2">
      <c r="A216" s="534" t="s">
        <v>799</v>
      </c>
      <c r="B216" s="184">
        <f>SUMIFS(GL_BS!$G:$G,GL_BS!$R:$R,'Global TARF'!$A$197,GL_BS!$S:$S,'Global TARF'!$A216,GL_BS!$A:$A,'Global TARF'!B$38)</f>
        <v>0</v>
      </c>
      <c r="C216" s="184">
        <f>SUMIFS(GL_BS!$G:$G,GL_BS!$R:$R,'Global TARF'!$A$197,GL_BS!$S:$S,'Global TARF'!$A216,GL_BS!$A:$A,'Global TARF'!C$8)</f>
        <v>0</v>
      </c>
      <c r="D216" s="184">
        <f>SUMIFS(GL_BS!$G:$G,GL_BS!$R:$R,'Global TARF'!$A$197,GL_BS!$S:$S,'Global TARF'!$A216,GL_BS!$A:$A,'Global TARF'!D$8)</f>
        <v>0</v>
      </c>
      <c r="E216" s="184">
        <f>SUMIFS(GL_BS!$G:$G,GL_BS!$R:$R,'Global TARF'!$A$197,GL_BS!$S:$S,'Global TARF'!$A216,GL_BS!$A:$A,'Global TARF'!E$8)</f>
        <v>0</v>
      </c>
      <c r="F216" s="184">
        <f>SUMIFS(GL_BS!$G:$G,GL_BS!$R:$R,'Global TARF'!$A$197,GL_BS!$S:$S,'Global TARF'!$A216,GL_BS!$A:$A,'Global TARF'!F$8)</f>
        <v>0</v>
      </c>
      <c r="G216" s="536">
        <f>SUMIFS(GL_BS!$G:$G,GL_BS!$R:$R,'Global TARF'!$A$197,GL_BS!$S:$S,'Global TARF'!$A216,GL_BS!$A:$A,'Global TARF'!G$8)</f>
        <v>0</v>
      </c>
      <c r="H216" s="545">
        <f>SUMIFS(GL_BS!$G:$G,GL_BS!$R:$R,'Global TARF'!$A$197,GL_BS!$S:$S,'Global TARF'!$A216,GL_BS!$A:$A,'Global TARF'!H$8)</f>
        <v>0</v>
      </c>
      <c r="I216" s="184">
        <f>SUMIFS(GL_BS!$G:$G,GL_BS!$R:$R,'Global TARF'!$A$197,GL_BS!$S:$S,'Global TARF'!$A216,GL_BS!$A:$A,'Global TARF'!I$8)</f>
        <v>0</v>
      </c>
      <c r="J216" s="184">
        <f>SUMIFS(GL_BS!$G:$G,GL_BS!$R:$R,'Global TARF'!$A$197,GL_BS!$S:$S,'Global TARF'!$A216,GL_BS!$A:$A,'Global TARF'!J$8)</f>
        <v>0</v>
      </c>
      <c r="K216" s="184">
        <f>SUMIFS(GL_BS!$G:$G,GL_BS!$R:$R,'Global TARF'!$A$197,GL_BS!$S:$S,'Global TARF'!$A216,GL_BS!$A:$A,'Global TARF'!K$8)</f>
        <v>0</v>
      </c>
      <c r="L216" s="184">
        <f>SUMIFS(GL_BS!$G:$G,GL_BS!$R:$R,'Global TARF'!$A$197,GL_BS!$S:$S,'Global TARF'!$A216,GL_BS!$A:$A,'Global TARF'!L$8)</f>
        <v>0</v>
      </c>
      <c r="M216" s="536">
        <f>SUMIFS(GL_BS!$G:$G,GL_BS!$R:$R,'Global TARF'!$A$197,GL_BS!$S:$S,'Global TARF'!$A216,GL_BS!$A:$A,'Global TARF'!M$8)</f>
        <v>0</v>
      </c>
      <c r="N216" s="555"/>
      <c r="O216" s="18"/>
      <c r="P216" s="545">
        <f>SUMIFS(GL_PL!$G:$G,GL_PL!$Q:$Q,'Global TARF'!$A$197,GL_PL!$R:$R,'Global TARF'!$A216,GL_PL!$A:$A,'Global TARF'!P$8)</f>
        <v>0</v>
      </c>
      <c r="Q216" s="184">
        <f>SUMIFS(GL_PL!$G:$G,GL_PL!$Q:$Q,'Global TARF'!$A$197,GL_PL!$R:$R,'Global TARF'!$A216,GL_PL!$A:$A,'Global TARF'!Q$8)</f>
        <v>0</v>
      </c>
      <c r="R216" s="184">
        <f>SUMIFS(GL_PL!$G:$G,GL_PL!$Q:$Q,'Global TARF'!$A$197,GL_PL!$R:$R,'Global TARF'!$A216,GL_PL!$A:$A,'Global TARF'!R$8)</f>
        <v>0</v>
      </c>
      <c r="S216" s="536">
        <f>SUMIFS(GL_PL!$G:$G,GL_PL!$Q:$Q,'Global TARF'!$A$197,GL_PL!$R:$R,'Global TARF'!$A216,GL_PL!$A:$A,'Global TARF'!S$8)</f>
        <v>0</v>
      </c>
      <c r="T216"/>
      <c r="Z216" s="582"/>
    </row>
    <row r="217" spans="1:26" x14ac:dyDescent="0.2">
      <c r="A217" s="534" t="s">
        <v>3845</v>
      </c>
      <c r="B217" s="184">
        <f>SUMIFS(GL_BS!$G:$G,GL_BS!$R:$R,'Global TARF'!$A$197,GL_BS!$S:$S,'Global TARF'!$A217,GL_BS!$A:$A,'Global TARF'!B$38)</f>
        <v>0</v>
      </c>
      <c r="C217" s="184">
        <f>SUMIFS(GL_BS!$G:$G,GL_BS!$R:$R,'Global TARF'!$A$197,GL_BS!$S:$S,'Global TARF'!$A217,GL_BS!$A:$A,'Global TARF'!C$8)</f>
        <v>0</v>
      </c>
      <c r="D217" s="184">
        <f>SUMIFS(GL_BS!$G:$G,GL_BS!$R:$R,'Global TARF'!$A$197,GL_BS!$S:$S,'Global TARF'!$A217,GL_BS!$A:$A,'Global TARF'!D$8)</f>
        <v>0</v>
      </c>
      <c r="E217" s="184">
        <f>SUMIFS(GL_BS!$G:$G,GL_BS!$R:$R,'Global TARF'!$A$197,GL_BS!$S:$S,'Global TARF'!$A217,GL_BS!$A:$A,'Global TARF'!E$8)</f>
        <v>0</v>
      </c>
      <c r="F217" s="184">
        <f>SUMIFS(GL_BS!$G:$G,GL_BS!$R:$R,'Global TARF'!$A$197,GL_BS!$S:$S,'Global TARF'!$A217,GL_BS!$A:$A,'Global TARF'!F$8)</f>
        <v>0</v>
      </c>
      <c r="G217" s="536">
        <f>SUMIFS(GL_BS!$G:$G,GL_BS!$R:$R,'Global TARF'!$A$197,GL_BS!$S:$S,'Global TARF'!$A217,GL_BS!$A:$A,'Global TARF'!G$8)</f>
        <v>0</v>
      </c>
      <c r="H217" s="545">
        <f>SUMIFS(GL_BS!$G:$G,GL_BS!$R:$R,'Global TARF'!$A$197,GL_BS!$S:$S,'Global TARF'!$A217,GL_BS!$A:$A,'Global TARF'!H$8)</f>
        <v>0</v>
      </c>
      <c r="I217" s="184">
        <f>SUMIFS(GL_BS!$G:$G,GL_BS!$R:$R,'Global TARF'!$A$197,GL_BS!$S:$S,'Global TARF'!$A217,GL_BS!$A:$A,'Global TARF'!I$8)</f>
        <v>0</v>
      </c>
      <c r="J217" s="184">
        <f>SUMIFS(GL_BS!$G:$G,GL_BS!$R:$R,'Global TARF'!$A$197,GL_BS!$S:$S,'Global TARF'!$A217,GL_BS!$A:$A,'Global TARF'!J$8)</f>
        <v>0</v>
      </c>
      <c r="K217" s="184">
        <f>SUMIFS(GL_BS!$G:$G,GL_BS!$R:$R,'Global TARF'!$A$197,GL_BS!$S:$S,'Global TARF'!$A217,GL_BS!$A:$A,'Global TARF'!K$8)</f>
        <v>0</v>
      </c>
      <c r="L217" s="184">
        <f>SUMIFS(GL_BS!$G:$G,GL_BS!$R:$R,'Global TARF'!$A$197,GL_BS!$S:$S,'Global TARF'!$A217,GL_BS!$A:$A,'Global TARF'!L$8)</f>
        <v>0</v>
      </c>
      <c r="M217" s="536">
        <f>SUMIFS(GL_BS!$G:$G,GL_BS!$R:$R,'Global TARF'!$A$197,GL_BS!$S:$S,'Global TARF'!$A217,GL_BS!$A:$A,'Global TARF'!M$8)</f>
        <v>0</v>
      </c>
      <c r="N217" s="555">
        <f>SUMIFS(GL_BS!$G:$G,GL_BS!$R:$R,'Global TARF'!$A$101,GL_BS!$S:$S,'Global TARF'!$A217,GL_BS!$A:$A,'Global TARF'!N$8)</f>
        <v>0</v>
      </c>
      <c r="O217" s="18">
        <f>SUMIFS(GL_BS!$G:$G,GL_BS!$R:$R,'Global TARF'!$A$101,GL_BS!$S:$S,'Global TARF'!$A217,GL_BS!$A:$A,'Global TARF'!O$8)</f>
        <v>0</v>
      </c>
      <c r="P217" s="545">
        <f>SUMIFS(GL_PL!$G:$G,GL_PL!$Q:$Q,'Global TARF'!$A$197,GL_PL!$R:$R,'Global TARF'!$A217,GL_PL!$A:$A,'Global TARF'!P$8)</f>
        <v>0</v>
      </c>
      <c r="Q217" s="184">
        <f>SUMIFS(GL_PL!$G:$G,GL_PL!$Q:$Q,'Global TARF'!$A$197,GL_PL!$R:$R,'Global TARF'!$A217,GL_PL!$A:$A,'Global TARF'!Q$8)</f>
        <v>0</v>
      </c>
      <c r="R217" s="184">
        <f>SUMIFS(GL_PL!$G:$G,GL_PL!$Q:$Q,'Global TARF'!$A$197,GL_PL!$R:$R,'Global TARF'!$A217,GL_PL!$A:$A,'Global TARF'!R$8)</f>
        <v>0</v>
      </c>
      <c r="S217" s="536">
        <f>SUMIFS(GL_PL!$G:$G,GL_PL!$Q:$Q,'Global TARF'!$A$197,GL_PL!$R:$R,'Global TARF'!$A217,GL_PL!$A:$A,'Global TARF'!S$8)</f>
        <v>0</v>
      </c>
      <c r="T217"/>
      <c r="Z217" s="582">
        <f t="shared" si="130"/>
        <v>0</v>
      </c>
    </row>
    <row r="218" spans="1:26" x14ac:dyDescent="0.2">
      <c r="A218" s="534" t="s">
        <v>792</v>
      </c>
      <c r="B218" s="184">
        <f>SUMIFS(GL_BS!$G:$G,GL_BS!$R:$R,'Global TARF'!$A$197,GL_BS!$S:$S,'Global TARF'!$A218,GL_BS!$A:$A,'Global TARF'!B$38)</f>
        <v>0</v>
      </c>
      <c r="C218" s="184">
        <f>SUMIFS(GL_BS!$G:$G,GL_BS!$R:$R,'Global TARF'!$A$197,GL_BS!$S:$S,'Global TARF'!$A218,GL_BS!$A:$A,'Global TARF'!C$8)</f>
        <v>0</v>
      </c>
      <c r="D218" s="184">
        <f>SUMIFS(GL_BS!$G:$G,GL_BS!$R:$R,'Global TARF'!$A$197,GL_BS!$S:$S,'Global TARF'!$A218,GL_BS!$A:$A,'Global TARF'!D$8)</f>
        <v>0</v>
      </c>
      <c r="E218" s="184">
        <f>SUMIFS(GL_BS!$G:$G,GL_BS!$R:$R,'Global TARF'!$A$197,GL_BS!$S:$S,'Global TARF'!$A218,GL_BS!$A:$A,'Global TARF'!E$8)</f>
        <v>0</v>
      </c>
      <c r="F218" s="184">
        <f>SUMIFS(GL_BS!$G:$G,GL_BS!$R:$R,'Global TARF'!$A$197,GL_BS!$S:$S,'Global TARF'!$A218,GL_BS!$A:$A,'Global TARF'!F$8)</f>
        <v>0</v>
      </c>
      <c r="G218" s="536">
        <f>SUMIFS(GL_BS!$G:$G,GL_BS!$R:$R,'Global TARF'!$A$197,GL_BS!$S:$S,'Global TARF'!$A218,GL_BS!$A:$A,'Global TARF'!G$8)</f>
        <v>0</v>
      </c>
      <c r="H218" s="545">
        <f>SUMIFS(GL_BS!$G:$G,GL_BS!$R:$R,'Global TARF'!$A$197,GL_BS!$S:$S,'Global TARF'!$A218,GL_BS!$A:$A,'Global TARF'!H$8)</f>
        <v>0</v>
      </c>
      <c r="I218" s="184">
        <f>SUMIFS(GL_BS!$G:$G,GL_BS!$R:$R,'Global TARF'!$A$197,GL_BS!$S:$S,'Global TARF'!$A218,GL_BS!$A:$A,'Global TARF'!I$8)</f>
        <v>0</v>
      </c>
      <c r="J218" s="184">
        <f>SUMIFS(GL_BS!$G:$G,GL_BS!$R:$R,'Global TARF'!$A$197,GL_BS!$S:$S,'Global TARF'!$A218,GL_BS!$A:$A,'Global TARF'!J$8)</f>
        <v>0</v>
      </c>
      <c r="K218" s="184">
        <f>SUMIFS(GL_BS!$G:$G,GL_BS!$R:$R,'Global TARF'!$A$197,GL_BS!$S:$S,'Global TARF'!$A218,GL_BS!$A:$A,'Global TARF'!K$8)</f>
        <v>0</v>
      </c>
      <c r="L218" s="184">
        <f>SUMIFS(GL_BS!$G:$G,GL_BS!$R:$R,'Global TARF'!$A$197,GL_BS!$S:$S,'Global TARF'!$A218,GL_BS!$A:$A,'Global TARF'!L$8)</f>
        <v>0</v>
      </c>
      <c r="M218" s="536">
        <f>SUMIFS(GL_BS!$G:$G,GL_BS!$R:$R,'Global TARF'!$A$197,GL_BS!$S:$S,'Global TARF'!$A218,GL_BS!$A:$A,'Global TARF'!M$8)</f>
        <v>0</v>
      </c>
      <c r="N218" s="555">
        <f>SUMIFS(GL_BS!$G:$G,GL_BS!$R:$R,'Global TARF'!$A$101,GL_BS!$S:$S,'Global TARF'!$A218,GL_BS!$A:$A,'Global TARF'!N$8)</f>
        <v>0</v>
      </c>
      <c r="O218" s="18">
        <f>SUMIFS(GL_BS!$G:$G,GL_BS!$R:$R,'Global TARF'!$A$101,GL_BS!$S:$S,'Global TARF'!$A218,GL_BS!$A:$A,'Global TARF'!O$8)</f>
        <v>0</v>
      </c>
      <c r="P218" s="545">
        <f>SUMIFS(GL_PL!$G:$G,GL_PL!$Q:$Q,'Global TARF'!$A$197,GL_PL!$R:$R,'Global TARF'!$A218,GL_PL!$A:$A,'Global TARF'!P$8)</f>
        <v>0</v>
      </c>
      <c r="Q218" s="184">
        <f>SUMIFS(GL_PL!$G:$G,GL_PL!$Q:$Q,'Global TARF'!$A$197,GL_PL!$R:$R,'Global TARF'!$A218,GL_PL!$A:$A,'Global TARF'!Q$8)</f>
        <v>0</v>
      </c>
      <c r="R218" s="184">
        <f>SUMIFS(GL_PL!$G:$G,GL_PL!$Q:$Q,'Global TARF'!$A$197,GL_PL!$R:$R,'Global TARF'!$A218,GL_PL!$A:$A,'Global TARF'!R$8)</f>
        <v>0</v>
      </c>
      <c r="S218" s="536">
        <f>SUMIFS(GL_PL!$G:$G,GL_PL!$Q:$Q,'Global TARF'!$A$197,GL_PL!$R:$R,'Global TARF'!$A218,GL_PL!$A:$A,'Global TARF'!S$8)</f>
        <v>0</v>
      </c>
      <c r="T218"/>
      <c r="V218" s="26">
        <f>-SUM(Q218,B218)</f>
        <v>0</v>
      </c>
      <c r="Z218" s="582">
        <f t="shared" si="130"/>
        <v>0</v>
      </c>
    </row>
    <row r="219" spans="1:26" x14ac:dyDescent="0.2">
      <c r="A219" s="534" t="s">
        <v>791</v>
      </c>
      <c r="B219" s="184">
        <f>SUMIFS(GL_BS!$G:$G,GL_BS!$R:$R,'Global TARF'!$A$197,GL_BS!$S:$S,'Global TARF'!$A219,GL_BS!$A:$A,'Global TARF'!B$38)</f>
        <v>0</v>
      </c>
      <c r="C219" s="184">
        <f>SUMIFS(GL_BS!$G:$G,GL_BS!$R:$R,'Global TARF'!$A$197,GL_BS!$S:$S,'Global TARF'!$A219,GL_BS!$A:$A,'Global TARF'!C$8)</f>
        <v>0</v>
      </c>
      <c r="D219" s="184">
        <f>SUMIFS(GL_BS!$G:$G,GL_BS!$R:$R,'Global TARF'!$A$197,GL_BS!$S:$S,'Global TARF'!$A219,GL_BS!$A:$A,'Global TARF'!D$8)</f>
        <v>0</v>
      </c>
      <c r="E219" s="184">
        <f>SUMIFS(GL_BS!$G:$G,GL_BS!$R:$R,'Global TARF'!$A$197,GL_BS!$S:$S,'Global TARF'!$A219,GL_BS!$A:$A,'Global TARF'!E$8)</f>
        <v>0</v>
      </c>
      <c r="F219" s="184">
        <f>SUMIFS(GL_BS!$G:$G,GL_BS!$R:$R,'Global TARF'!$A$197,GL_BS!$S:$S,'Global TARF'!$A219,GL_BS!$A:$A,'Global TARF'!F$8)</f>
        <v>0</v>
      </c>
      <c r="G219" s="536">
        <f>SUMIFS(GL_BS!$G:$G,GL_BS!$R:$R,'Global TARF'!$A$197,GL_BS!$S:$S,'Global TARF'!$A219,GL_BS!$A:$A,'Global TARF'!G$8)</f>
        <v>0</v>
      </c>
      <c r="H219" s="545">
        <f>SUMIFS(GL_BS!$G:$G,GL_BS!$R:$R,'Global TARF'!$A$197,GL_BS!$S:$S,'Global TARF'!$A219,GL_BS!$A:$A,'Global TARF'!H$8)</f>
        <v>0</v>
      </c>
      <c r="I219" s="184">
        <f>SUMIFS(GL_BS!$G:$G,GL_BS!$R:$R,'Global TARF'!$A$197,GL_BS!$S:$S,'Global TARF'!$A219,GL_BS!$A:$A,'Global TARF'!I$8)</f>
        <v>0</v>
      </c>
      <c r="J219" s="184">
        <f>SUMIFS(GL_BS!$G:$G,GL_BS!$R:$R,'Global TARF'!$A$197,GL_BS!$S:$S,'Global TARF'!$A219,GL_BS!$A:$A,'Global TARF'!J$8)</f>
        <v>0</v>
      </c>
      <c r="K219" s="184">
        <f>SUMIFS(GL_BS!$G:$G,GL_BS!$R:$R,'Global TARF'!$A$197,GL_BS!$S:$S,'Global TARF'!$A219,GL_BS!$A:$A,'Global TARF'!K$8)</f>
        <v>0</v>
      </c>
      <c r="L219" s="184">
        <f>SUMIFS(GL_BS!$G:$G,GL_BS!$R:$R,'Global TARF'!$A$197,GL_BS!$S:$S,'Global TARF'!$A219,GL_BS!$A:$A,'Global TARF'!L$8)</f>
        <v>0</v>
      </c>
      <c r="M219" s="536">
        <f>SUMIFS(GL_BS!$G:$G,GL_BS!$R:$R,'Global TARF'!$A$197,GL_BS!$S:$S,'Global TARF'!$A219,GL_BS!$A:$A,'Global TARF'!M$8)</f>
        <v>0</v>
      </c>
      <c r="N219" s="555">
        <f>SUMIFS(GL_BS!$G:$G,GL_BS!$R:$R,'Global TARF'!$A$101,GL_BS!$S:$S,'Global TARF'!$A219,GL_BS!$A:$A,'Global TARF'!N$8)</f>
        <v>0</v>
      </c>
      <c r="O219" s="18">
        <f>SUMIFS(GL_BS!$G:$G,GL_BS!$R:$R,'Global TARF'!$A$101,GL_BS!$S:$S,'Global TARF'!$A219,GL_BS!$A:$A,'Global TARF'!O$8)</f>
        <v>0</v>
      </c>
      <c r="P219" s="545">
        <f>SUMIFS(GL_PL!$G:$G,GL_PL!$Q:$Q,'Global TARF'!$A$197,GL_PL!$R:$R,'Global TARF'!$A219,GL_PL!$A:$A,'Global TARF'!P$8)</f>
        <v>0</v>
      </c>
      <c r="Q219" s="184">
        <f>SUMIFS(GL_PL!$G:$G,GL_PL!$Q:$Q,'Global TARF'!$A$197,GL_PL!$R:$R,'Global TARF'!$A219,GL_PL!$A:$A,'Global TARF'!Q$8)</f>
        <v>0</v>
      </c>
      <c r="R219" s="184">
        <f>SUMIFS(GL_PL!$G:$G,GL_PL!$Q:$Q,'Global TARF'!$A$197,GL_PL!$R:$R,'Global TARF'!$A219,GL_PL!$A:$A,'Global TARF'!R$8)</f>
        <v>0</v>
      </c>
      <c r="S219" s="536">
        <f>SUMIFS(GL_PL!$G:$G,GL_PL!$Q:$Q,'Global TARF'!$A$197,GL_PL!$R:$R,'Global TARF'!$A219,GL_PL!$A:$A,'Global TARF'!S$8)</f>
        <v>0</v>
      </c>
      <c r="T219" s="26">
        <f>-SUM(P219:R219)</f>
        <v>0</v>
      </c>
      <c r="U219" s="26"/>
      <c r="Z219" s="582">
        <f t="shared" si="130"/>
        <v>0</v>
      </c>
    </row>
    <row r="220" spans="1:26" x14ac:dyDescent="0.2">
      <c r="A220" s="534" t="s">
        <v>243</v>
      </c>
      <c r="B220" s="184">
        <f>SUMIFS(GL_BS!$G:$G,GL_BS!$R:$R,'Global TARF'!$A$197,GL_BS!$S:$S,'Global TARF'!$A220,GL_BS!$A:$A,'Global TARF'!B$38)</f>
        <v>0</v>
      </c>
      <c r="C220" s="184">
        <f>SUMIFS(GL_BS!$G:$G,GL_BS!$R:$R,'Global TARF'!$A$197,GL_BS!$S:$S,'Global TARF'!$A220,GL_BS!$A:$A,'Global TARF'!C$8)</f>
        <v>0</v>
      </c>
      <c r="D220" s="184">
        <f>SUMIFS(GL_BS!$G:$G,GL_BS!$R:$R,'Global TARF'!$A$197,GL_BS!$S:$S,'Global TARF'!$A220,GL_BS!$A:$A,'Global TARF'!D$8)</f>
        <v>0</v>
      </c>
      <c r="E220" s="184">
        <f>SUMIFS(GL_BS!$G:$G,GL_BS!$R:$R,'Global TARF'!$A$197,GL_BS!$S:$S,'Global TARF'!$A220,GL_BS!$A:$A,'Global TARF'!E$8)</f>
        <v>0</v>
      </c>
      <c r="F220" s="184">
        <f>SUMIFS(GL_BS!$G:$G,GL_BS!$R:$R,'Global TARF'!$A$197,GL_BS!$S:$S,'Global TARF'!$A220,GL_BS!$A:$A,'Global TARF'!F$8)</f>
        <v>0</v>
      </c>
      <c r="G220" s="536">
        <f>SUMIFS(GL_BS!$G:$G,GL_BS!$R:$R,'Global TARF'!$A$197,GL_BS!$S:$S,'Global TARF'!$A220,GL_BS!$A:$A,'Global TARF'!G$8)</f>
        <v>0</v>
      </c>
      <c r="H220" s="545">
        <f>SUMIFS(GL_BS!$G:$G,GL_BS!$R:$R,'Global TARF'!$A$197,GL_BS!$S:$S,'Global TARF'!$A220,GL_BS!$A:$A,'Global TARF'!H$8)</f>
        <v>0</v>
      </c>
      <c r="I220" s="184">
        <f>SUMIFS(GL_BS!$G:$G,GL_BS!$R:$R,'Global TARF'!$A$197,GL_BS!$S:$S,'Global TARF'!$A220,GL_BS!$A:$A,'Global TARF'!I$8)</f>
        <v>0</v>
      </c>
      <c r="J220" s="184">
        <f>SUMIFS(GL_BS!$G:$G,GL_BS!$R:$R,'Global TARF'!$A$197,GL_BS!$S:$S,'Global TARF'!$A220,GL_BS!$A:$A,'Global TARF'!J$8)</f>
        <v>0</v>
      </c>
      <c r="K220" s="184">
        <f>SUMIFS(GL_BS!$G:$G,GL_BS!$R:$R,'Global TARF'!$A$197,GL_BS!$S:$S,'Global TARF'!$A220,GL_BS!$A:$A,'Global TARF'!K$8)</f>
        <v>0</v>
      </c>
      <c r="L220" s="184">
        <f>SUMIFS(GL_BS!$G:$G,GL_BS!$R:$R,'Global TARF'!$A$197,GL_BS!$S:$S,'Global TARF'!$A220,GL_BS!$A:$A,'Global TARF'!L$8)</f>
        <v>0</v>
      </c>
      <c r="M220" s="536">
        <f>SUMIFS(GL_BS!$G:$G,GL_BS!$R:$R,'Global TARF'!$A$197,GL_BS!$S:$S,'Global TARF'!$A220,GL_BS!$A:$A,'Global TARF'!M$8)</f>
        <v>0</v>
      </c>
      <c r="N220" s="555">
        <f>SUMIFS(GL_BS!$G:$G,GL_BS!$R:$R,'Global TARF'!$A$101,GL_BS!$S:$S,'Global TARF'!$A220,GL_BS!$A:$A,'Global TARF'!N$8)</f>
        <v>0</v>
      </c>
      <c r="O220" s="18">
        <f>SUMIFS(GL_BS!$G:$G,GL_BS!$R:$R,'Global TARF'!$A$101,GL_BS!$S:$S,'Global TARF'!$A220,GL_BS!$A:$A,'Global TARF'!O$8)</f>
        <v>0</v>
      </c>
      <c r="P220" s="545">
        <f>SUMIFS(GL_PL!$G:$G,GL_PL!$Q:$Q,'Global TARF'!$A$197,GL_PL!$R:$R,'Global TARF'!$A220,GL_PL!$A:$A,'Global TARF'!P$8)</f>
        <v>0</v>
      </c>
      <c r="Q220" s="184">
        <f>SUMIFS(GL_PL!$G:$G,GL_PL!$Q:$Q,'Global TARF'!$A$197,GL_PL!$R:$R,'Global TARF'!$A220,GL_PL!$A:$A,'Global TARF'!Q$8)</f>
        <v>0</v>
      </c>
      <c r="R220" s="184">
        <f>SUMIFS(GL_PL!$G:$G,GL_PL!$Q:$Q,'Global TARF'!$A$197,GL_PL!$R:$R,'Global TARF'!$A220,GL_PL!$A:$A,'Global TARF'!R$8)</f>
        <v>0</v>
      </c>
      <c r="S220" s="536">
        <f>SUMIFS(GL_PL!$G:$G,GL_PL!$Q:$Q,'Global TARF'!$A$197,GL_PL!$R:$R,'Global TARF'!$A220,GL_PL!$A:$A,'Global TARF'!S$8)</f>
        <v>0</v>
      </c>
      <c r="T220"/>
      <c r="W220" s="26">
        <f>-H220</f>
        <v>0</v>
      </c>
      <c r="Z220" s="582">
        <f t="shared" si="130"/>
        <v>0</v>
      </c>
    </row>
    <row r="221" spans="1:26" x14ac:dyDescent="0.2">
      <c r="A221" s="534" t="s">
        <v>795</v>
      </c>
      <c r="B221" s="184">
        <f>SUMIFS(GL_BS!$G:$G,GL_BS!$R:$R,'Global TARF'!$A$197,GL_BS!$S:$S,'Global TARF'!$A221,GL_BS!$A:$A,'Global TARF'!B$38)</f>
        <v>0</v>
      </c>
      <c r="C221" s="184">
        <f>SUMIFS(GL_BS!$G:$G,GL_BS!$R:$R,'Global TARF'!$A$197,GL_BS!$S:$S,'Global TARF'!$A221,GL_BS!$A:$A,'Global TARF'!C$8)</f>
        <v>0</v>
      </c>
      <c r="D221" s="184">
        <f>SUMIFS(GL_BS!$G:$G,GL_BS!$R:$R,'Global TARF'!$A$197,GL_BS!$S:$S,'Global TARF'!$A221,GL_BS!$A:$A,'Global TARF'!D$8)</f>
        <v>0</v>
      </c>
      <c r="E221" s="184">
        <f>SUMIFS(GL_BS!$G:$G,GL_BS!$R:$R,'Global TARF'!$A$197,GL_BS!$S:$S,'Global TARF'!$A221,GL_BS!$A:$A,'Global TARF'!E$8)</f>
        <v>0</v>
      </c>
      <c r="F221" s="184">
        <f>SUMIFS(GL_BS!$G:$G,GL_BS!$R:$R,'Global TARF'!$A$197,GL_BS!$S:$S,'Global TARF'!$A221,GL_BS!$A:$A,'Global TARF'!F$8)</f>
        <v>0</v>
      </c>
      <c r="G221" s="536">
        <f>SUMIFS(GL_BS!$G:$G,GL_BS!$R:$R,'Global TARF'!$A$197,GL_BS!$S:$S,'Global TARF'!$A221,GL_BS!$A:$A,'Global TARF'!G$8)</f>
        <v>0</v>
      </c>
      <c r="H221" s="545">
        <f>SUMIFS(GL_BS!$G:$G,GL_BS!$R:$R,'Global TARF'!$A$197,GL_BS!$S:$S,'Global TARF'!$A221,GL_BS!$A:$A,'Global TARF'!H$8)</f>
        <v>0</v>
      </c>
      <c r="I221" s="184">
        <f>SUMIFS(GL_BS!$G:$G,GL_BS!$R:$R,'Global TARF'!$A$197,GL_BS!$S:$S,'Global TARF'!$A221,GL_BS!$A:$A,'Global TARF'!I$8)</f>
        <v>0</v>
      </c>
      <c r="J221" s="184">
        <f>SUMIFS(GL_BS!$G:$G,GL_BS!$R:$R,'Global TARF'!$A$197,GL_BS!$S:$S,'Global TARF'!$A221,GL_BS!$A:$A,'Global TARF'!J$8)</f>
        <v>0</v>
      </c>
      <c r="K221" s="184">
        <f>SUMIFS(GL_BS!$G:$G,GL_BS!$R:$R,'Global TARF'!$A$197,GL_BS!$S:$S,'Global TARF'!$A221,GL_BS!$A:$A,'Global TARF'!K$8)</f>
        <v>0</v>
      </c>
      <c r="L221" s="184">
        <f>SUMIFS(GL_BS!$G:$G,GL_BS!$R:$R,'Global TARF'!$A$197,GL_BS!$S:$S,'Global TARF'!$A221,GL_BS!$A:$A,'Global TARF'!L$8)</f>
        <v>0</v>
      </c>
      <c r="M221" s="536">
        <f>SUMIFS(GL_BS!$G:$G,GL_BS!$R:$R,'Global TARF'!$A$197,GL_BS!$S:$S,'Global TARF'!$A221,GL_BS!$A:$A,'Global TARF'!M$8)</f>
        <v>0</v>
      </c>
      <c r="N221" s="555">
        <f>SUMIFS(GL_BS!$G:$G,GL_BS!$R:$R,'Global TARF'!$A$101,GL_BS!$S:$S,'Global TARF'!$A221,GL_BS!$A:$A,'Global TARF'!N$8)</f>
        <v>0</v>
      </c>
      <c r="O221" s="18">
        <f>SUMIFS(GL_BS!$G:$G,GL_BS!$R:$R,'Global TARF'!$A$101,GL_BS!$S:$S,'Global TARF'!$A221,GL_BS!$A:$A,'Global TARF'!O$8)</f>
        <v>0</v>
      </c>
      <c r="P221" s="545">
        <f>SUMIFS(GL_PL!$G:$G,GL_PL!$Q:$Q,'Global TARF'!$A$197,GL_PL!$R:$R,'Global TARF'!$A221,GL_PL!$A:$A,'Global TARF'!P$8)</f>
        <v>0</v>
      </c>
      <c r="Q221" s="184">
        <f>SUMIFS(GL_PL!$G:$G,GL_PL!$Q:$Q,'Global TARF'!$A$197,GL_PL!$R:$R,'Global TARF'!$A221,GL_PL!$A:$A,'Global TARF'!Q$8)</f>
        <v>0</v>
      </c>
      <c r="R221" s="184">
        <f>SUMIFS(GL_PL!$G:$G,GL_PL!$Q:$Q,'Global TARF'!$A$197,GL_PL!$R:$R,'Global TARF'!$A221,GL_PL!$A:$A,'Global TARF'!R$8)</f>
        <v>0</v>
      </c>
      <c r="S221" s="536">
        <f>SUMIFS(GL_PL!$G:$G,GL_PL!$Q:$Q,'Global TARF'!$A$197,GL_PL!$R:$R,'Global TARF'!$A221,GL_PL!$A:$A,'Global TARF'!S$8)</f>
        <v>0</v>
      </c>
      <c r="T221" s="26">
        <f>-SUM(P221:R221)</f>
        <v>0</v>
      </c>
      <c r="U221" s="26"/>
      <c r="Z221" s="582">
        <f t="shared" si="130"/>
        <v>0</v>
      </c>
    </row>
    <row r="222" spans="1:26" ht="10.5" thickBot="1" x14ac:dyDescent="0.25">
      <c r="A222" s="534" t="s">
        <v>793</v>
      </c>
      <c r="B222" s="184">
        <f>SUMIFS(GL_BS!$G:$G,GL_BS!$R:$R,'Global TARF'!$A$197,GL_BS!$S:$S,'Global TARF'!$A222,GL_BS!$A:$A,'Global TARF'!B$38)</f>
        <v>0</v>
      </c>
      <c r="C222" s="184">
        <f>SUMIFS(GL_BS!$G:$G,GL_BS!$R:$R,'Global TARF'!$A$197,GL_BS!$S:$S,'Global TARF'!$A222,GL_BS!$A:$A,'Global TARF'!C$8)</f>
        <v>0</v>
      </c>
      <c r="D222" s="184">
        <f>SUMIFS(GL_BS!$G:$G,GL_BS!$R:$R,'Global TARF'!$A$197,GL_BS!$S:$S,'Global TARF'!$A222,GL_BS!$A:$A,'Global TARF'!D$8)</f>
        <v>0</v>
      </c>
      <c r="E222" s="184">
        <f>SUMIFS(GL_BS!$G:$G,GL_BS!$R:$R,'Global TARF'!$A$197,GL_BS!$S:$S,'Global TARF'!$A222,GL_BS!$A:$A,'Global TARF'!E$8)</f>
        <v>0</v>
      </c>
      <c r="F222" s="184">
        <f>SUMIFS(GL_BS!$G:$G,GL_BS!$R:$R,'Global TARF'!$A$197,GL_BS!$S:$S,'Global TARF'!$A222,GL_BS!$A:$A,'Global TARF'!F$8)</f>
        <v>0</v>
      </c>
      <c r="G222" s="536">
        <f>SUMIFS(GL_BS!$G:$G,GL_BS!$R:$R,'Global TARF'!$A$197,GL_BS!$S:$S,'Global TARF'!$A222,GL_BS!$A:$A,'Global TARF'!G$8)</f>
        <v>0</v>
      </c>
      <c r="H222" s="545">
        <f>SUMIFS(GL_BS!$G:$G,GL_BS!$R:$R,'Global TARF'!$A$197,GL_BS!$S:$S,'Global TARF'!$A222,GL_BS!$A:$A,'Global TARF'!H$8)</f>
        <v>0</v>
      </c>
      <c r="I222" s="184">
        <f>SUMIFS(GL_BS!$G:$G,GL_BS!$R:$R,'Global TARF'!$A$197,GL_BS!$S:$S,'Global TARF'!$A222,GL_BS!$A:$A,'Global TARF'!I$8)</f>
        <v>0</v>
      </c>
      <c r="J222" s="184">
        <f>SUMIFS(GL_BS!$G:$G,GL_BS!$R:$R,'Global TARF'!$A$197,GL_BS!$S:$S,'Global TARF'!$A222,GL_BS!$A:$A,'Global TARF'!J$8)</f>
        <v>0</v>
      </c>
      <c r="K222" s="184">
        <f>SUMIFS(GL_BS!$G:$G,GL_BS!$R:$R,'Global TARF'!$A$197,GL_BS!$S:$S,'Global TARF'!$A222,GL_BS!$A:$A,'Global TARF'!K$8)</f>
        <v>0</v>
      </c>
      <c r="L222" s="184">
        <f>SUMIFS(GL_BS!$G:$G,GL_BS!$R:$R,'Global TARF'!$A$197,GL_BS!$S:$S,'Global TARF'!$A222,GL_BS!$A:$A,'Global TARF'!L$8)</f>
        <v>0</v>
      </c>
      <c r="M222" s="536">
        <f>SUMIFS(GL_BS!$G:$G,GL_BS!$R:$R,'Global TARF'!$A$197,GL_BS!$S:$S,'Global TARF'!$A222,GL_BS!$A:$A,'Global TARF'!M$8)</f>
        <v>0</v>
      </c>
      <c r="N222" s="555">
        <f>SUMIFS(GL_BS!$G:$G,GL_BS!$R:$R,'Global TARF'!$A$101,GL_BS!$S:$S,'Global TARF'!$A222,GL_BS!$A:$A,'Global TARF'!N$8)</f>
        <v>0</v>
      </c>
      <c r="O222" s="18">
        <f>SUMIFS(GL_BS!$G:$G,GL_BS!$R:$R,'Global TARF'!$A$101,GL_BS!$S:$S,'Global TARF'!$A222,GL_BS!$A:$A,'Global TARF'!O$8)</f>
        <v>0</v>
      </c>
      <c r="P222" s="545">
        <f>SUMIFS(GL_PL!$G:$G,GL_PL!$Q:$Q,'Global TARF'!$A$197,GL_PL!$R:$R,'Global TARF'!$A222,GL_PL!$A:$A,'Global TARF'!P$8)</f>
        <v>0</v>
      </c>
      <c r="Q222" s="184">
        <f>SUMIFS(GL_PL!$G:$G,GL_PL!$Q:$Q,'Global TARF'!$A$197,GL_PL!$R:$R,'Global TARF'!$A222,GL_PL!$A:$A,'Global TARF'!Q$8)</f>
        <v>0</v>
      </c>
      <c r="R222" s="184">
        <f>SUMIFS(GL_PL!$G:$G,GL_PL!$Q:$Q,'Global TARF'!$A$197,GL_PL!$R:$R,'Global TARF'!$A222,GL_PL!$A:$A,'Global TARF'!R$8)</f>
        <v>0</v>
      </c>
      <c r="S222" s="536">
        <f>SUMIFS(GL_PL!$G:$G,GL_PL!$Q:$Q,'Global TARF'!$A$197,GL_PL!$R:$R,'Global TARF'!$A222,GL_PL!$A:$A,'Global TARF'!S$8)</f>
        <v>0</v>
      </c>
      <c r="T222"/>
      <c r="Z222" s="582">
        <f t="shared" si="130"/>
        <v>0</v>
      </c>
    </row>
    <row r="223" spans="1:26" s="23" customFormat="1" ht="10.5" thickBot="1" x14ac:dyDescent="0.25">
      <c r="A223" s="563" t="str">
        <f>$A$34</f>
        <v>Balance as of 06/31/2024</v>
      </c>
      <c r="B223" s="564">
        <f>SUM(B199:B222)</f>
        <v>0</v>
      </c>
      <c r="C223" s="564">
        <f>SUM(C199:C222)</f>
        <v>0</v>
      </c>
      <c r="D223" s="564">
        <f>SUM(D199:D222)</f>
        <v>0</v>
      </c>
      <c r="E223" s="564">
        <f t="shared" ref="E223:T223" si="131">SUM(E199:E222)</f>
        <v>0</v>
      </c>
      <c r="F223" s="564"/>
      <c r="G223" s="566">
        <f t="shared" si="131"/>
        <v>0</v>
      </c>
      <c r="H223" s="565">
        <f t="shared" si="131"/>
        <v>-52649.754114148629</v>
      </c>
      <c r="I223" s="565">
        <f t="shared" si="131"/>
        <v>0</v>
      </c>
      <c r="J223" s="565">
        <f t="shared" si="131"/>
        <v>0</v>
      </c>
      <c r="K223" s="565">
        <f t="shared" si="131"/>
        <v>0</v>
      </c>
      <c r="L223" s="564">
        <f t="shared" si="131"/>
        <v>0</v>
      </c>
      <c r="M223" s="566">
        <f t="shared" si="131"/>
        <v>0</v>
      </c>
      <c r="N223" s="567" t="e">
        <f t="shared" si="131"/>
        <v>#N/A</v>
      </c>
      <c r="O223" s="564" t="e">
        <f t="shared" si="131"/>
        <v>#N/A</v>
      </c>
      <c r="P223" s="565">
        <f t="shared" si="131"/>
        <v>0</v>
      </c>
      <c r="Q223" s="564">
        <f t="shared" si="131"/>
        <v>0</v>
      </c>
      <c r="R223" s="564">
        <f t="shared" si="131"/>
        <v>58231.06585992749</v>
      </c>
      <c r="S223" s="566">
        <f t="shared" ref="S223" si="132">SUM(S199:S222)</f>
        <v>0</v>
      </c>
      <c r="T223" s="564">
        <f t="shared" si="131"/>
        <v>-105396.86620500406</v>
      </c>
      <c r="U223" s="564"/>
      <c r="V223" s="564"/>
      <c r="W223" s="566"/>
      <c r="X223" s="27"/>
      <c r="Z223" s="583"/>
    </row>
    <row r="224" spans="1:26" x14ac:dyDescent="0.2">
      <c r="A224" s="534"/>
      <c r="B224" s="186">
        <f>IFERROR(INDEX('BS_Q2 24'!$A$9:$O$279,MATCH('Global TARF'!B$8,'BS_Q2 24'!$A$9:$A$279,0),MATCH($A$197,'BS_Q2 24'!$A$8:$O$8)),0)</f>
        <v>0</v>
      </c>
      <c r="C224" s="186">
        <f>IFERROR(INDEX('BS_Q2 24'!$A$9:$O$279,MATCH('Global TARF'!C$8,'BS_Q2 24'!$A$9:$A$279,0),MATCH($A$197,'BS_Q2 24'!$A$8:$O$8)),0)</f>
        <v>0</v>
      </c>
      <c r="D224" s="186">
        <f>IFERROR(INDEX('BS_Q2 24'!$A$9:$O$279,MATCH('Global TARF'!D$8,'BS_Q2 24'!$A$9:$A$279,0),MATCH($A$197,'BS_Q2 24'!$A$8:$O$8)),0)</f>
        <v>0</v>
      </c>
      <c r="E224" s="186">
        <f>IFERROR(INDEX('BS_Q2 24'!$A$9:$O$279,MATCH('Global TARF'!E$8,'BS_Q2 24'!$A$9:$A$279,0),MATCH($A$197,'BS_Q2 24'!$A$8:$O$8)),0)</f>
        <v>0</v>
      </c>
      <c r="F224" s="186">
        <f>IFERROR(INDEX('BS_Q2 24'!$A$9:$O$279,MATCH('Global TARF'!F$8,'BS_Q2 24'!$A$9:$A$279,0),MATCH($A$197,'BS_Q2 24'!$A$8:$O$8)),0)</f>
        <v>0</v>
      </c>
      <c r="G224" s="186">
        <f>IFERROR(INDEX('BS_Q2 24'!$A$9:$O$279,MATCH('Global TARF'!G$8,'BS_Q2 24'!$A$9:$A$279,0),MATCH($A$197,'BS_Q2 24'!$A$8:$O$8)),0)</f>
        <v>0</v>
      </c>
      <c r="H224" s="546">
        <f>-IFERROR(INDEX('BS_Q2 24'!$A$9:$O$279,MATCH('Global TARF'!H$8,'BS_Q2 24'!$A$9:$A$279,0),MATCH($A$197,'BS_Q2 24'!$A$8:$O$8)),0)</f>
        <v>-52649.754336234626</v>
      </c>
      <c r="I224" s="546">
        <f>-IFERROR(INDEX('BS_Q2 24'!$A$9:$O$279,MATCH('Global TARF'!I$8,'BS_Q2 24'!$A$9:$A$279,0),MATCH($A$197,'BS_Q2 24'!$A$8:$O$8)),0)</f>
        <v>0</v>
      </c>
      <c r="J224" s="546">
        <f>-IFERROR(INDEX('BS_Q2 24'!$A$9:$O$279,MATCH('Global TARF'!J$8,'BS_Q2 24'!$A$9:$A$279,0),MATCH($A$197,'BS_Q2 24'!$A$8:$O$8)),0)</f>
        <v>0</v>
      </c>
      <c r="K224" s="546">
        <f>-IFERROR(INDEX('BS_Q2 24'!$A$9:$O$279,MATCH('Global TARF'!K$8,'BS_Q2 24'!$A$9:$A$279,0),MATCH($A$197,'BS_Q2 24'!$A$8:$O$8)),0)</f>
        <v>0</v>
      </c>
      <c r="L224" s="546">
        <f>-IFERROR(INDEX('BS_Q2 24'!$A$9:$O$279,MATCH('Global TARF'!L$8,'BS_Q2 24'!$A$9:$A$279,0),MATCH($A$197,'BS_Q2 24'!$A$8:$O$8)),0)</f>
        <v>0</v>
      </c>
      <c r="M224" s="546">
        <f>-IFERROR(INDEX('BS_Q2 24'!$A$9:$O$279,MATCH('Global TARF'!M$8,'BS_Q2 24'!$A$9:$A$279,0),MATCH($A$197,'BS_Q2 24'!$A$8:$O$8)),0)</f>
        <v>0</v>
      </c>
      <c r="N224" s="554" t="e">
        <f>INDEX('BS_Q2 24'!$A$9:$O$118,MATCH('Global TARF'!N$8,'BS_Q2 24'!$A$9:$A$118,0),MATCH($A$197,'BS_Q2 24'!$A$8:$O$8))</f>
        <v>#N/A</v>
      </c>
      <c r="O224" s="24" t="e">
        <f>INDEX('BS_Q2 24'!$A$9:$O$118,MATCH('Global TARF'!O$8,'BS_Q2 24'!$A$9:$A$118,0),MATCH($A$197,'BS_Q2 24'!$A$8:$O$8))</f>
        <v>#N/A</v>
      </c>
      <c r="P224" s="545">
        <f>-IFERROR(INDEX('IS_Q2 24'!$A$7:$O$700,MATCH('Global TARF'!P$8,'IS_Q2 24'!$A$7:$A$700,0),MATCH($A$197,'IS_Q2 24'!$A$8:$O$8)),0)</f>
        <v>0</v>
      </c>
      <c r="Q224" s="545">
        <f>-IFERROR(INDEX('IS_Q2 24'!$A$7:$O$700,MATCH('Global TARF'!Q$8,'IS_Q2 24'!$A$7:$A$700,0),MATCH($A$197,'IS_Q2 24'!$A$8:$O$8)),0)</f>
        <v>0</v>
      </c>
      <c r="R224" s="545">
        <f>-IFERROR(INDEX('IS_Q2 24'!$A$7:$O$700,MATCH('Global TARF'!R$8,'IS_Q2 24'!$A$7:$A$700,0),MATCH($A$197,'IS_Q2 24'!$A$8:$O$8)),0)</f>
        <v>58231.065859927498</v>
      </c>
      <c r="S224" s="545">
        <f>-IFERROR(INDEX('IS_Q2 24'!$A$7:$O$700,MATCH('Global TARF'!S$8,'IS_Q2 24'!$A$7:$A$700,0),MATCH($A$197,'IS_Q2 24'!$A$8:$O$8)),0)</f>
        <v>0</v>
      </c>
      <c r="T224"/>
      <c r="Z224" s="580"/>
    </row>
    <row r="225" spans="1:26" x14ac:dyDescent="0.2">
      <c r="A225" s="534"/>
      <c r="B225" t="b">
        <f t="shared" ref="B225:R225" si="133">ROUND(B223,0)=ROUND(B224,0)</f>
        <v>1</v>
      </c>
      <c r="C225" t="b">
        <f t="shared" si="133"/>
        <v>1</v>
      </c>
      <c r="D225" t="b">
        <f t="shared" ref="D225" si="134">ROUND(D223,0)=ROUND(D224,0)</f>
        <v>1</v>
      </c>
      <c r="E225" t="b">
        <f t="shared" si="133"/>
        <v>1</v>
      </c>
      <c r="F225" t="b">
        <f t="shared" si="133"/>
        <v>1</v>
      </c>
      <c r="G225" s="535" t="b">
        <f t="shared" si="133"/>
        <v>1</v>
      </c>
      <c r="H225" s="534" t="b">
        <f t="shared" si="133"/>
        <v>1</v>
      </c>
      <c r="I225" s="534" t="b">
        <f t="shared" si="133"/>
        <v>1</v>
      </c>
      <c r="J225" s="534" t="b">
        <f t="shared" si="133"/>
        <v>1</v>
      </c>
      <c r="K225" s="534" t="b">
        <f t="shared" si="133"/>
        <v>1</v>
      </c>
      <c r="L225" t="b">
        <f t="shared" si="133"/>
        <v>1</v>
      </c>
      <c r="M225" s="535" t="b">
        <f t="shared" si="133"/>
        <v>1</v>
      </c>
      <c r="N225" s="552" t="e">
        <f t="shared" si="133"/>
        <v>#N/A</v>
      </c>
      <c r="O225" t="e">
        <f t="shared" si="133"/>
        <v>#N/A</v>
      </c>
      <c r="P225" s="534" t="b">
        <f t="shared" si="133"/>
        <v>1</v>
      </c>
      <c r="Q225" t="b">
        <f t="shared" si="133"/>
        <v>1</v>
      </c>
      <c r="R225" t="b">
        <f t="shared" si="133"/>
        <v>1</v>
      </c>
      <c r="S225" s="535" t="b">
        <f t="shared" ref="S225" si="135">ROUND(S223,0)=ROUND(S224,0)</f>
        <v>1</v>
      </c>
      <c r="T225"/>
      <c r="Z225" s="580"/>
    </row>
    <row r="226" spans="1:26" x14ac:dyDescent="0.2">
      <c r="A226" s="534"/>
      <c r="B226" s="26">
        <f>B224-B223</f>
        <v>0</v>
      </c>
      <c r="C226" s="26">
        <f t="shared" ref="C226:R226" si="136">C224-C223</f>
        <v>0</v>
      </c>
      <c r="D226" s="26">
        <f t="shared" ref="D226" si="137">D224-D223</f>
        <v>0</v>
      </c>
      <c r="E226" s="26">
        <f t="shared" si="136"/>
        <v>0</v>
      </c>
      <c r="F226" s="26"/>
      <c r="G226" s="541">
        <f t="shared" si="136"/>
        <v>0</v>
      </c>
      <c r="H226" s="537">
        <f t="shared" si="136"/>
        <v>-2.220859969384037E-4</v>
      </c>
      <c r="I226" s="26"/>
      <c r="J226" s="26"/>
      <c r="K226" s="26"/>
      <c r="L226" s="26">
        <f t="shared" si="136"/>
        <v>0</v>
      </c>
      <c r="M226" s="541">
        <f t="shared" si="136"/>
        <v>0</v>
      </c>
      <c r="N226" s="556" t="e">
        <f t="shared" si="136"/>
        <v>#N/A</v>
      </c>
      <c r="O226" s="26" t="e">
        <f t="shared" si="136"/>
        <v>#N/A</v>
      </c>
      <c r="P226" s="537">
        <f t="shared" si="136"/>
        <v>0</v>
      </c>
      <c r="Q226" s="26">
        <f t="shared" si="136"/>
        <v>0</v>
      </c>
      <c r="R226" s="26">
        <f t="shared" si="136"/>
        <v>0</v>
      </c>
      <c r="S226" s="541">
        <f t="shared" ref="S226" si="138">S224-S223</f>
        <v>0</v>
      </c>
      <c r="T226" s="26"/>
      <c r="U226" s="26"/>
      <c r="V226" s="26"/>
      <c r="Z226" s="580"/>
    </row>
    <row r="227" spans="1:26" x14ac:dyDescent="0.2">
      <c r="A227" s="534"/>
      <c r="G227" s="535"/>
      <c r="H227" s="534"/>
      <c r="M227" s="535"/>
      <c r="N227" s="552"/>
      <c r="P227" s="534"/>
      <c r="S227" s="535"/>
      <c r="T227"/>
      <c r="Z227" s="580"/>
    </row>
    <row r="228" spans="1:26" x14ac:dyDescent="0.2">
      <c r="A228" s="534"/>
      <c r="G228" s="535"/>
      <c r="H228" s="534"/>
      <c r="M228" s="535"/>
      <c r="N228" s="552"/>
      <c r="P228" s="534"/>
      <c r="S228" s="535"/>
      <c r="T228"/>
      <c r="Z228" s="580"/>
    </row>
    <row r="229" spans="1:26" s="17" customFormat="1" ht="10.5" x14ac:dyDescent="0.25">
      <c r="A229" s="562">
        <v>206</v>
      </c>
      <c r="B229" s="558" t="s">
        <v>342</v>
      </c>
      <c r="C229" s="558" t="s">
        <v>220</v>
      </c>
      <c r="D229" s="558" t="str">
        <f>$D$8</f>
        <v>145700 - Income tax receivable - Long Term</v>
      </c>
      <c r="E229" s="558" t="s">
        <v>378</v>
      </c>
      <c r="F229" s="558" t="s">
        <v>427</v>
      </c>
      <c r="G229" s="559" t="s">
        <v>415</v>
      </c>
      <c r="H229" s="558" t="s">
        <v>240</v>
      </c>
      <c r="I229" s="558" t="s">
        <v>467</v>
      </c>
      <c r="J229" s="558" t="s">
        <v>4397</v>
      </c>
      <c r="K229" s="558" t="s">
        <v>4396</v>
      </c>
      <c r="L229" s="559" t="s">
        <v>502</v>
      </c>
      <c r="M229" s="559" t="s">
        <v>503</v>
      </c>
      <c r="N229" s="560" t="s">
        <v>877</v>
      </c>
      <c r="O229" s="561"/>
      <c r="P229" s="558" t="s">
        <v>20</v>
      </c>
      <c r="Q229" s="561" t="s">
        <v>57</v>
      </c>
      <c r="R229" s="561" t="s">
        <v>183</v>
      </c>
      <c r="S229" s="561" t="s">
        <v>3623</v>
      </c>
      <c r="T229" s="561" t="s">
        <v>4268</v>
      </c>
      <c r="U229" s="561" t="s">
        <v>4269</v>
      </c>
      <c r="V229" s="561" t="s">
        <v>794</v>
      </c>
      <c r="W229" s="561" t="s">
        <v>793</v>
      </c>
      <c r="Z229" s="579"/>
    </row>
    <row r="230" spans="1:26" ht="11" thickBot="1" x14ac:dyDescent="0.3">
      <c r="A230" s="538" t="s">
        <v>812</v>
      </c>
      <c r="G230" s="535"/>
      <c r="H230" s="534"/>
      <c r="M230" s="535"/>
      <c r="N230" s="550"/>
      <c r="P230" s="534"/>
      <c r="S230" s="535"/>
      <c r="T230"/>
      <c r="Z230" s="580"/>
    </row>
    <row r="231" spans="1:26" s="23" customFormat="1" ht="10.5" thickBot="1" x14ac:dyDescent="0.25">
      <c r="A231" s="563" t="str">
        <f>A10</f>
        <v>Balance as of 12/31/2023</v>
      </c>
      <c r="B231" s="564">
        <f>IFERROR(INDEX(BS_2023!$A$8:$O$271,MATCH('Global TARF'!B$8,BS_2023!$A$8:$A$271,0),MATCH($A$229,BS_2023!$A$7:$O$7)),0)</f>
        <v>0</v>
      </c>
      <c r="C231" s="564">
        <f>IFERROR(INDEX(BS_2023!$A$8:$O$271,MATCH('Global TARF'!C$8,BS_2023!$A$8:$A$271,0),MATCH($A$229,BS_2023!$A$7:$O$7)),0)</f>
        <v>0</v>
      </c>
      <c r="D231" s="564">
        <f>IFERROR(INDEX(BS_2023!$A$8:$O$271,MATCH('Global TARF'!D$8,BS_2023!$A$8:$A$271,0),MATCH($A$229,BS_2023!$A$7:$O$7)),0)</f>
        <v>0</v>
      </c>
      <c r="E231" s="564">
        <f>IFERROR(INDEX(BS_2023!$A$8:$O$271,MATCH('Global TARF'!E$8,BS_2023!$A$8:$A$271,0),MATCH($A$229,BS_2023!$A$7:$O$7)),0)</f>
        <v>0</v>
      </c>
      <c r="F231" s="564">
        <f>IFERROR(INDEX(BS_2023!$A$8:$O$271,MATCH('Global TARF'!F$8,BS_2023!$A$8:$A$271,0),MATCH($A$229,BS_2023!$A$7:$O$7)),0)</f>
        <v>0</v>
      </c>
      <c r="G231" s="564">
        <f>IFERROR(INDEX(BS_2023!$A$8:$O$271,MATCH('Global TARF'!G$8,BS_2023!$A$8:$A$271,0),MATCH($A$229,BS_2023!$A$7:$O$7)),0)</f>
        <v>0</v>
      </c>
      <c r="H231" s="565">
        <f>-IFERROR(INDEX(BS_2023!$A$8:$O$271,MATCH('Global TARF'!H$8,BS_2023!$A$8:$A$271,0),MATCH($A$229,BS_2023!$A$7:$O$7)),0)</f>
        <v>-23538.646974798801</v>
      </c>
      <c r="I231" s="565">
        <f>-IFERROR(INDEX(BS_2023!$A$8:$O$271,MATCH('Global TARF'!I$8,BS_2023!$A$8:$A$271,0),MATCH($A$229,BS_2023!$A$7:$O$7)),0)</f>
        <v>0</v>
      </c>
      <c r="J231" s="565">
        <f>-IFERROR(INDEX(BS_2023!$A$8:$O$271,MATCH('Global TARF'!J$8,BS_2023!$A$8:$A$271,0),MATCH($A$229,BS_2023!$A$7:$O$7)),0)</f>
        <v>0</v>
      </c>
      <c r="K231" s="565">
        <f>-IFERROR(INDEX(BS_2023!$A$8:$O$271,MATCH('Global TARF'!K$8,BS_2023!$A$8:$A$271,0),MATCH($A$229,BS_2023!$A$7:$O$7)),0)</f>
        <v>0</v>
      </c>
      <c r="L231" s="565">
        <f>-IFERROR(INDEX(BS_2023!$A$8:$O$271,MATCH('Global TARF'!L$8,BS_2023!$A$8:$A$271,0),MATCH($A$229,BS_2023!$A$7:$O$7)),0)</f>
        <v>0</v>
      </c>
      <c r="M231" s="565">
        <f>-IFERROR(INDEX(BS_2023!$A$8:$O$271,MATCH('Global TARF'!M$8,BS_2023!$A$8:$A$271,0),MATCH($A$229,BS_2023!$A$7:$O$7)),0)</f>
        <v>0</v>
      </c>
      <c r="N231" s="567" t="e">
        <f>INDEX(BS_2023!$A$8:$O$245,MATCH('Global TARF'!N$8,BS_2023!$A$8:$A$245,0),MATCH($A$229,BS_2023!$A$7:$O$7))</f>
        <v>#N/A</v>
      </c>
      <c r="O231" s="564" t="e">
        <f>INDEX(BS_2023!$A$8:$O$245,MATCH('Global TARF'!O$8,BS_2023!$A$8:$A$245,0),MATCH($A$229,BS_2023!$A$7:$O$7))</f>
        <v>#N/A</v>
      </c>
      <c r="P231" s="563"/>
      <c r="Q231" s="574"/>
      <c r="R231" s="574"/>
      <c r="S231" s="575"/>
      <c r="T231" s="574"/>
      <c r="U231" s="574"/>
      <c r="V231" s="574"/>
      <c r="W231" s="575"/>
      <c r="Z231" s="583"/>
    </row>
    <row r="232" spans="1:26" x14ac:dyDescent="0.2">
      <c r="A232" s="534" t="s">
        <v>798</v>
      </c>
      <c r="G232" s="535"/>
      <c r="H232" s="545">
        <v>670.91</v>
      </c>
      <c r="M232" s="535"/>
      <c r="N232" s="553">
        <f>-SUM(H232,G232,C232,E232,M232,L232,F232,B232,D232)</f>
        <v>-670.91</v>
      </c>
      <c r="P232" s="534"/>
      <c r="S232" s="535"/>
      <c r="T232"/>
      <c r="Z232" s="582">
        <f t="shared" ref="Z232:Z254" si="139">SUM(B232:Y232)</f>
        <v>0</v>
      </c>
    </row>
    <row r="233" spans="1:26" x14ac:dyDescent="0.2">
      <c r="A233" s="534"/>
      <c r="G233" s="535"/>
      <c r="H233" s="534"/>
      <c r="M233" s="535"/>
      <c r="N233" s="552"/>
      <c r="P233" s="534"/>
      <c r="S233" s="535"/>
      <c r="T233"/>
      <c r="Z233" s="582">
        <f t="shared" si="139"/>
        <v>0</v>
      </c>
    </row>
    <row r="234" spans="1:26" x14ac:dyDescent="0.2">
      <c r="A234" s="534"/>
      <c r="B234" s="184">
        <f>SUMIFS(GL_BS!$G:$G,GL_BS!$R:$R,'Global TARF'!$A$229,GL_BS!$S:$S,'Global TARF'!$A234,GL_BS!$A:$A,'Global TARF'!B$38)</f>
        <v>0</v>
      </c>
      <c r="C234" s="184">
        <f>SUMIFS(GL_BS!$G:$G,GL_BS!$R:$R,'Global TARF'!$A$229,GL_BS!$S:$S,'Global TARF'!$A234,GL_BS!$A:$A,'Global TARF'!C$8)</f>
        <v>0</v>
      </c>
      <c r="D234" s="184">
        <f>SUMIFS(GL_BS!$G:$G,GL_BS!$R:$R,'Global TARF'!$A$229,GL_BS!$S:$S,'Global TARF'!$A234,GL_BS!$A:$A,'Global TARF'!D$8)</f>
        <v>0</v>
      </c>
      <c r="E234" s="184">
        <f>SUMIFS(GL_BS!$G:$G,GL_BS!$R:$R,'Global TARF'!$A$229,GL_BS!$S:$S,'Global TARF'!$A234,GL_BS!$A:$A,'Global TARF'!E$8)</f>
        <v>0</v>
      </c>
      <c r="F234" s="184"/>
      <c r="G234" s="536">
        <f>SUMIFS(GL_BS!$G:$G,GL_BS!$R:$R,'Global TARF'!$A$229,GL_BS!$S:$S,'Global TARF'!$A234,GL_BS!$A:$A,'Global TARF'!G$8)</f>
        <v>0</v>
      </c>
      <c r="H234" s="545">
        <f>SUMIFS(GL_BS!$G:$G,GL_BS!$R:$R,'Global TARF'!$A$229,GL_BS!$S:$S,'Global TARF'!$A234,GL_BS!$A:$A,'Global TARF'!H$8)</f>
        <v>0</v>
      </c>
      <c r="I234" s="184">
        <f>SUMIFS(GL_BS!$G:$G,GL_BS!$R:$R,'Global TARF'!$A$229,GL_BS!$S:$S,'Global TARF'!$A234,GL_BS!$A:$A,'Global TARF'!I$8)</f>
        <v>0</v>
      </c>
      <c r="J234" s="184"/>
      <c r="K234" s="184"/>
      <c r="L234" s="184">
        <f>SUMIFS(GL_BS!$G:$G,GL_BS!$R:$R,'Global TARF'!$A$229,GL_BS!$S:$S,'Global TARF'!$A234,GL_BS!$A:$A,'Global TARF'!L$8)</f>
        <v>0</v>
      </c>
      <c r="M234" s="536">
        <f>SUMIFS(GL_BS!$G:$G,GL_BS!$R:$R,'Global TARF'!$A$229,GL_BS!$S:$S,'Global TARF'!$A234,GL_BS!$A:$A,'Global TARF'!M$8)</f>
        <v>0</v>
      </c>
      <c r="N234" s="555">
        <f>SUMIFS(GL_BS!$G:$G,GL_BS!$R:$R,'Global TARF'!$A$229,GL_BS!$S:$S,'Global TARF'!$A234,GL_BS!$A:$A,'Global TARF'!N$8)</f>
        <v>0</v>
      </c>
      <c r="O234" s="18">
        <f>SUMIFS(GL_BS!$G:$G,GL_BS!$R:$R,'Global TARF'!$A$229,GL_BS!$S:$S,'Global TARF'!$A234,GL_BS!$A:$A,'Global TARF'!O$8)</f>
        <v>0</v>
      </c>
      <c r="P234" s="545">
        <f>SUMIFS(GL_PL!$G:$G,GL_PL!$Q:$Q,'Global TARF'!$A$229,GL_PL!$R:$R,'Global TARF'!$A234,GL_PL!$A:$A,'Global TARF'!P$8)</f>
        <v>0</v>
      </c>
      <c r="Q234" s="184">
        <f>SUMIFS(GL_PL!$G:$G,GL_PL!$Q:$Q,'Global TARF'!$A$229,GL_PL!$R:$R,'Global TARF'!$A234,GL_PL!$A:$A,'Global TARF'!Q$8)</f>
        <v>0</v>
      </c>
      <c r="R234" s="184">
        <f>SUMIFS(GL_PL!$G:$G,GL_PL!$Q:$Q,'Global TARF'!$A$229,GL_PL!$R:$R,'Global TARF'!$A234,GL_PL!$A:$A,'Global TARF'!R$8)</f>
        <v>0</v>
      </c>
      <c r="S234" s="536">
        <f>SUMIFS(GL_PL!$G:$G,GL_PL!$Q:$Q,'Global TARF'!$A$229,GL_PL!$R:$R,'Global TARF'!$A234,GL_PL!$A:$A,'Global TARF'!S$8)</f>
        <v>0</v>
      </c>
      <c r="T234" s="26">
        <f>-P234</f>
        <v>0</v>
      </c>
      <c r="U234" s="26"/>
      <c r="Z234" s="582">
        <f t="shared" si="139"/>
        <v>0</v>
      </c>
    </row>
    <row r="235" spans="1:26" x14ac:dyDescent="0.2">
      <c r="A235" s="534"/>
      <c r="B235" s="184">
        <f>SUMIFS(GL_BS!$G:$G,GL_BS!$R:$R,'Global TARF'!$A$229,GL_BS!$S:$S,'Global TARF'!$A235,GL_BS!$A:$A,'Global TARF'!B$38)</f>
        <v>0</v>
      </c>
      <c r="C235" s="184">
        <f>SUMIFS(GL_BS!$G:$G,GL_BS!$R:$R,'Global TARF'!$A$229,GL_BS!$S:$S,'Global TARF'!$A235,GL_BS!$A:$A,'Global TARF'!C$8)</f>
        <v>0</v>
      </c>
      <c r="D235" s="184">
        <f>SUMIFS(GL_BS!$G:$G,GL_BS!$R:$R,'Global TARF'!$A$229,GL_BS!$S:$S,'Global TARF'!$A235,GL_BS!$A:$A,'Global TARF'!D$8)</f>
        <v>0</v>
      </c>
      <c r="E235" s="184">
        <f>SUMIFS(GL_BS!$G:$G,GL_BS!$R:$R,'Global TARF'!$A$229,GL_BS!$S:$S,'Global TARF'!$A235,GL_BS!$A:$A,'Global TARF'!E$8)</f>
        <v>0</v>
      </c>
      <c r="F235" s="184"/>
      <c r="G235" s="536">
        <f>SUMIFS(GL_BS!$G:$G,GL_BS!$R:$R,'Global TARF'!$A$229,GL_BS!$S:$S,'Global TARF'!$A235,GL_BS!$A:$A,'Global TARF'!G$8)</f>
        <v>0</v>
      </c>
      <c r="H235" s="545">
        <f>SUMIFS(GL_BS!$G:$G,GL_BS!$R:$R,'Global TARF'!$A$229,GL_BS!$S:$S,'Global TARF'!$A235,GL_BS!$A:$A,'Global TARF'!H$8)</f>
        <v>0</v>
      </c>
      <c r="I235" s="184">
        <f>SUMIFS(GL_BS!$G:$G,GL_BS!$R:$R,'Global TARF'!$A$229,GL_BS!$S:$S,'Global TARF'!$A235,GL_BS!$A:$A,'Global TARF'!I$8)</f>
        <v>0</v>
      </c>
      <c r="J235" s="184"/>
      <c r="K235" s="184"/>
      <c r="L235" s="184">
        <f>SUMIFS(GL_BS!$G:$G,GL_BS!$R:$R,'Global TARF'!$A$229,GL_BS!$S:$S,'Global TARF'!$A235,GL_BS!$A:$A,'Global TARF'!L$8)</f>
        <v>0</v>
      </c>
      <c r="M235" s="536">
        <f>SUMIFS(GL_BS!$G:$G,GL_BS!$R:$R,'Global TARF'!$A$229,GL_BS!$S:$S,'Global TARF'!$A235,GL_BS!$A:$A,'Global TARF'!M$8)</f>
        <v>0</v>
      </c>
      <c r="N235" s="555">
        <f>SUMIFS(GL_BS!$G:$G,GL_BS!$R:$R,'Global TARF'!$A$229,GL_BS!$S:$S,'Global TARF'!$A235,GL_BS!$A:$A,'Global TARF'!N$8)</f>
        <v>0</v>
      </c>
      <c r="O235" s="18">
        <f>SUMIFS(GL_BS!$G:$G,GL_BS!$R:$R,'Global TARF'!$A$229,GL_BS!$S:$S,'Global TARF'!$A235,GL_BS!$A:$A,'Global TARF'!O$8)</f>
        <v>0</v>
      </c>
      <c r="P235" s="545">
        <f>SUMIFS(GL_PL!$G:$G,GL_PL!$Q:$Q,'Global TARF'!$A$229,GL_PL!$R:$R,'Global TARF'!$A235,GL_PL!$A:$A,'Global TARF'!P$8)</f>
        <v>0</v>
      </c>
      <c r="Q235" s="184">
        <f>SUMIFS(GL_PL!$G:$G,GL_PL!$Q:$Q,'Global TARF'!$A$229,GL_PL!$R:$R,'Global TARF'!$A235,GL_PL!$A:$A,'Global TARF'!Q$8)</f>
        <v>0</v>
      </c>
      <c r="R235" s="184">
        <f>SUMIFS(GL_PL!$G:$G,GL_PL!$Q:$Q,'Global TARF'!$A$229,GL_PL!$R:$R,'Global TARF'!$A235,GL_PL!$A:$A,'Global TARF'!R$8)</f>
        <v>0</v>
      </c>
      <c r="S235" s="536">
        <f>SUMIFS(GL_PL!$G:$G,GL_PL!$Q:$Q,'Global TARF'!$A$229,GL_PL!$R:$R,'Global TARF'!$A235,GL_PL!$A:$A,'Global TARF'!S$8)</f>
        <v>0</v>
      </c>
      <c r="T235" s="26">
        <f>-SUM(P235,H235,C235,Q235,R235)</f>
        <v>0</v>
      </c>
      <c r="U235" s="26"/>
      <c r="Z235" s="582">
        <f t="shared" si="139"/>
        <v>0</v>
      </c>
    </row>
    <row r="236" spans="1:26" x14ac:dyDescent="0.2">
      <c r="A236" s="534" t="s">
        <v>780</v>
      </c>
      <c r="B236" s="184">
        <f>SUMIFS(GL_BS!$G:$G,GL_BS!$R:$R,'Global TARF'!$A$229,GL_BS!$S:$S,'Global TARF'!$A236,GL_BS!$A:$A,'Global TARF'!B$38)</f>
        <v>0</v>
      </c>
      <c r="C236" s="184">
        <f>SUMIFS(GL_BS!$G:$G,GL_BS!$R:$R,'Global TARF'!$A$229,GL_BS!$S:$S,'Global TARF'!$A236,GL_BS!$A:$A,'Global TARF'!C$8)</f>
        <v>0</v>
      </c>
      <c r="D236" s="184">
        <f>SUMIFS(GL_BS!$G:$G,GL_BS!$R:$R,'Global TARF'!$A$229,GL_BS!$S:$S,'Global TARF'!$A236,GL_BS!$A:$A,'Global TARF'!D$8)</f>
        <v>0</v>
      </c>
      <c r="E236" s="184">
        <f>SUMIFS(GL_BS!$G:$G,GL_BS!$R:$R,'Global TARF'!$A$229,GL_BS!$S:$S,'Global TARF'!$A236,GL_BS!$A:$A,'Global TARF'!E$8)</f>
        <v>0</v>
      </c>
      <c r="F236" s="184">
        <f>SUMIFS(GL_BS!$G:$G,GL_BS!$R:$R,'Global TARF'!$A$229,GL_BS!$S:$S,'Global TARF'!$A236,GL_BS!$A:$A,'Global TARF'!F$8)</f>
        <v>0</v>
      </c>
      <c r="G236" s="536">
        <f>SUMIFS(GL_BS!$G:$G,GL_BS!$R:$R,'Global TARF'!$A$229,GL_BS!$S:$S,'Global TARF'!$A236,GL_BS!$A:$A,'Global TARF'!G$8)</f>
        <v>0</v>
      </c>
      <c r="H236" s="545">
        <f>SUMIFS(GL_BS!$G:$G,GL_BS!$R:$R,'Global TARF'!$A$229,GL_BS!$S:$S,'Global TARF'!$A236,GL_BS!$A:$A,'Global TARF'!H$8)</f>
        <v>0</v>
      </c>
      <c r="I236" s="184">
        <f>SUMIFS(GL_BS!$G:$G,GL_BS!$R:$R,'Global TARF'!$A$229,GL_BS!$S:$S,'Global TARF'!$A236,GL_BS!$A:$A,'Global TARF'!I$8)</f>
        <v>0</v>
      </c>
      <c r="J236" s="184">
        <f>SUMIFS(GL_BS!$G:$G,GL_BS!$R:$R,'Global TARF'!$A$229,GL_BS!$S:$S,'Global TARF'!$A236,GL_BS!$A:$A,'Global TARF'!J$8)</f>
        <v>0</v>
      </c>
      <c r="K236" s="184">
        <f>SUMIFS(GL_BS!$G:$G,GL_BS!$R:$R,'Global TARF'!$A$229,GL_BS!$S:$S,'Global TARF'!$A236,GL_BS!$A:$A,'Global TARF'!K$8)</f>
        <v>0</v>
      </c>
      <c r="L236" s="184">
        <f>SUMIFS(GL_BS!$G:$G,GL_BS!$R:$R,'Global TARF'!$A$229,GL_BS!$S:$S,'Global TARF'!$A236,GL_BS!$A:$A,'Global TARF'!L$8)</f>
        <v>0</v>
      </c>
      <c r="M236" s="536">
        <f>SUMIFS(GL_BS!$G:$G,GL_BS!$R:$R,'Global TARF'!$A$229,GL_BS!$S:$S,'Global TARF'!$A236,GL_BS!$A:$A,'Global TARF'!M$8)</f>
        <v>0</v>
      </c>
      <c r="N236" s="555">
        <f>SUMIFS(GL_BS!$G:$G,GL_BS!$R:$R,'Global TARF'!$A$229,GL_BS!$S:$S,'Global TARF'!$A236,GL_BS!$A:$A,'Global TARF'!N$8)</f>
        <v>0</v>
      </c>
      <c r="O236" s="18">
        <f>SUMIFS(GL_BS!$G:$G,GL_BS!$R:$R,'Global TARF'!$A$229,GL_BS!$S:$S,'Global TARF'!$A236,GL_BS!$A:$A,'Global TARF'!O$8)</f>
        <v>0</v>
      </c>
      <c r="P236" s="545">
        <f>SUMIFS(GL_PL!$G:$G,GL_PL!$Q:$Q,'Global TARF'!$A$229,GL_PL!$R:$R,'Global TARF'!$A236,GL_PL!$A:$A,'Global TARF'!P$8)</f>
        <v>0</v>
      </c>
      <c r="Q236" s="184">
        <f>SUMIFS(GL_PL!$G:$G,GL_PL!$Q:$Q,'Global TARF'!$A$229,GL_PL!$R:$R,'Global TARF'!$A236,GL_PL!$A:$A,'Global TARF'!Q$8)</f>
        <v>0</v>
      </c>
      <c r="R236" s="184">
        <f>SUMIFS(GL_PL!$G:$G,GL_PL!$Q:$Q,'Global TARF'!$A$229,GL_PL!$R:$R,'Global TARF'!$A236,GL_PL!$A:$A,'Global TARF'!R$8)</f>
        <v>0</v>
      </c>
      <c r="S236" s="536">
        <f>SUMIFS(GL_PL!$G:$G,GL_PL!$Q:$Q,'Global TARF'!$A$229,GL_PL!$R:$R,'Global TARF'!$A236,GL_PL!$A:$A,'Global TARF'!S$8)</f>
        <v>0</v>
      </c>
      <c r="T236" s="26">
        <f>-SUM(P236:R236,H236,C236)</f>
        <v>0</v>
      </c>
      <c r="U236" s="26"/>
      <c r="Z236" s="582">
        <f t="shared" si="139"/>
        <v>0</v>
      </c>
    </row>
    <row r="237" spans="1:26" x14ac:dyDescent="0.2">
      <c r="A237" s="534" t="s">
        <v>781</v>
      </c>
      <c r="B237" s="184">
        <f>SUMIFS(GL_BS!$G:$G,GL_BS!$R:$R,'Global TARF'!$A$229,GL_BS!$S:$S,'Global TARF'!$A237,GL_BS!$A:$A,'Global TARF'!B$38)</f>
        <v>0</v>
      </c>
      <c r="C237" s="184">
        <f>SUMIFS(GL_BS!$G:$G,GL_BS!$R:$R,'Global TARF'!$A$229,GL_BS!$S:$S,'Global TARF'!$A237,GL_BS!$A:$A,'Global TARF'!C$8)</f>
        <v>0</v>
      </c>
      <c r="D237" s="184">
        <f>SUMIFS(GL_BS!$G:$G,GL_BS!$R:$R,'Global TARF'!$A$229,GL_BS!$S:$S,'Global TARF'!$A237,GL_BS!$A:$A,'Global TARF'!D$8)</f>
        <v>0</v>
      </c>
      <c r="E237" s="184">
        <f>SUMIFS(GL_BS!$G:$G,GL_BS!$R:$R,'Global TARF'!$A$229,GL_BS!$S:$S,'Global TARF'!$A237,GL_BS!$A:$A,'Global TARF'!E$8)</f>
        <v>0</v>
      </c>
      <c r="F237" s="184">
        <f>SUMIFS(GL_BS!$G:$G,GL_BS!$R:$R,'Global TARF'!$A$229,GL_BS!$S:$S,'Global TARF'!$A237,GL_BS!$A:$A,'Global TARF'!F$8)</f>
        <v>0</v>
      </c>
      <c r="G237" s="536">
        <f>SUMIFS(GL_BS!$G:$G,GL_BS!$R:$R,'Global TARF'!$A$229,GL_BS!$S:$S,'Global TARF'!$A237,GL_BS!$A:$A,'Global TARF'!G$8)</f>
        <v>0</v>
      </c>
      <c r="H237" s="545">
        <f>SUMIFS(GL_BS!$G:$G,GL_BS!$R:$R,'Global TARF'!$A$229,GL_BS!$S:$S,'Global TARF'!$A237,GL_BS!$A:$A,'Global TARF'!H$8)</f>
        <v>0</v>
      </c>
      <c r="I237" s="184">
        <f>SUMIFS(GL_BS!$G:$G,GL_BS!$R:$R,'Global TARF'!$A$229,GL_BS!$S:$S,'Global TARF'!$A237,GL_BS!$A:$A,'Global TARF'!I$8)</f>
        <v>0</v>
      </c>
      <c r="J237" s="184">
        <f>SUMIFS(GL_BS!$G:$G,GL_BS!$R:$R,'Global TARF'!$A$229,GL_BS!$S:$S,'Global TARF'!$A237,GL_BS!$A:$A,'Global TARF'!J$8)</f>
        <v>0</v>
      </c>
      <c r="K237" s="184">
        <f>SUMIFS(GL_BS!$G:$G,GL_BS!$R:$R,'Global TARF'!$A$229,GL_BS!$S:$S,'Global TARF'!$A237,GL_BS!$A:$A,'Global TARF'!K$8)</f>
        <v>0</v>
      </c>
      <c r="L237" s="184">
        <f>SUMIFS(GL_BS!$G:$G,GL_BS!$R:$R,'Global TARF'!$A$229,GL_BS!$S:$S,'Global TARF'!$A237,GL_BS!$A:$A,'Global TARF'!L$8)</f>
        <v>0</v>
      </c>
      <c r="M237" s="536">
        <f>SUMIFS(GL_BS!$G:$G,GL_BS!$R:$R,'Global TARF'!$A$229,GL_BS!$S:$S,'Global TARF'!$A237,GL_BS!$A:$A,'Global TARF'!M$8)</f>
        <v>0</v>
      </c>
      <c r="N237" s="555">
        <f>SUMIFS(GL_BS!$G:$G,GL_BS!$R:$R,'Global TARF'!$A$229,GL_BS!$S:$S,'Global TARF'!$A237,GL_BS!$A:$A,'Global TARF'!N$8)</f>
        <v>0</v>
      </c>
      <c r="O237" s="18">
        <f>SUMIFS(GL_BS!$G:$G,GL_BS!$R:$R,'Global TARF'!$A$229,GL_BS!$S:$S,'Global TARF'!$A237,GL_BS!$A:$A,'Global TARF'!O$8)</f>
        <v>0</v>
      </c>
      <c r="P237" s="545">
        <f>SUMIFS(GL_PL!$G:$G,GL_PL!$Q:$Q,'Global TARF'!$A$229,GL_PL!$R:$R,'Global TARF'!$A237,GL_PL!$A:$A,'Global TARF'!P$8)</f>
        <v>0</v>
      </c>
      <c r="Q237" s="184">
        <f>SUMIFS(GL_PL!$G:$G,GL_PL!$Q:$Q,'Global TARF'!$A$229,GL_PL!$R:$R,'Global TARF'!$A237,GL_PL!$A:$A,'Global TARF'!Q$8)</f>
        <v>0</v>
      </c>
      <c r="R237" s="184">
        <f>SUMIFS(GL_PL!$G:$G,GL_PL!$Q:$Q,'Global TARF'!$A$229,GL_PL!$R:$R,'Global TARF'!$A237,GL_PL!$A:$A,'Global TARF'!R$8)</f>
        <v>0</v>
      </c>
      <c r="S237" s="536">
        <f>SUMIFS(GL_PL!$G:$G,GL_PL!$Q:$Q,'Global TARF'!$A$229,GL_PL!$R:$R,'Global TARF'!$A237,GL_PL!$A:$A,'Global TARF'!S$8)</f>
        <v>0</v>
      </c>
      <c r="T237"/>
      <c r="Z237" s="582">
        <f t="shared" si="139"/>
        <v>0</v>
      </c>
    </row>
    <row r="238" spans="1:26" x14ac:dyDescent="0.2">
      <c r="A238" s="534" t="s">
        <v>782</v>
      </c>
      <c r="B238" s="184">
        <f>SUMIFS(GL_BS!$G:$G,GL_BS!$R:$R,'Global TARF'!$A$229,GL_BS!$S:$S,'Global TARF'!$A238,GL_BS!$A:$A,'Global TARF'!B$38)</f>
        <v>0</v>
      </c>
      <c r="C238" s="184">
        <f>SUMIFS(GL_BS!$G:$G,GL_BS!$R:$R,'Global TARF'!$A$229,GL_BS!$S:$S,'Global TARF'!$A238,GL_BS!$A:$A,'Global TARF'!C$8)</f>
        <v>0</v>
      </c>
      <c r="D238" s="184">
        <f>SUMIFS(GL_BS!$G:$G,GL_BS!$R:$R,'Global TARF'!$A$229,GL_BS!$S:$S,'Global TARF'!$A238,GL_BS!$A:$A,'Global TARF'!D$8)</f>
        <v>0</v>
      </c>
      <c r="E238" s="184">
        <f>SUMIFS(GL_BS!$G:$G,GL_BS!$R:$R,'Global TARF'!$A$229,GL_BS!$S:$S,'Global TARF'!$A238,GL_BS!$A:$A,'Global TARF'!E$8)</f>
        <v>0</v>
      </c>
      <c r="F238" s="184">
        <f>SUMIFS(GL_BS!$G:$G,GL_BS!$R:$R,'Global TARF'!$A$229,GL_BS!$S:$S,'Global TARF'!$A238,GL_BS!$A:$A,'Global TARF'!F$8)</f>
        <v>0</v>
      </c>
      <c r="G238" s="536">
        <f>SUMIFS(GL_BS!$G:$G,GL_BS!$R:$R,'Global TARF'!$A$229,GL_BS!$S:$S,'Global TARF'!$A238,GL_BS!$A:$A,'Global TARF'!G$8)</f>
        <v>0</v>
      </c>
      <c r="H238" s="545">
        <f>SUMIFS(GL_BS!$G:$G,GL_BS!$R:$R,'Global TARF'!$A$229,GL_BS!$S:$S,'Global TARF'!$A238,GL_BS!$A:$A,'Global TARF'!H$8)</f>
        <v>0</v>
      </c>
      <c r="I238" s="184">
        <f>SUMIFS(GL_BS!$G:$G,GL_BS!$R:$R,'Global TARF'!$A$229,GL_BS!$S:$S,'Global TARF'!$A238,GL_BS!$A:$A,'Global TARF'!I$8)</f>
        <v>0</v>
      </c>
      <c r="J238" s="184">
        <f>SUMIFS(GL_BS!$G:$G,GL_BS!$R:$R,'Global TARF'!$A$229,GL_BS!$S:$S,'Global TARF'!$A238,GL_BS!$A:$A,'Global TARF'!J$8)</f>
        <v>0</v>
      </c>
      <c r="K238" s="184">
        <f>SUMIFS(GL_BS!$G:$G,GL_BS!$R:$R,'Global TARF'!$A$229,GL_BS!$S:$S,'Global TARF'!$A238,GL_BS!$A:$A,'Global TARF'!K$8)</f>
        <v>0</v>
      </c>
      <c r="L238" s="184">
        <f>SUMIFS(GL_BS!$G:$G,GL_BS!$R:$R,'Global TARF'!$A$229,GL_BS!$S:$S,'Global TARF'!$A238,GL_BS!$A:$A,'Global TARF'!L$8)</f>
        <v>0</v>
      </c>
      <c r="M238" s="536">
        <f>SUMIFS(GL_BS!$G:$G,GL_BS!$R:$R,'Global TARF'!$A$229,GL_BS!$S:$S,'Global TARF'!$A238,GL_BS!$A:$A,'Global TARF'!M$8)</f>
        <v>0</v>
      </c>
      <c r="N238" s="555">
        <f>SUMIFS(GL_BS!$G:$G,GL_BS!$R:$R,'Global TARF'!$A$229,GL_BS!$S:$S,'Global TARF'!$A238,GL_BS!$A:$A,'Global TARF'!N$8)</f>
        <v>0</v>
      </c>
      <c r="O238" s="18">
        <f>SUMIFS(GL_BS!$G:$G,GL_BS!$R:$R,'Global TARF'!$A$229,GL_BS!$S:$S,'Global TARF'!$A238,GL_BS!$A:$A,'Global TARF'!O$8)</f>
        <v>0</v>
      </c>
      <c r="P238" s="545">
        <f>SUMIFS(GL_PL!$G:$G,GL_PL!$Q:$Q,'Global TARF'!$A$229,GL_PL!$R:$R,'Global TARF'!$A238,GL_PL!$A:$A,'Global TARF'!P$8)</f>
        <v>0</v>
      </c>
      <c r="Q238" s="184">
        <f>SUMIFS(GL_PL!$G:$G,GL_PL!$Q:$Q,'Global TARF'!$A$229,GL_PL!$R:$R,'Global TARF'!$A238,GL_PL!$A:$A,'Global TARF'!Q$8)</f>
        <v>0</v>
      </c>
      <c r="R238" s="184">
        <f>SUMIFS(GL_PL!$G:$G,GL_PL!$Q:$Q,'Global TARF'!$A$229,GL_PL!$R:$R,'Global TARF'!$A238,GL_PL!$A:$A,'Global TARF'!R$8)</f>
        <v>0</v>
      </c>
      <c r="S238" s="536">
        <f>SUMIFS(GL_PL!$G:$G,GL_PL!$Q:$Q,'Global TARF'!$A$229,GL_PL!$R:$R,'Global TARF'!$A238,GL_PL!$A:$A,'Global TARF'!S$8)</f>
        <v>0</v>
      </c>
      <c r="T238" s="26">
        <f>-H238</f>
        <v>0</v>
      </c>
      <c r="U238" s="26"/>
      <c r="Z238" s="582">
        <f t="shared" si="139"/>
        <v>0</v>
      </c>
    </row>
    <row r="239" spans="1:26" x14ac:dyDescent="0.2">
      <c r="A239" s="534" t="s">
        <v>950</v>
      </c>
      <c r="B239" s="184">
        <f>SUMIFS(GL_BS!$G:$G,GL_BS!$R:$R,'Global TARF'!$A$229,GL_BS!$S:$S,'Global TARF'!$A239,GL_BS!$A:$A,'Global TARF'!B$38)</f>
        <v>0</v>
      </c>
      <c r="C239" s="184">
        <f>SUMIFS(GL_BS!$G:$G,GL_BS!$R:$R,'Global TARF'!$A$229,GL_BS!$S:$S,'Global TARF'!$A239,GL_BS!$A:$A,'Global TARF'!C$8)</f>
        <v>0</v>
      </c>
      <c r="D239" s="184">
        <f>SUMIFS(GL_BS!$G:$G,GL_BS!$R:$R,'Global TARF'!$A$229,GL_BS!$S:$S,'Global TARF'!$A239,GL_BS!$A:$A,'Global TARF'!D$8)</f>
        <v>0</v>
      </c>
      <c r="E239" s="184">
        <f>SUMIFS(GL_BS!$G:$G,GL_BS!$R:$R,'Global TARF'!$A$229,GL_BS!$S:$S,'Global TARF'!$A239,GL_BS!$A:$A,'Global TARF'!E$8)</f>
        <v>0</v>
      </c>
      <c r="F239" s="184">
        <f>SUMIFS(GL_BS!$G:$G,GL_BS!$R:$R,'Global TARF'!$A$229,GL_BS!$S:$S,'Global TARF'!$A239,GL_BS!$A:$A,'Global TARF'!F$8)</f>
        <v>0</v>
      </c>
      <c r="G239" s="536">
        <f>SUMIFS(GL_BS!$G:$G,GL_BS!$R:$R,'Global TARF'!$A$229,GL_BS!$S:$S,'Global TARF'!$A239,GL_BS!$A:$A,'Global TARF'!G$8)</f>
        <v>0</v>
      </c>
      <c r="H239" s="545">
        <f>SUMIFS(GL_BS!$G:$G,GL_BS!$R:$R,'Global TARF'!$A$229,GL_BS!$S:$S,'Global TARF'!$A239,GL_BS!$A:$A,'Global TARF'!H$8)</f>
        <v>0</v>
      </c>
      <c r="I239" s="184">
        <f>SUMIFS(GL_BS!$G:$G,GL_BS!$R:$R,'Global TARF'!$A$229,GL_BS!$S:$S,'Global TARF'!$A239,GL_BS!$A:$A,'Global TARF'!I$8)</f>
        <v>0</v>
      </c>
      <c r="J239" s="184">
        <f>SUMIFS(GL_BS!$G:$G,GL_BS!$R:$R,'Global TARF'!$A$229,GL_BS!$S:$S,'Global TARF'!$A239,GL_BS!$A:$A,'Global TARF'!J$8)</f>
        <v>0</v>
      </c>
      <c r="K239" s="184">
        <f>SUMIFS(GL_BS!$G:$G,GL_BS!$R:$R,'Global TARF'!$A$229,GL_BS!$S:$S,'Global TARF'!$A239,GL_BS!$A:$A,'Global TARF'!K$8)</f>
        <v>0</v>
      </c>
      <c r="L239" s="184">
        <f>SUMIFS(GL_BS!$G:$G,GL_BS!$R:$R,'Global TARF'!$A$229,GL_BS!$S:$S,'Global TARF'!$A239,GL_BS!$A:$A,'Global TARF'!L$8)</f>
        <v>0</v>
      </c>
      <c r="M239" s="536">
        <f>SUMIFS(GL_BS!$G:$G,GL_BS!$R:$R,'Global TARF'!$A$229,GL_BS!$S:$S,'Global TARF'!$A239,GL_BS!$A:$A,'Global TARF'!M$8)</f>
        <v>0</v>
      </c>
      <c r="N239" s="555">
        <f>SUMIFS(GL_BS!$G:$G,GL_BS!$R:$R,'Global TARF'!$A$229,GL_BS!$S:$S,'Global TARF'!$A239,GL_BS!$A:$A,'Global TARF'!N$8)</f>
        <v>0</v>
      </c>
      <c r="O239" s="18">
        <f>SUMIFS(GL_BS!$G:$G,GL_BS!$R:$R,'Global TARF'!$A$229,GL_BS!$S:$S,'Global TARF'!$A239,GL_BS!$A:$A,'Global TARF'!O$8)</f>
        <v>0</v>
      </c>
      <c r="P239" s="545">
        <f>SUMIFS(GL_PL!$G:$G,GL_PL!$Q:$Q,'Global TARF'!$A$229,GL_PL!$R:$R,'Global TARF'!$A239,GL_PL!$A:$A,'Global TARF'!P$8)</f>
        <v>0</v>
      </c>
      <c r="Q239" s="184">
        <f>SUMIFS(GL_PL!$G:$G,GL_PL!$Q:$Q,'Global TARF'!$A$229,GL_PL!$R:$R,'Global TARF'!$A239,GL_PL!$A:$A,'Global TARF'!Q$8)</f>
        <v>0</v>
      </c>
      <c r="R239" s="184">
        <f>SUMIFS(GL_PL!$G:$G,GL_PL!$Q:$Q,'Global TARF'!$A$229,GL_PL!$R:$R,'Global TARF'!$A239,GL_PL!$A:$A,'Global TARF'!R$8)</f>
        <v>0</v>
      </c>
      <c r="S239" s="536">
        <f>SUMIFS(GL_PL!$G:$G,GL_PL!$Q:$Q,'Global TARF'!$A$229,GL_PL!$R:$R,'Global TARF'!$A239,GL_PL!$A:$A,'Global TARF'!S$8)</f>
        <v>0</v>
      </c>
      <c r="T239" s="26"/>
      <c r="U239" s="26"/>
      <c r="Z239" s="582">
        <f t="shared" si="139"/>
        <v>0</v>
      </c>
    </row>
    <row r="240" spans="1:26" x14ac:dyDescent="0.2">
      <c r="A240" s="534" t="s">
        <v>4586</v>
      </c>
      <c r="B240" s="184">
        <f>SUMIFS(GL_BS!$G:$G,GL_BS!$R:$R,'Global TARF'!$A$229,GL_BS!$S:$S,'Global TARF'!$A240,GL_BS!$A:$A,'Global TARF'!B$38)</f>
        <v>0</v>
      </c>
      <c r="C240" s="184">
        <f>SUMIFS(GL_BS!$G:$G,GL_BS!$R:$R,'Global TARF'!$A$229,GL_BS!$S:$S,'Global TARF'!$A240,GL_BS!$A:$A,'Global TARF'!C$8)</f>
        <v>0</v>
      </c>
      <c r="D240" s="184">
        <f>SUMIFS(GL_BS!$G:$G,GL_BS!$R:$R,'Global TARF'!$A$229,GL_BS!$S:$S,'Global TARF'!$A240,GL_BS!$A:$A,'Global TARF'!D$8)</f>
        <v>0</v>
      </c>
      <c r="E240" s="184">
        <f>SUMIFS(GL_BS!$G:$G,GL_BS!$R:$R,'Global TARF'!$A$229,GL_BS!$S:$S,'Global TARF'!$A240,GL_BS!$A:$A,'Global TARF'!E$8)</f>
        <v>0</v>
      </c>
      <c r="F240" s="184">
        <f>SUMIFS(GL_BS!$G:$G,GL_BS!$R:$R,'Global TARF'!$A$229,GL_BS!$S:$S,'Global TARF'!$A240,GL_BS!$A:$A,'Global TARF'!F$8)</f>
        <v>0</v>
      </c>
      <c r="G240" s="536">
        <f>SUMIFS(GL_BS!$G:$G,GL_BS!$R:$R,'Global TARF'!$A$229,GL_BS!$S:$S,'Global TARF'!$A240,GL_BS!$A:$A,'Global TARF'!G$8)</f>
        <v>0</v>
      </c>
      <c r="H240" s="545">
        <f>SUMIFS(GL_BS!$G:$G,GL_BS!$R:$R,'Global TARF'!$A$229,GL_BS!$S:$S,'Global TARF'!$A240,GL_BS!$A:$A,'Global TARF'!H$8)</f>
        <v>0</v>
      </c>
      <c r="I240" s="184">
        <f>SUMIFS(GL_BS!$G:$G,GL_BS!$R:$R,'Global TARF'!$A$229,GL_BS!$S:$S,'Global TARF'!$A240,GL_BS!$A:$A,'Global TARF'!I$8)</f>
        <v>0</v>
      </c>
      <c r="J240" s="184">
        <f>SUMIFS(GL_BS!$G:$G,GL_BS!$R:$R,'Global TARF'!$A$229,GL_BS!$S:$S,'Global TARF'!$A240,GL_BS!$A:$A,'Global TARF'!J$8)</f>
        <v>0</v>
      </c>
      <c r="K240" s="184">
        <f>SUMIFS(GL_BS!$G:$G,GL_BS!$R:$R,'Global TARF'!$A$229,GL_BS!$S:$S,'Global TARF'!$A240,GL_BS!$A:$A,'Global TARF'!K$8)</f>
        <v>0</v>
      </c>
      <c r="L240" s="184">
        <f>SUMIFS(GL_BS!$G:$G,GL_BS!$R:$R,'Global TARF'!$A$229,GL_BS!$S:$S,'Global TARF'!$A240,GL_BS!$A:$A,'Global TARF'!L$8)</f>
        <v>0</v>
      </c>
      <c r="M240" s="536">
        <f>SUMIFS(GL_BS!$G:$G,GL_BS!$R:$R,'Global TARF'!$A$229,GL_BS!$S:$S,'Global TARF'!$A240,GL_BS!$A:$A,'Global TARF'!M$8)</f>
        <v>0</v>
      </c>
      <c r="N240" s="555">
        <f>SUMIFS(GL_BS!$G:$G,GL_BS!$R:$R,'Global TARF'!$A$229,GL_BS!$S:$S,'Global TARF'!$A240,GL_BS!$A:$A,'Global TARF'!N$8)</f>
        <v>0</v>
      </c>
      <c r="O240" s="18">
        <f>SUMIFS(GL_BS!$G:$G,GL_BS!$R:$R,'Global TARF'!$A$229,GL_BS!$S:$S,'Global TARF'!$A240,GL_BS!$A:$A,'Global TARF'!O$8)</f>
        <v>0</v>
      </c>
      <c r="P240" s="545">
        <f>SUMIFS(GL_PL!$G:$G,GL_PL!$Q:$Q,'Global TARF'!$A$229,GL_PL!$R:$R,'Global TARF'!$A240,GL_PL!$A:$A,'Global TARF'!P$8)</f>
        <v>0</v>
      </c>
      <c r="Q240" s="184">
        <f>SUMIFS(GL_PL!$G:$G,GL_PL!$Q:$Q,'Global TARF'!$A$229,GL_PL!$R:$R,'Global TARF'!$A240,GL_PL!$A:$A,'Global TARF'!Q$8)</f>
        <v>0</v>
      </c>
      <c r="R240" s="184">
        <f>SUMIFS(GL_PL!$G:$G,GL_PL!$Q:$Q,'Global TARF'!$A$229,GL_PL!$R:$R,'Global TARF'!$A240,GL_PL!$A:$A,'Global TARF'!R$8)</f>
        <v>0</v>
      </c>
      <c r="S240" s="536">
        <f>SUMIFS(GL_PL!$G:$G,GL_PL!$Q:$Q,'Global TARF'!$A$229,GL_PL!$R:$R,'Global TARF'!$A240,GL_PL!$A:$A,'Global TARF'!S$8)</f>
        <v>0</v>
      </c>
      <c r="T240" s="26"/>
      <c r="U240" s="26"/>
      <c r="Z240" s="582">
        <f t="shared" si="139"/>
        <v>0</v>
      </c>
    </row>
    <row r="241" spans="1:26" x14ac:dyDescent="0.2">
      <c r="A241" s="534" t="s">
        <v>779</v>
      </c>
      <c r="B241" s="184">
        <f>SUMIFS(GL_BS!$G:$G,GL_BS!$R:$R,'Global TARF'!$A$229,GL_BS!$S:$S,'Global TARF'!$A241,GL_BS!$A:$A,'Global TARF'!B$38)</f>
        <v>0</v>
      </c>
      <c r="C241" s="184">
        <f>SUMIFS(GL_BS!$G:$G,GL_BS!$R:$R,'Global TARF'!$A$229,GL_BS!$S:$S,'Global TARF'!$A241,GL_BS!$A:$A,'Global TARF'!C$8)</f>
        <v>0</v>
      </c>
      <c r="D241" s="184">
        <f>SUMIFS(GL_BS!$G:$G,GL_BS!$R:$R,'Global TARF'!$A$229,GL_BS!$S:$S,'Global TARF'!$A241,GL_BS!$A:$A,'Global TARF'!D$8)</f>
        <v>0</v>
      </c>
      <c r="E241" s="184">
        <f>SUMIFS(GL_BS!$G:$G,GL_BS!$R:$R,'Global TARF'!$A$229,GL_BS!$S:$S,'Global TARF'!$A241,GL_BS!$A:$A,'Global TARF'!E$8)</f>
        <v>0</v>
      </c>
      <c r="F241" s="184">
        <f>SUMIFS(GL_BS!$G:$G,GL_BS!$R:$R,'Global TARF'!$A$229,GL_BS!$S:$S,'Global TARF'!$A241,GL_BS!$A:$A,'Global TARF'!F$8)</f>
        <v>0</v>
      </c>
      <c r="G241" s="536">
        <f>SUMIFS(GL_BS!$G:$G,GL_BS!$R:$R,'Global TARF'!$A$229,GL_BS!$S:$S,'Global TARF'!$A241,GL_BS!$A:$A,'Global TARF'!G$8)</f>
        <v>0</v>
      </c>
      <c r="H241" s="545">
        <f>SUMIFS(GL_BS!$G:$G,GL_BS!$R:$R,'Global TARF'!$A$229,GL_BS!$S:$S,'Global TARF'!$A241,GL_BS!$A:$A,'Global TARF'!H$8)</f>
        <v>0</v>
      </c>
      <c r="I241" s="184">
        <f>SUMIFS(GL_BS!$G:$G,GL_BS!$R:$R,'Global TARF'!$A$229,GL_BS!$S:$S,'Global TARF'!$A241,GL_BS!$A:$A,'Global TARF'!I$8)</f>
        <v>0</v>
      </c>
      <c r="J241" s="184">
        <f>SUMIFS(GL_BS!$G:$G,GL_BS!$R:$R,'Global TARF'!$A$229,GL_BS!$S:$S,'Global TARF'!$A241,GL_BS!$A:$A,'Global TARF'!J$8)</f>
        <v>0</v>
      </c>
      <c r="K241" s="184">
        <f>SUMIFS(GL_BS!$G:$G,GL_BS!$R:$R,'Global TARF'!$A$229,GL_BS!$S:$S,'Global TARF'!$A241,GL_BS!$A:$A,'Global TARF'!K$8)</f>
        <v>0</v>
      </c>
      <c r="L241" s="184">
        <f>SUMIFS(GL_BS!$G:$G,GL_BS!$R:$R,'Global TARF'!$A$229,GL_BS!$S:$S,'Global TARF'!$A241,GL_BS!$A:$A,'Global TARF'!L$8)</f>
        <v>0</v>
      </c>
      <c r="M241" s="536">
        <f>SUMIFS(GL_BS!$G:$G,GL_BS!$R:$R,'Global TARF'!$A$229,GL_BS!$S:$S,'Global TARF'!$A241,GL_BS!$A:$A,'Global TARF'!M$8)</f>
        <v>0</v>
      </c>
      <c r="N241" s="555">
        <f>SUMIFS(GL_BS!$G:$G,GL_BS!$R:$R,'Global TARF'!$A$229,GL_BS!$S:$S,'Global TARF'!$A241,GL_BS!$A:$A,'Global TARF'!N$8)</f>
        <v>0</v>
      </c>
      <c r="O241" s="18">
        <f>SUMIFS(GL_BS!$G:$G,GL_BS!$R:$R,'Global TARF'!$A$229,GL_BS!$S:$S,'Global TARF'!$A241,GL_BS!$A:$A,'Global TARF'!O$8)</f>
        <v>0</v>
      </c>
      <c r="P241" s="545">
        <f>SUMIFS(GL_PL!$G:$G,GL_PL!$Q:$Q,'Global TARF'!$A$229,GL_PL!$R:$R,'Global TARF'!$A241,GL_PL!$A:$A,'Global TARF'!P$8)</f>
        <v>0</v>
      </c>
      <c r="Q241" s="184">
        <f>SUMIFS(GL_PL!$G:$G,GL_PL!$Q:$Q,'Global TARF'!$A$229,GL_PL!$R:$R,'Global TARF'!$A241,GL_PL!$A:$A,'Global TARF'!Q$8)</f>
        <v>0</v>
      </c>
      <c r="R241" s="184">
        <f>SUMIFS(GL_PL!$G:$G,GL_PL!$Q:$Q,'Global TARF'!$A$229,GL_PL!$R:$R,'Global TARF'!$A241,GL_PL!$A:$A,'Global TARF'!R$8)</f>
        <v>0</v>
      </c>
      <c r="S241" s="536">
        <f>SUMIFS(GL_PL!$G:$G,GL_PL!$Q:$Q,'Global TARF'!$A$229,GL_PL!$R:$R,'Global TARF'!$A241,GL_PL!$A:$A,'Global TARF'!S$8)</f>
        <v>0</v>
      </c>
      <c r="T241" s="26"/>
      <c r="U241" s="26"/>
      <c r="V241" s="26">
        <f>-SUM(B241:R241)</f>
        <v>0</v>
      </c>
      <c r="Z241" s="582">
        <f t="shared" si="139"/>
        <v>0</v>
      </c>
    </row>
    <row r="242" spans="1:26" x14ac:dyDescent="0.2">
      <c r="A242" s="534" t="s">
        <v>4267</v>
      </c>
      <c r="B242" s="184">
        <f>SUMIFS(GL_BS!$G:$G,GL_BS!$R:$R,'Global TARF'!$A$229,GL_BS!$S:$S,'Global TARF'!$A242,GL_BS!$A:$A,'Global TARF'!B$38)</f>
        <v>0</v>
      </c>
      <c r="C242" s="184">
        <f>SUMIFS(GL_BS!$G:$G,GL_BS!$R:$R,'Global TARF'!$A$229,GL_BS!$S:$S,'Global TARF'!$A242,GL_BS!$A:$A,'Global TARF'!C$8)</f>
        <v>0</v>
      </c>
      <c r="D242" s="184">
        <f>SUMIFS(GL_BS!$G:$G,GL_BS!$R:$R,'Global TARF'!$A$229,GL_BS!$S:$S,'Global TARF'!$A242,GL_BS!$A:$A,'Global TARF'!D$8)</f>
        <v>0</v>
      </c>
      <c r="E242" s="184">
        <f>SUMIFS(GL_BS!$G:$G,GL_BS!$R:$R,'Global TARF'!$A$229,GL_BS!$S:$S,'Global TARF'!$A242,GL_BS!$A:$A,'Global TARF'!E$8)</f>
        <v>0</v>
      </c>
      <c r="F242" s="184">
        <f>SUMIFS(GL_BS!$G:$G,GL_BS!$R:$R,'Global TARF'!$A$229,GL_BS!$S:$S,'Global TARF'!$A242,GL_BS!$A:$A,'Global TARF'!F$8)</f>
        <v>0</v>
      </c>
      <c r="G242" s="536">
        <f>SUMIFS(GL_BS!$G:$G,GL_BS!$R:$R,'Global TARF'!$A$229,GL_BS!$S:$S,'Global TARF'!$A242,GL_BS!$A:$A,'Global TARF'!G$8)</f>
        <v>0</v>
      </c>
      <c r="H242" s="545">
        <f>SUMIFS(GL_BS!$G:$G,GL_BS!$R:$R,'Global TARF'!$A$229,GL_BS!$S:$S,'Global TARF'!$A242,GL_BS!$A:$A,'Global TARF'!H$8)</f>
        <v>0</v>
      </c>
      <c r="I242" s="184">
        <f>SUMIFS(GL_BS!$G:$G,GL_BS!$R:$R,'Global TARF'!$A$229,GL_BS!$S:$S,'Global TARF'!$A242,GL_BS!$A:$A,'Global TARF'!I$8)</f>
        <v>0</v>
      </c>
      <c r="J242" s="184">
        <f>SUMIFS(GL_BS!$G:$G,GL_BS!$R:$R,'Global TARF'!$A$229,GL_BS!$S:$S,'Global TARF'!$A242,GL_BS!$A:$A,'Global TARF'!J$8)</f>
        <v>0</v>
      </c>
      <c r="K242" s="184">
        <f>SUMIFS(GL_BS!$G:$G,GL_BS!$R:$R,'Global TARF'!$A$229,GL_BS!$S:$S,'Global TARF'!$A242,GL_BS!$A:$A,'Global TARF'!K$8)</f>
        <v>0</v>
      </c>
      <c r="L242" s="184">
        <f>SUMIFS(GL_BS!$G:$G,GL_BS!$R:$R,'Global TARF'!$A$229,GL_BS!$S:$S,'Global TARF'!$A242,GL_BS!$A:$A,'Global TARF'!L$8)</f>
        <v>0</v>
      </c>
      <c r="M242" s="536">
        <f>SUMIFS(GL_BS!$G:$G,GL_BS!$R:$R,'Global TARF'!$A$229,GL_BS!$S:$S,'Global TARF'!$A242,GL_BS!$A:$A,'Global TARF'!M$8)</f>
        <v>0</v>
      </c>
      <c r="N242" s="555">
        <f>SUMIFS(GL_BS!$G:$G,GL_BS!$R:$R,'Global TARF'!$A$229,GL_BS!$S:$S,'Global TARF'!$A242,GL_BS!$A:$A,'Global TARF'!N$8)</f>
        <v>0</v>
      </c>
      <c r="O242" s="18">
        <f>SUMIFS(GL_BS!$G:$G,GL_BS!$R:$R,'Global TARF'!$A$229,GL_BS!$S:$S,'Global TARF'!$A242,GL_BS!$A:$A,'Global TARF'!O$8)</f>
        <v>0</v>
      </c>
      <c r="P242" s="545">
        <f>SUMIFS(GL_PL!$G:$G,GL_PL!$Q:$Q,'Global TARF'!$A$229,GL_PL!$R:$R,'Global TARF'!$A242,GL_PL!$A:$A,'Global TARF'!P$8)</f>
        <v>0</v>
      </c>
      <c r="Q242" s="184">
        <f>SUMIFS(GL_PL!$G:$G,GL_PL!$Q:$Q,'Global TARF'!$A$229,GL_PL!$R:$R,'Global TARF'!$A242,GL_PL!$A:$A,'Global TARF'!Q$8)</f>
        <v>0</v>
      </c>
      <c r="R242" s="184">
        <f>SUMIFS(GL_PL!$G:$G,GL_PL!$Q:$Q,'Global TARF'!$A$229,GL_PL!$R:$R,'Global TARF'!$A242,GL_PL!$A:$A,'Global TARF'!R$8)</f>
        <v>0</v>
      </c>
      <c r="S242" s="536">
        <f>SUMIFS(GL_PL!$G:$G,GL_PL!$Q:$Q,'Global TARF'!$A$229,GL_PL!$R:$R,'Global TARF'!$A242,GL_PL!$A:$A,'Global TARF'!S$8)</f>
        <v>0</v>
      </c>
      <c r="T242"/>
      <c r="V242" s="26"/>
      <c r="W242" s="26">
        <f>-SUM(B242:R242)</f>
        <v>0</v>
      </c>
      <c r="Z242" s="582">
        <f t="shared" si="139"/>
        <v>0</v>
      </c>
    </row>
    <row r="243" spans="1:26" x14ac:dyDescent="0.2">
      <c r="A243" s="534" t="s">
        <v>4275</v>
      </c>
      <c r="B243" s="184">
        <f>SUMIFS(GL_BS!$G:$G,GL_BS!$R:$R,'Global TARF'!$A$229,GL_BS!$S:$S,'Global TARF'!$A243,GL_BS!$A:$A,'Global TARF'!B$38)</f>
        <v>0</v>
      </c>
      <c r="C243" s="184">
        <f>SUMIFS(GL_BS!$G:$G,GL_BS!$R:$R,'Global TARF'!$A$229,GL_BS!$S:$S,'Global TARF'!$A243,GL_BS!$A:$A,'Global TARF'!C$8)</f>
        <v>0</v>
      </c>
      <c r="D243" s="184">
        <f>SUMIFS(GL_BS!$G:$G,GL_BS!$R:$R,'Global TARF'!$A$229,GL_BS!$S:$S,'Global TARF'!$A243,GL_BS!$A:$A,'Global TARF'!D$8)</f>
        <v>0</v>
      </c>
      <c r="E243" s="184">
        <f>SUMIFS(GL_BS!$G:$G,GL_BS!$R:$R,'Global TARF'!$A$229,GL_BS!$S:$S,'Global TARF'!$A243,GL_BS!$A:$A,'Global TARF'!E$8)</f>
        <v>0</v>
      </c>
      <c r="F243" s="184">
        <f>SUMIFS(GL_BS!$G:$G,GL_BS!$R:$R,'Global TARF'!$A$229,GL_BS!$S:$S,'Global TARF'!$A243,GL_BS!$A:$A,'Global TARF'!F$8)</f>
        <v>0</v>
      </c>
      <c r="G243" s="536">
        <f>SUMIFS(GL_BS!$G:$G,GL_BS!$R:$R,'Global TARF'!$A$229,GL_BS!$S:$S,'Global TARF'!$A243,GL_BS!$A:$A,'Global TARF'!G$8)</f>
        <v>0</v>
      </c>
      <c r="H243" s="545">
        <f>SUMIFS(GL_BS!$G:$G,GL_BS!$R:$R,'Global TARF'!$A$229,GL_BS!$S:$S,'Global TARF'!$A243,GL_BS!$A:$A,'Global TARF'!H$8)</f>
        <v>13264.7507421624</v>
      </c>
      <c r="I243" s="184">
        <f>SUMIFS(GL_BS!$G:$G,GL_BS!$R:$R,'Global TARF'!$A$229,GL_BS!$S:$S,'Global TARF'!$A243,GL_BS!$A:$A,'Global TARF'!I$8)</f>
        <v>0</v>
      </c>
      <c r="J243" s="184">
        <f>SUMIFS(GL_BS!$G:$G,GL_BS!$R:$R,'Global TARF'!$A$229,GL_BS!$S:$S,'Global TARF'!$A243,GL_BS!$A:$A,'Global TARF'!J$8)</f>
        <v>0</v>
      </c>
      <c r="K243" s="184">
        <f>SUMIFS(GL_BS!$G:$G,GL_BS!$R:$R,'Global TARF'!$A$229,GL_BS!$S:$S,'Global TARF'!$A243,GL_BS!$A:$A,'Global TARF'!K$8)</f>
        <v>0</v>
      </c>
      <c r="L243" s="184">
        <f>SUMIFS(GL_BS!$G:$G,GL_BS!$R:$R,'Global TARF'!$A$229,GL_BS!$S:$S,'Global TARF'!$A243,GL_BS!$A:$A,'Global TARF'!L$8)</f>
        <v>0</v>
      </c>
      <c r="M243" s="536">
        <f>SUMIFS(GL_BS!$G:$G,GL_BS!$R:$R,'Global TARF'!$A$229,GL_BS!$S:$S,'Global TARF'!$A243,GL_BS!$A:$A,'Global TARF'!M$8)</f>
        <v>0</v>
      </c>
      <c r="N243" s="555">
        <f>SUMIFS(GL_BS!$G:$G,GL_BS!$R:$R,'Global TARF'!$A$229,GL_BS!$S:$S,'Global TARF'!$A243,GL_BS!$A:$A,'Global TARF'!N$8)</f>
        <v>0</v>
      </c>
      <c r="O243" s="18">
        <f>SUMIFS(GL_BS!$G:$G,GL_BS!$R:$R,'Global TARF'!$A$229,GL_BS!$S:$S,'Global TARF'!$A243,GL_BS!$A:$A,'Global TARF'!O$8)</f>
        <v>0</v>
      </c>
      <c r="P243" s="545">
        <f>SUMIFS(GL_PL!$G:$G,GL_PL!$Q:$Q,'Global TARF'!$A$229,GL_PL!$R:$R,'Global TARF'!$A243,GL_PL!$A:$A,'Global TARF'!P$8)</f>
        <v>0</v>
      </c>
      <c r="Q243" s="184">
        <f>SUMIFS(GL_PL!$G:$G,GL_PL!$Q:$Q,'Global TARF'!$A$229,GL_PL!$R:$R,'Global TARF'!$A243,GL_PL!$A:$A,'Global TARF'!Q$8)</f>
        <v>0</v>
      </c>
      <c r="R243" s="184">
        <f>SUMIFS(GL_PL!$G:$G,GL_PL!$Q:$Q,'Global TARF'!$A$229,GL_PL!$R:$R,'Global TARF'!$A243,GL_PL!$A:$A,'Global TARF'!R$8)</f>
        <v>0</v>
      </c>
      <c r="S243" s="536">
        <f>SUMIFS(GL_PL!$G:$G,GL_PL!$Q:$Q,'Global TARF'!$A$229,GL_PL!$R:$R,'Global TARF'!$A243,GL_PL!$A:$A,'Global TARF'!S$8)</f>
        <v>0</v>
      </c>
      <c r="T243" s="26">
        <f>-H243</f>
        <v>-13264.7507421624</v>
      </c>
      <c r="Z243" s="582">
        <f t="shared" si="139"/>
        <v>0</v>
      </c>
    </row>
    <row r="244" spans="1:26" x14ac:dyDescent="0.2">
      <c r="A244" s="534" t="s">
        <v>4481</v>
      </c>
      <c r="B244" s="184">
        <f>SUMIFS(GL_BS!$G:$G,GL_BS!$R:$R,'Global TARF'!$A$229,GL_BS!$S:$S,'Global TARF'!$A244,GL_BS!$A:$A,'Global TARF'!B$38)</f>
        <v>0</v>
      </c>
      <c r="C244" s="184">
        <f>SUMIFS(GL_BS!$G:$G,GL_BS!$R:$R,'Global TARF'!$A$229,GL_BS!$S:$S,'Global TARF'!$A244,GL_BS!$A:$A,'Global TARF'!C$8)</f>
        <v>0</v>
      </c>
      <c r="D244" s="184">
        <f>SUMIFS(GL_BS!$G:$G,GL_BS!$R:$R,'Global TARF'!$A$229,GL_BS!$S:$S,'Global TARF'!$A244,GL_BS!$A:$A,'Global TARF'!D$8)</f>
        <v>0</v>
      </c>
      <c r="E244" s="184">
        <f>SUMIFS(GL_BS!$G:$G,GL_BS!$R:$R,'Global TARF'!$A$229,GL_BS!$S:$S,'Global TARF'!$A244,GL_BS!$A:$A,'Global TARF'!E$8)</f>
        <v>0</v>
      </c>
      <c r="F244" s="184">
        <f>SUMIFS(GL_BS!$G:$G,GL_BS!$R:$R,'Global TARF'!$A$229,GL_BS!$S:$S,'Global TARF'!$A244,GL_BS!$A:$A,'Global TARF'!F$8)</f>
        <v>0</v>
      </c>
      <c r="G244" s="536">
        <f>SUMIFS(GL_BS!$G:$G,GL_BS!$R:$R,'Global TARF'!$A$229,GL_BS!$S:$S,'Global TARF'!$A244,GL_BS!$A:$A,'Global TARF'!G$8)</f>
        <v>0</v>
      </c>
      <c r="H244" s="545">
        <f>SUMIFS(GL_BS!$G:$G,GL_BS!$R:$R,'Global TARF'!$A$229,GL_BS!$S:$S,'Global TARF'!$A244,GL_BS!$A:$A,'Global TARF'!H$8)</f>
        <v>3941.9636164272001</v>
      </c>
      <c r="I244" s="184">
        <f>SUMIFS(GL_BS!$G:$G,GL_BS!$R:$R,'Global TARF'!$A$229,GL_BS!$S:$S,'Global TARF'!$A244,GL_BS!$A:$A,'Global TARF'!I$8)</f>
        <v>0</v>
      </c>
      <c r="J244" s="184">
        <f>SUMIFS(GL_BS!$G:$G,GL_BS!$R:$R,'Global TARF'!$A$229,GL_BS!$S:$S,'Global TARF'!$A244,GL_BS!$A:$A,'Global TARF'!J$8)</f>
        <v>0</v>
      </c>
      <c r="K244" s="184">
        <f>SUMIFS(GL_BS!$G:$G,GL_BS!$R:$R,'Global TARF'!$A$229,GL_BS!$S:$S,'Global TARF'!$A244,GL_BS!$A:$A,'Global TARF'!K$8)</f>
        <v>0</v>
      </c>
      <c r="L244" s="184">
        <f>SUMIFS(GL_BS!$G:$G,GL_BS!$R:$R,'Global TARF'!$A$229,GL_BS!$S:$S,'Global TARF'!$A244,GL_BS!$A:$A,'Global TARF'!L$8)</f>
        <v>0</v>
      </c>
      <c r="M244" s="536">
        <f>SUMIFS(GL_BS!$G:$G,GL_BS!$R:$R,'Global TARF'!$A$229,GL_BS!$S:$S,'Global TARF'!$A244,GL_BS!$A:$A,'Global TARF'!M$8)</f>
        <v>0</v>
      </c>
      <c r="N244" s="555">
        <f>SUMIFS(GL_BS!$G:$G,GL_BS!$R:$R,'Global TARF'!$A$229,GL_BS!$S:$S,'Global TARF'!$A244,GL_BS!$A:$A,'Global TARF'!N$8)</f>
        <v>0</v>
      </c>
      <c r="O244" s="18">
        <f>SUMIFS(GL_BS!$G:$G,GL_BS!$R:$R,'Global TARF'!$A$229,GL_BS!$S:$S,'Global TARF'!$A244,GL_BS!$A:$A,'Global TARF'!O$8)</f>
        <v>0</v>
      </c>
      <c r="P244" s="545">
        <f>SUMIFS(GL_PL!$G:$G,GL_PL!$Q:$Q,'Global TARF'!$A$229,GL_PL!$R:$R,'Global TARF'!$A244,GL_PL!$A:$A,'Global TARF'!P$8)</f>
        <v>0</v>
      </c>
      <c r="Q244" s="184">
        <f>SUMIFS(GL_PL!$G:$G,GL_PL!$Q:$Q,'Global TARF'!$A$229,GL_PL!$R:$R,'Global TARF'!$A244,GL_PL!$A:$A,'Global TARF'!Q$8)</f>
        <v>0</v>
      </c>
      <c r="R244" s="184">
        <f>SUMIFS(GL_PL!$G:$G,GL_PL!$Q:$Q,'Global TARF'!$A$229,GL_PL!$R:$R,'Global TARF'!$A244,GL_PL!$A:$A,'Global TARF'!R$8)</f>
        <v>0</v>
      </c>
      <c r="S244" s="536">
        <f>SUMIFS(GL_PL!$G:$G,GL_PL!$Q:$Q,'Global TARF'!$A$229,GL_PL!$R:$R,'Global TARF'!$A244,GL_PL!$A:$A,'Global TARF'!S$8)</f>
        <v>0</v>
      </c>
      <c r="T244" s="24">
        <v>-3941.96</v>
      </c>
      <c r="Z244" s="582">
        <f t="shared" si="139"/>
        <v>3.6164272000860365E-3</v>
      </c>
    </row>
    <row r="245" spans="1:26" x14ac:dyDescent="0.2">
      <c r="A245" t="s">
        <v>4569</v>
      </c>
      <c r="B245" s="184">
        <f>SUMIFS(GL_BS!$G:$G,GL_BS!$R:$R,'Global TARF'!$A$229,GL_BS!$S:$S,'Global TARF'!$A245,GL_BS!$A:$A,'Global TARF'!B$38)</f>
        <v>0</v>
      </c>
      <c r="C245" s="184">
        <f>SUMIFS(GL_BS!$G:$G,GL_BS!$R:$R,'Global TARF'!$A$229,GL_BS!$S:$S,'Global TARF'!$A245,GL_BS!$A:$A,'Global TARF'!C$8)</f>
        <v>0</v>
      </c>
      <c r="D245" s="184">
        <f>SUMIFS(GL_BS!$G:$G,GL_BS!$R:$R,'Global TARF'!$A$229,GL_BS!$S:$S,'Global TARF'!$A245,GL_BS!$A:$A,'Global TARF'!D$8)</f>
        <v>0</v>
      </c>
      <c r="E245" s="184">
        <f>SUMIFS(GL_BS!$G:$G,GL_BS!$R:$R,'Global TARF'!$A$229,GL_BS!$S:$S,'Global TARF'!$A245,GL_BS!$A:$A,'Global TARF'!E$8)</f>
        <v>0</v>
      </c>
      <c r="F245" s="184">
        <f>SUMIFS(GL_BS!$G:$G,GL_BS!$R:$R,'Global TARF'!$A$229,GL_BS!$S:$S,'Global TARF'!$A245,GL_BS!$A:$A,'Global TARF'!F$8)</f>
        <v>0</v>
      </c>
      <c r="G245" s="536">
        <f>SUMIFS(GL_BS!$G:$G,GL_BS!$R:$R,'Global TARF'!$A$229,GL_BS!$S:$S,'Global TARF'!$A245,GL_BS!$A:$A,'Global TARF'!G$8)</f>
        <v>0</v>
      </c>
      <c r="H245" s="545">
        <f>SUMIFS(GL_BS!$G:$G,GL_BS!$R:$R,'Global TARF'!$A$229,GL_BS!$S:$S,'Global TARF'!$A245,GL_BS!$A:$A,'Global TARF'!H$8)</f>
        <v>-14308.3854270396</v>
      </c>
      <c r="I245" s="184">
        <f>SUMIFS(GL_BS!$G:$G,GL_BS!$R:$R,'Global TARF'!$A$229,GL_BS!$S:$S,'Global TARF'!$A245,GL_BS!$A:$A,'Global TARF'!I$8)</f>
        <v>0</v>
      </c>
      <c r="J245" s="184">
        <f>SUMIFS(GL_BS!$G:$G,GL_BS!$R:$R,'Global TARF'!$A$229,GL_BS!$S:$S,'Global TARF'!$A245,GL_BS!$A:$A,'Global TARF'!J$8)</f>
        <v>0</v>
      </c>
      <c r="K245" s="184">
        <f>SUMIFS(GL_BS!$G:$G,GL_BS!$R:$R,'Global TARF'!$A$229,GL_BS!$S:$S,'Global TARF'!$A245,GL_BS!$A:$A,'Global TARF'!K$8)</f>
        <v>0</v>
      </c>
      <c r="L245" s="184">
        <f>SUMIFS(GL_BS!$G:$G,GL_BS!$R:$R,'Global TARF'!$A$229,GL_BS!$S:$S,'Global TARF'!$A245,GL_BS!$A:$A,'Global TARF'!L$8)</f>
        <v>0</v>
      </c>
      <c r="M245" s="536">
        <f>SUMIFS(GL_BS!$G:$G,GL_BS!$R:$R,'Global TARF'!$A$229,GL_BS!$S:$S,'Global TARF'!$A245,GL_BS!$A:$A,'Global TARF'!M$8)</f>
        <v>0</v>
      </c>
      <c r="N245" s="555">
        <v>-94.91</v>
      </c>
      <c r="O245" s="18">
        <f>SUMIFS(GL_BS!$G:$G,GL_BS!$R:$R,'Global TARF'!$A$229,GL_BS!$S:$S,'Global TARF'!$A245,GL_BS!$A:$A,'Global TARF'!O$8)</f>
        <v>0</v>
      </c>
      <c r="P245" s="545">
        <f>SUMIFS(GL_PL!$G:$G,GL_PL!$Q:$Q,'Global TARF'!$A$229,GL_PL!$R:$R,'Global TARF'!$A245,GL_PL!$A:$A,'Global TARF'!P$8)</f>
        <v>0</v>
      </c>
      <c r="Q245" s="184">
        <f>SUMIFS(GL_PL!$G:$G,GL_PL!$Q:$Q,'Global TARF'!$A$229,GL_PL!$R:$R,'Global TARF'!$A245,GL_PL!$A:$A,'Global TARF'!Q$8)</f>
        <v>0</v>
      </c>
      <c r="R245" s="184">
        <f>SUMIFS(GL_PL!$G:$G,GL_PL!$Q:$Q,'Global TARF'!$A$229,GL_PL!$R:$R,'Global TARF'!$A245,GL_PL!$A:$A,'Global TARF'!R$8)</f>
        <v>14403.292731029116</v>
      </c>
      <c r="S245" s="536">
        <f>SUMIFS(GL_PL!$G:$G,GL_PL!$Q:$Q,'Global TARF'!$A$229,GL_PL!$R:$R,'Global TARF'!$A245,GL_PL!$A:$A,'Global TARF'!S$8)</f>
        <v>0</v>
      </c>
      <c r="W245" s="18"/>
      <c r="Z245" s="582">
        <f t="shared" si="139"/>
        <v>-2.6960104842146393E-3</v>
      </c>
    </row>
    <row r="246" spans="1:26" x14ac:dyDescent="0.2">
      <c r="A246" t="s">
        <v>4587</v>
      </c>
      <c r="B246" s="184">
        <f>SUMIFS(GL_BS!$G:$G,GL_BS!$R:$R,'Global TARF'!$A$229,GL_BS!$S:$S,'Global TARF'!$A246,GL_BS!$A:$A,'Global TARF'!B$38)</f>
        <v>0</v>
      </c>
      <c r="C246" s="184">
        <f>SUMIFS(GL_BS!$G:$G,GL_BS!$R:$R,'Global TARF'!$A$229,GL_BS!$S:$S,'Global TARF'!$A246,GL_BS!$A:$A,'Global TARF'!C$8)</f>
        <v>0</v>
      </c>
      <c r="D246" s="184">
        <f>SUMIFS(GL_BS!$G:$G,GL_BS!$R:$R,'Global TARF'!$A$229,GL_BS!$S:$S,'Global TARF'!$A246,GL_BS!$A:$A,'Global TARF'!D$8)</f>
        <v>0</v>
      </c>
      <c r="E246" s="184">
        <f>SUMIFS(GL_BS!$G:$G,GL_BS!$R:$R,'Global TARF'!$A$229,GL_BS!$S:$S,'Global TARF'!$A246,GL_BS!$A:$A,'Global TARF'!E$8)</f>
        <v>0</v>
      </c>
      <c r="F246" s="184">
        <f>SUMIFS(GL_BS!$G:$G,GL_BS!$R:$R,'Global TARF'!$A$229,GL_BS!$S:$S,'Global TARF'!$A246,GL_BS!$A:$A,'Global TARF'!F$8)</f>
        <v>0</v>
      </c>
      <c r="G246" s="536">
        <f>SUMIFS(GL_BS!$G:$G,GL_BS!$R:$R,'Global TARF'!$A$229,GL_BS!$S:$S,'Global TARF'!$A246,GL_BS!$A:$A,'Global TARF'!G$8)</f>
        <v>0</v>
      </c>
      <c r="H246" s="545">
        <f>SUMIFS(GL_BS!$G:$G,GL_BS!$R:$R,'Global TARF'!$A$229,GL_BS!$S:$S,'Global TARF'!$A246,GL_BS!$A:$A,'Global TARF'!H$8)</f>
        <v>0</v>
      </c>
      <c r="I246" s="184">
        <f>SUMIFS(GL_BS!$G:$G,GL_BS!$R:$R,'Global TARF'!$A$229,GL_BS!$S:$S,'Global TARF'!$A246,GL_BS!$A:$A,'Global TARF'!I$8)</f>
        <v>0</v>
      </c>
      <c r="J246" s="184">
        <f>SUMIFS(GL_BS!$G:$G,GL_BS!$R:$R,'Global TARF'!$A$229,GL_BS!$S:$S,'Global TARF'!$A246,GL_BS!$A:$A,'Global TARF'!J$8)</f>
        <v>0</v>
      </c>
      <c r="K246" s="184">
        <f>SUMIFS(GL_BS!$G:$G,GL_BS!$R:$R,'Global TARF'!$A$229,GL_BS!$S:$S,'Global TARF'!$A246,GL_BS!$A:$A,'Global TARF'!K$8)</f>
        <v>0</v>
      </c>
      <c r="L246" s="184">
        <f>SUMIFS(GL_BS!$G:$G,GL_BS!$R:$R,'Global TARF'!$A$229,GL_BS!$S:$S,'Global TARF'!$A246,GL_BS!$A:$A,'Global TARF'!L$8)</f>
        <v>0</v>
      </c>
      <c r="M246" s="536">
        <f>SUMIFS(GL_BS!$G:$G,GL_BS!$R:$R,'Global TARF'!$A$229,GL_BS!$S:$S,'Global TARF'!$A246,GL_BS!$A:$A,'Global TARF'!M$8)</f>
        <v>0</v>
      </c>
      <c r="N246" s="555"/>
      <c r="O246" s="18"/>
      <c r="P246" s="545">
        <f>SUMIFS(GL_PL!$G:$G,GL_PL!$Q:$Q,'Global TARF'!$A$229,GL_PL!$R:$R,'Global TARF'!$A246,GL_PL!$A:$A,'Global TARF'!P$8)</f>
        <v>0</v>
      </c>
      <c r="Q246" s="184">
        <f>SUMIFS(GL_PL!$G:$G,GL_PL!$Q:$Q,'Global TARF'!$A$229,GL_PL!$R:$R,'Global TARF'!$A246,GL_PL!$A:$A,'Global TARF'!Q$8)</f>
        <v>0</v>
      </c>
      <c r="R246" s="184">
        <f>SUMIFS(GL_PL!$G:$G,GL_PL!$Q:$Q,'Global TARF'!$A$229,GL_PL!$R:$R,'Global TARF'!$A246,GL_PL!$A:$A,'Global TARF'!R$8)</f>
        <v>0</v>
      </c>
      <c r="S246" s="536">
        <f>SUMIFS(GL_PL!$G:$G,GL_PL!$Q:$Q,'Global TARF'!$A$229,GL_PL!$R:$R,'Global TARF'!$A246,GL_PL!$A:$A,'Global TARF'!S$8)</f>
        <v>0</v>
      </c>
      <c r="T246"/>
      <c r="Z246" s="582"/>
    </row>
    <row r="247" spans="1:26" x14ac:dyDescent="0.2">
      <c r="A247" t="s">
        <v>4369</v>
      </c>
      <c r="B247" s="184">
        <f>SUMIFS(GL_BS!$G:$G,GL_BS!$R:$R,'Global TARF'!$A$229,GL_BS!$S:$S,'Global TARF'!$A247,GL_BS!$A:$A,'Global TARF'!B$38)</f>
        <v>0</v>
      </c>
      <c r="C247" s="184">
        <f>SUMIFS(GL_BS!$G:$G,GL_BS!$R:$R,'Global TARF'!$A$229,GL_BS!$S:$S,'Global TARF'!$A247,GL_BS!$A:$A,'Global TARF'!C$8)</f>
        <v>0</v>
      </c>
      <c r="D247" s="184">
        <f>SUMIFS(GL_BS!$G:$G,GL_BS!$R:$R,'Global TARF'!$A$229,GL_BS!$S:$S,'Global TARF'!$A247,GL_BS!$A:$A,'Global TARF'!D$8)</f>
        <v>0</v>
      </c>
      <c r="E247" s="184">
        <f>SUMIFS(GL_BS!$G:$G,GL_BS!$R:$R,'Global TARF'!$A$229,GL_BS!$S:$S,'Global TARF'!$A247,GL_BS!$A:$A,'Global TARF'!E$8)</f>
        <v>0</v>
      </c>
      <c r="F247" s="184">
        <f>SUMIFS(GL_BS!$G:$G,GL_BS!$R:$R,'Global TARF'!$A$229,GL_BS!$S:$S,'Global TARF'!$A247,GL_BS!$A:$A,'Global TARF'!F$8)</f>
        <v>0</v>
      </c>
      <c r="G247" s="536">
        <f>SUMIFS(GL_BS!$G:$G,GL_BS!$R:$R,'Global TARF'!$A$229,GL_BS!$S:$S,'Global TARF'!$A247,GL_BS!$A:$A,'Global TARF'!G$8)</f>
        <v>0</v>
      </c>
      <c r="H247" s="545">
        <f>SUMIFS(GL_BS!$G:$G,GL_BS!$R:$R,'Global TARF'!$A$229,GL_BS!$S:$S,'Global TARF'!$A247,GL_BS!$A:$A,'Global TARF'!H$8)</f>
        <v>0</v>
      </c>
      <c r="I247" s="184">
        <f>SUMIFS(GL_BS!$G:$G,GL_BS!$R:$R,'Global TARF'!$A$229,GL_BS!$S:$S,'Global TARF'!$A247,GL_BS!$A:$A,'Global TARF'!I$8)</f>
        <v>0</v>
      </c>
      <c r="J247" s="184">
        <f>SUMIFS(GL_BS!$G:$G,GL_BS!$R:$R,'Global TARF'!$A$229,GL_BS!$S:$S,'Global TARF'!$A247,GL_BS!$A:$A,'Global TARF'!J$8)</f>
        <v>0</v>
      </c>
      <c r="K247" s="184">
        <f>SUMIFS(GL_BS!$G:$G,GL_BS!$R:$R,'Global TARF'!$A$229,GL_BS!$S:$S,'Global TARF'!$A247,GL_BS!$A:$A,'Global TARF'!K$8)</f>
        <v>0</v>
      </c>
      <c r="L247" s="184">
        <f>SUMIFS(GL_BS!$G:$G,GL_BS!$R:$R,'Global TARF'!$A$229,GL_BS!$S:$S,'Global TARF'!$A247,GL_BS!$A:$A,'Global TARF'!L$8)</f>
        <v>0</v>
      </c>
      <c r="M247" s="536">
        <f>SUMIFS(GL_BS!$G:$G,GL_BS!$R:$R,'Global TARF'!$A$229,GL_BS!$S:$S,'Global TARF'!$A247,GL_BS!$A:$A,'Global TARF'!M$8)</f>
        <v>0</v>
      </c>
      <c r="N247" s="555"/>
      <c r="O247" s="18"/>
      <c r="P247" s="545">
        <f>SUMIFS(GL_PL!$G:$G,GL_PL!$Q:$Q,'Global TARF'!$A$229,GL_PL!$R:$R,'Global TARF'!$A247,GL_PL!$A:$A,'Global TARF'!P$8)</f>
        <v>0</v>
      </c>
      <c r="Q247" s="184">
        <f>SUMIFS(GL_PL!$G:$G,GL_PL!$Q:$Q,'Global TARF'!$A$229,GL_PL!$R:$R,'Global TARF'!$A247,GL_PL!$A:$A,'Global TARF'!Q$8)</f>
        <v>0</v>
      </c>
      <c r="R247" s="184">
        <f>SUMIFS(GL_PL!$G:$G,GL_PL!$Q:$Q,'Global TARF'!$A$229,GL_PL!$R:$R,'Global TARF'!$A247,GL_PL!$A:$A,'Global TARF'!R$8)</f>
        <v>0</v>
      </c>
      <c r="S247" s="536">
        <f>SUMIFS(GL_PL!$G:$G,GL_PL!$Q:$Q,'Global TARF'!$A$229,GL_PL!$R:$R,'Global TARF'!$A247,GL_PL!$A:$A,'Global TARF'!S$8)</f>
        <v>0</v>
      </c>
      <c r="T247"/>
      <c r="Z247" s="582"/>
    </row>
    <row r="248" spans="1:26" x14ac:dyDescent="0.2">
      <c r="A248" s="534" t="s">
        <v>799</v>
      </c>
      <c r="B248" s="184">
        <f>SUMIFS(GL_BS!$G:$G,GL_BS!$R:$R,'Global TARF'!$A$229,GL_BS!$S:$S,'Global TARF'!$A248,GL_BS!$A:$A,'Global TARF'!B$38)</f>
        <v>0</v>
      </c>
      <c r="C248" s="184">
        <f>SUMIFS(GL_BS!$G:$G,GL_BS!$R:$R,'Global TARF'!$A$229,GL_BS!$S:$S,'Global TARF'!$A248,GL_BS!$A:$A,'Global TARF'!C$8)</f>
        <v>0</v>
      </c>
      <c r="D248" s="184">
        <f>SUMIFS(GL_BS!$G:$G,GL_BS!$R:$R,'Global TARF'!$A$229,GL_BS!$S:$S,'Global TARF'!$A248,GL_BS!$A:$A,'Global TARF'!D$8)</f>
        <v>0</v>
      </c>
      <c r="E248" s="184">
        <f>SUMIFS(GL_BS!$G:$G,GL_BS!$R:$R,'Global TARF'!$A$229,GL_BS!$S:$S,'Global TARF'!$A248,GL_BS!$A:$A,'Global TARF'!E$8)</f>
        <v>0</v>
      </c>
      <c r="F248" s="184">
        <f>SUMIFS(GL_BS!$G:$G,GL_BS!$R:$R,'Global TARF'!$A$229,GL_BS!$S:$S,'Global TARF'!$A248,GL_BS!$A:$A,'Global TARF'!F$8)</f>
        <v>0</v>
      </c>
      <c r="G248" s="536">
        <f>SUMIFS(GL_BS!$G:$G,GL_BS!$R:$R,'Global TARF'!$A$229,GL_BS!$S:$S,'Global TARF'!$A248,GL_BS!$A:$A,'Global TARF'!G$8)</f>
        <v>0</v>
      </c>
      <c r="H248" s="545">
        <f>SUMIFS(GL_BS!$G:$G,GL_BS!$R:$R,'Global TARF'!$A$229,GL_BS!$S:$S,'Global TARF'!$A248,GL_BS!$A:$A,'Global TARF'!H$8)</f>
        <v>0</v>
      </c>
      <c r="I248" s="184">
        <f>SUMIFS(GL_BS!$G:$G,GL_BS!$R:$R,'Global TARF'!$A$229,GL_BS!$S:$S,'Global TARF'!$A248,GL_BS!$A:$A,'Global TARF'!I$8)</f>
        <v>0</v>
      </c>
      <c r="J248" s="184">
        <f>SUMIFS(GL_BS!$G:$G,GL_BS!$R:$R,'Global TARF'!$A$229,GL_BS!$S:$S,'Global TARF'!$A248,GL_BS!$A:$A,'Global TARF'!J$8)</f>
        <v>0</v>
      </c>
      <c r="K248" s="184">
        <f>SUMIFS(GL_BS!$G:$G,GL_BS!$R:$R,'Global TARF'!$A$229,GL_BS!$S:$S,'Global TARF'!$A248,GL_BS!$A:$A,'Global TARF'!K$8)</f>
        <v>0</v>
      </c>
      <c r="L248" s="184">
        <f>SUMIFS(GL_BS!$G:$G,GL_BS!$R:$R,'Global TARF'!$A$229,GL_BS!$S:$S,'Global TARF'!$A248,GL_BS!$A:$A,'Global TARF'!L$8)</f>
        <v>0</v>
      </c>
      <c r="M248" s="536">
        <f>SUMIFS(GL_BS!$G:$G,GL_BS!$R:$R,'Global TARF'!$A$229,GL_BS!$S:$S,'Global TARF'!$A248,GL_BS!$A:$A,'Global TARF'!M$8)</f>
        <v>0</v>
      </c>
      <c r="N248" s="555"/>
      <c r="O248" s="18"/>
      <c r="P248" s="545">
        <f>SUMIFS(GL_PL!$G:$G,GL_PL!$Q:$Q,'Global TARF'!$A$229,GL_PL!$R:$R,'Global TARF'!$A248,GL_PL!$A:$A,'Global TARF'!P$8)</f>
        <v>0</v>
      </c>
      <c r="Q248" s="184">
        <f>SUMIFS(GL_PL!$G:$G,GL_PL!$Q:$Q,'Global TARF'!$A$229,GL_PL!$R:$R,'Global TARF'!$A248,GL_PL!$A:$A,'Global TARF'!Q$8)</f>
        <v>0</v>
      </c>
      <c r="R248" s="184">
        <f>SUMIFS(GL_PL!$G:$G,GL_PL!$Q:$Q,'Global TARF'!$A$229,GL_PL!$R:$R,'Global TARF'!$A248,GL_PL!$A:$A,'Global TARF'!R$8)</f>
        <v>0</v>
      </c>
      <c r="S248" s="536">
        <f>SUMIFS(GL_PL!$G:$G,GL_PL!$Q:$Q,'Global TARF'!$A$229,GL_PL!$R:$R,'Global TARF'!$A248,GL_PL!$A:$A,'Global TARF'!S$8)</f>
        <v>0</v>
      </c>
      <c r="T248"/>
      <c r="Z248" s="582"/>
    </row>
    <row r="249" spans="1:26" x14ac:dyDescent="0.2">
      <c r="A249" s="534" t="s">
        <v>3845</v>
      </c>
      <c r="B249" s="184">
        <f>SUMIFS(GL_BS!$G:$G,GL_BS!$R:$R,'Global TARF'!$A$229,GL_BS!$S:$S,'Global TARF'!$A249,GL_BS!$A:$A,'Global TARF'!B$38)</f>
        <v>0</v>
      </c>
      <c r="C249" s="184">
        <f>SUMIFS(GL_BS!$G:$G,GL_BS!$R:$R,'Global TARF'!$A$229,GL_BS!$S:$S,'Global TARF'!$A249,GL_BS!$A:$A,'Global TARF'!C$8)</f>
        <v>0</v>
      </c>
      <c r="D249" s="184">
        <f>SUMIFS(GL_BS!$G:$G,GL_BS!$R:$R,'Global TARF'!$A$229,GL_BS!$S:$S,'Global TARF'!$A249,GL_BS!$A:$A,'Global TARF'!D$8)</f>
        <v>0</v>
      </c>
      <c r="E249" s="184">
        <f>SUMIFS(GL_BS!$G:$G,GL_BS!$R:$R,'Global TARF'!$A$229,GL_BS!$S:$S,'Global TARF'!$A249,GL_BS!$A:$A,'Global TARF'!E$8)</f>
        <v>0</v>
      </c>
      <c r="F249" s="184">
        <f>SUMIFS(GL_BS!$G:$G,GL_BS!$R:$R,'Global TARF'!$A$229,GL_BS!$S:$S,'Global TARF'!$A249,GL_BS!$A:$A,'Global TARF'!F$8)</f>
        <v>0</v>
      </c>
      <c r="G249" s="536">
        <f>SUMIFS(GL_BS!$G:$G,GL_BS!$R:$R,'Global TARF'!$A$229,GL_BS!$S:$S,'Global TARF'!$A249,GL_BS!$A:$A,'Global TARF'!G$8)</f>
        <v>0</v>
      </c>
      <c r="H249" s="545">
        <f>SUMIFS(GL_BS!$G:$G,GL_BS!$R:$R,'Global TARF'!$A$229,GL_BS!$S:$S,'Global TARF'!$A249,GL_BS!$A:$A,'Global TARF'!H$8)</f>
        <v>0</v>
      </c>
      <c r="I249" s="184">
        <f>SUMIFS(GL_BS!$G:$G,GL_BS!$R:$R,'Global TARF'!$A$229,GL_BS!$S:$S,'Global TARF'!$A249,GL_BS!$A:$A,'Global TARF'!I$8)</f>
        <v>0</v>
      </c>
      <c r="J249" s="184">
        <f>SUMIFS(GL_BS!$G:$G,GL_BS!$R:$R,'Global TARF'!$A$229,GL_BS!$S:$S,'Global TARF'!$A249,GL_BS!$A:$A,'Global TARF'!J$8)</f>
        <v>0</v>
      </c>
      <c r="K249" s="184">
        <f>SUMIFS(GL_BS!$G:$G,GL_BS!$R:$R,'Global TARF'!$A$229,GL_BS!$S:$S,'Global TARF'!$A249,GL_BS!$A:$A,'Global TARF'!K$8)</f>
        <v>0</v>
      </c>
      <c r="L249" s="184">
        <f>SUMIFS(GL_BS!$G:$G,GL_BS!$R:$R,'Global TARF'!$A$229,GL_BS!$S:$S,'Global TARF'!$A249,GL_BS!$A:$A,'Global TARF'!L$8)</f>
        <v>0</v>
      </c>
      <c r="M249" s="536">
        <f>SUMIFS(GL_BS!$G:$G,GL_BS!$R:$R,'Global TARF'!$A$229,GL_BS!$S:$S,'Global TARF'!$A249,GL_BS!$A:$A,'Global TARF'!M$8)</f>
        <v>0</v>
      </c>
      <c r="N249" s="555">
        <f>SUMIFS(GL_BS!$G:$G,GL_BS!$R:$R,'Global TARF'!$A$229,GL_BS!$S:$S,'Global TARF'!$A249,GL_BS!$A:$A,'Global TARF'!N$8)</f>
        <v>0</v>
      </c>
      <c r="O249" s="18">
        <f>SUMIFS(GL_BS!$G:$G,GL_BS!$R:$R,'Global TARF'!$A$229,GL_BS!$S:$S,'Global TARF'!$A249,GL_BS!$A:$A,'Global TARF'!O$8)</f>
        <v>0</v>
      </c>
      <c r="P249" s="545">
        <f>SUMIFS(GL_PL!$G:$G,GL_PL!$Q:$Q,'Global TARF'!$A$229,GL_PL!$R:$R,'Global TARF'!$A249,GL_PL!$A:$A,'Global TARF'!P$8)</f>
        <v>0</v>
      </c>
      <c r="Q249" s="184">
        <f>SUMIFS(GL_PL!$G:$G,GL_PL!$Q:$Q,'Global TARF'!$A$229,GL_PL!$R:$R,'Global TARF'!$A249,GL_PL!$A:$A,'Global TARF'!Q$8)</f>
        <v>0</v>
      </c>
      <c r="R249" s="184">
        <f>SUMIFS(GL_PL!$G:$G,GL_PL!$Q:$Q,'Global TARF'!$A$229,GL_PL!$R:$R,'Global TARF'!$A249,GL_PL!$A:$A,'Global TARF'!R$8)</f>
        <v>0</v>
      </c>
      <c r="S249" s="536">
        <f>SUMIFS(GL_PL!$G:$G,GL_PL!$Q:$Q,'Global TARF'!$A$229,GL_PL!$R:$R,'Global TARF'!$A249,GL_PL!$A:$A,'Global TARF'!S$8)</f>
        <v>0</v>
      </c>
      <c r="T249"/>
      <c r="Z249" s="582">
        <f t="shared" si="139"/>
        <v>0</v>
      </c>
    </row>
    <row r="250" spans="1:26" x14ac:dyDescent="0.2">
      <c r="A250" s="534" t="s">
        <v>792</v>
      </c>
      <c r="B250" s="184">
        <f>SUMIFS(GL_BS!$G:$G,GL_BS!$R:$R,'Global TARF'!$A$229,GL_BS!$S:$S,'Global TARF'!$A250,GL_BS!$A:$A,'Global TARF'!B$38)</f>
        <v>0</v>
      </c>
      <c r="C250" s="184">
        <f>SUMIFS(GL_BS!$G:$G,GL_BS!$R:$R,'Global TARF'!$A$229,GL_BS!$S:$S,'Global TARF'!$A250,GL_BS!$A:$A,'Global TARF'!C$8)</f>
        <v>0</v>
      </c>
      <c r="D250" s="184">
        <f>SUMIFS(GL_BS!$G:$G,GL_BS!$R:$R,'Global TARF'!$A$229,GL_BS!$S:$S,'Global TARF'!$A250,GL_BS!$A:$A,'Global TARF'!D$8)</f>
        <v>0</v>
      </c>
      <c r="E250" s="184">
        <f>SUMIFS(GL_BS!$G:$G,GL_BS!$R:$R,'Global TARF'!$A$229,GL_BS!$S:$S,'Global TARF'!$A250,GL_BS!$A:$A,'Global TARF'!E$8)</f>
        <v>0</v>
      </c>
      <c r="F250" s="184">
        <f>SUMIFS(GL_BS!$G:$G,GL_BS!$R:$R,'Global TARF'!$A$229,GL_BS!$S:$S,'Global TARF'!$A250,GL_BS!$A:$A,'Global TARF'!F$8)</f>
        <v>0</v>
      </c>
      <c r="G250" s="536">
        <f>SUMIFS(GL_BS!$G:$G,GL_BS!$R:$R,'Global TARF'!$A$229,GL_BS!$S:$S,'Global TARF'!$A250,GL_BS!$A:$A,'Global TARF'!G$8)</f>
        <v>0</v>
      </c>
      <c r="H250" s="545">
        <f>SUMIFS(GL_BS!$G:$G,GL_BS!$R:$R,'Global TARF'!$A$229,GL_BS!$S:$S,'Global TARF'!$A250,GL_BS!$A:$A,'Global TARF'!H$8)</f>
        <v>0</v>
      </c>
      <c r="I250" s="184">
        <f>SUMIFS(GL_BS!$G:$G,GL_BS!$R:$R,'Global TARF'!$A$229,GL_BS!$S:$S,'Global TARF'!$A250,GL_BS!$A:$A,'Global TARF'!I$8)</f>
        <v>0</v>
      </c>
      <c r="J250" s="184">
        <f>SUMIFS(GL_BS!$G:$G,GL_BS!$R:$R,'Global TARF'!$A$229,GL_BS!$S:$S,'Global TARF'!$A250,GL_BS!$A:$A,'Global TARF'!J$8)</f>
        <v>0</v>
      </c>
      <c r="K250" s="184">
        <f>SUMIFS(GL_BS!$G:$G,GL_BS!$R:$R,'Global TARF'!$A$229,GL_BS!$S:$S,'Global TARF'!$A250,GL_BS!$A:$A,'Global TARF'!K$8)</f>
        <v>0</v>
      </c>
      <c r="L250" s="184">
        <f>SUMIFS(GL_BS!$G:$G,GL_BS!$R:$R,'Global TARF'!$A$229,GL_BS!$S:$S,'Global TARF'!$A250,GL_BS!$A:$A,'Global TARF'!L$8)</f>
        <v>0</v>
      </c>
      <c r="M250" s="536">
        <f>SUMIFS(GL_BS!$G:$G,GL_BS!$R:$R,'Global TARF'!$A$229,GL_BS!$S:$S,'Global TARF'!$A250,GL_BS!$A:$A,'Global TARF'!M$8)</f>
        <v>0</v>
      </c>
      <c r="N250" s="555">
        <f>SUMIFS(GL_BS!$G:$G,GL_BS!$R:$R,'Global TARF'!$A$229,GL_BS!$S:$S,'Global TARF'!$A250,GL_BS!$A:$A,'Global TARF'!N$8)</f>
        <v>0</v>
      </c>
      <c r="O250" s="18">
        <f>SUMIFS(GL_BS!$G:$G,GL_BS!$R:$R,'Global TARF'!$A$229,GL_BS!$S:$S,'Global TARF'!$A250,GL_BS!$A:$A,'Global TARF'!O$8)</f>
        <v>0</v>
      </c>
      <c r="P250" s="545">
        <f>SUMIFS(GL_PL!$G:$G,GL_PL!$Q:$Q,'Global TARF'!$A$229,GL_PL!$R:$R,'Global TARF'!$A250,GL_PL!$A:$A,'Global TARF'!P$8)</f>
        <v>0</v>
      </c>
      <c r="Q250" s="184">
        <f>SUMIFS(GL_PL!$G:$G,GL_PL!$Q:$Q,'Global TARF'!$A$229,GL_PL!$R:$R,'Global TARF'!$A250,GL_PL!$A:$A,'Global TARF'!Q$8)</f>
        <v>0</v>
      </c>
      <c r="R250" s="184">
        <f>SUMIFS(GL_PL!$G:$G,GL_PL!$Q:$Q,'Global TARF'!$A$229,GL_PL!$R:$R,'Global TARF'!$A250,GL_PL!$A:$A,'Global TARF'!R$8)</f>
        <v>0</v>
      </c>
      <c r="S250" s="536">
        <f>SUMIFS(GL_PL!$G:$G,GL_PL!$Q:$Q,'Global TARF'!$A$229,GL_PL!$R:$R,'Global TARF'!$A250,GL_PL!$A:$A,'Global TARF'!S$8)</f>
        <v>0</v>
      </c>
      <c r="T250"/>
      <c r="V250" s="26">
        <f>-SUM(Q250,B250)</f>
        <v>0</v>
      </c>
      <c r="Z250" s="582">
        <f t="shared" si="139"/>
        <v>0</v>
      </c>
    </row>
    <row r="251" spans="1:26" x14ac:dyDescent="0.2">
      <c r="A251" s="534" t="s">
        <v>791</v>
      </c>
      <c r="B251" s="184">
        <f>SUMIFS(GL_BS!$G:$G,GL_BS!$R:$R,'Global TARF'!$A$229,GL_BS!$S:$S,'Global TARF'!$A251,GL_BS!$A:$A,'Global TARF'!B$38)</f>
        <v>0</v>
      </c>
      <c r="C251" s="184">
        <f>SUMIFS(GL_BS!$G:$G,GL_BS!$R:$R,'Global TARF'!$A$229,GL_BS!$S:$S,'Global TARF'!$A251,GL_BS!$A:$A,'Global TARF'!C$8)</f>
        <v>0</v>
      </c>
      <c r="D251" s="184">
        <f>SUMIFS(GL_BS!$G:$G,GL_BS!$R:$R,'Global TARF'!$A$229,GL_BS!$S:$S,'Global TARF'!$A251,GL_BS!$A:$A,'Global TARF'!D$8)</f>
        <v>0</v>
      </c>
      <c r="E251" s="184">
        <f>SUMIFS(GL_BS!$G:$G,GL_BS!$R:$R,'Global TARF'!$A$229,GL_BS!$S:$S,'Global TARF'!$A251,GL_BS!$A:$A,'Global TARF'!E$8)</f>
        <v>0</v>
      </c>
      <c r="F251" s="184">
        <f>SUMIFS(GL_BS!$G:$G,GL_BS!$R:$R,'Global TARF'!$A$229,GL_BS!$S:$S,'Global TARF'!$A251,GL_BS!$A:$A,'Global TARF'!F$8)</f>
        <v>0</v>
      </c>
      <c r="G251" s="536">
        <f>SUMIFS(GL_BS!$G:$G,GL_BS!$R:$R,'Global TARF'!$A$229,GL_BS!$S:$S,'Global TARF'!$A251,GL_BS!$A:$A,'Global TARF'!G$8)</f>
        <v>0</v>
      </c>
      <c r="H251" s="545">
        <f>SUMIFS(GL_BS!$G:$G,GL_BS!$R:$R,'Global TARF'!$A$229,GL_BS!$S:$S,'Global TARF'!$A251,GL_BS!$A:$A,'Global TARF'!H$8)</f>
        <v>0</v>
      </c>
      <c r="I251" s="184">
        <f>SUMIFS(GL_BS!$G:$G,GL_BS!$R:$R,'Global TARF'!$A$229,GL_BS!$S:$S,'Global TARF'!$A251,GL_BS!$A:$A,'Global TARF'!I$8)</f>
        <v>0</v>
      </c>
      <c r="J251" s="184">
        <f>SUMIFS(GL_BS!$G:$G,GL_BS!$R:$R,'Global TARF'!$A$229,GL_BS!$S:$S,'Global TARF'!$A251,GL_BS!$A:$A,'Global TARF'!J$8)</f>
        <v>0</v>
      </c>
      <c r="K251" s="184">
        <f>SUMIFS(GL_BS!$G:$G,GL_BS!$R:$R,'Global TARF'!$A$229,GL_BS!$S:$S,'Global TARF'!$A251,GL_BS!$A:$A,'Global TARF'!K$8)</f>
        <v>0</v>
      </c>
      <c r="L251" s="184">
        <f>SUMIFS(GL_BS!$G:$G,GL_BS!$R:$R,'Global TARF'!$A$229,GL_BS!$S:$S,'Global TARF'!$A251,GL_BS!$A:$A,'Global TARF'!L$8)</f>
        <v>0</v>
      </c>
      <c r="M251" s="536">
        <f>SUMIFS(GL_BS!$G:$G,GL_BS!$R:$R,'Global TARF'!$A$229,GL_BS!$S:$S,'Global TARF'!$A251,GL_BS!$A:$A,'Global TARF'!M$8)</f>
        <v>0</v>
      </c>
      <c r="N251" s="555">
        <f>SUMIFS(GL_BS!$G:$G,GL_BS!$R:$R,'Global TARF'!$A$229,GL_BS!$S:$S,'Global TARF'!$A251,GL_BS!$A:$A,'Global TARF'!N$8)</f>
        <v>0</v>
      </c>
      <c r="O251" s="18">
        <f>SUMIFS(GL_BS!$G:$G,GL_BS!$R:$R,'Global TARF'!$A$229,GL_BS!$S:$S,'Global TARF'!$A251,GL_BS!$A:$A,'Global TARF'!O$8)</f>
        <v>0</v>
      </c>
      <c r="P251" s="545">
        <f>SUMIFS(GL_PL!$G:$G,GL_PL!$Q:$Q,'Global TARF'!$A$229,GL_PL!$R:$R,'Global TARF'!$A251,GL_PL!$A:$A,'Global TARF'!P$8)</f>
        <v>0</v>
      </c>
      <c r="Q251" s="184">
        <f>SUMIFS(GL_PL!$G:$G,GL_PL!$Q:$Q,'Global TARF'!$A$229,GL_PL!$R:$R,'Global TARF'!$A251,GL_PL!$A:$A,'Global TARF'!Q$8)</f>
        <v>0</v>
      </c>
      <c r="R251" s="184">
        <f>SUMIFS(GL_PL!$G:$G,GL_PL!$Q:$Q,'Global TARF'!$A$229,GL_PL!$R:$R,'Global TARF'!$A251,GL_PL!$A:$A,'Global TARF'!R$8)</f>
        <v>0</v>
      </c>
      <c r="S251" s="536">
        <f>SUMIFS(GL_PL!$G:$G,GL_PL!$Q:$Q,'Global TARF'!$A$229,GL_PL!$R:$R,'Global TARF'!$A251,GL_PL!$A:$A,'Global TARF'!S$8)</f>
        <v>0</v>
      </c>
      <c r="T251" s="26">
        <f>-SUM(P251:R251)</f>
        <v>0</v>
      </c>
      <c r="U251" s="26"/>
      <c r="Z251" s="582">
        <f t="shared" si="139"/>
        <v>0</v>
      </c>
    </row>
    <row r="252" spans="1:26" x14ac:dyDescent="0.2">
      <c r="A252" s="534" t="s">
        <v>243</v>
      </c>
      <c r="B252" s="184">
        <f>SUMIFS(GL_BS!$G:$G,GL_BS!$R:$R,'Global TARF'!$A$229,GL_BS!$S:$S,'Global TARF'!$A252,GL_BS!$A:$A,'Global TARF'!B$38)</f>
        <v>0</v>
      </c>
      <c r="C252" s="184">
        <f>SUMIFS(GL_BS!$G:$G,GL_BS!$R:$R,'Global TARF'!$A$229,GL_BS!$S:$S,'Global TARF'!$A252,GL_BS!$A:$A,'Global TARF'!C$8)</f>
        <v>0</v>
      </c>
      <c r="D252" s="184">
        <f>SUMIFS(GL_BS!$G:$G,GL_BS!$R:$R,'Global TARF'!$A$229,GL_BS!$S:$S,'Global TARF'!$A252,GL_BS!$A:$A,'Global TARF'!D$8)</f>
        <v>0</v>
      </c>
      <c r="E252" s="184">
        <f>SUMIFS(GL_BS!$G:$G,GL_BS!$R:$R,'Global TARF'!$A$229,GL_BS!$S:$S,'Global TARF'!$A252,GL_BS!$A:$A,'Global TARF'!E$8)</f>
        <v>0</v>
      </c>
      <c r="F252" s="184">
        <f>SUMIFS(GL_BS!$G:$G,GL_BS!$R:$R,'Global TARF'!$A$229,GL_BS!$S:$S,'Global TARF'!$A252,GL_BS!$A:$A,'Global TARF'!F$8)</f>
        <v>0</v>
      </c>
      <c r="G252" s="536">
        <f>SUMIFS(GL_BS!$G:$G,GL_BS!$R:$R,'Global TARF'!$A$229,GL_BS!$S:$S,'Global TARF'!$A252,GL_BS!$A:$A,'Global TARF'!G$8)</f>
        <v>0</v>
      </c>
      <c r="H252" s="545">
        <f>SUMIFS(GL_BS!$G:$G,GL_BS!$R:$R,'Global TARF'!$A$229,GL_BS!$S:$S,'Global TARF'!$A252,GL_BS!$A:$A,'Global TARF'!H$8)</f>
        <v>125.40541707719996</v>
      </c>
      <c r="I252" s="184">
        <f>SUMIFS(GL_BS!$G:$G,GL_BS!$R:$R,'Global TARF'!$A$229,GL_BS!$S:$S,'Global TARF'!$A252,GL_BS!$A:$A,'Global TARF'!I$8)</f>
        <v>0</v>
      </c>
      <c r="J252" s="184">
        <f>SUMIFS(GL_BS!$G:$G,GL_BS!$R:$R,'Global TARF'!$A$229,GL_BS!$S:$S,'Global TARF'!$A252,GL_BS!$A:$A,'Global TARF'!J$8)</f>
        <v>0</v>
      </c>
      <c r="K252" s="184">
        <f>SUMIFS(GL_BS!$G:$G,GL_BS!$R:$R,'Global TARF'!$A$229,GL_BS!$S:$S,'Global TARF'!$A252,GL_BS!$A:$A,'Global TARF'!K$8)</f>
        <v>0</v>
      </c>
      <c r="L252" s="184">
        <f>SUMIFS(GL_BS!$G:$G,GL_BS!$R:$R,'Global TARF'!$A$229,GL_BS!$S:$S,'Global TARF'!$A252,GL_BS!$A:$A,'Global TARF'!L$8)</f>
        <v>0</v>
      </c>
      <c r="M252" s="536">
        <f>SUMIFS(GL_BS!$G:$G,GL_BS!$R:$R,'Global TARF'!$A$229,GL_BS!$S:$S,'Global TARF'!$A252,GL_BS!$A:$A,'Global TARF'!M$8)</f>
        <v>0</v>
      </c>
      <c r="N252" s="555">
        <v>-125.41</v>
      </c>
      <c r="O252" s="18">
        <f>SUMIFS(GL_BS!$G:$G,GL_BS!$R:$R,'Global TARF'!$A$229,GL_BS!$S:$S,'Global TARF'!$A252,GL_BS!$A:$A,'Global TARF'!O$8)</f>
        <v>0</v>
      </c>
      <c r="P252" s="545">
        <f>SUMIFS(GL_PL!$G:$G,GL_PL!$Q:$Q,'Global TARF'!$A$229,GL_PL!$R:$R,'Global TARF'!$A252,GL_PL!$A:$A,'Global TARF'!P$8)</f>
        <v>0</v>
      </c>
      <c r="Q252" s="184">
        <f>SUMIFS(GL_PL!$G:$G,GL_PL!$Q:$Q,'Global TARF'!$A$229,GL_PL!$R:$R,'Global TARF'!$A252,GL_PL!$A:$A,'Global TARF'!Q$8)</f>
        <v>0</v>
      </c>
      <c r="R252" s="184">
        <f>SUMIFS(GL_PL!$G:$G,GL_PL!$Q:$Q,'Global TARF'!$A$229,GL_PL!$R:$R,'Global TARF'!$A252,GL_PL!$A:$A,'Global TARF'!R$8)</f>
        <v>0</v>
      </c>
      <c r="S252" s="536">
        <f>SUMIFS(GL_PL!$G:$G,GL_PL!$Q:$Q,'Global TARF'!$A$229,GL_PL!$R:$R,'Global TARF'!$A252,GL_PL!$A:$A,'Global TARF'!S$8)</f>
        <v>0</v>
      </c>
      <c r="T252"/>
      <c r="V252" s="26"/>
      <c r="W252" s="26"/>
      <c r="Z252" s="582">
        <f t="shared" si="139"/>
        <v>-4.5829228000400235E-3</v>
      </c>
    </row>
    <row r="253" spans="1:26" x14ac:dyDescent="0.2">
      <c r="A253" s="534" t="s">
        <v>795</v>
      </c>
      <c r="B253" s="184">
        <f>SUMIFS(GL_BS!$G:$G,GL_BS!$R:$R,'Global TARF'!$A$229,GL_BS!$S:$S,'Global TARF'!$A253,GL_BS!$A:$A,'Global TARF'!B$38)</f>
        <v>0</v>
      </c>
      <c r="C253" s="184">
        <f>SUMIFS(GL_BS!$G:$G,GL_BS!$R:$R,'Global TARF'!$A$229,GL_BS!$S:$S,'Global TARF'!$A253,GL_BS!$A:$A,'Global TARF'!C$8)</f>
        <v>0</v>
      </c>
      <c r="D253" s="184">
        <f>SUMIFS(GL_BS!$G:$G,GL_BS!$R:$R,'Global TARF'!$A$229,GL_BS!$S:$S,'Global TARF'!$A253,GL_BS!$A:$A,'Global TARF'!D$8)</f>
        <v>0</v>
      </c>
      <c r="E253" s="184">
        <f>SUMIFS(GL_BS!$G:$G,GL_BS!$R:$R,'Global TARF'!$A$229,GL_BS!$S:$S,'Global TARF'!$A253,GL_BS!$A:$A,'Global TARF'!E$8)</f>
        <v>0</v>
      </c>
      <c r="F253" s="184">
        <f>SUMIFS(GL_BS!$G:$G,GL_BS!$R:$R,'Global TARF'!$A$229,GL_BS!$S:$S,'Global TARF'!$A253,GL_BS!$A:$A,'Global TARF'!F$8)</f>
        <v>0</v>
      </c>
      <c r="G253" s="536">
        <f>SUMIFS(GL_BS!$G:$G,GL_BS!$R:$R,'Global TARF'!$A$229,GL_BS!$S:$S,'Global TARF'!$A253,GL_BS!$A:$A,'Global TARF'!G$8)</f>
        <v>0</v>
      </c>
      <c r="H253" s="545">
        <f>SUMIFS(GL_BS!$G:$G,GL_BS!$R:$R,'Global TARF'!$A$229,GL_BS!$S:$S,'Global TARF'!$A253,GL_BS!$A:$A,'Global TARF'!H$8)</f>
        <v>0</v>
      </c>
      <c r="I253" s="184">
        <f>SUMIFS(GL_BS!$G:$G,GL_BS!$R:$R,'Global TARF'!$A$229,GL_BS!$S:$S,'Global TARF'!$A253,GL_BS!$A:$A,'Global TARF'!I$8)</f>
        <v>0</v>
      </c>
      <c r="J253" s="184">
        <f>SUMIFS(GL_BS!$G:$G,GL_BS!$R:$R,'Global TARF'!$A$229,GL_BS!$S:$S,'Global TARF'!$A253,GL_BS!$A:$A,'Global TARF'!J$8)</f>
        <v>0</v>
      </c>
      <c r="K253" s="184">
        <f>SUMIFS(GL_BS!$G:$G,GL_BS!$R:$R,'Global TARF'!$A$229,GL_BS!$S:$S,'Global TARF'!$A253,GL_BS!$A:$A,'Global TARF'!K$8)</f>
        <v>0</v>
      </c>
      <c r="L253" s="184">
        <f>SUMIFS(GL_BS!$G:$G,GL_BS!$R:$R,'Global TARF'!$A$229,GL_BS!$S:$S,'Global TARF'!$A253,GL_BS!$A:$A,'Global TARF'!L$8)</f>
        <v>0</v>
      </c>
      <c r="M253" s="536">
        <f>SUMIFS(GL_BS!$G:$G,GL_BS!$R:$R,'Global TARF'!$A$229,GL_BS!$S:$S,'Global TARF'!$A253,GL_BS!$A:$A,'Global TARF'!M$8)</f>
        <v>0</v>
      </c>
      <c r="N253" s="555">
        <f>SUMIFS(GL_BS!$G:$G,GL_BS!$R:$R,'Global TARF'!$A$229,GL_BS!$S:$S,'Global TARF'!$A253,GL_BS!$A:$A,'Global TARF'!N$8)</f>
        <v>0</v>
      </c>
      <c r="O253" s="18">
        <f>SUMIFS(GL_BS!$G:$G,GL_BS!$R:$R,'Global TARF'!$A$229,GL_BS!$S:$S,'Global TARF'!$A253,GL_BS!$A:$A,'Global TARF'!O$8)</f>
        <v>0</v>
      </c>
      <c r="P253" s="545">
        <f>SUMIFS(GL_PL!$G:$G,GL_PL!$Q:$Q,'Global TARF'!$A$229,GL_PL!$R:$R,'Global TARF'!$A253,GL_PL!$A:$A,'Global TARF'!P$8)</f>
        <v>0</v>
      </c>
      <c r="Q253" s="184">
        <f>SUMIFS(GL_PL!$G:$G,GL_PL!$Q:$Q,'Global TARF'!$A$229,GL_PL!$R:$R,'Global TARF'!$A253,GL_PL!$A:$A,'Global TARF'!Q$8)</f>
        <v>0</v>
      </c>
      <c r="R253" s="184">
        <f>SUMIFS(GL_PL!$G:$G,GL_PL!$Q:$Q,'Global TARF'!$A$229,GL_PL!$R:$R,'Global TARF'!$A253,GL_PL!$A:$A,'Global TARF'!R$8)</f>
        <v>0</v>
      </c>
      <c r="S253" s="536">
        <f>SUMIFS(GL_PL!$G:$G,GL_PL!$Q:$Q,'Global TARF'!$A$229,GL_PL!$R:$R,'Global TARF'!$A253,GL_PL!$A:$A,'Global TARF'!S$8)</f>
        <v>0</v>
      </c>
      <c r="T253" s="26">
        <f>-SUM(P253:R253)</f>
        <v>0</v>
      </c>
      <c r="U253" s="26"/>
      <c r="Z253" s="582">
        <f t="shared" si="139"/>
        <v>0</v>
      </c>
    </row>
    <row r="254" spans="1:26" ht="10.5" thickBot="1" x14ac:dyDescent="0.25">
      <c r="A254" s="534" t="s">
        <v>793</v>
      </c>
      <c r="B254" s="184">
        <f>SUMIFS(GL_BS!$G:$G,GL_BS!$R:$R,'Global TARF'!$A$229,GL_BS!$S:$S,'Global TARF'!$A254,GL_BS!$A:$A,'Global TARF'!B$38)</f>
        <v>0</v>
      </c>
      <c r="C254" s="184">
        <f>SUMIFS(GL_BS!$G:$G,GL_BS!$R:$R,'Global TARF'!$A$229,GL_BS!$S:$S,'Global TARF'!$A254,GL_BS!$A:$A,'Global TARF'!C$8)</f>
        <v>0</v>
      </c>
      <c r="D254" s="184">
        <f>SUMIFS(GL_BS!$G:$G,GL_BS!$R:$R,'Global TARF'!$A$229,GL_BS!$S:$S,'Global TARF'!$A254,GL_BS!$A:$A,'Global TARF'!D$8)</f>
        <v>0</v>
      </c>
      <c r="E254" s="184">
        <f>SUMIFS(GL_BS!$G:$G,GL_BS!$R:$R,'Global TARF'!$A$229,GL_BS!$S:$S,'Global TARF'!$A254,GL_BS!$A:$A,'Global TARF'!E$8)</f>
        <v>0</v>
      </c>
      <c r="F254" s="184">
        <f>SUMIFS(GL_BS!$G:$G,GL_BS!$R:$R,'Global TARF'!$A$229,GL_BS!$S:$S,'Global TARF'!$A254,GL_BS!$A:$A,'Global TARF'!F$8)</f>
        <v>0</v>
      </c>
      <c r="G254" s="536">
        <f>SUMIFS(GL_BS!$G:$G,GL_BS!$R:$R,'Global TARF'!$A$229,GL_BS!$S:$S,'Global TARF'!$A254,GL_BS!$A:$A,'Global TARF'!G$8)</f>
        <v>0</v>
      </c>
      <c r="H254" s="545">
        <f>SUMIFS(GL_BS!$G:$G,GL_BS!$R:$R,'Global TARF'!$A$229,GL_BS!$S:$S,'Global TARF'!$A254,GL_BS!$A:$A,'Global TARF'!H$8)</f>
        <v>0</v>
      </c>
      <c r="I254" s="184">
        <f>SUMIFS(GL_BS!$G:$G,GL_BS!$R:$R,'Global TARF'!$A$229,GL_BS!$S:$S,'Global TARF'!$A254,GL_BS!$A:$A,'Global TARF'!I$8)</f>
        <v>0</v>
      </c>
      <c r="J254" s="184">
        <f>SUMIFS(GL_BS!$G:$G,GL_BS!$R:$R,'Global TARF'!$A$229,GL_BS!$S:$S,'Global TARF'!$A254,GL_BS!$A:$A,'Global TARF'!J$8)</f>
        <v>0</v>
      </c>
      <c r="K254" s="184">
        <f>SUMIFS(GL_BS!$G:$G,GL_BS!$R:$R,'Global TARF'!$A$229,GL_BS!$S:$S,'Global TARF'!$A254,GL_BS!$A:$A,'Global TARF'!K$8)</f>
        <v>0</v>
      </c>
      <c r="L254" s="184">
        <f>SUMIFS(GL_BS!$G:$G,GL_BS!$R:$R,'Global TARF'!$A$229,GL_BS!$S:$S,'Global TARF'!$A254,GL_BS!$A:$A,'Global TARF'!L$8)</f>
        <v>0</v>
      </c>
      <c r="M254" s="536">
        <f>SUMIFS(GL_BS!$G:$G,GL_BS!$R:$R,'Global TARF'!$A$229,GL_BS!$S:$S,'Global TARF'!$A254,GL_BS!$A:$A,'Global TARF'!M$8)</f>
        <v>0</v>
      </c>
      <c r="N254" s="555">
        <f>SUMIFS(GL_BS!$G:$G,GL_BS!$R:$R,'Global TARF'!$A$229,GL_BS!$S:$S,'Global TARF'!$A254,GL_BS!$A:$A,'Global TARF'!N$8)</f>
        <v>0</v>
      </c>
      <c r="O254" s="18">
        <f>SUMIFS(GL_BS!$G:$G,GL_BS!$R:$R,'Global TARF'!$A$229,GL_BS!$S:$S,'Global TARF'!$A254,GL_BS!$A:$A,'Global TARF'!O$8)</f>
        <v>0</v>
      </c>
      <c r="P254" s="545">
        <f>SUMIFS(GL_PL!$G:$G,GL_PL!$Q:$Q,'Global TARF'!$A$229,GL_PL!$R:$R,'Global TARF'!$A254,GL_PL!$A:$A,'Global TARF'!P$8)</f>
        <v>0</v>
      </c>
      <c r="Q254" s="184">
        <f>SUMIFS(GL_PL!$G:$G,GL_PL!$Q:$Q,'Global TARF'!$A$229,GL_PL!$R:$R,'Global TARF'!$A254,GL_PL!$A:$A,'Global TARF'!Q$8)</f>
        <v>0</v>
      </c>
      <c r="R254" s="184">
        <f>SUMIFS(GL_PL!$G:$G,GL_PL!$Q:$Q,'Global TARF'!$A$229,GL_PL!$R:$R,'Global TARF'!$A254,GL_PL!$A:$A,'Global TARF'!R$8)</f>
        <v>0</v>
      </c>
      <c r="S254" s="536">
        <f>SUMIFS(GL_PL!$G:$G,GL_PL!$Q:$Q,'Global TARF'!$A$229,GL_PL!$R:$R,'Global TARF'!$A254,GL_PL!$A:$A,'Global TARF'!S$8)</f>
        <v>0</v>
      </c>
      <c r="T254"/>
      <c r="Z254" s="582">
        <f t="shared" si="139"/>
        <v>0</v>
      </c>
    </row>
    <row r="255" spans="1:26" s="23" customFormat="1" ht="10.5" thickBot="1" x14ac:dyDescent="0.25">
      <c r="A255" s="563" t="str">
        <f>$A$34</f>
        <v>Balance as of 06/31/2024</v>
      </c>
      <c r="B255" s="564">
        <f>SUM(B231:B254)</f>
        <v>0</v>
      </c>
      <c r="C255" s="564">
        <f>SUM(C231:C254)</f>
        <v>0</v>
      </c>
      <c r="D255" s="564">
        <f>SUM(D231:D254)</f>
        <v>0</v>
      </c>
      <c r="E255" s="564">
        <f t="shared" ref="E255:V255" si="140">SUM(E231:E254)</f>
        <v>0</v>
      </c>
      <c r="F255" s="564"/>
      <c r="G255" s="566">
        <f t="shared" si="140"/>
        <v>0</v>
      </c>
      <c r="H255" s="565">
        <f>SUM(H231:H254)</f>
        <v>-19844.002626171605</v>
      </c>
      <c r="I255" s="565">
        <f t="shared" ref="I255:K255" si="141">SUM(I231:I254)</f>
        <v>0</v>
      </c>
      <c r="J255" s="565">
        <f t="shared" si="141"/>
        <v>0</v>
      </c>
      <c r="K255" s="565">
        <f t="shared" si="141"/>
        <v>0</v>
      </c>
      <c r="L255" s="564">
        <f t="shared" si="140"/>
        <v>0</v>
      </c>
      <c r="M255" s="566">
        <f t="shared" si="140"/>
        <v>0</v>
      </c>
      <c r="N255" s="567" t="e">
        <f t="shared" si="140"/>
        <v>#N/A</v>
      </c>
      <c r="O255" s="564" t="e">
        <f t="shared" si="140"/>
        <v>#N/A</v>
      </c>
      <c r="P255" s="565">
        <f t="shared" si="140"/>
        <v>0</v>
      </c>
      <c r="Q255" s="564">
        <f t="shared" si="140"/>
        <v>0</v>
      </c>
      <c r="R255" s="564">
        <f t="shared" si="140"/>
        <v>14403.292731029116</v>
      </c>
      <c r="S255" s="566">
        <f t="shared" ref="S255" si="142">SUM(S231:S254)</f>
        <v>0</v>
      </c>
      <c r="T255" s="564">
        <f t="shared" si="140"/>
        <v>-17206.710742162399</v>
      </c>
      <c r="U255" s="564"/>
      <c r="V255" s="564">
        <f t="shared" si="140"/>
        <v>0</v>
      </c>
      <c r="W255" s="566"/>
      <c r="X255" s="27"/>
      <c r="Z255" s="583"/>
    </row>
    <row r="256" spans="1:26" x14ac:dyDescent="0.2">
      <c r="A256" s="534"/>
      <c r="B256" s="186">
        <f>IFERROR(INDEX('BS_Q2 24'!$A$9:$O$279,MATCH('Global TARF'!B$8,'BS_Q2 24'!$A$9:$A$279,0),MATCH($A$229,'BS_Q2 24'!$A$8:$O$8)),0)</f>
        <v>0</v>
      </c>
      <c r="C256" s="186">
        <f>IFERROR(INDEX('BS_Q2 24'!$A$9:$O$279,MATCH('Global TARF'!C$8,'BS_Q2 24'!$A$9:$A$279,0),MATCH($A$229,'BS_Q2 24'!$A$8:$O$8)),0)</f>
        <v>0</v>
      </c>
      <c r="D256" s="186">
        <f>IFERROR(INDEX('BS_Q2 24'!$A$9:$O$279,MATCH('Global TARF'!D$8,'BS_Q2 24'!$A$9:$A$279,0),MATCH($A$229,'BS_Q2 24'!$A$8:$O$8)),0)</f>
        <v>0</v>
      </c>
      <c r="E256" s="186">
        <f>IFERROR(INDEX('BS_Q2 24'!$A$9:$O$279,MATCH('Global TARF'!E$8,'BS_Q2 24'!$A$9:$A$279,0),MATCH($A$229,'BS_Q2 24'!$A$8:$O$8)),0)</f>
        <v>0</v>
      </c>
      <c r="F256" s="186">
        <f>IFERROR(INDEX('BS_Q2 24'!$A$9:$O$279,MATCH('Global TARF'!F$8,'BS_Q2 24'!$A$9:$A$279,0),MATCH($A$229,'BS_Q2 24'!$A$8:$O$8)),0)</f>
        <v>0</v>
      </c>
      <c r="G256" s="186">
        <f>IFERROR(INDEX('BS_Q2 24'!$A$9:$O$279,MATCH('Global TARF'!G$8,'BS_Q2 24'!$A$9:$A$279,0),MATCH($A$229,'BS_Q2 24'!$A$8:$O$8)),0)</f>
        <v>0</v>
      </c>
      <c r="H256" s="546">
        <f>-IFERROR(INDEX('BS_Q2 24'!$A$9:$O$279,MATCH('Global TARF'!H$8,'BS_Q2 24'!$A$9:$A$279,0),MATCH($A$229,'BS_Q2 24'!$A$8:$O$8)),0)</f>
        <v>-19843.997689994401</v>
      </c>
      <c r="I256" s="546">
        <f>-IFERROR(INDEX('BS_Q2 24'!$A$9:$O$279,MATCH('Global TARF'!I$8,'BS_Q2 24'!$A$9:$A$279,0),MATCH($A$229,'BS_Q2 24'!$A$8:$O$8)),0)</f>
        <v>0</v>
      </c>
      <c r="J256" s="546">
        <f>-IFERROR(INDEX('BS_Q2 24'!$A$9:$O$279,MATCH('Global TARF'!J$8,'BS_Q2 24'!$A$9:$A$279,0),MATCH($A$229,'BS_Q2 24'!$A$8:$O$8)),0)</f>
        <v>0</v>
      </c>
      <c r="K256" s="546">
        <f>-IFERROR(INDEX('BS_Q2 24'!$A$9:$O$279,MATCH('Global TARF'!K$8,'BS_Q2 24'!$A$9:$A$279,0),MATCH($A$229,'BS_Q2 24'!$A$8:$O$8)),0)</f>
        <v>0</v>
      </c>
      <c r="L256" s="546">
        <f>-IFERROR(INDEX('BS_Q2 24'!$A$9:$O$279,MATCH('Global TARF'!L$8,'BS_Q2 24'!$A$9:$A$279,0),MATCH($A$229,'BS_Q2 24'!$A$8:$O$8)),0)</f>
        <v>0</v>
      </c>
      <c r="M256" s="546">
        <f>-IFERROR(INDEX('BS_Q2 24'!$A$9:$O$279,MATCH('Global TARF'!M$8,'BS_Q2 24'!$A$9:$A$279,0),MATCH($A$229,'BS_Q2 24'!$A$8:$O$8)),0)</f>
        <v>0</v>
      </c>
      <c r="N256" s="554" t="e">
        <f>-INDEX('BS_Q2 24'!$A$9:$O$118,MATCH('Global TARF'!N$8,'BS_Q2 24'!$A$9:$A$118,0),MATCH($A$101,'BS_Q2 24'!$A$8:$O$8))</f>
        <v>#N/A</v>
      </c>
      <c r="O256" s="24" t="e">
        <f>-INDEX('BS_Q2 24'!$A$9:$O$118,MATCH('Global TARF'!O$8,'BS_Q2 24'!$A$9:$A$118,0),MATCH($A$101,'BS_Q2 24'!$A$8:$O$8))</f>
        <v>#N/A</v>
      </c>
      <c r="P256" s="545">
        <f>-IFERROR(INDEX('IS_Q2 24'!$A$7:$O$700,MATCH('Global TARF'!P$8,'IS_Q2 24'!$A$7:$A$700,0),MATCH($A$229,'IS_Q2 24'!$A$8:$O$8)),0)</f>
        <v>0</v>
      </c>
      <c r="Q256" s="545">
        <f>-IFERROR(INDEX('IS_Q2 24'!$A$7:$O$700,MATCH('Global TARF'!Q$8,'IS_Q2 24'!$A$7:$A$700,0),MATCH($A$229,'IS_Q2 24'!$A$8:$O$8)),0)</f>
        <v>0</v>
      </c>
      <c r="R256" s="545">
        <f>-IFERROR(INDEX('IS_Q2 24'!$A$7:$O$700,MATCH('Global TARF'!R$8,'IS_Q2 24'!$A$7:$A$700,0),MATCH($A$229,'IS_Q2 24'!$A$8:$O$8)),0)</f>
        <v>14403.292731029116</v>
      </c>
      <c r="S256" s="545">
        <f>-IFERROR(INDEX('IS_Q2 24'!$A$7:$O$700,MATCH('Global TARF'!S$8,'IS_Q2 24'!$A$7:$A$700,0),MATCH($A$229,'IS_Q2 24'!$A$8:$O$8)),0)</f>
        <v>0</v>
      </c>
      <c r="T256"/>
      <c r="Z256" s="580"/>
    </row>
    <row r="257" spans="1:26" x14ac:dyDescent="0.2">
      <c r="A257" s="534"/>
      <c r="B257" t="b">
        <f t="shared" ref="B257:R257" si="143">ROUND(B255,0)=ROUND(B256,0)</f>
        <v>1</v>
      </c>
      <c r="C257" t="b">
        <f t="shared" si="143"/>
        <v>1</v>
      </c>
      <c r="D257" t="b">
        <f t="shared" ref="D257" si="144">ROUND(D255,0)=ROUND(D256,0)</f>
        <v>1</v>
      </c>
      <c r="E257" t="b">
        <f t="shared" si="143"/>
        <v>1</v>
      </c>
      <c r="F257" t="b">
        <f t="shared" si="143"/>
        <v>1</v>
      </c>
      <c r="G257" s="535" t="b">
        <f t="shared" si="143"/>
        <v>1</v>
      </c>
      <c r="H257" s="534" t="b">
        <f t="shared" si="143"/>
        <v>1</v>
      </c>
      <c r="I257" s="534" t="b">
        <f t="shared" si="143"/>
        <v>1</v>
      </c>
      <c r="J257" s="534" t="b">
        <f t="shared" si="143"/>
        <v>1</v>
      </c>
      <c r="K257" s="534" t="b">
        <f t="shared" si="143"/>
        <v>1</v>
      </c>
      <c r="L257" t="b">
        <f t="shared" si="143"/>
        <v>1</v>
      </c>
      <c r="M257" s="535" t="b">
        <f t="shared" si="143"/>
        <v>1</v>
      </c>
      <c r="N257" s="552" t="e">
        <f t="shared" si="143"/>
        <v>#N/A</v>
      </c>
      <c r="O257" t="e">
        <f t="shared" si="143"/>
        <v>#N/A</v>
      </c>
      <c r="P257" s="534" t="b">
        <f t="shared" si="143"/>
        <v>1</v>
      </c>
      <c r="Q257" t="b">
        <f t="shared" si="143"/>
        <v>1</v>
      </c>
      <c r="R257" t="b">
        <f t="shared" si="143"/>
        <v>1</v>
      </c>
      <c r="S257" s="535" t="b">
        <f t="shared" ref="S257" si="145">ROUND(S255,0)=ROUND(S256,0)</f>
        <v>1</v>
      </c>
      <c r="T257"/>
      <c r="Z257" s="580"/>
    </row>
    <row r="258" spans="1:26" x14ac:dyDescent="0.2">
      <c r="A258" s="534"/>
      <c r="G258" s="535"/>
      <c r="H258" s="537">
        <f t="shared" ref="H258" si="146">H256-H255</f>
        <v>4.9361772034899332E-3</v>
      </c>
      <c r="I258" s="26"/>
      <c r="J258" s="26"/>
      <c r="K258" s="26"/>
      <c r="M258" s="535"/>
      <c r="N258" s="552"/>
      <c r="P258" s="534"/>
      <c r="S258" s="535"/>
      <c r="T258"/>
      <c r="Z258" s="580"/>
    </row>
    <row r="259" spans="1:26" x14ac:dyDescent="0.2">
      <c r="A259" s="534"/>
      <c r="G259" s="535"/>
      <c r="H259" s="534"/>
      <c r="M259" s="535"/>
      <c r="N259" s="552"/>
      <c r="P259" s="534"/>
      <c r="S259" s="535"/>
      <c r="T259"/>
      <c r="Z259" s="580"/>
    </row>
    <row r="260" spans="1:26" x14ac:dyDescent="0.2">
      <c r="A260" s="534"/>
      <c r="G260" s="535"/>
      <c r="H260" s="534"/>
      <c r="M260" s="535"/>
      <c r="N260" s="552"/>
      <c r="P260" s="534"/>
      <c r="S260" s="535"/>
      <c r="T260"/>
      <c r="Z260" s="580"/>
    </row>
    <row r="261" spans="1:26" s="17" customFormat="1" ht="10.5" x14ac:dyDescent="0.25">
      <c r="A261" s="562">
        <v>207</v>
      </c>
      <c r="B261" s="558" t="s">
        <v>342</v>
      </c>
      <c r="C261" s="558" t="s">
        <v>220</v>
      </c>
      <c r="D261" s="558" t="str">
        <f>$D$8</f>
        <v>145700 - Income tax receivable - Long Term</v>
      </c>
      <c r="E261" s="558" t="s">
        <v>378</v>
      </c>
      <c r="F261" s="558" t="s">
        <v>427</v>
      </c>
      <c r="G261" s="559" t="s">
        <v>415</v>
      </c>
      <c r="H261" s="558" t="s">
        <v>240</v>
      </c>
      <c r="I261" s="558" t="s">
        <v>467</v>
      </c>
      <c r="J261" s="558" t="s">
        <v>4397</v>
      </c>
      <c r="K261" s="558" t="s">
        <v>4396</v>
      </c>
      <c r="L261" s="559" t="s">
        <v>502</v>
      </c>
      <c r="M261" s="559" t="s">
        <v>503</v>
      </c>
      <c r="N261" s="560" t="s">
        <v>877</v>
      </c>
      <c r="O261" s="561"/>
      <c r="P261" s="558" t="s">
        <v>20</v>
      </c>
      <c r="Q261" s="561" t="s">
        <v>57</v>
      </c>
      <c r="R261" s="561" t="s">
        <v>183</v>
      </c>
      <c r="S261" s="561" t="s">
        <v>3623</v>
      </c>
      <c r="T261" s="561" t="s">
        <v>4268</v>
      </c>
      <c r="U261" s="561" t="s">
        <v>4269</v>
      </c>
      <c r="V261" s="561" t="s">
        <v>794</v>
      </c>
      <c r="W261" s="561" t="s">
        <v>793</v>
      </c>
      <c r="Z261" s="579"/>
    </row>
    <row r="262" spans="1:26" ht="11" thickBot="1" x14ac:dyDescent="0.3">
      <c r="A262" s="538" t="s">
        <v>813</v>
      </c>
      <c r="G262" s="535"/>
      <c r="H262" s="534"/>
      <c r="M262" s="535"/>
      <c r="N262" s="550"/>
      <c r="P262" s="534"/>
      <c r="S262" s="535"/>
      <c r="T262"/>
      <c r="Z262" s="580"/>
    </row>
    <row r="263" spans="1:26" s="23" customFormat="1" ht="10.5" thickBot="1" x14ac:dyDescent="0.25">
      <c r="A263" s="563" t="str">
        <f>A10</f>
        <v>Balance as of 12/31/2023</v>
      </c>
      <c r="B263" s="564">
        <f>IFERROR(INDEX(BS_2023!$A$8:$O$271,MATCH('Global TARF'!B$8,BS_2023!$A$8:$A$271,0),MATCH($A$261,BS_2023!$A$7:$O$7)),0)</f>
        <v>0</v>
      </c>
      <c r="C263" s="564">
        <f>IFERROR(INDEX(BS_2023!$A$8:$O$271,MATCH('Global TARF'!C$8,BS_2023!$A$8:$A$271,0),MATCH($A$261,BS_2023!$A$7:$O$7)),0)</f>
        <v>0</v>
      </c>
      <c r="D263" s="564">
        <f>IFERROR(INDEX(BS_2023!$A$8:$O$271,MATCH('Global TARF'!D$8,BS_2023!$A$8:$A$271,0),MATCH($A$261,BS_2023!$A$7:$O$7)),0)</f>
        <v>0</v>
      </c>
      <c r="E263" s="564">
        <f>IFERROR(INDEX(BS_2023!$A$8:$O$271,MATCH('Global TARF'!E$8,BS_2023!$A$8:$A$271,0),MATCH($A$261,BS_2023!$A$7:$O$7)),0)</f>
        <v>0</v>
      </c>
      <c r="F263" s="564">
        <f>IFERROR(INDEX(BS_2023!$A$8:$O$271,MATCH('Global TARF'!F$8,BS_2023!$A$8:$A$271,0),MATCH($A$261,BS_2023!$A$7:$O$7)),0)</f>
        <v>0</v>
      </c>
      <c r="G263" s="564">
        <f>IFERROR(INDEX(BS_2023!$A$8:$O$271,MATCH('Global TARF'!G$8,BS_2023!$A$8:$A$271,0),MATCH($A$261,BS_2023!$A$7:$O$7)),0)</f>
        <v>191531.42860174042</v>
      </c>
      <c r="H263" s="577">
        <f>-IFERROR(INDEX(BS_2023!$A$8:$O$271,MATCH('Global TARF'!H$8,BS_2023!$A$8:$A$271,0),MATCH($A$261,BS_2023!$A$7:$O$7)),0)</f>
        <v>-3262.5169535726204</v>
      </c>
      <c r="I263" s="577">
        <f>-IFERROR(INDEX(BS_2023!$A$8:$O$271,MATCH('Global TARF'!I$8,BS_2023!$A$8:$A$271,0),MATCH($A$261,BS_2023!$A$7:$O$7)),0)</f>
        <v>0</v>
      </c>
      <c r="J263" s="577">
        <f>-IFERROR(INDEX(BS_2023!$A$8:$O$271,MATCH('Global TARF'!J$8,BS_2023!$A$8:$A$271,0),MATCH($A$261,BS_2023!$A$7:$O$7)),0)</f>
        <v>0</v>
      </c>
      <c r="K263" s="577">
        <f>-IFERROR(INDEX(BS_2023!$A$8:$O$271,MATCH('Global TARF'!K$8,BS_2023!$A$8:$A$271,0),MATCH($A$261,BS_2023!$A$7:$O$7)),0)</f>
        <v>0</v>
      </c>
      <c r="L263" s="577">
        <f>-IFERROR(INDEX(BS_2023!$A$8:$O$271,MATCH('Global TARF'!L$8,BS_2023!$A$8:$A$271,0),MATCH($A$261,BS_2023!$A$7:$O$7)),0)</f>
        <v>0</v>
      </c>
      <c r="M263" s="577">
        <f>-IFERROR(INDEX(BS_2023!$A$8:$O$271,MATCH('Global TARF'!M$8,BS_2023!$A$8:$A$271,0),MATCH($A$261,BS_2023!$A$7:$O$7)),0)</f>
        <v>0</v>
      </c>
      <c r="N263" s="567" t="e">
        <f>-INDEX(BS_2023!$A$8:$O$245,MATCH('Global TARF'!N$8,BS_2023!$A$8:$A$245,0),MATCH($A$261,BS_2023!$A$7:$O$7))</f>
        <v>#N/A</v>
      </c>
      <c r="O263" s="564" t="e">
        <f>-INDEX(BS_2023!$A$8:$O$245,MATCH('Global TARF'!O$8,BS_2023!$A$8:$A$245,0),MATCH($A$261,BS_2023!$A$7:$O$7))</f>
        <v>#N/A</v>
      </c>
      <c r="P263" s="563"/>
      <c r="Q263" s="574"/>
      <c r="R263" s="574"/>
      <c r="S263" s="575"/>
      <c r="T263" s="574"/>
      <c r="U263" s="574"/>
      <c r="V263" s="574"/>
      <c r="W263" s="575"/>
      <c r="Z263" s="583"/>
    </row>
    <row r="264" spans="1:26" x14ac:dyDescent="0.2">
      <c r="A264" s="534" t="s">
        <v>798</v>
      </c>
      <c r="C264" s="184"/>
      <c r="D264" s="184"/>
      <c r="G264" s="536">
        <v>-323.77</v>
      </c>
      <c r="H264" s="545">
        <v>5.52</v>
      </c>
      <c r="I264" s="258"/>
      <c r="J264" s="258"/>
      <c r="K264" s="258"/>
      <c r="M264" s="535"/>
      <c r="N264" s="553">
        <f>-SUM(H264,G264,C264,E264,M264,L264,F264,B264,D264)</f>
        <v>318.25</v>
      </c>
      <c r="P264" s="534"/>
      <c r="S264" s="535"/>
      <c r="T264"/>
      <c r="V264" s="18">
        <f>-SUM(B264:T264)</f>
        <v>0</v>
      </c>
      <c r="Z264" s="582">
        <f t="shared" ref="Z264:Z286" si="147">SUM(B264:Y264)</f>
        <v>0</v>
      </c>
    </row>
    <row r="265" spans="1:26" x14ac:dyDescent="0.2">
      <c r="A265" s="534"/>
      <c r="G265" s="535"/>
      <c r="H265" s="548"/>
      <c r="M265" s="535"/>
      <c r="N265" s="552"/>
      <c r="P265" s="534"/>
      <c r="S265" s="535"/>
      <c r="T265"/>
      <c r="Z265" s="582">
        <f t="shared" si="147"/>
        <v>0</v>
      </c>
    </row>
    <row r="266" spans="1:26" x14ac:dyDescent="0.2">
      <c r="A266" s="534"/>
      <c r="B266" s="184">
        <f>SUMIFS(GL_BS!$G:$G,GL_BS!$R:$R,'Global TARF'!$A$261,GL_BS!$S:$S,'Global TARF'!$A266,GL_BS!$A:$A,'Global TARF'!B$38)</f>
        <v>0</v>
      </c>
      <c r="C266" s="184">
        <f>SUMIFS(GL_BS!$G:$G,GL_BS!$R:$R,'Global TARF'!$A$261,GL_BS!$S:$S,'Global TARF'!$A266,GL_BS!$A:$A,'Global TARF'!C$8)</f>
        <v>0</v>
      </c>
      <c r="D266" s="184">
        <f>SUMIFS(GL_BS!$G:$G,GL_BS!$R:$R,'Global TARF'!$A$261,GL_BS!$S:$S,'Global TARF'!$A266,GL_BS!$A:$A,'Global TARF'!D$8)</f>
        <v>0</v>
      </c>
      <c r="E266" s="184">
        <f>SUMIFS(GL_BS!$G:$G,GL_BS!$R:$R,'Global TARF'!$A$261,GL_BS!$S:$S,'Global TARF'!$A266,GL_BS!$A:$A,'Global TARF'!E$8)</f>
        <v>0</v>
      </c>
      <c r="F266" s="184">
        <f>SUMIFS(GL_BS!$G:$G,GL_BS!$R:$R,'Global TARF'!$A$261,GL_BS!$S:$S,'Global TARF'!$A266,GL_BS!$A:$A,'Global TARF'!F$8)</f>
        <v>0</v>
      </c>
      <c r="G266" s="536">
        <f>SUMIFS(GL_BS!$G:$G,GL_BS!$R:$R,'Global TARF'!$A$261,GL_BS!$S:$S,'Global TARF'!$A266,GL_BS!$A:$A,'Global TARF'!G$8)</f>
        <v>0</v>
      </c>
      <c r="H266" s="547">
        <f>SUMIFS(GL_BS!$G:$G,GL_BS!$R:$R,'Global TARF'!$A$261,GL_BS!$S:$S,'Global TARF'!$A266,GL_BS!$A:$A,'Global TARF'!H$8)</f>
        <v>0</v>
      </c>
      <c r="I266" s="258">
        <f>SUMIFS(GL_BS!$G:$G,GL_BS!$R:$R,'Global TARF'!$A$261,GL_BS!$S:$S,'Global TARF'!$A266,GL_BS!$A:$A,'Global TARF'!I$8)</f>
        <v>0</v>
      </c>
      <c r="J266" s="258"/>
      <c r="K266" s="258"/>
      <c r="L266" s="184">
        <f>SUMIFS(GL_BS!$G:$G,GL_BS!$R:$R,'Global TARF'!$A$261,GL_BS!$S:$S,'Global TARF'!$A266,GL_BS!$A:$A,'Global TARF'!L$8)</f>
        <v>0</v>
      </c>
      <c r="M266" s="536">
        <f>SUMIFS(GL_BS!$G:$G,GL_BS!$R:$R,'Global TARF'!$A$261,GL_BS!$S:$S,'Global TARF'!$A266,GL_BS!$A:$A,'Global TARF'!M$8)</f>
        <v>0</v>
      </c>
      <c r="N266" s="555">
        <f>SUMIFS(GL_BS!$G:$G,GL_BS!$R:$R,'Global TARF'!$A$261,GL_BS!$S:$S,'Global TARF'!$A266,GL_BS!$A:$A,'Global TARF'!N$8)</f>
        <v>0</v>
      </c>
      <c r="O266" s="18">
        <f>SUMIFS(GL_BS!$G:$G,GL_BS!$R:$R,'Global TARF'!$A$261,GL_BS!$S:$S,'Global TARF'!$A266,GL_BS!$A:$A,'Global TARF'!O$8)</f>
        <v>0</v>
      </c>
      <c r="P266" s="545">
        <f>SUMIFS(GL_PL!$G:$G,GL_PL!$Q:$Q,'Global TARF'!$A$261,GL_PL!$R:$R,'Global TARF'!$A266,GL_PL!$A:$A,'Global TARF'!P$8)</f>
        <v>0</v>
      </c>
      <c r="Q266" s="184">
        <f>SUMIFS(GL_PL!$G:$G,GL_PL!$Q:$Q,'Global TARF'!$A$261,GL_PL!$R:$R,'Global TARF'!$A266,GL_PL!$A:$A,'Global TARF'!Q$8)</f>
        <v>0</v>
      </c>
      <c r="R266" s="184">
        <f>SUMIFS(GL_PL!$G:$G,GL_PL!$Q:$Q,'Global TARF'!$A$261,GL_PL!$R:$R,'Global TARF'!$A266,GL_PL!$A:$A,'Global TARF'!R$8)</f>
        <v>0</v>
      </c>
      <c r="S266" s="536">
        <f>SUMIFS(GL_PL!$G:$G,GL_PL!$Q:$Q,'Global TARF'!$A$261,GL_PL!$R:$R,'Global TARF'!$A266,GL_PL!$A:$A,'Global TARF'!S$8)</f>
        <v>0</v>
      </c>
      <c r="T266" s="26">
        <f>-P266</f>
        <v>0</v>
      </c>
      <c r="U266" s="26"/>
      <c r="Z266" s="582">
        <f t="shared" si="147"/>
        <v>0</v>
      </c>
    </row>
    <row r="267" spans="1:26" x14ac:dyDescent="0.2">
      <c r="A267" s="534"/>
      <c r="B267" s="184">
        <f>SUMIFS(GL_BS!$G:$G,GL_BS!$R:$R,'Global TARF'!$A$261,GL_BS!$S:$S,'Global TARF'!$A267,GL_BS!$A:$A,'Global TARF'!B$38)</f>
        <v>0</v>
      </c>
      <c r="C267" s="184">
        <f>SUMIFS(GL_BS!$G:$G,GL_BS!$R:$R,'Global TARF'!$A$261,GL_BS!$S:$S,'Global TARF'!$A267,GL_BS!$A:$A,'Global TARF'!C$8)</f>
        <v>0</v>
      </c>
      <c r="D267" s="184">
        <f>SUMIFS(GL_BS!$G:$G,GL_BS!$R:$R,'Global TARF'!$A$261,GL_BS!$S:$S,'Global TARF'!$A267,GL_BS!$A:$A,'Global TARF'!D$8)</f>
        <v>0</v>
      </c>
      <c r="E267" s="184">
        <f>SUMIFS(GL_BS!$G:$G,GL_BS!$R:$R,'Global TARF'!$A$261,GL_BS!$S:$S,'Global TARF'!$A267,GL_BS!$A:$A,'Global TARF'!E$8)</f>
        <v>0</v>
      </c>
      <c r="F267" s="184">
        <f>SUMIFS(GL_BS!$G:$G,GL_BS!$R:$R,'Global TARF'!$A$261,GL_BS!$S:$S,'Global TARF'!$A267,GL_BS!$A:$A,'Global TARF'!F$8)</f>
        <v>0</v>
      </c>
      <c r="G267" s="536">
        <f>SUMIFS(GL_BS!$G:$G,GL_BS!$R:$R,'Global TARF'!$A$261,GL_BS!$S:$S,'Global TARF'!$A267,GL_BS!$A:$A,'Global TARF'!G$8)</f>
        <v>0</v>
      </c>
      <c r="H267" s="547">
        <f>SUMIFS(GL_BS!$G:$G,GL_BS!$R:$R,'Global TARF'!$A$261,GL_BS!$S:$S,'Global TARF'!$A267,GL_BS!$A:$A,'Global TARF'!H$8)</f>
        <v>0</v>
      </c>
      <c r="I267" s="258">
        <f>SUMIFS(GL_BS!$G:$G,GL_BS!$R:$R,'Global TARF'!$A$261,GL_BS!$S:$S,'Global TARF'!$A267,GL_BS!$A:$A,'Global TARF'!I$8)</f>
        <v>0</v>
      </c>
      <c r="J267" s="258"/>
      <c r="K267" s="258"/>
      <c r="L267" s="184">
        <f>SUMIFS(GL_BS!$G:$G,GL_BS!$R:$R,'Global TARF'!$A$261,GL_BS!$S:$S,'Global TARF'!$A267,GL_BS!$A:$A,'Global TARF'!L$8)</f>
        <v>0</v>
      </c>
      <c r="M267" s="536">
        <f>SUMIFS(GL_BS!$G:$G,GL_BS!$R:$R,'Global TARF'!$A$261,GL_BS!$S:$S,'Global TARF'!$A267,GL_BS!$A:$A,'Global TARF'!M$8)</f>
        <v>0</v>
      </c>
      <c r="N267" s="555">
        <f>SUMIFS(GL_BS!$G:$G,GL_BS!$R:$R,'Global TARF'!$A$261,GL_BS!$S:$S,'Global TARF'!$A267,GL_BS!$A:$A,'Global TARF'!N$8)</f>
        <v>0</v>
      </c>
      <c r="O267" s="18">
        <f>SUMIFS(GL_BS!$G:$G,GL_BS!$R:$R,'Global TARF'!$A$261,GL_BS!$S:$S,'Global TARF'!$A267,GL_BS!$A:$A,'Global TARF'!O$8)</f>
        <v>0</v>
      </c>
      <c r="P267" s="545">
        <f>SUMIFS(GL_PL!$G:$G,GL_PL!$Q:$Q,'Global TARF'!$A$261,GL_PL!$R:$R,'Global TARF'!$A267,GL_PL!$A:$A,'Global TARF'!P$8)</f>
        <v>0</v>
      </c>
      <c r="Q267" s="184">
        <f>SUMIFS(GL_PL!$G:$G,GL_PL!$Q:$Q,'Global TARF'!$A$261,GL_PL!$R:$R,'Global TARF'!$A267,GL_PL!$A:$A,'Global TARF'!Q$8)</f>
        <v>0</v>
      </c>
      <c r="R267" s="184">
        <f>SUMIFS(GL_PL!$G:$G,GL_PL!$Q:$Q,'Global TARF'!$A$261,GL_PL!$R:$R,'Global TARF'!$A267,GL_PL!$A:$A,'Global TARF'!R$8)</f>
        <v>0</v>
      </c>
      <c r="S267" s="536">
        <f>SUMIFS(GL_PL!$G:$G,GL_PL!$Q:$Q,'Global TARF'!$A$261,GL_PL!$R:$R,'Global TARF'!$A267,GL_PL!$A:$A,'Global TARF'!S$8)</f>
        <v>0</v>
      </c>
      <c r="T267" s="26">
        <f>-SUM(P267,H267,C267,Q267,R267)</f>
        <v>0</v>
      </c>
      <c r="U267" s="26"/>
      <c r="Z267" s="582">
        <f t="shared" si="147"/>
        <v>0</v>
      </c>
    </row>
    <row r="268" spans="1:26" x14ac:dyDescent="0.2">
      <c r="A268" s="534" t="s">
        <v>780</v>
      </c>
      <c r="B268" s="184">
        <f>SUMIFS(GL_BS!$G:$G,GL_BS!$R:$R,'Global TARF'!$A$261,GL_BS!$S:$S,'Global TARF'!$A268,GL_BS!$A:$A,'Global TARF'!B$38)</f>
        <v>0</v>
      </c>
      <c r="C268" s="184">
        <f>SUMIFS(GL_BS!$G:$G,GL_BS!$R:$R,'Global TARF'!$A$261,GL_BS!$S:$S,'Global TARF'!$A268,GL_BS!$A:$A,'Global TARF'!C$8)</f>
        <v>0</v>
      </c>
      <c r="D268" s="184">
        <f>SUMIFS(GL_BS!$G:$G,GL_BS!$R:$R,'Global TARF'!$A$261,GL_BS!$S:$S,'Global TARF'!$A268,GL_BS!$A:$A,'Global TARF'!D$8)</f>
        <v>0</v>
      </c>
      <c r="E268" s="184">
        <f>SUMIFS(GL_BS!$G:$G,GL_BS!$R:$R,'Global TARF'!$A$261,GL_BS!$S:$S,'Global TARF'!$A268,GL_BS!$A:$A,'Global TARF'!E$8)</f>
        <v>0</v>
      </c>
      <c r="F268" s="184">
        <f>SUMIFS(GL_BS!$G:$G,GL_BS!$R:$R,'Global TARF'!$A$261,GL_BS!$S:$S,'Global TARF'!$A268,GL_BS!$A:$A,'Global TARF'!F$8)</f>
        <v>0</v>
      </c>
      <c r="G268" s="536">
        <f>SUMIFS(GL_BS!$G:$G,GL_BS!$R:$R,'Global TARF'!$A$261,GL_BS!$S:$S,'Global TARF'!$A268,GL_BS!$A:$A,'Global TARF'!G$8)</f>
        <v>0</v>
      </c>
      <c r="H268" s="547">
        <f>SUMIFS(GL_BS!$G:$G,GL_BS!$R:$R,'Global TARF'!$A$261,GL_BS!$S:$S,'Global TARF'!$A268,GL_BS!$A:$A,'Global TARF'!H$8)</f>
        <v>0</v>
      </c>
      <c r="I268" s="258">
        <f>SUMIFS(GL_BS!$G:$G,GL_BS!$R:$R,'Global TARF'!$A$261,GL_BS!$S:$S,'Global TARF'!$A268,GL_BS!$A:$A,'Global TARF'!I$8)</f>
        <v>0</v>
      </c>
      <c r="J268" s="184">
        <f>SUMIFS(GL_BS!$G:$G,GL_BS!$R:$R,'Global TARF'!$A$261,GL_BS!$S:$S,'Global TARF'!$A268,GL_BS!$A:$A,'Global TARF'!J$8)</f>
        <v>0</v>
      </c>
      <c r="K268" s="184">
        <f>SUMIFS(GL_BS!$G:$G,GL_BS!$R:$R,'Global TARF'!$A$261,GL_BS!$S:$S,'Global TARF'!$A268,GL_BS!$A:$A,'Global TARF'!K$8)</f>
        <v>0</v>
      </c>
      <c r="L268" s="184">
        <f>SUMIFS(GL_BS!$G:$G,GL_BS!$R:$R,'Global TARF'!$A$261,GL_BS!$S:$S,'Global TARF'!$A268,GL_BS!$A:$A,'Global TARF'!L$8)</f>
        <v>0</v>
      </c>
      <c r="M268" s="536">
        <f>SUMIFS(GL_BS!$G:$G,GL_BS!$R:$R,'Global TARF'!$A$261,GL_BS!$S:$S,'Global TARF'!$A268,GL_BS!$A:$A,'Global TARF'!M$8)</f>
        <v>0</v>
      </c>
      <c r="N268" s="555">
        <f>SUMIFS(GL_BS!$G:$G,GL_BS!$R:$R,'Global TARF'!$A$261,GL_BS!$S:$S,'Global TARF'!$A268,GL_BS!$A:$A,'Global TARF'!N$8)</f>
        <v>0</v>
      </c>
      <c r="O268" s="18">
        <f>SUMIFS(GL_BS!$G:$G,GL_BS!$R:$R,'Global TARF'!$A$261,GL_BS!$S:$S,'Global TARF'!$A268,GL_BS!$A:$A,'Global TARF'!O$8)</f>
        <v>0</v>
      </c>
      <c r="P268" s="545">
        <f>SUMIFS(GL_PL!$G:$G,GL_PL!$Q:$Q,'Global TARF'!$A$261,GL_PL!$R:$R,'Global TARF'!$A268,GL_PL!$A:$A,'Global TARF'!P$8)</f>
        <v>0</v>
      </c>
      <c r="Q268" s="184">
        <f>SUMIFS(GL_PL!$G:$G,GL_PL!$Q:$Q,'Global TARF'!$A$261,GL_PL!$R:$R,'Global TARF'!$A268,GL_PL!$A:$A,'Global TARF'!Q$8)</f>
        <v>0</v>
      </c>
      <c r="R268" s="184">
        <f>SUMIFS(GL_PL!$G:$G,GL_PL!$Q:$Q,'Global TARF'!$A$261,GL_PL!$R:$R,'Global TARF'!$A268,GL_PL!$A:$A,'Global TARF'!R$8)</f>
        <v>0</v>
      </c>
      <c r="S268" s="536">
        <f>SUMIFS(GL_PL!$G:$G,GL_PL!$Q:$Q,'Global TARF'!$A$261,GL_PL!$R:$R,'Global TARF'!$A268,GL_PL!$A:$A,'Global TARF'!S$8)</f>
        <v>0</v>
      </c>
      <c r="T268" s="26">
        <f>-SUM(P268:R268,H268,C268)</f>
        <v>0</v>
      </c>
      <c r="U268" s="26"/>
      <c r="Z268" s="582">
        <f t="shared" si="147"/>
        <v>0</v>
      </c>
    </row>
    <row r="269" spans="1:26" x14ac:dyDescent="0.2">
      <c r="A269" s="534" t="s">
        <v>781</v>
      </c>
      <c r="B269" s="184">
        <f>SUMIFS(GL_BS!$G:$G,GL_BS!$R:$R,'Global TARF'!$A$261,GL_BS!$S:$S,'Global TARF'!$A269,GL_BS!$A:$A,'Global TARF'!B$38)</f>
        <v>0</v>
      </c>
      <c r="C269" s="184">
        <f>SUMIFS(GL_BS!$G:$G,GL_BS!$R:$R,'Global TARF'!$A$261,GL_BS!$S:$S,'Global TARF'!$A269,GL_BS!$A:$A,'Global TARF'!C$8)</f>
        <v>0</v>
      </c>
      <c r="D269" s="184">
        <f>SUMIFS(GL_BS!$G:$G,GL_BS!$R:$R,'Global TARF'!$A$261,GL_BS!$S:$S,'Global TARF'!$A269,GL_BS!$A:$A,'Global TARF'!D$8)</f>
        <v>0</v>
      </c>
      <c r="E269" s="184">
        <f>SUMIFS(GL_BS!$G:$G,GL_BS!$R:$R,'Global TARF'!$A$261,GL_BS!$S:$S,'Global TARF'!$A269,GL_BS!$A:$A,'Global TARF'!E$8)</f>
        <v>0</v>
      </c>
      <c r="F269" s="184">
        <f>SUMIFS(GL_BS!$G:$G,GL_BS!$R:$R,'Global TARF'!$A$261,GL_BS!$S:$S,'Global TARF'!$A269,GL_BS!$A:$A,'Global TARF'!F$8)</f>
        <v>0</v>
      </c>
      <c r="G269" s="536">
        <f>SUMIFS(GL_BS!$G:$G,GL_BS!$R:$R,'Global TARF'!$A$261,GL_BS!$S:$S,'Global TARF'!$A269,GL_BS!$A:$A,'Global TARF'!G$8)</f>
        <v>0</v>
      </c>
      <c r="H269" s="547">
        <f>SUMIFS(GL_BS!$G:$G,GL_BS!$R:$R,'Global TARF'!$A$261,GL_BS!$S:$S,'Global TARF'!$A269,GL_BS!$A:$A,'Global TARF'!H$8)</f>
        <v>0</v>
      </c>
      <c r="I269" s="258">
        <f>SUMIFS(GL_BS!$G:$G,GL_BS!$R:$R,'Global TARF'!$A$261,GL_BS!$S:$S,'Global TARF'!$A269,GL_BS!$A:$A,'Global TARF'!I$8)</f>
        <v>0</v>
      </c>
      <c r="J269" s="184">
        <f>SUMIFS(GL_BS!$G:$G,GL_BS!$R:$R,'Global TARF'!$A$261,GL_BS!$S:$S,'Global TARF'!$A269,GL_BS!$A:$A,'Global TARF'!J$8)</f>
        <v>0</v>
      </c>
      <c r="K269" s="184">
        <f>SUMIFS(GL_BS!$G:$G,GL_BS!$R:$R,'Global TARF'!$A$261,GL_BS!$S:$S,'Global TARF'!$A269,GL_BS!$A:$A,'Global TARF'!K$8)</f>
        <v>0</v>
      </c>
      <c r="L269" s="184">
        <f>SUMIFS(GL_BS!$G:$G,GL_BS!$R:$R,'Global TARF'!$A$261,GL_BS!$S:$S,'Global TARF'!$A269,GL_BS!$A:$A,'Global TARF'!L$8)</f>
        <v>0</v>
      </c>
      <c r="M269" s="536">
        <f>SUMIFS(GL_BS!$G:$G,GL_BS!$R:$R,'Global TARF'!$A$261,GL_BS!$S:$S,'Global TARF'!$A269,GL_BS!$A:$A,'Global TARF'!M$8)</f>
        <v>0</v>
      </c>
      <c r="N269" s="555">
        <f>SUMIFS(GL_BS!$G:$G,GL_BS!$R:$R,'Global TARF'!$A$261,GL_BS!$S:$S,'Global TARF'!$A269,GL_BS!$A:$A,'Global TARF'!N$8)</f>
        <v>0</v>
      </c>
      <c r="O269" s="18">
        <f>SUMIFS(GL_BS!$G:$G,GL_BS!$R:$R,'Global TARF'!$A$261,GL_BS!$S:$S,'Global TARF'!$A269,GL_BS!$A:$A,'Global TARF'!O$8)</f>
        <v>0</v>
      </c>
      <c r="P269" s="545">
        <f>SUMIFS(GL_PL!$G:$G,GL_PL!$Q:$Q,'Global TARF'!$A$261,GL_PL!$R:$R,'Global TARF'!$A269,GL_PL!$A:$A,'Global TARF'!P$8)</f>
        <v>0</v>
      </c>
      <c r="Q269" s="184">
        <f>SUMIFS(GL_PL!$G:$G,GL_PL!$Q:$Q,'Global TARF'!$A$261,GL_PL!$R:$R,'Global TARF'!$A269,GL_PL!$A:$A,'Global TARF'!Q$8)</f>
        <v>0</v>
      </c>
      <c r="R269" s="184">
        <f>SUMIFS(GL_PL!$G:$G,GL_PL!$Q:$Q,'Global TARF'!$A$261,GL_PL!$R:$R,'Global TARF'!$A269,GL_PL!$A:$A,'Global TARF'!R$8)</f>
        <v>0</v>
      </c>
      <c r="S269" s="536">
        <f>SUMIFS(GL_PL!$G:$G,GL_PL!$Q:$Q,'Global TARF'!$A$261,GL_PL!$R:$R,'Global TARF'!$A269,GL_PL!$A:$A,'Global TARF'!S$8)</f>
        <v>0</v>
      </c>
      <c r="T269"/>
      <c r="U269" s="26">
        <f>-C269</f>
        <v>0</v>
      </c>
      <c r="Z269" s="582">
        <f t="shared" si="147"/>
        <v>0</v>
      </c>
    </row>
    <row r="270" spans="1:26" x14ac:dyDescent="0.2">
      <c r="A270" s="534" t="s">
        <v>782</v>
      </c>
      <c r="B270" s="184">
        <f>SUMIFS(GL_BS!$G:$G,GL_BS!$R:$R,'Global TARF'!$A$261,GL_BS!$S:$S,'Global TARF'!$A270,GL_BS!$A:$A,'Global TARF'!B$38)</f>
        <v>0</v>
      </c>
      <c r="C270" s="184">
        <f>SUMIFS(GL_BS!$G:$G,GL_BS!$R:$R,'Global TARF'!$A$261,GL_BS!$S:$S,'Global TARF'!$A270,GL_BS!$A:$A,'Global TARF'!C$8)</f>
        <v>0</v>
      </c>
      <c r="D270" s="184">
        <f>SUMIFS(GL_BS!$G:$G,GL_BS!$R:$R,'Global TARF'!$A$261,GL_BS!$S:$S,'Global TARF'!$A270,GL_BS!$A:$A,'Global TARF'!D$8)</f>
        <v>0</v>
      </c>
      <c r="E270" s="184">
        <f>SUMIFS(GL_BS!$G:$G,GL_BS!$R:$R,'Global TARF'!$A$261,GL_BS!$S:$S,'Global TARF'!$A270,GL_BS!$A:$A,'Global TARF'!E$8)</f>
        <v>0</v>
      </c>
      <c r="F270" s="184">
        <f>SUMIFS(GL_BS!$G:$G,GL_BS!$R:$R,'Global TARF'!$A$261,GL_BS!$S:$S,'Global TARF'!$A270,GL_BS!$A:$A,'Global TARF'!F$8)</f>
        <v>0</v>
      </c>
      <c r="G270" s="536">
        <f>SUMIFS(GL_BS!$G:$G,GL_BS!$R:$R,'Global TARF'!$A$261,GL_BS!$S:$S,'Global TARF'!$A270,GL_BS!$A:$A,'Global TARF'!G$8)</f>
        <v>0</v>
      </c>
      <c r="H270" s="547">
        <f>SUMIFS(GL_BS!$G:$G,GL_BS!$R:$R,'Global TARF'!$A$261,GL_BS!$S:$S,'Global TARF'!$A270,GL_BS!$A:$A,'Global TARF'!H$8)</f>
        <v>0</v>
      </c>
      <c r="I270" s="258">
        <f>SUMIFS(GL_BS!$G:$G,GL_BS!$R:$R,'Global TARF'!$A$261,GL_BS!$S:$S,'Global TARF'!$A270,GL_BS!$A:$A,'Global TARF'!I$8)</f>
        <v>0</v>
      </c>
      <c r="J270" s="184">
        <f>SUMIFS(GL_BS!$G:$G,GL_BS!$R:$R,'Global TARF'!$A$261,GL_BS!$S:$S,'Global TARF'!$A270,GL_BS!$A:$A,'Global TARF'!J$8)</f>
        <v>0</v>
      </c>
      <c r="K270" s="184">
        <f>SUMIFS(GL_BS!$G:$G,GL_BS!$R:$R,'Global TARF'!$A$261,GL_BS!$S:$S,'Global TARF'!$A270,GL_BS!$A:$A,'Global TARF'!K$8)</f>
        <v>0</v>
      </c>
      <c r="L270" s="184">
        <f>SUMIFS(GL_BS!$G:$G,GL_BS!$R:$R,'Global TARF'!$A$261,GL_BS!$S:$S,'Global TARF'!$A270,GL_BS!$A:$A,'Global TARF'!L$8)</f>
        <v>0</v>
      </c>
      <c r="M270" s="536">
        <f>SUMIFS(GL_BS!$G:$G,GL_BS!$R:$R,'Global TARF'!$A$261,GL_BS!$S:$S,'Global TARF'!$A270,GL_BS!$A:$A,'Global TARF'!M$8)</f>
        <v>0</v>
      </c>
      <c r="N270" s="555">
        <f>SUMIFS(GL_BS!$G:$G,GL_BS!$R:$R,'Global TARF'!$A$261,GL_BS!$S:$S,'Global TARF'!$A270,GL_BS!$A:$A,'Global TARF'!N$8)</f>
        <v>0</v>
      </c>
      <c r="O270" s="18">
        <f>SUMIFS(GL_BS!$G:$G,GL_BS!$R:$R,'Global TARF'!$A$261,GL_BS!$S:$S,'Global TARF'!$A270,GL_BS!$A:$A,'Global TARF'!O$8)</f>
        <v>0</v>
      </c>
      <c r="P270" s="545">
        <f>SUMIFS(GL_PL!$G:$G,GL_PL!$Q:$Q,'Global TARF'!$A$261,GL_PL!$R:$R,'Global TARF'!$A270,GL_PL!$A:$A,'Global TARF'!P$8)</f>
        <v>0</v>
      </c>
      <c r="Q270" s="184">
        <f>SUMIFS(GL_PL!$G:$G,GL_PL!$Q:$Q,'Global TARF'!$A$261,GL_PL!$R:$R,'Global TARF'!$A270,GL_PL!$A:$A,'Global TARF'!Q$8)</f>
        <v>0</v>
      </c>
      <c r="R270" s="184">
        <f>SUMIFS(GL_PL!$G:$G,GL_PL!$Q:$Q,'Global TARF'!$A$261,GL_PL!$R:$R,'Global TARF'!$A270,GL_PL!$A:$A,'Global TARF'!R$8)</f>
        <v>0</v>
      </c>
      <c r="S270" s="536">
        <f>SUMIFS(GL_PL!$G:$G,GL_PL!$Q:$Q,'Global TARF'!$A$261,GL_PL!$R:$R,'Global TARF'!$A270,GL_PL!$A:$A,'Global TARF'!S$8)</f>
        <v>0</v>
      </c>
      <c r="T270" s="26">
        <f>-C270-H270</f>
        <v>0</v>
      </c>
      <c r="U270" s="26"/>
      <c r="Z270" s="582">
        <f t="shared" si="147"/>
        <v>0</v>
      </c>
    </row>
    <row r="271" spans="1:26" x14ac:dyDescent="0.2">
      <c r="A271" s="534" t="s">
        <v>950</v>
      </c>
      <c r="B271" s="184">
        <f>SUMIFS(GL_BS!$G:$G,GL_BS!$R:$R,'Global TARF'!$A$261,GL_BS!$S:$S,'Global TARF'!$A271,GL_BS!$A:$A,'Global TARF'!B$38)</f>
        <v>0</v>
      </c>
      <c r="C271" s="184">
        <f>SUMIFS(GL_BS!$G:$G,GL_BS!$R:$R,'Global TARF'!$A$261,GL_BS!$S:$S,'Global TARF'!$A271,GL_BS!$A:$A,'Global TARF'!C$8)</f>
        <v>0</v>
      </c>
      <c r="D271" s="184">
        <f>SUMIFS(GL_BS!$G:$G,GL_BS!$R:$R,'Global TARF'!$A$261,GL_BS!$S:$S,'Global TARF'!$A271,GL_BS!$A:$A,'Global TARF'!D$8)</f>
        <v>0</v>
      </c>
      <c r="E271" s="184">
        <f>SUMIFS(GL_BS!$G:$G,GL_BS!$R:$R,'Global TARF'!$A$261,GL_BS!$S:$S,'Global TARF'!$A271,GL_BS!$A:$A,'Global TARF'!E$8)</f>
        <v>0</v>
      </c>
      <c r="F271" s="184">
        <f>SUMIFS(GL_BS!$G:$G,GL_BS!$R:$R,'Global TARF'!$A$261,GL_BS!$S:$S,'Global TARF'!$A271,GL_BS!$A:$A,'Global TARF'!F$8)</f>
        <v>0</v>
      </c>
      <c r="G271" s="536">
        <f>SUMIFS(GL_BS!$G:$G,GL_BS!$R:$R,'Global TARF'!$A$261,GL_BS!$S:$S,'Global TARF'!$A271,GL_BS!$A:$A,'Global TARF'!G$8)</f>
        <v>0</v>
      </c>
      <c r="H271" s="547">
        <f>SUMIFS(GL_BS!$G:$G,GL_BS!$R:$R,'Global TARF'!$A$261,GL_BS!$S:$S,'Global TARF'!$A271,GL_BS!$A:$A,'Global TARF'!H$8)</f>
        <v>0</v>
      </c>
      <c r="I271" s="258">
        <f>SUMIFS(GL_BS!$G:$G,GL_BS!$R:$R,'Global TARF'!$A$261,GL_BS!$S:$S,'Global TARF'!$A271,GL_BS!$A:$A,'Global TARF'!I$8)</f>
        <v>0</v>
      </c>
      <c r="J271" s="184">
        <f>SUMIFS(GL_BS!$G:$G,GL_BS!$R:$R,'Global TARF'!$A$261,GL_BS!$S:$S,'Global TARF'!$A271,GL_BS!$A:$A,'Global TARF'!J$8)</f>
        <v>0</v>
      </c>
      <c r="K271" s="184">
        <f>SUMIFS(GL_BS!$G:$G,GL_BS!$R:$R,'Global TARF'!$A$261,GL_BS!$S:$S,'Global TARF'!$A271,GL_BS!$A:$A,'Global TARF'!K$8)</f>
        <v>0</v>
      </c>
      <c r="L271" s="184">
        <f>SUMIFS(GL_BS!$G:$G,GL_BS!$R:$R,'Global TARF'!$A$261,GL_BS!$S:$S,'Global TARF'!$A271,GL_BS!$A:$A,'Global TARF'!L$8)</f>
        <v>0</v>
      </c>
      <c r="M271" s="536">
        <f>SUMIFS(GL_BS!$G:$G,GL_BS!$R:$R,'Global TARF'!$A$261,GL_BS!$S:$S,'Global TARF'!$A271,GL_BS!$A:$A,'Global TARF'!M$8)</f>
        <v>0</v>
      </c>
      <c r="N271" s="555">
        <f>SUMIFS(GL_BS!$G:$G,GL_BS!$R:$R,'Global TARF'!$A$261,GL_BS!$S:$S,'Global TARF'!$A271,GL_BS!$A:$A,'Global TARF'!N$8)</f>
        <v>0</v>
      </c>
      <c r="O271" s="18">
        <f>SUMIFS(GL_BS!$G:$G,GL_BS!$R:$R,'Global TARF'!$A$261,GL_BS!$S:$S,'Global TARF'!$A271,GL_BS!$A:$A,'Global TARF'!O$8)</f>
        <v>0</v>
      </c>
      <c r="P271" s="545">
        <f>SUMIFS(GL_PL!$G:$G,GL_PL!$Q:$Q,'Global TARF'!$A$261,GL_PL!$R:$R,'Global TARF'!$A271,GL_PL!$A:$A,'Global TARF'!P$8)</f>
        <v>0</v>
      </c>
      <c r="Q271" s="184">
        <f>SUMIFS(GL_PL!$G:$G,GL_PL!$Q:$Q,'Global TARF'!$A$261,GL_PL!$R:$R,'Global TARF'!$A271,GL_PL!$A:$A,'Global TARF'!Q$8)</f>
        <v>0</v>
      </c>
      <c r="R271" s="184">
        <f>SUMIFS(GL_PL!$G:$G,GL_PL!$Q:$Q,'Global TARF'!$A$261,GL_PL!$R:$R,'Global TARF'!$A271,GL_PL!$A:$A,'Global TARF'!R$8)</f>
        <v>0</v>
      </c>
      <c r="S271" s="536">
        <f>SUMIFS(GL_PL!$G:$G,GL_PL!$Q:$Q,'Global TARF'!$A$261,GL_PL!$R:$R,'Global TARF'!$A271,GL_PL!$A:$A,'Global TARF'!S$8)</f>
        <v>0</v>
      </c>
      <c r="T271" s="26">
        <f>-C271</f>
        <v>0</v>
      </c>
      <c r="U271" s="26"/>
      <c r="Z271" s="582">
        <f t="shared" si="147"/>
        <v>0</v>
      </c>
    </row>
    <row r="272" spans="1:26" x14ac:dyDescent="0.2">
      <c r="A272" s="534" t="s">
        <v>4586</v>
      </c>
      <c r="B272" s="184">
        <f>SUMIFS(GL_BS!$G:$G,GL_BS!$R:$R,'Global TARF'!$A$261,GL_BS!$S:$S,'Global TARF'!$A272,GL_BS!$A:$A,'Global TARF'!B$38)</f>
        <v>0</v>
      </c>
      <c r="C272" s="184">
        <f>SUMIFS(GL_BS!$G:$G,GL_BS!$R:$R,'Global TARF'!$A$261,GL_BS!$S:$S,'Global TARF'!$A272,GL_BS!$A:$A,'Global TARF'!C$8)</f>
        <v>0</v>
      </c>
      <c r="D272" s="184">
        <f>SUMIFS(GL_BS!$G:$G,GL_BS!$R:$R,'Global TARF'!$A$261,GL_BS!$S:$S,'Global TARF'!$A272,GL_BS!$A:$A,'Global TARF'!D$8)</f>
        <v>0</v>
      </c>
      <c r="E272" s="184">
        <f>SUMIFS(GL_BS!$G:$G,GL_BS!$R:$R,'Global TARF'!$A$261,GL_BS!$S:$S,'Global TARF'!$A272,GL_BS!$A:$A,'Global TARF'!E$8)</f>
        <v>0</v>
      </c>
      <c r="F272" s="184">
        <f>SUMIFS(GL_BS!$G:$G,GL_BS!$R:$R,'Global TARF'!$A$261,GL_BS!$S:$S,'Global TARF'!$A272,GL_BS!$A:$A,'Global TARF'!F$8)</f>
        <v>0</v>
      </c>
      <c r="G272" s="536">
        <f>SUMIFS(GL_BS!$G:$G,GL_BS!$R:$R,'Global TARF'!$A$261,GL_BS!$S:$S,'Global TARF'!$A272,GL_BS!$A:$A,'Global TARF'!G$8)</f>
        <v>0</v>
      </c>
      <c r="H272" s="547">
        <f>SUMIFS(GL_BS!$G:$G,GL_BS!$R:$R,'Global TARF'!$A$261,GL_BS!$S:$S,'Global TARF'!$A272,GL_BS!$A:$A,'Global TARF'!H$8)</f>
        <v>0</v>
      </c>
      <c r="I272" s="258">
        <f>SUMIFS(GL_BS!$G:$G,GL_BS!$R:$R,'Global TARF'!$A$261,GL_BS!$S:$S,'Global TARF'!$A272,GL_BS!$A:$A,'Global TARF'!I$8)</f>
        <v>0</v>
      </c>
      <c r="J272" s="184">
        <f>SUMIFS(GL_BS!$G:$G,GL_BS!$R:$R,'Global TARF'!$A$261,GL_BS!$S:$S,'Global TARF'!$A272,GL_BS!$A:$A,'Global TARF'!J$8)</f>
        <v>0</v>
      </c>
      <c r="K272" s="184">
        <f>SUMIFS(GL_BS!$G:$G,GL_BS!$R:$R,'Global TARF'!$A$261,GL_BS!$S:$S,'Global TARF'!$A272,GL_BS!$A:$A,'Global TARF'!K$8)</f>
        <v>0</v>
      </c>
      <c r="L272" s="184">
        <f>SUMIFS(GL_BS!$G:$G,GL_BS!$R:$R,'Global TARF'!$A$261,GL_BS!$S:$S,'Global TARF'!$A272,GL_BS!$A:$A,'Global TARF'!L$8)</f>
        <v>0</v>
      </c>
      <c r="M272" s="536">
        <f>SUMIFS(GL_BS!$G:$G,GL_BS!$R:$R,'Global TARF'!$A$261,GL_BS!$S:$S,'Global TARF'!$A272,GL_BS!$A:$A,'Global TARF'!M$8)</f>
        <v>0</v>
      </c>
      <c r="N272" s="555">
        <f>SUMIFS(GL_BS!$G:$G,GL_BS!$R:$R,'Global TARF'!$A$261,GL_BS!$S:$S,'Global TARF'!$A272,GL_BS!$A:$A,'Global TARF'!N$8)</f>
        <v>0</v>
      </c>
      <c r="O272" s="18">
        <f>SUMIFS(GL_BS!$G:$G,GL_BS!$R:$R,'Global TARF'!$A$261,GL_BS!$S:$S,'Global TARF'!$A272,GL_BS!$A:$A,'Global TARF'!O$8)</f>
        <v>0</v>
      </c>
      <c r="P272" s="545">
        <f>SUMIFS(GL_PL!$G:$G,GL_PL!$Q:$Q,'Global TARF'!$A$261,GL_PL!$R:$R,'Global TARF'!$A272,GL_PL!$A:$A,'Global TARF'!P$8)</f>
        <v>0</v>
      </c>
      <c r="Q272" s="184">
        <f>SUMIFS(GL_PL!$G:$G,GL_PL!$Q:$Q,'Global TARF'!$A$261,GL_PL!$R:$R,'Global TARF'!$A272,GL_PL!$A:$A,'Global TARF'!Q$8)</f>
        <v>0</v>
      </c>
      <c r="R272" s="184">
        <f>SUMIFS(GL_PL!$G:$G,GL_PL!$Q:$Q,'Global TARF'!$A$261,GL_PL!$R:$R,'Global TARF'!$A272,GL_PL!$A:$A,'Global TARF'!R$8)</f>
        <v>0</v>
      </c>
      <c r="S272" s="536">
        <f>SUMIFS(GL_PL!$G:$G,GL_PL!$Q:$Q,'Global TARF'!$A$261,GL_PL!$R:$R,'Global TARF'!$A272,GL_PL!$A:$A,'Global TARF'!S$8)</f>
        <v>0</v>
      </c>
      <c r="T272"/>
      <c r="Z272" s="582">
        <f t="shared" si="147"/>
        <v>0</v>
      </c>
    </row>
    <row r="273" spans="1:27" x14ac:dyDescent="0.2">
      <c r="A273" s="534" t="s">
        <v>779</v>
      </c>
      <c r="B273" s="184">
        <f>SUMIFS(GL_BS!$G:$G,GL_BS!$R:$R,'Global TARF'!$A$261,GL_BS!$S:$S,'Global TARF'!$A273,GL_BS!$A:$A,'Global TARF'!B$38)</f>
        <v>0</v>
      </c>
      <c r="C273" s="184">
        <f>SUMIFS(GL_BS!$G:$G,GL_BS!$R:$R,'Global TARF'!$A$261,GL_BS!$S:$S,'Global TARF'!$A273,GL_BS!$A:$A,'Global TARF'!C$8)</f>
        <v>0</v>
      </c>
      <c r="D273" s="184">
        <f>SUMIFS(GL_BS!$G:$G,GL_BS!$R:$R,'Global TARF'!$A$261,GL_BS!$S:$S,'Global TARF'!$A273,GL_BS!$A:$A,'Global TARF'!D$8)</f>
        <v>0</v>
      </c>
      <c r="E273" s="184">
        <f>SUMIFS(GL_BS!$G:$G,GL_BS!$R:$R,'Global TARF'!$A$261,GL_BS!$S:$S,'Global TARF'!$A273,GL_BS!$A:$A,'Global TARF'!E$8)</f>
        <v>0</v>
      </c>
      <c r="F273" s="184">
        <f>SUMIFS(GL_BS!$G:$G,GL_BS!$R:$R,'Global TARF'!$A$261,GL_BS!$S:$S,'Global TARF'!$A273,GL_BS!$A:$A,'Global TARF'!F$8)</f>
        <v>0</v>
      </c>
      <c r="G273" s="536">
        <f>SUMIFS(GL_BS!$G:$G,GL_BS!$R:$R,'Global TARF'!$A$261,GL_BS!$S:$S,'Global TARF'!$A273,GL_BS!$A:$A,'Global TARF'!G$8)</f>
        <v>0</v>
      </c>
      <c r="H273" s="547">
        <f>SUMIFS(GL_BS!$G:$G,GL_BS!$R:$R,'Global TARF'!$A$261,GL_BS!$S:$S,'Global TARF'!$A273,GL_BS!$A:$A,'Global TARF'!H$8)</f>
        <v>0</v>
      </c>
      <c r="I273" s="258">
        <f>SUMIFS(GL_BS!$G:$G,GL_BS!$R:$R,'Global TARF'!$A$261,GL_BS!$S:$S,'Global TARF'!$A273,GL_BS!$A:$A,'Global TARF'!I$8)</f>
        <v>0</v>
      </c>
      <c r="J273" s="184">
        <f>SUMIFS(GL_BS!$G:$G,GL_BS!$R:$R,'Global TARF'!$A$261,GL_BS!$S:$S,'Global TARF'!$A273,GL_BS!$A:$A,'Global TARF'!J$8)</f>
        <v>0</v>
      </c>
      <c r="K273" s="184">
        <f>SUMIFS(GL_BS!$G:$G,GL_BS!$R:$R,'Global TARF'!$A$261,GL_BS!$S:$S,'Global TARF'!$A273,GL_BS!$A:$A,'Global TARF'!K$8)</f>
        <v>0</v>
      </c>
      <c r="L273" s="184">
        <f>SUMIFS(GL_BS!$G:$G,GL_BS!$R:$R,'Global TARF'!$A$261,GL_BS!$S:$S,'Global TARF'!$A273,GL_BS!$A:$A,'Global TARF'!L$8)</f>
        <v>0</v>
      </c>
      <c r="M273" s="536">
        <f>SUMIFS(GL_BS!$G:$G,GL_BS!$R:$R,'Global TARF'!$A$261,GL_BS!$S:$S,'Global TARF'!$A273,GL_BS!$A:$A,'Global TARF'!M$8)</f>
        <v>0</v>
      </c>
      <c r="N273" s="555">
        <f>SUMIFS(GL_BS!$G:$G,GL_BS!$R:$R,'Global TARF'!$A$261,GL_BS!$S:$S,'Global TARF'!$A273,GL_BS!$A:$A,'Global TARF'!N$8)</f>
        <v>0</v>
      </c>
      <c r="O273" s="18">
        <f>SUMIFS(GL_BS!$G:$G,GL_BS!$R:$R,'Global TARF'!$A$261,GL_BS!$S:$S,'Global TARF'!$A273,GL_BS!$A:$A,'Global TARF'!O$8)</f>
        <v>0</v>
      </c>
      <c r="P273" s="545">
        <f>SUMIFS(GL_PL!$G:$G,GL_PL!$Q:$Q,'Global TARF'!$A$261,GL_PL!$R:$R,'Global TARF'!$A273,GL_PL!$A:$A,'Global TARF'!P$8)</f>
        <v>0</v>
      </c>
      <c r="Q273" s="184">
        <f>SUMIFS(GL_PL!$G:$G,GL_PL!$Q:$Q,'Global TARF'!$A$261,GL_PL!$R:$R,'Global TARF'!$A273,GL_PL!$A:$A,'Global TARF'!Q$8)</f>
        <v>0</v>
      </c>
      <c r="R273" s="184">
        <f>SUMIFS(GL_PL!$G:$G,GL_PL!$Q:$Q,'Global TARF'!$A$261,GL_PL!$R:$R,'Global TARF'!$A273,GL_PL!$A:$A,'Global TARF'!R$8)</f>
        <v>0</v>
      </c>
      <c r="S273" s="536">
        <f>SUMIFS(GL_PL!$G:$G,GL_PL!$Q:$Q,'Global TARF'!$A$261,GL_PL!$R:$R,'Global TARF'!$A273,GL_PL!$A:$A,'Global TARF'!S$8)</f>
        <v>0</v>
      </c>
      <c r="T273"/>
      <c r="V273" s="26"/>
      <c r="W273" s="18">
        <f>-SUM(C273+G273+R273)</f>
        <v>0</v>
      </c>
      <c r="Z273" s="582">
        <f t="shared" si="147"/>
        <v>0</v>
      </c>
      <c r="AA273" s="26"/>
    </row>
    <row r="274" spans="1:27" x14ac:dyDescent="0.2">
      <c r="A274" s="534" t="s">
        <v>4267</v>
      </c>
      <c r="B274" s="184">
        <f>SUMIFS(GL_BS!$G:$G,GL_BS!$R:$R,'Global TARF'!$A$261,GL_BS!$S:$S,'Global TARF'!$A274,GL_BS!$A:$A,'Global TARF'!B$38)</f>
        <v>0</v>
      </c>
      <c r="C274" s="184">
        <f>SUMIFS(GL_BS!$G:$G,GL_BS!$R:$R,'Global TARF'!$A$261,GL_BS!$S:$S,'Global TARF'!$A274,GL_BS!$A:$A,'Global TARF'!C$8)</f>
        <v>0</v>
      </c>
      <c r="D274" s="184">
        <f>SUMIFS(GL_BS!$G:$G,GL_BS!$R:$R,'Global TARF'!$A$261,GL_BS!$S:$S,'Global TARF'!$A274,GL_BS!$A:$A,'Global TARF'!D$8)</f>
        <v>0</v>
      </c>
      <c r="E274" s="184">
        <f>SUMIFS(GL_BS!$G:$G,GL_BS!$R:$R,'Global TARF'!$A$261,GL_BS!$S:$S,'Global TARF'!$A274,GL_BS!$A:$A,'Global TARF'!E$8)</f>
        <v>0</v>
      </c>
      <c r="F274" s="184">
        <f>SUMIFS(GL_BS!$G:$G,GL_BS!$R:$R,'Global TARF'!$A$261,GL_BS!$S:$S,'Global TARF'!$A274,GL_BS!$A:$A,'Global TARF'!F$8)</f>
        <v>0</v>
      </c>
      <c r="G274" s="536">
        <f>SUMIFS(GL_BS!$G:$G,GL_BS!$R:$R,'Global TARF'!$A$261,GL_BS!$S:$S,'Global TARF'!$A274,GL_BS!$A:$A,'Global TARF'!G$8)</f>
        <v>0</v>
      </c>
      <c r="H274" s="547">
        <f>SUMIFS(GL_BS!$G:$G,GL_BS!$R:$R,'Global TARF'!$A$261,GL_BS!$S:$S,'Global TARF'!$A274,GL_BS!$A:$A,'Global TARF'!H$8)</f>
        <v>0</v>
      </c>
      <c r="I274" s="258">
        <f>SUMIFS(GL_BS!$G:$G,GL_BS!$R:$R,'Global TARF'!$A$261,GL_BS!$S:$S,'Global TARF'!$A274,GL_BS!$A:$A,'Global TARF'!I$8)</f>
        <v>0</v>
      </c>
      <c r="J274" s="184">
        <f>SUMIFS(GL_BS!$G:$G,GL_BS!$R:$R,'Global TARF'!$A$261,GL_BS!$S:$S,'Global TARF'!$A274,GL_BS!$A:$A,'Global TARF'!J$8)</f>
        <v>0</v>
      </c>
      <c r="K274" s="184">
        <f>SUMIFS(GL_BS!$G:$G,GL_BS!$R:$R,'Global TARF'!$A$261,GL_BS!$S:$S,'Global TARF'!$A274,GL_BS!$A:$A,'Global TARF'!K$8)</f>
        <v>0</v>
      </c>
      <c r="L274" s="184">
        <f>SUMIFS(GL_BS!$G:$G,GL_BS!$R:$R,'Global TARF'!$A$261,GL_BS!$S:$S,'Global TARF'!$A274,GL_BS!$A:$A,'Global TARF'!L$8)</f>
        <v>0</v>
      </c>
      <c r="M274" s="536">
        <f>SUMIFS(GL_BS!$G:$G,GL_BS!$R:$R,'Global TARF'!$A$261,GL_BS!$S:$S,'Global TARF'!$A274,GL_BS!$A:$A,'Global TARF'!M$8)</f>
        <v>0</v>
      </c>
      <c r="N274" s="555">
        <f>SUMIFS(GL_BS!$G:$G,GL_BS!$R:$R,'Global TARF'!$A$261,GL_BS!$S:$S,'Global TARF'!$A274,GL_BS!$A:$A,'Global TARF'!N$8)</f>
        <v>0</v>
      </c>
      <c r="O274" s="18">
        <f>SUMIFS(GL_BS!$G:$G,GL_BS!$R:$R,'Global TARF'!$A$261,GL_BS!$S:$S,'Global TARF'!$A274,GL_BS!$A:$A,'Global TARF'!O$8)</f>
        <v>0</v>
      </c>
      <c r="P274" s="545">
        <f>SUMIFS(GL_PL!$G:$G,GL_PL!$Q:$Q,'Global TARF'!$A$261,GL_PL!$R:$R,'Global TARF'!$A274,GL_PL!$A:$A,'Global TARF'!P$8)</f>
        <v>0</v>
      </c>
      <c r="Q274" s="184">
        <f>SUMIFS(GL_PL!$G:$G,GL_PL!$Q:$Q,'Global TARF'!$A$261,GL_PL!$R:$R,'Global TARF'!$A274,GL_PL!$A:$A,'Global TARF'!Q$8)</f>
        <v>0</v>
      </c>
      <c r="R274" s="184">
        <f>SUMIFS(GL_PL!$G:$G,GL_PL!$Q:$Q,'Global TARF'!$A$261,GL_PL!$R:$R,'Global TARF'!$A274,GL_PL!$A:$A,'Global TARF'!R$8)</f>
        <v>0</v>
      </c>
      <c r="S274" s="536">
        <f>SUMIFS(GL_PL!$G:$G,GL_PL!$Q:$Q,'Global TARF'!$A$261,GL_PL!$R:$R,'Global TARF'!$A274,GL_PL!$A:$A,'Global TARF'!S$8)</f>
        <v>0</v>
      </c>
      <c r="T274"/>
      <c r="V274" s="26"/>
      <c r="W274" s="26">
        <f>-SUM(R274,H274,G274,S274)</f>
        <v>0</v>
      </c>
      <c r="Z274" s="582">
        <f t="shared" si="147"/>
        <v>0</v>
      </c>
    </row>
    <row r="275" spans="1:27" x14ac:dyDescent="0.2">
      <c r="A275" s="534" t="s">
        <v>4275</v>
      </c>
      <c r="B275" s="184">
        <f>SUMIFS(GL_BS!$G:$G,GL_BS!$R:$R,'Global TARF'!$A$261,GL_BS!$S:$S,'Global TARF'!$A275,GL_BS!$A:$A,'Global TARF'!B$38)</f>
        <v>0</v>
      </c>
      <c r="C275" s="184">
        <f>SUMIFS(GL_BS!$G:$G,GL_BS!$R:$R,'Global TARF'!$A$261,GL_BS!$S:$S,'Global TARF'!$A275,GL_BS!$A:$A,'Global TARF'!C$8)</f>
        <v>0</v>
      </c>
      <c r="D275" s="184">
        <f>SUMIFS(GL_BS!$G:$G,GL_BS!$R:$R,'Global TARF'!$A$261,GL_BS!$S:$S,'Global TARF'!$A275,GL_BS!$A:$A,'Global TARF'!D$8)</f>
        <v>0</v>
      </c>
      <c r="E275" s="184">
        <f>SUMIFS(GL_BS!$G:$G,GL_BS!$R:$R,'Global TARF'!$A$261,GL_BS!$S:$S,'Global TARF'!$A275,GL_BS!$A:$A,'Global TARF'!E$8)</f>
        <v>0</v>
      </c>
      <c r="F275" s="184">
        <f>SUMIFS(GL_BS!$G:$G,GL_BS!$R:$R,'Global TARF'!$A$261,GL_BS!$S:$S,'Global TARF'!$A275,GL_BS!$A:$A,'Global TARF'!F$8)</f>
        <v>0</v>
      </c>
      <c r="G275" s="536">
        <f>SUMIFS(GL_BS!$G:$G,GL_BS!$R:$R,'Global TARF'!$A$261,GL_BS!$S:$S,'Global TARF'!$A275,GL_BS!$A:$A,'Global TARF'!G$8)</f>
        <v>0</v>
      </c>
      <c r="H275" s="547">
        <f>SUMIFS(GL_BS!$G:$G,GL_BS!$R:$R,'Global TARF'!$A$261,GL_BS!$S:$S,'Global TARF'!$A275,GL_BS!$A:$A,'Global TARF'!H$8)</f>
        <v>0</v>
      </c>
      <c r="I275" s="258">
        <f>SUMIFS(GL_BS!$G:$G,GL_BS!$R:$R,'Global TARF'!$A$261,GL_BS!$S:$S,'Global TARF'!$A275,GL_BS!$A:$A,'Global TARF'!I$8)</f>
        <v>0</v>
      </c>
      <c r="J275" s="184">
        <f>SUMIFS(GL_BS!$G:$G,GL_BS!$R:$R,'Global TARF'!$A$261,GL_BS!$S:$S,'Global TARF'!$A275,GL_BS!$A:$A,'Global TARF'!J$8)</f>
        <v>0</v>
      </c>
      <c r="K275" s="184">
        <f>SUMIFS(GL_BS!$G:$G,GL_BS!$R:$R,'Global TARF'!$A$261,GL_BS!$S:$S,'Global TARF'!$A275,GL_BS!$A:$A,'Global TARF'!K$8)</f>
        <v>0</v>
      </c>
      <c r="L275" s="184">
        <f>SUMIFS(GL_BS!$G:$G,GL_BS!$R:$R,'Global TARF'!$A$261,GL_BS!$S:$S,'Global TARF'!$A275,GL_BS!$A:$A,'Global TARF'!L$8)</f>
        <v>0</v>
      </c>
      <c r="M275" s="536">
        <f>SUMIFS(GL_BS!$G:$G,GL_BS!$R:$R,'Global TARF'!$A$261,GL_BS!$S:$S,'Global TARF'!$A275,GL_BS!$A:$A,'Global TARF'!M$8)</f>
        <v>0</v>
      </c>
      <c r="N275" s="555">
        <f>SUMIFS(GL_BS!$G:$G,GL_BS!$R:$R,'Global TARF'!$A$261,GL_BS!$S:$S,'Global TARF'!$A275,GL_BS!$A:$A,'Global TARF'!N$8)</f>
        <v>0</v>
      </c>
      <c r="O275" s="18">
        <f>SUMIFS(GL_BS!$G:$G,GL_BS!$R:$R,'Global TARF'!$A$261,GL_BS!$S:$S,'Global TARF'!$A275,GL_BS!$A:$A,'Global TARF'!O$8)</f>
        <v>0</v>
      </c>
      <c r="P275" s="545">
        <f>SUMIFS(GL_PL!$G:$G,GL_PL!$Q:$Q,'Global TARF'!$A$261,GL_PL!$R:$R,'Global TARF'!$A275,GL_PL!$A:$A,'Global TARF'!P$8)</f>
        <v>0</v>
      </c>
      <c r="Q275" s="184">
        <f>SUMIFS(GL_PL!$G:$G,GL_PL!$Q:$Q,'Global TARF'!$A$261,GL_PL!$R:$R,'Global TARF'!$A275,GL_PL!$A:$A,'Global TARF'!Q$8)</f>
        <v>0</v>
      </c>
      <c r="R275" s="184">
        <f>SUMIFS(GL_PL!$G:$G,GL_PL!$Q:$Q,'Global TARF'!$A$261,GL_PL!$R:$R,'Global TARF'!$A275,GL_PL!$A:$A,'Global TARF'!R$8)</f>
        <v>0</v>
      </c>
      <c r="S275" s="536">
        <f>SUMIFS(GL_PL!$G:$G,GL_PL!$Q:$Q,'Global TARF'!$A$261,GL_PL!$R:$R,'Global TARF'!$A275,GL_PL!$A:$A,'Global TARF'!S$8)</f>
        <v>0</v>
      </c>
      <c r="T275" s="26">
        <f>-H275</f>
        <v>0</v>
      </c>
      <c r="Z275" s="582">
        <f t="shared" si="147"/>
        <v>0</v>
      </c>
    </row>
    <row r="276" spans="1:27" x14ac:dyDescent="0.2">
      <c r="A276" s="534" t="s">
        <v>4481</v>
      </c>
      <c r="B276" s="184">
        <f>SUMIFS(GL_BS!$G:$G,GL_BS!$R:$R,'Global TARF'!$A$261,GL_BS!$S:$S,'Global TARF'!$A276,GL_BS!$A:$A,'Global TARF'!B$38)</f>
        <v>0</v>
      </c>
      <c r="C276" s="184">
        <f>SUMIFS(GL_BS!$G:$G,GL_BS!$R:$R,'Global TARF'!$A$261,GL_BS!$S:$S,'Global TARF'!$A276,GL_BS!$A:$A,'Global TARF'!C$8)</f>
        <v>0</v>
      </c>
      <c r="D276" s="184">
        <f>SUMIFS(GL_BS!$G:$G,GL_BS!$R:$R,'Global TARF'!$A$261,GL_BS!$S:$S,'Global TARF'!$A276,GL_BS!$A:$A,'Global TARF'!D$8)</f>
        <v>0</v>
      </c>
      <c r="E276" s="184">
        <f>SUMIFS(GL_BS!$G:$G,GL_BS!$R:$R,'Global TARF'!$A$261,GL_BS!$S:$S,'Global TARF'!$A276,GL_BS!$A:$A,'Global TARF'!E$8)</f>
        <v>0</v>
      </c>
      <c r="F276" s="184">
        <f>SUMIFS(GL_BS!$G:$G,GL_BS!$R:$R,'Global TARF'!$A$261,GL_BS!$S:$S,'Global TARF'!$A276,GL_BS!$A:$A,'Global TARF'!F$8)</f>
        <v>0</v>
      </c>
      <c r="G276" s="536">
        <f>SUMIFS(GL_BS!$G:$G,GL_BS!$R:$R,'Global TARF'!$A$261,GL_BS!$S:$S,'Global TARF'!$A276,GL_BS!$A:$A,'Global TARF'!G$8)</f>
        <v>0</v>
      </c>
      <c r="H276" s="547">
        <f>SUMIFS(GL_BS!$G:$G,GL_BS!$R:$R,'Global TARF'!$A$261,GL_BS!$S:$S,'Global TARF'!$A276,GL_BS!$A:$A,'Global TARF'!H$8)</f>
        <v>113962.45468140001</v>
      </c>
      <c r="I276" s="258">
        <f>SUMIFS(GL_BS!$G:$G,GL_BS!$R:$R,'Global TARF'!$A$261,GL_BS!$S:$S,'Global TARF'!$A276,GL_BS!$A:$A,'Global TARF'!I$8)</f>
        <v>0</v>
      </c>
      <c r="J276" s="184">
        <f>SUMIFS(GL_BS!$G:$G,GL_BS!$R:$R,'Global TARF'!$A$261,GL_BS!$S:$S,'Global TARF'!$A276,GL_BS!$A:$A,'Global TARF'!J$8)</f>
        <v>0</v>
      </c>
      <c r="K276" s="184">
        <f>SUMIFS(GL_BS!$G:$G,GL_BS!$R:$R,'Global TARF'!$A$261,GL_BS!$S:$S,'Global TARF'!$A276,GL_BS!$A:$A,'Global TARF'!K$8)</f>
        <v>0</v>
      </c>
      <c r="L276" s="184">
        <f>SUMIFS(GL_BS!$G:$G,GL_BS!$R:$R,'Global TARF'!$A$261,GL_BS!$S:$S,'Global TARF'!$A276,GL_BS!$A:$A,'Global TARF'!L$8)</f>
        <v>0</v>
      </c>
      <c r="M276" s="536">
        <f>SUMIFS(GL_BS!$G:$G,GL_BS!$R:$R,'Global TARF'!$A$261,GL_BS!$S:$S,'Global TARF'!$A276,GL_BS!$A:$A,'Global TARF'!M$8)</f>
        <v>0</v>
      </c>
      <c r="N276" s="555">
        <f>SUMIFS(GL_BS!$G:$G,GL_BS!$R:$R,'Global TARF'!$A$261,GL_BS!$S:$S,'Global TARF'!$A276,GL_BS!$A:$A,'Global TARF'!N$8)</f>
        <v>0</v>
      </c>
      <c r="O276" s="18">
        <f>SUMIFS(GL_BS!$G:$G,GL_BS!$R:$R,'Global TARF'!$A$261,GL_BS!$S:$S,'Global TARF'!$A276,GL_BS!$A:$A,'Global TARF'!O$8)</f>
        <v>0</v>
      </c>
      <c r="P276" s="545">
        <f>SUMIFS(GL_PL!$G:$G,GL_PL!$Q:$Q,'Global TARF'!$A$261,GL_PL!$R:$R,'Global TARF'!$A276,GL_PL!$A:$A,'Global TARF'!P$8)</f>
        <v>0</v>
      </c>
      <c r="Q276" s="184">
        <f>SUMIFS(GL_PL!$G:$G,GL_PL!$Q:$Q,'Global TARF'!$A$261,GL_PL!$R:$R,'Global TARF'!$A276,GL_PL!$A:$A,'Global TARF'!Q$8)</f>
        <v>0</v>
      </c>
      <c r="R276" s="184">
        <f>SUMIFS(GL_PL!$G:$G,GL_PL!$Q:$Q,'Global TARF'!$A$261,GL_PL!$R:$R,'Global TARF'!$A276,GL_PL!$A:$A,'Global TARF'!R$8)</f>
        <v>0</v>
      </c>
      <c r="S276" s="536">
        <f>SUMIFS(GL_PL!$G:$G,GL_PL!$Q:$Q,'Global TARF'!$A$261,GL_PL!$R:$R,'Global TARF'!$A276,GL_PL!$A:$A,'Global TARF'!S$8)</f>
        <v>0</v>
      </c>
      <c r="T276" s="239">
        <f>-H276</f>
        <v>-113962.45468140001</v>
      </c>
      <c r="Z276" s="582">
        <f t="shared" si="147"/>
        <v>0</v>
      </c>
    </row>
    <row r="277" spans="1:27" x14ac:dyDescent="0.2">
      <c r="A277" t="s">
        <v>4569</v>
      </c>
      <c r="B277" s="184">
        <f>SUMIFS(GL_BS!$G:$G,GL_BS!$R:$R,'Global TARF'!$A$261,GL_BS!$S:$S,'Global TARF'!$A277,GL_BS!$A:$A,'Global TARF'!B$38)</f>
        <v>0</v>
      </c>
      <c r="C277" s="184">
        <f>SUMIFS(GL_BS!$G:$G,GL_BS!$R:$R,'Global TARF'!$A$261,GL_BS!$S:$S,'Global TARF'!$A277,GL_BS!$A:$A,'Global TARF'!C$8)</f>
        <v>0</v>
      </c>
      <c r="D277" s="184">
        <f>SUMIFS(GL_BS!$G:$G,GL_BS!$R:$R,'Global TARF'!$A$261,GL_BS!$S:$S,'Global TARF'!$A277,GL_BS!$A:$A,'Global TARF'!D$8)</f>
        <v>0</v>
      </c>
      <c r="E277" s="184">
        <f>SUMIFS(GL_BS!$G:$G,GL_BS!$R:$R,'Global TARF'!$A$261,GL_BS!$S:$S,'Global TARF'!$A277,GL_BS!$A:$A,'Global TARF'!E$8)</f>
        <v>0</v>
      </c>
      <c r="F277" s="184">
        <f>SUMIFS(GL_BS!$G:$G,GL_BS!$R:$R,'Global TARF'!$A$261,GL_BS!$S:$S,'Global TARF'!$A277,GL_BS!$A:$A,'Global TARF'!F$8)</f>
        <v>0</v>
      </c>
      <c r="G277" s="536">
        <f>SUMIFS(GL_BS!$G:$G,GL_BS!$R:$R,'Global TARF'!$A$261,GL_BS!$S:$S,'Global TARF'!$A277,GL_BS!$A:$A,'Global TARF'!G$8)</f>
        <v>0</v>
      </c>
      <c r="H277" s="547">
        <f>SUMIFS(GL_BS!$G:$G,GL_BS!$R:$R,'Global TARF'!$A$261,GL_BS!$S:$S,'Global TARF'!$A277,GL_BS!$A:$A,'Global TARF'!H$8)</f>
        <v>-61024.153624874372</v>
      </c>
      <c r="I277" s="258">
        <f>SUMIFS(GL_BS!$G:$G,GL_BS!$R:$R,'Global TARF'!$A$261,GL_BS!$S:$S,'Global TARF'!$A277,GL_BS!$A:$A,'Global TARF'!I$8)</f>
        <v>0</v>
      </c>
      <c r="J277" s="184">
        <f>SUMIFS(GL_BS!$G:$G,GL_BS!$R:$R,'Global TARF'!$A$261,GL_BS!$S:$S,'Global TARF'!$A277,GL_BS!$A:$A,'Global TARF'!J$8)</f>
        <v>0</v>
      </c>
      <c r="K277" s="184">
        <f>SUMIFS(GL_BS!$G:$G,GL_BS!$R:$R,'Global TARF'!$A$261,GL_BS!$S:$S,'Global TARF'!$A277,GL_BS!$A:$A,'Global TARF'!K$8)</f>
        <v>0</v>
      </c>
      <c r="L277" s="184">
        <f>SUMIFS(GL_BS!$G:$G,GL_BS!$R:$R,'Global TARF'!$A$261,GL_BS!$S:$S,'Global TARF'!$A277,GL_BS!$A:$A,'Global TARF'!L$8)</f>
        <v>0</v>
      </c>
      <c r="M277" s="536">
        <f>SUMIFS(GL_BS!$G:$G,GL_BS!$R:$R,'Global TARF'!$A$261,GL_BS!$S:$S,'Global TARF'!$A277,GL_BS!$A:$A,'Global TARF'!M$8)</f>
        <v>0</v>
      </c>
      <c r="N277" s="555">
        <v>-359.09</v>
      </c>
      <c r="O277" s="18">
        <f>SUMIFS(GL_BS!$G:$G,GL_BS!$R:$R,'Global TARF'!$A$261,GL_BS!$S:$S,'Global TARF'!$A277,GL_BS!$A:$A,'Global TARF'!O$8)</f>
        <v>0</v>
      </c>
      <c r="P277" s="545">
        <f>SUMIFS(GL_PL!$G:$G,GL_PL!$Q:$Q,'Global TARF'!$A$261,GL_PL!$R:$R,'Global TARF'!$A277,GL_PL!$A:$A,'Global TARF'!P$8)</f>
        <v>0</v>
      </c>
      <c r="Q277" s="184">
        <f>SUMIFS(GL_PL!$G:$G,GL_PL!$Q:$Q,'Global TARF'!$A$261,GL_PL!$R:$R,'Global TARF'!$A277,GL_PL!$A:$A,'Global TARF'!Q$8)</f>
        <v>0</v>
      </c>
      <c r="R277" s="184">
        <f>SUMIFS(GL_PL!$G:$G,GL_PL!$Q:$Q,'Global TARF'!$A$261,GL_PL!$R:$R,'Global TARF'!$A277,GL_PL!$A:$A,'Global TARF'!R$8)</f>
        <v>61383.245207750471</v>
      </c>
      <c r="S277" s="536">
        <f>SUMIFS(GL_PL!$G:$G,GL_PL!$Q:$Q,'Global TARF'!$A$261,GL_PL!$R:$R,'Global TARF'!$A277,GL_PL!$A:$A,'Global TARF'!S$8)</f>
        <v>0</v>
      </c>
      <c r="W277" s="18"/>
      <c r="Z277" s="582">
        <f t="shared" si="147"/>
        <v>1.5828761024749838E-3</v>
      </c>
    </row>
    <row r="278" spans="1:27" x14ac:dyDescent="0.2">
      <c r="A278" t="s">
        <v>4587</v>
      </c>
      <c r="B278" s="184">
        <f>SUMIFS(GL_BS!$G:$G,GL_BS!$R:$R,'Global TARF'!$A$261,GL_BS!$S:$S,'Global TARF'!$A278,GL_BS!$A:$A,'Global TARF'!B$38)</f>
        <v>0</v>
      </c>
      <c r="C278" s="184">
        <f>SUMIFS(GL_BS!$G:$G,GL_BS!$R:$R,'Global TARF'!$A$261,GL_BS!$S:$S,'Global TARF'!$A278,GL_BS!$A:$A,'Global TARF'!C$8)</f>
        <v>0</v>
      </c>
      <c r="D278" s="184">
        <f>SUMIFS(GL_BS!$G:$G,GL_BS!$R:$R,'Global TARF'!$A$261,GL_BS!$S:$S,'Global TARF'!$A278,GL_BS!$A:$A,'Global TARF'!D$8)</f>
        <v>0</v>
      </c>
      <c r="E278" s="184">
        <f>SUMIFS(GL_BS!$G:$G,GL_BS!$R:$R,'Global TARF'!$A$261,GL_BS!$S:$S,'Global TARF'!$A278,GL_BS!$A:$A,'Global TARF'!E$8)</f>
        <v>0</v>
      </c>
      <c r="F278" s="184">
        <f>SUMIFS(GL_BS!$G:$G,GL_BS!$R:$R,'Global TARF'!$A$261,GL_BS!$S:$S,'Global TARF'!$A278,GL_BS!$A:$A,'Global TARF'!F$8)</f>
        <v>0</v>
      </c>
      <c r="G278" s="536">
        <f>SUMIFS(GL_BS!$G:$G,GL_BS!$R:$R,'Global TARF'!$A$261,GL_BS!$S:$S,'Global TARF'!$A278,GL_BS!$A:$A,'Global TARF'!G$8)</f>
        <v>0</v>
      </c>
      <c r="H278" s="547">
        <f>SUMIFS(GL_BS!$G:$G,GL_BS!$R:$R,'Global TARF'!$A$261,GL_BS!$S:$S,'Global TARF'!$A278,GL_BS!$A:$A,'Global TARF'!H$8)</f>
        <v>0</v>
      </c>
      <c r="I278" s="258">
        <f>SUMIFS(GL_BS!$G:$G,GL_BS!$R:$R,'Global TARF'!$A$261,GL_BS!$S:$S,'Global TARF'!$A278,GL_BS!$A:$A,'Global TARF'!I$8)</f>
        <v>0</v>
      </c>
      <c r="J278" s="184">
        <f>SUMIFS(GL_BS!$G:$G,GL_BS!$R:$R,'Global TARF'!$A$261,GL_BS!$S:$S,'Global TARF'!$A278,GL_BS!$A:$A,'Global TARF'!J$8)</f>
        <v>0</v>
      </c>
      <c r="K278" s="184">
        <f>SUMIFS(GL_BS!$G:$G,GL_BS!$R:$R,'Global TARF'!$A$261,GL_BS!$S:$S,'Global TARF'!$A278,GL_BS!$A:$A,'Global TARF'!K$8)</f>
        <v>0</v>
      </c>
      <c r="L278" s="184">
        <f>SUMIFS(GL_BS!$G:$G,GL_BS!$R:$R,'Global TARF'!$A$261,GL_BS!$S:$S,'Global TARF'!$A278,GL_BS!$A:$A,'Global TARF'!L$8)</f>
        <v>0</v>
      </c>
      <c r="M278" s="536">
        <f>SUMIFS(GL_BS!$G:$G,GL_BS!$R:$R,'Global TARF'!$A$261,GL_BS!$S:$S,'Global TARF'!$A278,GL_BS!$A:$A,'Global TARF'!M$8)</f>
        <v>0</v>
      </c>
      <c r="N278" s="555"/>
      <c r="O278" s="18"/>
      <c r="P278" s="545">
        <f>SUMIFS(GL_PL!$G:$G,GL_PL!$Q:$Q,'Global TARF'!$A$261,GL_PL!$R:$R,'Global TARF'!$A278,GL_PL!$A:$A,'Global TARF'!P$8)</f>
        <v>0</v>
      </c>
      <c r="Q278" s="184">
        <f>SUMIFS(GL_PL!$G:$G,GL_PL!$Q:$Q,'Global TARF'!$A$261,GL_PL!$R:$R,'Global TARF'!$A278,GL_PL!$A:$A,'Global TARF'!Q$8)</f>
        <v>0</v>
      </c>
      <c r="R278" s="184">
        <f>SUMIFS(GL_PL!$G:$G,GL_PL!$Q:$Q,'Global TARF'!$A$261,GL_PL!$R:$R,'Global TARF'!$A278,GL_PL!$A:$A,'Global TARF'!R$8)</f>
        <v>0</v>
      </c>
      <c r="S278" s="536">
        <f>SUMIFS(GL_PL!$G:$G,GL_PL!$Q:$Q,'Global TARF'!$A$261,GL_PL!$R:$R,'Global TARF'!$A278,GL_PL!$A:$A,'Global TARF'!S$8)</f>
        <v>0</v>
      </c>
      <c r="T278"/>
      <c r="Z278" s="582"/>
    </row>
    <row r="279" spans="1:27" x14ac:dyDescent="0.2">
      <c r="A279" t="s">
        <v>4369</v>
      </c>
      <c r="B279" s="184">
        <f>SUMIFS(GL_BS!$G:$G,GL_BS!$R:$R,'Global TARF'!$A$261,GL_BS!$S:$S,'Global TARF'!$A279,GL_BS!$A:$A,'Global TARF'!B$38)</f>
        <v>0</v>
      </c>
      <c r="C279" s="184">
        <f>SUMIFS(GL_BS!$G:$G,GL_BS!$R:$R,'Global TARF'!$A$261,GL_BS!$S:$S,'Global TARF'!$A279,GL_BS!$A:$A,'Global TARF'!C$8)</f>
        <v>0</v>
      </c>
      <c r="D279" s="184">
        <f>SUMIFS(GL_BS!$G:$G,GL_BS!$R:$R,'Global TARF'!$A$261,GL_BS!$S:$S,'Global TARF'!$A279,GL_BS!$A:$A,'Global TARF'!D$8)</f>
        <v>0</v>
      </c>
      <c r="E279" s="184">
        <f>SUMIFS(GL_BS!$G:$G,GL_BS!$R:$R,'Global TARF'!$A$261,GL_BS!$S:$S,'Global TARF'!$A279,GL_BS!$A:$A,'Global TARF'!E$8)</f>
        <v>0</v>
      </c>
      <c r="F279" s="184">
        <f>SUMIFS(GL_BS!$G:$G,GL_BS!$R:$R,'Global TARF'!$A$261,GL_BS!$S:$S,'Global TARF'!$A279,GL_BS!$A:$A,'Global TARF'!F$8)</f>
        <v>0</v>
      </c>
      <c r="G279" s="536">
        <f>SUMIFS(GL_BS!$G:$G,GL_BS!$R:$R,'Global TARF'!$A$261,GL_BS!$S:$S,'Global TARF'!$A279,GL_BS!$A:$A,'Global TARF'!G$8)</f>
        <v>0</v>
      </c>
      <c r="H279" s="547">
        <f>SUMIFS(GL_BS!$G:$G,GL_BS!$R:$R,'Global TARF'!$A$261,GL_BS!$S:$S,'Global TARF'!$A279,GL_BS!$A:$A,'Global TARF'!H$8)</f>
        <v>0</v>
      </c>
      <c r="I279" s="258">
        <f>SUMIFS(GL_BS!$G:$G,GL_BS!$R:$R,'Global TARF'!$A$261,GL_BS!$S:$S,'Global TARF'!$A279,GL_BS!$A:$A,'Global TARF'!I$8)</f>
        <v>0</v>
      </c>
      <c r="J279" s="184">
        <f>SUMIFS(GL_BS!$G:$G,GL_BS!$R:$R,'Global TARF'!$A$261,GL_BS!$S:$S,'Global TARF'!$A279,GL_BS!$A:$A,'Global TARF'!J$8)</f>
        <v>0</v>
      </c>
      <c r="K279" s="184">
        <f>SUMIFS(GL_BS!$G:$G,GL_BS!$R:$R,'Global TARF'!$A$261,GL_BS!$S:$S,'Global TARF'!$A279,GL_BS!$A:$A,'Global TARF'!K$8)</f>
        <v>0</v>
      </c>
      <c r="L279" s="184">
        <f>SUMIFS(GL_BS!$G:$G,GL_BS!$R:$R,'Global TARF'!$A$261,GL_BS!$S:$S,'Global TARF'!$A279,GL_BS!$A:$A,'Global TARF'!L$8)</f>
        <v>0</v>
      </c>
      <c r="M279" s="536">
        <f>SUMIFS(GL_BS!$G:$G,GL_BS!$R:$R,'Global TARF'!$A$261,GL_BS!$S:$S,'Global TARF'!$A279,GL_BS!$A:$A,'Global TARF'!M$8)</f>
        <v>0</v>
      </c>
      <c r="N279" s="555"/>
      <c r="O279" s="18"/>
      <c r="P279" s="545">
        <f>SUMIFS(GL_PL!$G:$G,GL_PL!$Q:$Q,'Global TARF'!$A$261,GL_PL!$R:$R,'Global TARF'!$A279,GL_PL!$A:$A,'Global TARF'!P$8)</f>
        <v>0</v>
      </c>
      <c r="Q279" s="184">
        <f>SUMIFS(GL_PL!$G:$G,GL_PL!$Q:$Q,'Global TARF'!$A$261,GL_PL!$R:$R,'Global TARF'!$A279,GL_PL!$A:$A,'Global TARF'!Q$8)</f>
        <v>0</v>
      </c>
      <c r="R279" s="184">
        <f>SUMIFS(GL_PL!$G:$G,GL_PL!$Q:$Q,'Global TARF'!$A$261,GL_PL!$R:$R,'Global TARF'!$A279,GL_PL!$A:$A,'Global TARF'!R$8)</f>
        <v>0</v>
      </c>
      <c r="S279" s="536">
        <f>SUMIFS(GL_PL!$G:$G,GL_PL!$Q:$Q,'Global TARF'!$A$261,GL_PL!$R:$R,'Global TARF'!$A279,GL_PL!$A:$A,'Global TARF'!S$8)</f>
        <v>0</v>
      </c>
      <c r="T279"/>
      <c r="Z279" s="582"/>
    </row>
    <row r="280" spans="1:27" x14ac:dyDescent="0.2">
      <c r="A280" s="534" t="s">
        <v>799</v>
      </c>
      <c r="B280" s="184">
        <f>SUMIFS(GL_BS!$G:$G,GL_BS!$R:$R,'Global TARF'!$A$261,GL_BS!$S:$S,'Global TARF'!$A280,GL_BS!$A:$A,'Global TARF'!B$38)</f>
        <v>0</v>
      </c>
      <c r="C280" s="184">
        <f>SUMIFS(GL_BS!$G:$G,GL_BS!$R:$R,'Global TARF'!$A$261,GL_BS!$S:$S,'Global TARF'!$A280,GL_BS!$A:$A,'Global TARF'!C$8)</f>
        <v>0</v>
      </c>
      <c r="D280" s="184">
        <f>SUMIFS(GL_BS!$G:$G,GL_BS!$R:$R,'Global TARF'!$A$261,GL_BS!$S:$S,'Global TARF'!$A280,GL_BS!$A:$A,'Global TARF'!D$8)</f>
        <v>0</v>
      </c>
      <c r="E280" s="184">
        <f>SUMIFS(GL_BS!$G:$G,GL_BS!$R:$R,'Global TARF'!$A$261,GL_BS!$S:$S,'Global TARF'!$A280,GL_BS!$A:$A,'Global TARF'!E$8)</f>
        <v>0</v>
      </c>
      <c r="F280" s="184">
        <f>SUMIFS(GL_BS!$G:$G,GL_BS!$R:$R,'Global TARF'!$A$261,GL_BS!$S:$S,'Global TARF'!$A280,GL_BS!$A:$A,'Global TARF'!F$8)</f>
        <v>0</v>
      </c>
      <c r="G280" s="536">
        <f>SUMIFS(GL_BS!$G:$G,GL_BS!$R:$R,'Global TARF'!$A$261,GL_BS!$S:$S,'Global TARF'!$A280,GL_BS!$A:$A,'Global TARF'!G$8)</f>
        <v>0</v>
      </c>
      <c r="H280" s="547">
        <f>SUMIFS(GL_BS!$G:$G,GL_BS!$R:$R,'Global TARF'!$A$261,GL_BS!$S:$S,'Global TARF'!$A280,GL_BS!$A:$A,'Global TARF'!H$8)</f>
        <v>0</v>
      </c>
      <c r="I280" s="258">
        <f>SUMIFS(GL_BS!$G:$G,GL_BS!$R:$R,'Global TARF'!$A$261,GL_BS!$S:$S,'Global TARF'!$A280,GL_BS!$A:$A,'Global TARF'!I$8)</f>
        <v>0</v>
      </c>
      <c r="J280" s="184">
        <f>SUMIFS(GL_BS!$G:$G,GL_BS!$R:$R,'Global TARF'!$A$261,GL_BS!$S:$S,'Global TARF'!$A280,GL_BS!$A:$A,'Global TARF'!J$8)</f>
        <v>0</v>
      </c>
      <c r="K280" s="184">
        <f>SUMIFS(GL_BS!$G:$G,GL_BS!$R:$R,'Global TARF'!$A$261,GL_BS!$S:$S,'Global TARF'!$A280,GL_BS!$A:$A,'Global TARF'!K$8)</f>
        <v>0</v>
      </c>
      <c r="L280" s="184">
        <f>SUMIFS(GL_BS!$G:$G,GL_BS!$R:$R,'Global TARF'!$A$261,GL_BS!$S:$S,'Global TARF'!$A280,GL_BS!$A:$A,'Global TARF'!L$8)</f>
        <v>0</v>
      </c>
      <c r="M280" s="536">
        <f>SUMIFS(GL_BS!$G:$G,GL_BS!$R:$R,'Global TARF'!$A$261,GL_BS!$S:$S,'Global TARF'!$A280,GL_BS!$A:$A,'Global TARF'!M$8)</f>
        <v>0</v>
      </c>
      <c r="N280" s="555"/>
      <c r="O280" s="18"/>
      <c r="P280" s="545">
        <f>SUMIFS(GL_PL!$G:$G,GL_PL!$Q:$Q,'Global TARF'!$A$261,GL_PL!$R:$R,'Global TARF'!$A280,GL_PL!$A:$A,'Global TARF'!P$8)</f>
        <v>0</v>
      </c>
      <c r="Q280" s="184">
        <f>SUMIFS(GL_PL!$G:$G,GL_PL!$Q:$Q,'Global TARF'!$A$261,GL_PL!$R:$R,'Global TARF'!$A280,GL_PL!$A:$A,'Global TARF'!Q$8)</f>
        <v>0</v>
      </c>
      <c r="R280" s="184">
        <f>SUMIFS(GL_PL!$G:$G,GL_PL!$Q:$Q,'Global TARF'!$A$261,GL_PL!$R:$R,'Global TARF'!$A280,GL_PL!$A:$A,'Global TARF'!R$8)</f>
        <v>0</v>
      </c>
      <c r="S280" s="536">
        <f>SUMIFS(GL_PL!$G:$G,GL_PL!$Q:$Q,'Global TARF'!$A$261,GL_PL!$R:$R,'Global TARF'!$A280,GL_PL!$A:$A,'Global TARF'!S$8)</f>
        <v>0</v>
      </c>
      <c r="T280"/>
      <c r="Z280" s="582"/>
    </row>
    <row r="281" spans="1:27" x14ac:dyDescent="0.2">
      <c r="A281" s="534" t="s">
        <v>3845</v>
      </c>
      <c r="B281" s="184">
        <f>SUMIFS(GL_BS!$G:$G,GL_BS!$R:$R,'Global TARF'!$A$261,GL_BS!$S:$S,'Global TARF'!$A281,GL_BS!$A:$A,'Global TARF'!B$38)</f>
        <v>0</v>
      </c>
      <c r="C281" s="184">
        <f>SUMIFS(GL_BS!$G:$G,GL_BS!$R:$R,'Global TARF'!$A$261,GL_BS!$S:$S,'Global TARF'!$A281,GL_BS!$A:$A,'Global TARF'!C$8)</f>
        <v>7695.1288136196863</v>
      </c>
      <c r="D281" s="184">
        <f>SUMIFS(GL_BS!$G:$G,GL_BS!$R:$R,'Global TARF'!$A$261,GL_BS!$S:$S,'Global TARF'!$A281,GL_BS!$A:$A,'Global TARF'!D$8)</f>
        <v>0</v>
      </c>
      <c r="E281" s="184">
        <f>SUMIFS(GL_BS!$G:$G,GL_BS!$R:$R,'Global TARF'!$A$261,GL_BS!$S:$S,'Global TARF'!$A281,GL_BS!$A:$A,'Global TARF'!E$8)</f>
        <v>0</v>
      </c>
      <c r="F281" s="184">
        <f>SUMIFS(GL_BS!$G:$G,GL_BS!$R:$R,'Global TARF'!$A$261,GL_BS!$S:$S,'Global TARF'!$A281,GL_BS!$A:$A,'Global TARF'!F$8)</f>
        <v>0</v>
      </c>
      <c r="G281" s="536">
        <f>SUMIFS(GL_BS!$G:$G,GL_BS!$R:$R,'Global TARF'!$A$261,GL_BS!$S:$S,'Global TARF'!$A281,GL_BS!$A:$A,'Global TARF'!G$8)</f>
        <v>0</v>
      </c>
      <c r="H281" s="547">
        <f>SUMIFS(GL_BS!$G:$G,GL_BS!$R:$R,'Global TARF'!$A$261,GL_BS!$S:$S,'Global TARF'!$A281,GL_BS!$A:$A,'Global TARF'!H$8)</f>
        <v>-7695.1288136196863</v>
      </c>
      <c r="I281" s="258">
        <f>SUMIFS(GL_BS!$G:$G,GL_BS!$R:$R,'Global TARF'!$A$261,GL_BS!$S:$S,'Global TARF'!$A281,GL_BS!$A:$A,'Global TARF'!I$8)</f>
        <v>0</v>
      </c>
      <c r="J281" s="184">
        <f>SUMIFS(GL_BS!$G:$G,GL_BS!$R:$R,'Global TARF'!$A$261,GL_BS!$S:$S,'Global TARF'!$A281,GL_BS!$A:$A,'Global TARF'!J$8)</f>
        <v>0</v>
      </c>
      <c r="K281" s="184">
        <f>SUMIFS(GL_BS!$G:$G,GL_BS!$R:$R,'Global TARF'!$A$261,GL_BS!$S:$S,'Global TARF'!$A281,GL_BS!$A:$A,'Global TARF'!K$8)</f>
        <v>0</v>
      </c>
      <c r="L281" s="184">
        <f>SUMIFS(GL_BS!$G:$G,GL_BS!$R:$R,'Global TARF'!$A$261,GL_BS!$S:$S,'Global TARF'!$A281,GL_BS!$A:$A,'Global TARF'!L$8)</f>
        <v>0</v>
      </c>
      <c r="M281" s="536">
        <f>SUMIFS(GL_BS!$G:$G,GL_BS!$R:$R,'Global TARF'!$A$261,GL_BS!$S:$S,'Global TARF'!$A281,GL_BS!$A:$A,'Global TARF'!M$8)</f>
        <v>0</v>
      </c>
      <c r="N281" s="555">
        <f>SUMIFS(GL_BS!$G:$G,GL_BS!$R:$R,'Global TARF'!$A$261,GL_BS!$S:$S,'Global TARF'!$A281,GL_BS!$A:$A,'Global TARF'!N$8)</f>
        <v>0</v>
      </c>
      <c r="O281" s="18">
        <f>SUMIFS(GL_BS!$G:$G,GL_BS!$R:$R,'Global TARF'!$A$261,GL_BS!$S:$S,'Global TARF'!$A281,GL_BS!$A:$A,'Global TARF'!O$8)</f>
        <v>0</v>
      </c>
      <c r="P281" s="545">
        <f>SUMIFS(GL_PL!$G:$G,GL_PL!$Q:$Q,'Global TARF'!$A$261,GL_PL!$R:$R,'Global TARF'!$A281,GL_PL!$A:$A,'Global TARF'!P$8)</f>
        <v>0</v>
      </c>
      <c r="Q281" s="184">
        <f>SUMIFS(GL_PL!$G:$G,GL_PL!$Q:$Q,'Global TARF'!$A$261,GL_PL!$R:$R,'Global TARF'!$A281,GL_PL!$A:$A,'Global TARF'!Q$8)</f>
        <v>0</v>
      </c>
      <c r="R281" s="184">
        <f>SUMIFS(GL_PL!$G:$G,GL_PL!$Q:$Q,'Global TARF'!$A$261,GL_PL!$R:$R,'Global TARF'!$A281,GL_PL!$A:$A,'Global TARF'!R$8)</f>
        <v>0</v>
      </c>
      <c r="S281" s="536">
        <f>SUMIFS(GL_PL!$G:$G,GL_PL!$Q:$Q,'Global TARF'!$A$261,GL_PL!$R:$R,'Global TARF'!$A281,GL_PL!$A:$A,'Global TARF'!S$8)</f>
        <v>0</v>
      </c>
      <c r="T281"/>
      <c r="Z281" s="582">
        <f t="shared" si="147"/>
        <v>0</v>
      </c>
    </row>
    <row r="282" spans="1:27" x14ac:dyDescent="0.2">
      <c r="A282" s="534" t="s">
        <v>792</v>
      </c>
      <c r="B282" s="184">
        <f>SUMIFS(GL_BS!$G:$G,GL_BS!$R:$R,'Global TARF'!$A$261,GL_BS!$S:$S,'Global TARF'!$A282,GL_BS!$A:$A,'Global TARF'!B$38)</f>
        <v>0</v>
      </c>
      <c r="C282" s="184">
        <f>SUMIFS(GL_BS!$G:$G,GL_BS!$R:$R,'Global TARF'!$A$261,GL_BS!$S:$S,'Global TARF'!$A282,GL_BS!$A:$A,'Global TARF'!C$8)</f>
        <v>0</v>
      </c>
      <c r="D282" s="184">
        <f>SUMIFS(GL_BS!$G:$G,GL_BS!$R:$R,'Global TARF'!$A$261,GL_BS!$S:$S,'Global TARF'!$A282,GL_BS!$A:$A,'Global TARF'!D$8)</f>
        <v>0</v>
      </c>
      <c r="E282" s="184">
        <f>SUMIFS(GL_BS!$G:$G,GL_BS!$R:$R,'Global TARF'!$A$261,GL_BS!$S:$S,'Global TARF'!$A282,GL_BS!$A:$A,'Global TARF'!E$8)</f>
        <v>0</v>
      </c>
      <c r="F282" s="184">
        <f>SUMIFS(GL_BS!$G:$G,GL_BS!$R:$R,'Global TARF'!$A$261,GL_BS!$S:$S,'Global TARF'!$A282,GL_BS!$A:$A,'Global TARF'!F$8)</f>
        <v>0</v>
      </c>
      <c r="G282" s="536">
        <f>SUMIFS(GL_BS!$G:$G,GL_BS!$R:$R,'Global TARF'!$A$261,GL_BS!$S:$S,'Global TARF'!$A282,GL_BS!$A:$A,'Global TARF'!G$8)</f>
        <v>0</v>
      </c>
      <c r="H282" s="547">
        <f>SUMIFS(GL_BS!$G:$G,GL_BS!$R:$R,'Global TARF'!$A$261,GL_BS!$S:$S,'Global TARF'!$A282,GL_BS!$A:$A,'Global TARF'!H$8)</f>
        <v>0</v>
      </c>
      <c r="I282" s="258">
        <f>SUMIFS(GL_BS!$G:$G,GL_BS!$R:$R,'Global TARF'!$A$261,GL_BS!$S:$S,'Global TARF'!$A282,GL_BS!$A:$A,'Global TARF'!I$8)</f>
        <v>0</v>
      </c>
      <c r="J282" s="184">
        <f>SUMIFS(GL_BS!$G:$G,GL_BS!$R:$R,'Global TARF'!$A$261,GL_BS!$S:$S,'Global TARF'!$A282,GL_BS!$A:$A,'Global TARF'!J$8)</f>
        <v>0</v>
      </c>
      <c r="K282" s="184">
        <f>SUMIFS(GL_BS!$G:$G,GL_BS!$R:$R,'Global TARF'!$A$261,GL_BS!$S:$S,'Global TARF'!$A282,GL_BS!$A:$A,'Global TARF'!K$8)</f>
        <v>0</v>
      </c>
      <c r="L282" s="184">
        <f>SUMIFS(GL_BS!$G:$G,GL_BS!$R:$R,'Global TARF'!$A$261,GL_BS!$S:$S,'Global TARF'!$A282,GL_BS!$A:$A,'Global TARF'!L$8)</f>
        <v>0</v>
      </c>
      <c r="M282" s="536">
        <f>SUMIFS(GL_BS!$G:$G,GL_BS!$R:$R,'Global TARF'!$A$261,GL_BS!$S:$S,'Global TARF'!$A282,GL_BS!$A:$A,'Global TARF'!M$8)</f>
        <v>0</v>
      </c>
      <c r="N282" s="555">
        <f>SUMIFS(GL_BS!$G:$G,GL_BS!$R:$R,'Global TARF'!$A$261,GL_BS!$S:$S,'Global TARF'!$A282,GL_BS!$A:$A,'Global TARF'!N$8)</f>
        <v>0</v>
      </c>
      <c r="O282" s="18">
        <f>SUMIFS(GL_BS!$G:$G,GL_BS!$R:$R,'Global TARF'!$A$261,GL_BS!$S:$S,'Global TARF'!$A282,GL_BS!$A:$A,'Global TARF'!O$8)</f>
        <v>0</v>
      </c>
      <c r="P282" s="545">
        <f>SUMIFS(GL_PL!$G:$G,GL_PL!$Q:$Q,'Global TARF'!$A$261,GL_PL!$R:$R,'Global TARF'!$A282,GL_PL!$A:$A,'Global TARF'!P$8)</f>
        <v>0</v>
      </c>
      <c r="Q282" s="184">
        <f>SUMIFS(GL_PL!$G:$G,GL_PL!$Q:$Q,'Global TARF'!$A$261,GL_PL!$R:$R,'Global TARF'!$A282,GL_PL!$A:$A,'Global TARF'!Q$8)</f>
        <v>0</v>
      </c>
      <c r="R282" s="184">
        <f>SUMIFS(GL_PL!$G:$G,GL_PL!$Q:$Q,'Global TARF'!$A$261,GL_PL!$R:$R,'Global TARF'!$A282,GL_PL!$A:$A,'Global TARF'!R$8)</f>
        <v>0</v>
      </c>
      <c r="S282" s="536">
        <f>SUMIFS(GL_PL!$G:$G,GL_PL!$Q:$Q,'Global TARF'!$A$261,GL_PL!$R:$R,'Global TARF'!$A282,GL_PL!$A:$A,'Global TARF'!S$8)</f>
        <v>0</v>
      </c>
      <c r="T282"/>
      <c r="V282" s="26">
        <f>-SUM(Q282,B282)</f>
        <v>0</v>
      </c>
      <c r="Z282" s="582">
        <f t="shared" si="147"/>
        <v>0</v>
      </c>
    </row>
    <row r="283" spans="1:27" x14ac:dyDescent="0.2">
      <c r="A283" s="534" t="s">
        <v>791</v>
      </c>
      <c r="B283" s="184">
        <f>SUMIFS(GL_BS!$G:$G,GL_BS!$R:$R,'Global TARF'!$A$261,GL_BS!$S:$S,'Global TARF'!$A283,GL_BS!$A:$A,'Global TARF'!B$38)</f>
        <v>0</v>
      </c>
      <c r="C283" s="184">
        <f>SUMIFS(GL_BS!$G:$G,GL_BS!$R:$R,'Global TARF'!$A$261,GL_BS!$S:$S,'Global TARF'!$A283,GL_BS!$A:$A,'Global TARF'!C$8)</f>
        <v>0</v>
      </c>
      <c r="D283" s="184">
        <f>SUMIFS(GL_BS!$G:$G,GL_BS!$R:$R,'Global TARF'!$A$261,GL_BS!$S:$S,'Global TARF'!$A283,GL_BS!$A:$A,'Global TARF'!D$8)</f>
        <v>0</v>
      </c>
      <c r="E283" s="184">
        <f>SUMIFS(GL_BS!$G:$G,GL_BS!$R:$R,'Global TARF'!$A$261,GL_BS!$S:$S,'Global TARF'!$A283,GL_BS!$A:$A,'Global TARF'!E$8)</f>
        <v>0</v>
      </c>
      <c r="F283" s="184">
        <f>SUMIFS(GL_BS!$G:$G,GL_BS!$R:$R,'Global TARF'!$A$261,GL_BS!$S:$S,'Global TARF'!$A283,GL_BS!$A:$A,'Global TARF'!F$8)</f>
        <v>0</v>
      </c>
      <c r="G283" s="536">
        <f>SUMIFS(GL_BS!$G:$G,GL_BS!$R:$R,'Global TARF'!$A$261,GL_BS!$S:$S,'Global TARF'!$A283,GL_BS!$A:$A,'Global TARF'!G$8)</f>
        <v>0</v>
      </c>
      <c r="H283" s="547">
        <f>SUMIFS(GL_BS!$G:$G,GL_BS!$R:$R,'Global TARF'!$A$261,GL_BS!$S:$S,'Global TARF'!$A283,GL_BS!$A:$A,'Global TARF'!H$8)</f>
        <v>0</v>
      </c>
      <c r="I283" s="258">
        <f>SUMIFS(GL_BS!$G:$G,GL_BS!$R:$R,'Global TARF'!$A$261,GL_BS!$S:$S,'Global TARF'!$A283,GL_BS!$A:$A,'Global TARF'!I$8)</f>
        <v>0</v>
      </c>
      <c r="J283" s="184">
        <f>SUMIFS(GL_BS!$G:$G,GL_BS!$R:$R,'Global TARF'!$A$261,GL_BS!$S:$S,'Global TARF'!$A283,GL_BS!$A:$A,'Global TARF'!J$8)</f>
        <v>0</v>
      </c>
      <c r="K283" s="184">
        <f>SUMIFS(GL_BS!$G:$G,GL_BS!$R:$R,'Global TARF'!$A$261,GL_BS!$S:$S,'Global TARF'!$A283,GL_BS!$A:$A,'Global TARF'!K$8)</f>
        <v>0</v>
      </c>
      <c r="L283" s="184">
        <f>SUMIFS(GL_BS!$G:$G,GL_BS!$R:$R,'Global TARF'!$A$261,GL_BS!$S:$S,'Global TARF'!$A283,GL_BS!$A:$A,'Global TARF'!L$8)</f>
        <v>0</v>
      </c>
      <c r="M283" s="536">
        <f>SUMIFS(GL_BS!$G:$G,GL_BS!$R:$R,'Global TARF'!$A$261,GL_BS!$S:$S,'Global TARF'!$A283,GL_BS!$A:$A,'Global TARF'!M$8)</f>
        <v>0</v>
      </c>
      <c r="N283" s="555">
        <f>SUMIFS(GL_BS!$G:$G,GL_BS!$R:$R,'Global TARF'!$A$261,GL_BS!$S:$S,'Global TARF'!$A283,GL_BS!$A:$A,'Global TARF'!N$8)</f>
        <v>0</v>
      </c>
      <c r="O283" s="18">
        <f>SUMIFS(GL_BS!$G:$G,GL_BS!$R:$R,'Global TARF'!$A$261,GL_BS!$S:$S,'Global TARF'!$A283,GL_BS!$A:$A,'Global TARF'!O$8)</f>
        <v>0</v>
      </c>
      <c r="P283" s="545">
        <f>SUMIFS(GL_PL!$G:$G,GL_PL!$Q:$Q,'Global TARF'!$A$261,GL_PL!$R:$R,'Global TARF'!$A283,GL_PL!$A:$A,'Global TARF'!P$8)</f>
        <v>0</v>
      </c>
      <c r="Q283" s="184">
        <f>SUMIFS(GL_PL!$G:$G,GL_PL!$Q:$Q,'Global TARF'!$A$261,GL_PL!$R:$R,'Global TARF'!$A283,GL_PL!$A:$A,'Global TARF'!Q$8)</f>
        <v>0</v>
      </c>
      <c r="R283" s="184">
        <f>SUMIFS(GL_PL!$G:$G,GL_PL!$Q:$Q,'Global TARF'!$A$261,GL_PL!$R:$R,'Global TARF'!$A283,GL_PL!$A:$A,'Global TARF'!R$8)</f>
        <v>0</v>
      </c>
      <c r="S283" s="536">
        <f>SUMIFS(GL_PL!$G:$G,GL_PL!$Q:$Q,'Global TARF'!$A$261,GL_PL!$R:$R,'Global TARF'!$A283,GL_PL!$A:$A,'Global TARF'!S$8)</f>
        <v>0</v>
      </c>
      <c r="T283" s="26">
        <f>-C283</f>
        <v>0</v>
      </c>
      <c r="U283" s="26"/>
      <c r="Z283" s="582">
        <f t="shared" si="147"/>
        <v>0</v>
      </c>
    </row>
    <row r="284" spans="1:27" x14ac:dyDescent="0.2">
      <c r="A284" s="534" t="s">
        <v>243</v>
      </c>
      <c r="B284" s="184">
        <f>SUMIFS(GL_BS!$G:$G,GL_BS!$R:$R,'Global TARF'!$A$261,GL_BS!$S:$S,'Global TARF'!$A284,GL_BS!$A:$A,'Global TARF'!B$38)</f>
        <v>0</v>
      </c>
      <c r="C284" s="184">
        <f>SUMIFS(GL_BS!$G:$G,GL_BS!$R:$R,'Global TARF'!$A$261,GL_BS!$S:$S,'Global TARF'!$A284,GL_BS!$A:$A,'Global TARF'!C$8)</f>
        <v>0</v>
      </c>
      <c r="D284" s="184">
        <f>SUMIFS(GL_BS!$G:$G,GL_BS!$R:$R,'Global TARF'!$A$261,GL_BS!$S:$S,'Global TARF'!$A284,GL_BS!$A:$A,'Global TARF'!D$8)</f>
        <v>0</v>
      </c>
      <c r="E284" s="184">
        <f>SUMIFS(GL_BS!$G:$G,GL_BS!$R:$R,'Global TARF'!$A$261,GL_BS!$S:$S,'Global TARF'!$A284,GL_BS!$A:$A,'Global TARF'!E$8)</f>
        <v>0</v>
      </c>
      <c r="F284" s="184">
        <f>SUMIFS(GL_BS!$G:$G,GL_BS!$R:$R,'Global TARF'!$A$261,GL_BS!$S:$S,'Global TARF'!$A284,GL_BS!$A:$A,'Global TARF'!F$8)</f>
        <v>0</v>
      </c>
      <c r="G284" s="536">
        <f>SUMIFS(GL_BS!$G:$G,GL_BS!$R:$R,'Global TARF'!$A$261,GL_BS!$S:$S,'Global TARF'!$A284,GL_BS!$A:$A,'Global TARF'!G$8)</f>
        <v>0</v>
      </c>
      <c r="H284" s="547">
        <f>SUMIFS(GL_BS!$G:$G,GL_BS!$R:$R,'Global TARF'!$A$261,GL_BS!$S:$S,'Global TARF'!$A284,GL_BS!$A:$A,'Global TARF'!H$8)</f>
        <v>0</v>
      </c>
      <c r="I284" s="258">
        <f>SUMIFS(GL_BS!$G:$G,GL_BS!$R:$R,'Global TARF'!$A$261,GL_BS!$S:$S,'Global TARF'!$A284,GL_BS!$A:$A,'Global TARF'!I$8)</f>
        <v>0</v>
      </c>
      <c r="J284" s="184">
        <f>SUMIFS(GL_BS!$G:$G,GL_BS!$R:$R,'Global TARF'!$A$261,GL_BS!$S:$S,'Global TARF'!$A284,GL_BS!$A:$A,'Global TARF'!J$8)</f>
        <v>0</v>
      </c>
      <c r="K284" s="184">
        <f>SUMIFS(GL_BS!$G:$G,GL_BS!$R:$R,'Global TARF'!$A$261,GL_BS!$S:$S,'Global TARF'!$A284,GL_BS!$A:$A,'Global TARF'!K$8)</f>
        <v>0</v>
      </c>
      <c r="L284" s="184">
        <f>SUMIFS(GL_BS!$G:$G,GL_BS!$R:$R,'Global TARF'!$A$261,GL_BS!$S:$S,'Global TARF'!$A284,GL_BS!$A:$A,'Global TARF'!L$8)</f>
        <v>0</v>
      </c>
      <c r="M284" s="536">
        <f>SUMIFS(GL_BS!$G:$G,GL_BS!$R:$R,'Global TARF'!$A$261,GL_BS!$S:$S,'Global TARF'!$A284,GL_BS!$A:$A,'Global TARF'!M$8)</f>
        <v>0</v>
      </c>
      <c r="N284" s="555">
        <f>SUMIFS(GL_BS!$G:$G,GL_BS!$R:$R,'Global TARF'!$A$261,GL_BS!$S:$S,'Global TARF'!$A284,GL_BS!$A:$A,'Global TARF'!N$8)</f>
        <v>0</v>
      </c>
      <c r="O284" s="18">
        <f>SUMIFS(GL_BS!$G:$G,GL_BS!$R:$R,'Global TARF'!$A$261,GL_BS!$S:$S,'Global TARF'!$A284,GL_BS!$A:$A,'Global TARF'!O$8)</f>
        <v>0</v>
      </c>
      <c r="P284" s="545">
        <f>SUMIFS(GL_PL!$G:$G,GL_PL!$Q:$Q,'Global TARF'!$A$261,GL_PL!$R:$R,'Global TARF'!$A284,GL_PL!$A:$A,'Global TARF'!P$8)</f>
        <v>0</v>
      </c>
      <c r="Q284" s="184">
        <f>SUMIFS(GL_PL!$G:$G,GL_PL!$Q:$Q,'Global TARF'!$A$261,GL_PL!$R:$R,'Global TARF'!$A284,GL_PL!$A:$A,'Global TARF'!Q$8)</f>
        <v>0</v>
      </c>
      <c r="R284" s="184">
        <f>SUMIFS(GL_PL!$G:$G,GL_PL!$Q:$Q,'Global TARF'!$A$261,GL_PL!$R:$R,'Global TARF'!$A284,GL_PL!$A:$A,'Global TARF'!R$8)</f>
        <v>0</v>
      </c>
      <c r="S284" s="536">
        <f>SUMIFS(GL_PL!$G:$G,GL_PL!$Q:$Q,'Global TARF'!$A$261,GL_PL!$R:$R,'Global TARF'!$A284,GL_PL!$A:$A,'Global TARF'!S$8)</f>
        <v>0</v>
      </c>
      <c r="T284"/>
      <c r="Z284" s="582">
        <f t="shared" si="147"/>
        <v>0</v>
      </c>
    </row>
    <row r="285" spans="1:27" x14ac:dyDescent="0.2">
      <c r="A285" s="534" t="s">
        <v>795</v>
      </c>
      <c r="B285" s="184">
        <f>SUMIFS(GL_BS!$G:$G,GL_BS!$R:$R,'Global TARF'!$A$261,GL_BS!$S:$S,'Global TARF'!$A285,GL_BS!$A:$A,'Global TARF'!B$38)</f>
        <v>0</v>
      </c>
      <c r="C285" s="184">
        <f>SUMIFS(GL_BS!$G:$G,GL_BS!$R:$R,'Global TARF'!$A$261,GL_BS!$S:$S,'Global TARF'!$A285,GL_BS!$A:$A,'Global TARF'!C$8)</f>
        <v>0</v>
      </c>
      <c r="D285" s="184">
        <f>SUMIFS(GL_BS!$G:$G,GL_BS!$R:$R,'Global TARF'!$A$261,GL_BS!$S:$S,'Global TARF'!$A285,GL_BS!$A:$A,'Global TARF'!D$8)</f>
        <v>0</v>
      </c>
      <c r="E285" s="184">
        <f>SUMIFS(GL_BS!$G:$G,GL_BS!$R:$R,'Global TARF'!$A$261,GL_BS!$S:$S,'Global TARF'!$A285,GL_BS!$A:$A,'Global TARF'!E$8)</f>
        <v>0</v>
      </c>
      <c r="F285" s="184">
        <f>SUMIFS(GL_BS!$G:$G,GL_BS!$R:$R,'Global TARF'!$A$261,GL_BS!$S:$S,'Global TARF'!$A285,GL_BS!$A:$A,'Global TARF'!F$8)</f>
        <v>0</v>
      </c>
      <c r="G285" s="536">
        <f>SUMIFS(GL_BS!$G:$G,GL_BS!$R:$R,'Global TARF'!$A$261,GL_BS!$S:$S,'Global TARF'!$A285,GL_BS!$A:$A,'Global TARF'!G$8)</f>
        <v>0</v>
      </c>
      <c r="H285" s="547">
        <f>SUMIFS(GL_BS!$G:$G,GL_BS!$R:$R,'Global TARF'!$A$261,GL_BS!$S:$S,'Global TARF'!$A285,GL_BS!$A:$A,'Global TARF'!H$8)</f>
        <v>0</v>
      </c>
      <c r="I285" s="258">
        <f>SUMIFS(GL_BS!$G:$G,GL_BS!$R:$R,'Global TARF'!$A$261,GL_BS!$S:$S,'Global TARF'!$A285,GL_BS!$A:$A,'Global TARF'!I$8)</f>
        <v>0</v>
      </c>
      <c r="J285" s="184">
        <f>SUMIFS(GL_BS!$G:$G,GL_BS!$R:$R,'Global TARF'!$A$261,GL_BS!$S:$S,'Global TARF'!$A285,GL_BS!$A:$A,'Global TARF'!J$8)</f>
        <v>0</v>
      </c>
      <c r="K285" s="184">
        <f>SUMIFS(GL_BS!$G:$G,GL_BS!$R:$R,'Global TARF'!$A$261,GL_BS!$S:$S,'Global TARF'!$A285,GL_BS!$A:$A,'Global TARF'!K$8)</f>
        <v>0</v>
      </c>
      <c r="L285" s="184">
        <f>SUMIFS(GL_BS!$G:$G,GL_BS!$R:$R,'Global TARF'!$A$261,GL_BS!$S:$S,'Global TARF'!$A285,GL_BS!$A:$A,'Global TARF'!L$8)</f>
        <v>0</v>
      </c>
      <c r="M285" s="536">
        <f>SUMIFS(GL_BS!$G:$G,GL_BS!$R:$R,'Global TARF'!$A$261,GL_BS!$S:$S,'Global TARF'!$A285,GL_BS!$A:$A,'Global TARF'!M$8)</f>
        <v>0</v>
      </c>
      <c r="N285" s="555">
        <f>SUMIFS(GL_BS!$G:$G,GL_BS!$R:$R,'Global TARF'!$A$261,GL_BS!$S:$S,'Global TARF'!$A285,GL_BS!$A:$A,'Global TARF'!N$8)</f>
        <v>0</v>
      </c>
      <c r="O285" s="18">
        <f>SUMIFS(GL_BS!$G:$G,GL_BS!$R:$R,'Global TARF'!$A$261,GL_BS!$S:$S,'Global TARF'!$A285,GL_BS!$A:$A,'Global TARF'!O$8)</f>
        <v>0</v>
      </c>
      <c r="P285" s="545">
        <f>SUMIFS(GL_PL!$G:$G,GL_PL!$Q:$Q,'Global TARF'!$A$261,GL_PL!$R:$R,'Global TARF'!$A285,GL_PL!$A:$A,'Global TARF'!P$8)</f>
        <v>0</v>
      </c>
      <c r="Q285" s="184">
        <f>SUMIFS(GL_PL!$G:$G,GL_PL!$Q:$Q,'Global TARF'!$A$261,GL_PL!$R:$R,'Global TARF'!$A285,GL_PL!$A:$A,'Global TARF'!Q$8)</f>
        <v>0</v>
      </c>
      <c r="R285" s="184">
        <f>SUMIFS(GL_PL!$G:$G,GL_PL!$Q:$Q,'Global TARF'!$A$261,GL_PL!$R:$R,'Global TARF'!$A285,GL_PL!$A:$A,'Global TARF'!R$8)</f>
        <v>0</v>
      </c>
      <c r="S285" s="536">
        <f>SUMIFS(GL_PL!$G:$G,GL_PL!$Q:$Q,'Global TARF'!$A$261,GL_PL!$R:$R,'Global TARF'!$A285,GL_PL!$A:$A,'Global TARF'!S$8)</f>
        <v>0</v>
      </c>
      <c r="T285" s="26">
        <f>-SUM(P285:R285)</f>
        <v>0</v>
      </c>
      <c r="U285" s="26"/>
      <c r="Z285" s="582">
        <f t="shared" si="147"/>
        <v>0</v>
      </c>
    </row>
    <row r="286" spans="1:27" ht="10.5" thickBot="1" x14ac:dyDescent="0.25">
      <c r="A286" s="534" t="s">
        <v>793</v>
      </c>
      <c r="B286" s="184">
        <f>SUMIFS(GL_BS!$G:$G,GL_BS!$R:$R,'Global TARF'!$A$261,GL_BS!$S:$S,'Global TARF'!$A286,GL_BS!$A:$A,'Global TARF'!B$38)</f>
        <v>0</v>
      </c>
      <c r="C286" s="184">
        <f>SUMIFS(GL_BS!$G:$G,GL_BS!$R:$R,'Global TARF'!$A$261,GL_BS!$S:$S,'Global TARF'!$A286,GL_BS!$A:$A,'Global TARF'!C$8)</f>
        <v>0</v>
      </c>
      <c r="D286" s="184">
        <f>SUMIFS(GL_BS!$G:$G,GL_BS!$R:$R,'Global TARF'!$A$261,GL_BS!$S:$S,'Global TARF'!$A286,GL_BS!$A:$A,'Global TARF'!D$8)</f>
        <v>0</v>
      </c>
      <c r="E286" s="184">
        <f>SUMIFS(GL_BS!$G:$G,GL_BS!$R:$R,'Global TARF'!$A$261,GL_BS!$S:$S,'Global TARF'!$A286,GL_BS!$A:$A,'Global TARF'!E$8)</f>
        <v>0</v>
      </c>
      <c r="F286" s="184">
        <f>SUMIFS(GL_BS!$G:$G,GL_BS!$R:$R,'Global TARF'!$A$261,GL_BS!$S:$S,'Global TARF'!$A286,GL_BS!$A:$A,'Global TARF'!F$8)</f>
        <v>0</v>
      </c>
      <c r="G286" s="536">
        <f>SUMIFS(GL_BS!$G:$G,GL_BS!$R:$R,'Global TARF'!$A$261,GL_BS!$S:$S,'Global TARF'!$A286,GL_BS!$A:$A,'Global TARF'!G$8)</f>
        <v>0</v>
      </c>
      <c r="H286" s="547">
        <f>SUMIFS(GL_BS!$G:$G,GL_BS!$R:$R,'Global TARF'!$A$261,GL_BS!$S:$S,'Global TARF'!$A286,GL_BS!$A:$A,'Global TARF'!H$8)</f>
        <v>0</v>
      </c>
      <c r="I286" s="258">
        <f>SUMIFS(GL_BS!$G:$G,GL_BS!$R:$R,'Global TARF'!$A$261,GL_BS!$S:$S,'Global TARF'!$A286,GL_BS!$A:$A,'Global TARF'!I$8)</f>
        <v>0</v>
      </c>
      <c r="J286" s="184">
        <f>SUMIFS(GL_BS!$G:$G,GL_BS!$R:$R,'Global TARF'!$A$261,GL_BS!$S:$S,'Global TARF'!$A286,GL_BS!$A:$A,'Global TARF'!J$8)</f>
        <v>0</v>
      </c>
      <c r="K286" s="184">
        <f>SUMIFS(GL_BS!$G:$G,GL_BS!$R:$R,'Global TARF'!$A$261,GL_BS!$S:$S,'Global TARF'!$A286,GL_BS!$A:$A,'Global TARF'!K$8)</f>
        <v>0</v>
      </c>
      <c r="L286" s="184">
        <f>SUMIFS(GL_BS!$G:$G,GL_BS!$R:$R,'Global TARF'!$A$261,GL_BS!$S:$S,'Global TARF'!$A286,GL_BS!$A:$A,'Global TARF'!L$8)</f>
        <v>0</v>
      </c>
      <c r="M286" s="536">
        <f>SUMIFS(GL_BS!$G:$G,GL_BS!$R:$R,'Global TARF'!$A$261,GL_BS!$S:$S,'Global TARF'!$A286,GL_BS!$A:$A,'Global TARF'!M$8)</f>
        <v>0</v>
      </c>
      <c r="N286" s="555">
        <f>SUMIFS(GL_BS!$G:$G,GL_BS!$R:$R,'Global TARF'!$A$261,GL_BS!$S:$S,'Global TARF'!$A286,GL_BS!$A:$A,'Global TARF'!N$8)</f>
        <v>0</v>
      </c>
      <c r="O286" s="18">
        <f>SUMIFS(GL_BS!$G:$G,GL_BS!$R:$R,'Global TARF'!$A$261,GL_BS!$S:$S,'Global TARF'!$A286,GL_BS!$A:$A,'Global TARF'!O$8)</f>
        <v>0</v>
      </c>
      <c r="P286" s="545">
        <f>SUMIFS(GL_PL!$G:$G,GL_PL!$Q:$Q,'Global TARF'!$A$261,GL_PL!$R:$R,'Global TARF'!$A286,GL_PL!$A:$A,'Global TARF'!P$8)</f>
        <v>0</v>
      </c>
      <c r="Q286" s="184">
        <f>SUMIFS(GL_PL!$G:$G,GL_PL!$Q:$Q,'Global TARF'!$A$261,GL_PL!$R:$R,'Global TARF'!$A286,GL_PL!$A:$A,'Global TARF'!Q$8)</f>
        <v>0</v>
      </c>
      <c r="R286" s="184">
        <f>SUMIFS(GL_PL!$G:$G,GL_PL!$Q:$Q,'Global TARF'!$A$261,GL_PL!$R:$R,'Global TARF'!$A286,GL_PL!$A:$A,'Global TARF'!R$8)</f>
        <v>0</v>
      </c>
      <c r="S286" s="536">
        <f>SUMIFS(GL_PL!$G:$G,GL_PL!$Q:$Q,'Global TARF'!$A$261,GL_PL!$R:$R,'Global TARF'!$A286,GL_PL!$A:$A,'Global TARF'!S$8)</f>
        <v>0</v>
      </c>
      <c r="T286"/>
      <c r="Z286" s="582">
        <f t="shared" si="147"/>
        <v>0</v>
      </c>
    </row>
    <row r="287" spans="1:27" s="23" customFormat="1" ht="10.5" thickBot="1" x14ac:dyDescent="0.25">
      <c r="A287" s="563" t="str">
        <f>$A$34</f>
        <v>Balance as of 06/31/2024</v>
      </c>
      <c r="B287" s="564">
        <f>SUM(B263:B286)</f>
        <v>0</v>
      </c>
      <c r="C287" s="564">
        <f>SUM(C263:C286)</f>
        <v>7695.1288136196863</v>
      </c>
      <c r="D287" s="564">
        <f>SUM(D263:D286)</f>
        <v>0</v>
      </c>
      <c r="E287" s="564">
        <f t="shared" ref="E287:T287" si="148">SUM(E263:E286)</f>
        <v>0</v>
      </c>
      <c r="F287" s="564"/>
      <c r="G287" s="566">
        <f t="shared" si="148"/>
        <v>191207.65860174043</v>
      </c>
      <c r="H287" s="577">
        <f t="shared" si="148"/>
        <v>41986.175289333318</v>
      </c>
      <c r="I287" s="577">
        <f t="shared" si="148"/>
        <v>0</v>
      </c>
      <c r="J287" s="577">
        <f t="shared" si="148"/>
        <v>0</v>
      </c>
      <c r="K287" s="577">
        <f t="shared" si="148"/>
        <v>0</v>
      </c>
      <c r="L287" s="564">
        <f t="shared" si="148"/>
        <v>0</v>
      </c>
      <c r="M287" s="566">
        <f t="shared" si="148"/>
        <v>0</v>
      </c>
      <c r="N287" s="567" t="e">
        <f t="shared" si="148"/>
        <v>#N/A</v>
      </c>
      <c r="O287" s="564" t="e">
        <f t="shared" si="148"/>
        <v>#N/A</v>
      </c>
      <c r="P287" s="565">
        <f t="shared" si="148"/>
        <v>0</v>
      </c>
      <c r="Q287" s="564">
        <f t="shared" si="148"/>
        <v>0</v>
      </c>
      <c r="R287" s="564">
        <f t="shared" si="148"/>
        <v>61383.245207750471</v>
      </c>
      <c r="S287" s="566">
        <f t="shared" ref="S287" si="149">SUM(S263:S286)</f>
        <v>0</v>
      </c>
      <c r="T287" s="564">
        <f t="shared" si="148"/>
        <v>-113962.45468140001</v>
      </c>
      <c r="U287" s="564"/>
      <c r="V287" s="564"/>
      <c r="W287" s="566"/>
      <c r="X287" s="27"/>
      <c r="Z287" s="583"/>
    </row>
    <row r="288" spans="1:27" x14ac:dyDescent="0.2">
      <c r="A288" s="534"/>
      <c r="B288" s="186">
        <f>IFERROR(INDEX('BS_Q2 24'!$A$9:$O$279,MATCH('Global TARF'!B$8,'BS_Q2 24'!$A$9:$A$279,0),MATCH($A$261,'BS_Q2 24'!$A$8:$O$8)),0)</f>
        <v>0</v>
      </c>
      <c r="C288" s="186">
        <f>IFERROR(INDEX('BS_Q2 24'!$A$9:$O$279,MATCH('Global TARF'!C$8,'BS_Q2 24'!$A$9:$A$279,0),MATCH($A$261,'BS_Q2 24'!$A$8:$O$8)),0)</f>
        <v>7695.1288136196863</v>
      </c>
      <c r="D288" s="186">
        <f>IFERROR(INDEX('BS_Q2 24'!$A$9:$O$279,MATCH('Global TARF'!D$8,'BS_Q2 24'!$A$9:$A$279,0),MATCH($A$261,'BS_Q2 24'!$A$8:$O$8)),0)</f>
        <v>0</v>
      </c>
      <c r="E288" s="186">
        <f>IFERROR(INDEX('BS_Q2 24'!$A$9:$O$279,MATCH('Global TARF'!E$8,'BS_Q2 24'!$A$9:$A$279,0),MATCH($A$261,'BS_Q2 24'!$A$8:$O$8)),0)</f>
        <v>0</v>
      </c>
      <c r="F288" s="186">
        <f>IFERROR(INDEX('BS_Q2 24'!$A$9:$O$279,MATCH('Global TARF'!F$8,'BS_Q2 24'!$A$9:$A$279,0),MATCH($A$261,'BS_Q2 24'!$A$8:$O$8)),0)</f>
        <v>0</v>
      </c>
      <c r="G288" s="186">
        <f>IFERROR(INDEX('BS_Q2 24'!$A$9:$O$279,MATCH('Global TARF'!G$8,'BS_Q2 24'!$A$9:$A$279,0),MATCH($A$261,'BS_Q2 24'!$A$8:$O$8)),0)</f>
        <v>191207.65534711358</v>
      </c>
      <c r="H288" s="547">
        <f>-IFERROR(INDEX('BS_Q2 24'!$A$9:$O$279,MATCH('Global TARF'!H$8,'BS_Q2 24'!$A$9:$A$279,0),MATCH($A$261,'BS_Q2 24'!$A$8:$O$8)),0)</f>
        <v>41986.170393251487</v>
      </c>
      <c r="I288" s="547">
        <f>-IFERROR(INDEX('BS_Q2 24'!$A$9:$O$279,MATCH('Global TARF'!I$8,'BS_Q2 24'!$A$9:$A$279,0),MATCH($A$261,'BS_Q2 24'!$A$8:$O$8)),0)</f>
        <v>0</v>
      </c>
      <c r="J288" s="547">
        <f>-IFERROR(INDEX('BS_Q2 24'!$A$9:$O$279,MATCH('Global TARF'!J$8,'BS_Q2 24'!$A$9:$A$279,0),MATCH($A$261,'BS_Q2 24'!$A$8:$O$8)),0)</f>
        <v>0</v>
      </c>
      <c r="K288" s="547">
        <f>-IFERROR(INDEX('BS_Q2 24'!$A$9:$O$279,MATCH('Global TARF'!K$8,'BS_Q2 24'!$A$9:$A$279,0),MATCH($A$261,'BS_Q2 24'!$A$8:$O$8)),0)</f>
        <v>0</v>
      </c>
      <c r="L288" s="547">
        <f>-IFERROR(INDEX('BS_Q2 24'!$A$9:$O$279,MATCH('Global TARF'!L$8,'BS_Q2 24'!$A$9:$A$279,0),MATCH($A$261,'BS_Q2 24'!$A$8:$O$8)),0)</f>
        <v>0</v>
      </c>
      <c r="M288" s="547">
        <f>-IFERROR(INDEX('BS_Q2 24'!$A$9:$O$279,MATCH('Global TARF'!M$8,'BS_Q2 24'!$A$9:$A$279,0),MATCH($A$261,'BS_Q2 24'!$A$8:$O$8)),0)</f>
        <v>0</v>
      </c>
      <c r="N288" s="554" t="e">
        <f>INDEX('BS_Q2 24'!$A$9:$O$118,MATCH('Global TARF'!N$8,'BS_Q2 24'!$A$9:$A$118,0),MATCH($A$261,'BS_Q2 24'!$A$8:$O$8))</f>
        <v>#N/A</v>
      </c>
      <c r="O288" s="24" t="e">
        <f>INDEX('BS_Q2 24'!$A$9:$O$118,MATCH('Global TARF'!O$8,'BS_Q2 24'!$A$9:$A$118,0),MATCH($A$261,'BS_Q2 24'!$A$8:$O$8))</f>
        <v>#N/A</v>
      </c>
      <c r="P288" s="545">
        <f>-IFERROR(INDEX('IS_Q2 24'!$A$7:$O$700,MATCH('Global TARF'!P$8,'IS_Q2 24'!$A$7:$A$700,0),MATCH($A$261,'IS_Q2 24'!$A$8:$O$8)),0)</f>
        <v>0</v>
      </c>
      <c r="Q288" s="545">
        <f>-IFERROR(INDEX('IS_Q2 24'!$A$7:$O$700,MATCH('Global TARF'!Q$8,'IS_Q2 24'!$A$7:$A$700,0),MATCH($A$261,'IS_Q2 24'!$A$8:$O$8)),0)</f>
        <v>0</v>
      </c>
      <c r="R288" s="545">
        <f>-IFERROR(INDEX('IS_Q2 24'!$A$7:$O$700,MATCH('Global TARF'!R$8,'IS_Q2 24'!$A$7:$A$700,0),MATCH($A$261,'IS_Q2 24'!$A$8:$O$8)),0)</f>
        <v>61383.245207750471</v>
      </c>
      <c r="S288" s="545">
        <f>-IFERROR(INDEX('IS_Q2 24'!$A$7:$O$700,MATCH('Global TARF'!S$8,'IS_Q2 24'!$A$7:$A$700,0),MATCH($A$261,'IS_Q2 24'!$A$8:$O$8)),0)</f>
        <v>0</v>
      </c>
      <c r="T288"/>
      <c r="Z288" s="580"/>
    </row>
    <row r="289" spans="1:26" x14ac:dyDescent="0.2">
      <c r="A289" s="534"/>
      <c r="B289" t="b">
        <f t="shared" ref="B289:V289" si="150">ROUND(B287,0)=ROUND(B288,0)</f>
        <v>1</v>
      </c>
      <c r="C289" t="b">
        <f t="shared" si="150"/>
        <v>1</v>
      </c>
      <c r="D289" t="b">
        <f t="shared" ref="D289" si="151">ROUND(D287,0)=ROUND(D288,0)</f>
        <v>1</v>
      </c>
      <c r="E289" t="b">
        <f t="shared" si="150"/>
        <v>1</v>
      </c>
      <c r="F289" t="b">
        <f t="shared" si="150"/>
        <v>1</v>
      </c>
      <c r="G289" s="535" t="b">
        <f t="shared" si="150"/>
        <v>1</v>
      </c>
      <c r="H289" s="534" t="b">
        <f t="shared" si="150"/>
        <v>1</v>
      </c>
      <c r="I289" s="534" t="b">
        <f t="shared" si="150"/>
        <v>1</v>
      </c>
      <c r="J289" s="534" t="b">
        <f t="shared" si="150"/>
        <v>1</v>
      </c>
      <c r="K289" s="534" t="b">
        <f t="shared" si="150"/>
        <v>1</v>
      </c>
      <c r="L289" t="b">
        <f t="shared" si="150"/>
        <v>1</v>
      </c>
      <c r="M289" s="535" t="b">
        <f t="shared" si="150"/>
        <v>1</v>
      </c>
      <c r="N289" s="552" t="e">
        <f t="shared" si="150"/>
        <v>#N/A</v>
      </c>
      <c r="O289" t="e">
        <f t="shared" si="150"/>
        <v>#N/A</v>
      </c>
      <c r="P289" s="534" t="b">
        <f t="shared" si="150"/>
        <v>1</v>
      </c>
      <c r="Q289" t="b">
        <f t="shared" si="150"/>
        <v>1</v>
      </c>
      <c r="R289" t="b">
        <f t="shared" si="150"/>
        <v>1</v>
      </c>
      <c r="S289" s="535" t="b">
        <f t="shared" ref="S289" si="152">ROUND(S287,0)=ROUND(S288,0)</f>
        <v>1</v>
      </c>
      <c r="T289"/>
      <c r="V289" t="b">
        <f t="shared" si="150"/>
        <v>1</v>
      </c>
      <c r="Z289" s="580"/>
    </row>
    <row r="290" spans="1:26" x14ac:dyDescent="0.2">
      <c r="A290" s="534"/>
      <c r="C290" s="26">
        <f>C288-C287</f>
        <v>0</v>
      </c>
      <c r="D290" s="26">
        <f>D288-D287</f>
        <v>0</v>
      </c>
      <c r="G290" s="541">
        <f>G288-G287</f>
        <v>-3.2546268485020846E-3</v>
      </c>
      <c r="H290" s="537">
        <f>H288-H287</f>
        <v>-4.8960818312480114E-3</v>
      </c>
      <c r="I290" s="26"/>
      <c r="J290" s="26"/>
      <c r="K290" s="26"/>
      <c r="M290" s="535"/>
      <c r="N290" s="552"/>
      <c r="P290" s="534"/>
      <c r="S290" s="535"/>
      <c r="T290"/>
      <c r="Z290" s="580"/>
    </row>
    <row r="291" spans="1:26" x14ac:dyDescent="0.2">
      <c r="A291" s="534"/>
      <c r="G291" s="535"/>
      <c r="H291" s="534"/>
      <c r="M291" s="535"/>
      <c r="N291" s="552"/>
      <c r="P291" s="534"/>
      <c r="S291" s="535"/>
      <c r="T291"/>
      <c r="Z291" s="580"/>
    </row>
    <row r="292" spans="1:26" x14ac:dyDescent="0.2">
      <c r="A292" s="534"/>
      <c r="G292" s="535"/>
      <c r="H292" s="534"/>
      <c r="M292" s="535"/>
      <c r="N292" s="552"/>
      <c r="P292" s="534"/>
      <c r="S292" s="535"/>
      <c r="T292"/>
      <c r="Z292" s="580"/>
    </row>
    <row r="293" spans="1:26" s="17" customFormat="1" ht="10.5" x14ac:dyDescent="0.25">
      <c r="A293" s="562">
        <v>208</v>
      </c>
      <c r="B293" s="558" t="s">
        <v>342</v>
      </c>
      <c r="C293" s="558" t="s">
        <v>220</v>
      </c>
      <c r="D293" s="558" t="str">
        <f>$D$8</f>
        <v>145700 - Income tax receivable - Long Term</v>
      </c>
      <c r="E293" s="558" t="s">
        <v>378</v>
      </c>
      <c r="F293" s="558" t="s">
        <v>427</v>
      </c>
      <c r="G293" s="559" t="s">
        <v>415</v>
      </c>
      <c r="H293" s="558" t="s">
        <v>240</v>
      </c>
      <c r="I293" s="558" t="s">
        <v>467</v>
      </c>
      <c r="J293" s="558" t="s">
        <v>4397</v>
      </c>
      <c r="K293" s="558" t="s">
        <v>4396</v>
      </c>
      <c r="L293" s="559" t="s">
        <v>502</v>
      </c>
      <c r="M293" s="559" t="s">
        <v>503</v>
      </c>
      <c r="N293" s="560" t="s">
        <v>877</v>
      </c>
      <c r="O293" s="561"/>
      <c r="P293" s="558" t="s">
        <v>20</v>
      </c>
      <c r="Q293" s="561" t="s">
        <v>57</v>
      </c>
      <c r="R293" s="561" t="s">
        <v>183</v>
      </c>
      <c r="S293" s="561" t="s">
        <v>3623</v>
      </c>
      <c r="T293" s="561" t="s">
        <v>4268</v>
      </c>
      <c r="U293" s="561" t="s">
        <v>4269</v>
      </c>
      <c r="V293" s="561" t="s">
        <v>794</v>
      </c>
      <c r="W293" s="561" t="s">
        <v>793</v>
      </c>
      <c r="Z293" s="579"/>
    </row>
    <row r="294" spans="1:26" ht="11" thickBot="1" x14ac:dyDescent="0.3">
      <c r="A294" s="538" t="s">
        <v>814</v>
      </c>
      <c r="G294" s="535"/>
      <c r="H294" s="534"/>
      <c r="M294" s="535"/>
      <c r="N294" s="550"/>
      <c r="P294" s="534"/>
      <c r="S294" s="535"/>
      <c r="T294"/>
      <c r="Z294" s="580"/>
    </row>
    <row r="295" spans="1:26" s="23" customFormat="1" ht="10.5" thickBot="1" x14ac:dyDescent="0.25">
      <c r="A295" s="563" t="str">
        <f>A10</f>
        <v>Balance as of 12/31/2023</v>
      </c>
      <c r="B295" s="564">
        <f>IFERROR(INDEX(BS_2023!$A$8:$O$271,MATCH('Global TARF'!B$8,BS_2023!$A$8:$A$271,0),MATCH($A$293,BS_2023!$A$7:$O$7)),0)</f>
        <v>0</v>
      </c>
      <c r="C295" s="564">
        <f>IFERROR(INDEX(BS_2023!$A$8:$O$271,MATCH('Global TARF'!C$8,BS_2023!$A$8:$A$271,0),MATCH($A$293,BS_2023!$A$7:$O$7)),0)</f>
        <v>26079.593255767999</v>
      </c>
      <c r="D295" s="564">
        <f>IFERROR(INDEX(BS_2023!$A$8:$O$271,MATCH('Global TARF'!D$8,BS_2023!$A$8:$A$271,0),MATCH($A$293,BS_2023!$A$7:$O$7)),0)</f>
        <v>0</v>
      </c>
      <c r="E295" s="564">
        <f>IFERROR(INDEX(BS_2023!$A$8:$O$271,MATCH('Global TARF'!E$8,BS_2023!$A$8:$A$271,0),MATCH($A$293,BS_2023!$A$7:$O$7)),0)</f>
        <v>0</v>
      </c>
      <c r="F295" s="564">
        <f>IFERROR(INDEX(BS_2023!$A$8:$O$271,MATCH('Global TARF'!F$8,BS_2023!$A$8:$A$271,0),MATCH($A$293,BS_2023!$A$7:$O$7)),0)</f>
        <v>0</v>
      </c>
      <c r="G295" s="564">
        <f>IFERROR(INDEX(BS_2023!$A$8:$O$271,MATCH('Global TARF'!G$8,BS_2023!$A$8:$A$271,0),MATCH($A$293,BS_2023!$A$7:$O$7)),0)</f>
        <v>0</v>
      </c>
      <c r="H295" s="565">
        <f>-IFERROR(INDEX(BS_2023!$A$8:$O$271,MATCH('Global TARF'!H$8,BS_2023!$A$8:$A$271,0),MATCH($A$293,BS_2023!$A$7:$O$7)),0)</f>
        <v>-5797.1589798278001</v>
      </c>
      <c r="I295" s="565">
        <f>-IFERROR(INDEX(BS_2023!$A$8:$O$271,MATCH('Global TARF'!I$8,BS_2023!$A$8:$A$271,0),MATCH($A$293,BS_2023!$A$7:$O$7)),0)</f>
        <v>0</v>
      </c>
      <c r="J295" s="565">
        <f>-IFERROR(INDEX(BS_2023!$A$8:$O$271,MATCH('Global TARF'!J$8,BS_2023!$A$8:$A$271,0),MATCH($A$293,BS_2023!$A$7:$O$7)),0)</f>
        <v>0</v>
      </c>
      <c r="K295" s="565">
        <f>-IFERROR(INDEX(BS_2023!$A$8:$O$271,MATCH('Global TARF'!K$8,BS_2023!$A$8:$A$271,0),MATCH($A$293,BS_2023!$A$7:$O$7)),0)</f>
        <v>0</v>
      </c>
      <c r="L295" s="565">
        <f>-IFERROR(INDEX(BS_2023!$A$8:$O$271,MATCH('Global TARF'!L$8,BS_2023!$A$8:$A$271,0),MATCH($A$293,BS_2023!$A$7:$O$7)),0)</f>
        <v>0</v>
      </c>
      <c r="M295" s="565">
        <f>-IFERROR(INDEX(BS_2023!$A$8:$O$271,MATCH('Global TARF'!M$8,BS_2023!$A$8:$A$271,0),MATCH($A$293,BS_2023!$A$7:$O$7)),0)</f>
        <v>0</v>
      </c>
      <c r="N295" s="576"/>
      <c r="O295" s="574"/>
      <c r="P295" s="563"/>
      <c r="Q295" s="574"/>
      <c r="R295" s="574"/>
      <c r="S295" s="575"/>
      <c r="T295" s="574"/>
      <c r="U295" s="574"/>
      <c r="V295" s="574"/>
      <c r="W295" s="575"/>
      <c r="Z295" s="583"/>
    </row>
    <row r="296" spans="1:26" x14ac:dyDescent="0.2">
      <c r="A296" s="534" t="s">
        <v>798</v>
      </c>
      <c r="C296" s="24">
        <v>-743.34</v>
      </c>
      <c r="G296" s="535"/>
      <c r="H296" s="545">
        <v>165.23</v>
      </c>
      <c r="I296" s="184"/>
      <c r="J296" s="184"/>
      <c r="K296" s="184"/>
      <c r="M296" s="535"/>
      <c r="N296" s="553">
        <f>-SUM(H296,G296,C296,E296,M296,L296,F296,B296,D296)</f>
        <v>578.11</v>
      </c>
      <c r="P296" s="534"/>
      <c r="S296" s="535"/>
      <c r="T296"/>
      <c r="Z296" s="582">
        <f t="shared" ref="Z296:Z318" si="153">SUM(B296:Y296)</f>
        <v>0</v>
      </c>
    </row>
    <row r="297" spans="1:26" x14ac:dyDescent="0.2">
      <c r="A297" s="534"/>
      <c r="G297" s="535"/>
      <c r="H297" s="534"/>
      <c r="M297" s="535"/>
      <c r="N297" s="552"/>
      <c r="P297" s="534"/>
      <c r="S297" s="535"/>
      <c r="T297"/>
      <c r="Z297" s="582">
        <f t="shared" si="153"/>
        <v>0</v>
      </c>
    </row>
    <row r="298" spans="1:26" x14ac:dyDescent="0.2">
      <c r="A298" s="534"/>
      <c r="B298" s="184">
        <f>SUMIFS(GL_BS!$G:$G,GL_BS!$R:$R,'Global TARF'!$A$293,GL_BS!$S:$S,'Global TARF'!$A298,GL_BS!$A:$A,'Global TARF'!B$38)</f>
        <v>0</v>
      </c>
      <c r="C298" s="184">
        <f>SUMIFS(GL_BS!$G:$G,GL_BS!$R:$R,'Global TARF'!$A$293,GL_BS!$S:$S,'Global TARF'!$A298,GL_BS!$A:$A,'Global TARF'!C$8)</f>
        <v>0</v>
      </c>
      <c r="D298" s="184">
        <f>SUMIFS(GL_BS!$G:$G,GL_BS!$R:$R,'Global TARF'!$A$293,GL_BS!$S:$S,'Global TARF'!$A298,GL_BS!$A:$A,'Global TARF'!D$8)</f>
        <v>0</v>
      </c>
      <c r="E298" s="184">
        <f>SUMIFS(GL_BS!$G:$G,GL_BS!$R:$R,'Global TARF'!$A$293,GL_BS!$S:$S,'Global TARF'!$A298,GL_BS!$A:$A,'Global TARF'!E$8)</f>
        <v>0</v>
      </c>
      <c r="F298" s="184"/>
      <c r="G298" s="536">
        <f>SUMIFS(GL_BS!$G:$G,GL_BS!$R:$R,'Global TARF'!$A$293,GL_BS!$S:$S,'Global TARF'!$A298,GL_BS!$A:$A,'Global TARF'!G$8)</f>
        <v>0</v>
      </c>
      <c r="H298" s="545">
        <f>SUMIFS(GL_BS!$G:$G,GL_BS!$R:$R,'Global TARF'!$A$293,GL_BS!$S:$S,'Global TARF'!$A298,GL_BS!$A:$A,'Global TARF'!H$8)</f>
        <v>0</v>
      </c>
      <c r="I298" s="184"/>
      <c r="J298" s="184"/>
      <c r="K298" s="184"/>
      <c r="L298" s="184">
        <f>SUMIFS(GL_BS!$G:$G,GL_BS!$R:$R,'Global TARF'!$A$293,GL_BS!$S:$S,'Global TARF'!$A298,GL_BS!$A:$A,'Global TARF'!L$8)</f>
        <v>0</v>
      </c>
      <c r="M298" s="536">
        <f>SUMIFS(GL_BS!$G:$G,GL_BS!$R:$R,'Global TARF'!$A$293,GL_BS!$S:$S,'Global TARF'!$A298,GL_BS!$A:$A,'Global TARF'!M$8)</f>
        <v>0</v>
      </c>
      <c r="N298" s="555">
        <f>SUMIFS(GL_BS!$G:$G,GL_BS!$R:$R,'Global TARF'!$A$293,GL_BS!$S:$S,'Global TARF'!$A298,GL_BS!$A:$A,'Global TARF'!N$8)</f>
        <v>0</v>
      </c>
      <c r="O298" s="18">
        <f>SUMIFS(GL_BS!$G:$G,GL_BS!$R:$R,'Global TARF'!$A$293,GL_BS!$S:$S,'Global TARF'!$A298,GL_BS!$A:$A,'Global TARF'!O$8)</f>
        <v>0</v>
      </c>
      <c r="P298" s="545">
        <f>SUMIFS(GL_PL!$G:$G,GL_PL!$Q:$Q,'Global TARF'!$A$293,GL_PL!$R:$R,'Global TARF'!$A298,GL_PL!$A:$A,'Global TARF'!P$8)</f>
        <v>0</v>
      </c>
      <c r="Q298" s="184">
        <f>SUMIFS(GL_PL!$G:$G,GL_PL!$Q:$Q,'Global TARF'!$A$293,GL_PL!$R:$R,'Global TARF'!$A298,GL_PL!$A:$A,'Global TARF'!Q$8)</f>
        <v>0</v>
      </c>
      <c r="R298" s="184">
        <f>SUMIFS(GL_PL!$G:$G,GL_PL!$Q:$Q,'Global TARF'!$A$293,GL_PL!$R:$R,'Global TARF'!$A298,GL_PL!$A:$A,'Global TARF'!R$8)</f>
        <v>0</v>
      </c>
      <c r="S298" s="536">
        <f>SUMIFS(GL_PL!$G:$G,GL_PL!$Q:$Q,'Global TARF'!$A$293,GL_PL!$R:$R,'Global TARF'!$A298,GL_PL!$A:$A,'Global TARF'!S$8)</f>
        <v>0</v>
      </c>
      <c r="T298" s="26">
        <f>-P298</f>
        <v>0</v>
      </c>
      <c r="U298" s="26"/>
      <c r="Z298" s="582">
        <f t="shared" si="153"/>
        <v>0</v>
      </c>
    </row>
    <row r="299" spans="1:26" x14ac:dyDescent="0.2">
      <c r="A299" s="534"/>
      <c r="B299" s="184">
        <f>SUMIFS(GL_BS!$G:$G,GL_BS!$R:$R,'Global TARF'!$A$293,GL_BS!$S:$S,'Global TARF'!$A299,GL_BS!$A:$A,'Global TARF'!B$38)</f>
        <v>0</v>
      </c>
      <c r="C299" s="184">
        <f>SUMIFS(GL_BS!$G:$G,GL_BS!$R:$R,'Global TARF'!$A$293,GL_BS!$S:$S,'Global TARF'!$A299,GL_BS!$A:$A,'Global TARF'!C$8)</f>
        <v>0</v>
      </c>
      <c r="D299" s="184">
        <f>SUMIFS(GL_BS!$G:$G,GL_BS!$R:$R,'Global TARF'!$A$293,GL_BS!$S:$S,'Global TARF'!$A299,GL_BS!$A:$A,'Global TARF'!D$8)</f>
        <v>0</v>
      </c>
      <c r="E299" s="184">
        <f>SUMIFS(GL_BS!$G:$G,GL_BS!$R:$R,'Global TARF'!$A$293,GL_BS!$S:$S,'Global TARF'!$A299,GL_BS!$A:$A,'Global TARF'!E$8)</f>
        <v>0</v>
      </c>
      <c r="F299" s="184"/>
      <c r="G299" s="536">
        <f>SUMIFS(GL_BS!$G:$G,GL_BS!$R:$R,'Global TARF'!$A$293,GL_BS!$S:$S,'Global TARF'!$A299,GL_BS!$A:$A,'Global TARF'!G$8)</f>
        <v>0</v>
      </c>
      <c r="H299" s="545">
        <f>SUMIFS(GL_BS!$G:$G,GL_BS!$R:$R,'Global TARF'!$A$293,GL_BS!$S:$S,'Global TARF'!$A299,GL_BS!$A:$A,'Global TARF'!H$8)</f>
        <v>0</v>
      </c>
      <c r="I299" s="184"/>
      <c r="J299" s="184"/>
      <c r="K299" s="184"/>
      <c r="L299" s="184">
        <f>SUMIFS(GL_BS!$G:$G,GL_BS!$R:$R,'Global TARF'!$A$293,GL_BS!$S:$S,'Global TARF'!$A299,GL_BS!$A:$A,'Global TARF'!L$8)</f>
        <v>0</v>
      </c>
      <c r="M299" s="536">
        <f>SUMIFS(GL_BS!$G:$G,GL_BS!$R:$R,'Global TARF'!$A$293,GL_BS!$S:$S,'Global TARF'!$A299,GL_BS!$A:$A,'Global TARF'!M$8)</f>
        <v>0</v>
      </c>
      <c r="N299" s="555">
        <f>SUMIFS(GL_BS!$G:$G,GL_BS!$R:$R,'Global TARF'!$A$293,GL_BS!$S:$S,'Global TARF'!$A299,GL_BS!$A:$A,'Global TARF'!N$8)</f>
        <v>0</v>
      </c>
      <c r="O299" s="18">
        <f>SUMIFS(GL_BS!$G:$G,GL_BS!$R:$R,'Global TARF'!$A$293,GL_BS!$S:$S,'Global TARF'!$A299,GL_BS!$A:$A,'Global TARF'!O$8)</f>
        <v>0</v>
      </c>
      <c r="P299" s="545">
        <f>SUMIFS(GL_PL!$G:$G,GL_PL!$Q:$Q,'Global TARF'!$A$293,GL_PL!$R:$R,'Global TARF'!$A299,GL_PL!$A:$A,'Global TARF'!P$8)</f>
        <v>0</v>
      </c>
      <c r="Q299" s="184">
        <f>SUMIFS(GL_PL!$G:$G,GL_PL!$Q:$Q,'Global TARF'!$A$293,GL_PL!$R:$R,'Global TARF'!$A299,GL_PL!$A:$A,'Global TARF'!Q$8)</f>
        <v>0</v>
      </c>
      <c r="R299" s="184">
        <f>SUMIFS(GL_PL!$G:$G,GL_PL!$Q:$Q,'Global TARF'!$A$293,GL_PL!$R:$R,'Global TARF'!$A299,GL_PL!$A:$A,'Global TARF'!R$8)</f>
        <v>0</v>
      </c>
      <c r="S299" s="536">
        <f>SUMIFS(GL_PL!$G:$G,GL_PL!$Q:$Q,'Global TARF'!$A$293,GL_PL!$R:$R,'Global TARF'!$A299,GL_PL!$A:$A,'Global TARF'!S$8)</f>
        <v>0</v>
      </c>
      <c r="T299" s="26">
        <f>-SUM(P299,H299,C299,Q299,R299)</f>
        <v>0</v>
      </c>
      <c r="U299" s="26"/>
      <c r="Z299" s="582">
        <f t="shared" si="153"/>
        <v>0</v>
      </c>
    </row>
    <row r="300" spans="1:26" x14ac:dyDescent="0.2">
      <c r="A300" s="534" t="s">
        <v>780</v>
      </c>
      <c r="B300" s="184">
        <f>SUMIFS(GL_BS!$G:$G,GL_BS!$R:$R,'Global TARF'!$A$293,GL_BS!$S:$S,'Global TARF'!$A300,GL_BS!$A:$A,'Global TARF'!B$38)</f>
        <v>0</v>
      </c>
      <c r="C300" s="184">
        <f>SUMIFS(GL_BS!$G:$G,GL_BS!$R:$R,'Global TARF'!$A$293,GL_BS!$S:$S,'Global TARF'!$A300,GL_BS!$A:$A,'Global TARF'!C$8)</f>
        <v>0</v>
      </c>
      <c r="D300" s="184">
        <f>SUMIFS(GL_BS!$G:$G,GL_BS!$R:$R,'Global TARF'!$A$293,GL_BS!$S:$S,'Global TARF'!$A300,GL_BS!$A:$A,'Global TARF'!D$8)</f>
        <v>0</v>
      </c>
      <c r="E300" s="184">
        <f>SUMIFS(GL_BS!$G:$G,GL_BS!$R:$R,'Global TARF'!$A$293,GL_BS!$S:$S,'Global TARF'!$A300,GL_BS!$A:$A,'Global TARF'!E$8)</f>
        <v>0</v>
      </c>
      <c r="F300" s="184">
        <f>SUMIFS(GL_BS!$G:$G,GL_BS!$R:$R,'Global TARF'!$A$293,GL_BS!$S:$S,'Global TARF'!$A300,GL_BS!$A:$A,'Global TARF'!F$8)</f>
        <v>0</v>
      </c>
      <c r="G300" s="536">
        <f>SUMIFS(GL_BS!$G:$G,GL_BS!$R:$R,'Global TARF'!$A$293,GL_BS!$S:$S,'Global TARF'!$A300,GL_BS!$A:$A,'Global TARF'!G$8)</f>
        <v>0</v>
      </c>
      <c r="H300" s="545">
        <f>SUMIFS(GL_BS!$G:$G,GL_BS!$R:$R,'Global TARF'!$A$293,GL_BS!$S:$S,'Global TARF'!$A300,GL_BS!$A:$A,'Global TARF'!H$8)</f>
        <v>0</v>
      </c>
      <c r="I300" s="184">
        <f>SUMIFS(GL_BS!$G:$G,GL_BS!$R:$R,'Global TARF'!$A$293,GL_BS!$S:$S,'Global TARF'!$A300,GL_BS!$A:$A,'Global TARF'!I$8)</f>
        <v>0</v>
      </c>
      <c r="J300" s="184">
        <f>SUMIFS(GL_BS!$G:$G,GL_BS!$R:$R,'Global TARF'!$A$293,GL_BS!$S:$S,'Global TARF'!$A300,GL_BS!$A:$A,'Global TARF'!J$8)</f>
        <v>0</v>
      </c>
      <c r="K300" s="184">
        <f>SUMIFS(GL_BS!$G:$G,GL_BS!$R:$R,'Global TARF'!$A$293,GL_BS!$S:$S,'Global TARF'!$A300,GL_BS!$A:$A,'Global TARF'!K$8)</f>
        <v>0</v>
      </c>
      <c r="L300" s="184">
        <f>SUMIFS(GL_BS!$G:$G,GL_BS!$R:$R,'Global TARF'!$A$293,GL_BS!$S:$S,'Global TARF'!$A300,GL_BS!$A:$A,'Global TARF'!L$8)</f>
        <v>0</v>
      </c>
      <c r="M300" s="536">
        <f>SUMIFS(GL_BS!$G:$G,GL_BS!$R:$R,'Global TARF'!$A$293,GL_BS!$S:$S,'Global TARF'!$A300,GL_BS!$A:$A,'Global TARF'!M$8)</f>
        <v>0</v>
      </c>
      <c r="N300" s="555">
        <f>SUMIFS(GL_BS!$G:$G,GL_BS!$R:$R,'Global TARF'!$A$293,GL_BS!$S:$S,'Global TARF'!$A300,GL_BS!$A:$A,'Global TARF'!N$8)</f>
        <v>0</v>
      </c>
      <c r="O300" s="18">
        <f>SUMIFS(GL_BS!$G:$G,GL_BS!$R:$R,'Global TARF'!$A$293,GL_BS!$S:$S,'Global TARF'!$A300,GL_BS!$A:$A,'Global TARF'!O$8)</f>
        <v>0</v>
      </c>
      <c r="P300" s="545">
        <f>SUMIFS(GL_PL!$G:$G,GL_PL!$Q:$Q,'Global TARF'!$A$293,GL_PL!$R:$R,'Global TARF'!$A300,GL_PL!$A:$A,'Global TARF'!P$8)</f>
        <v>0</v>
      </c>
      <c r="Q300" s="184">
        <f>SUMIFS(GL_PL!$G:$G,GL_PL!$Q:$Q,'Global TARF'!$A$293,GL_PL!$R:$R,'Global TARF'!$A300,GL_PL!$A:$A,'Global TARF'!Q$8)</f>
        <v>0</v>
      </c>
      <c r="R300" s="184">
        <f>SUMIFS(GL_PL!$G:$G,GL_PL!$Q:$Q,'Global TARF'!$A$293,GL_PL!$R:$R,'Global TARF'!$A300,GL_PL!$A:$A,'Global TARF'!R$8)</f>
        <v>0</v>
      </c>
      <c r="S300" s="536">
        <f>SUMIFS(GL_PL!$G:$G,GL_PL!$Q:$Q,'Global TARF'!$A$293,GL_PL!$R:$R,'Global TARF'!$A300,GL_PL!$A:$A,'Global TARF'!S$8)</f>
        <v>0</v>
      </c>
      <c r="T300" s="26">
        <f>-SUM(P300:R300,H300,C300)</f>
        <v>0</v>
      </c>
      <c r="U300" s="26"/>
      <c r="Z300" s="582">
        <f t="shared" si="153"/>
        <v>0</v>
      </c>
    </row>
    <row r="301" spans="1:26" x14ac:dyDescent="0.2">
      <c r="A301" s="534" t="s">
        <v>781</v>
      </c>
      <c r="B301" s="184">
        <f>SUMIFS(GL_BS!$G:$G,GL_BS!$R:$R,'Global TARF'!$A$293,GL_BS!$S:$S,'Global TARF'!$A301,GL_BS!$A:$A,'Global TARF'!B$38)</f>
        <v>0</v>
      </c>
      <c r="C301" s="184">
        <f>SUMIFS(GL_BS!$G:$G,GL_BS!$R:$R,'Global TARF'!$A$293,GL_BS!$S:$S,'Global TARF'!$A301,GL_BS!$A:$A,'Global TARF'!C$8)</f>
        <v>0</v>
      </c>
      <c r="D301" s="184">
        <f>SUMIFS(GL_BS!$G:$G,GL_BS!$R:$R,'Global TARF'!$A$293,GL_BS!$S:$S,'Global TARF'!$A301,GL_BS!$A:$A,'Global TARF'!D$8)</f>
        <v>0</v>
      </c>
      <c r="E301" s="184">
        <f>SUMIFS(GL_BS!$G:$G,GL_BS!$R:$R,'Global TARF'!$A$293,GL_BS!$S:$S,'Global TARF'!$A301,GL_BS!$A:$A,'Global TARF'!E$8)</f>
        <v>0</v>
      </c>
      <c r="F301" s="184">
        <f>SUMIFS(GL_BS!$G:$G,GL_BS!$R:$R,'Global TARF'!$A$293,GL_BS!$S:$S,'Global TARF'!$A301,GL_BS!$A:$A,'Global TARF'!F$8)</f>
        <v>0</v>
      </c>
      <c r="G301" s="536">
        <f>SUMIFS(GL_BS!$G:$G,GL_BS!$R:$R,'Global TARF'!$A$293,GL_BS!$S:$S,'Global TARF'!$A301,GL_BS!$A:$A,'Global TARF'!G$8)</f>
        <v>0</v>
      </c>
      <c r="H301" s="545">
        <f>SUMIFS(GL_BS!$G:$G,GL_BS!$R:$R,'Global TARF'!$A$293,GL_BS!$S:$S,'Global TARF'!$A301,GL_BS!$A:$A,'Global TARF'!H$8)</f>
        <v>0</v>
      </c>
      <c r="I301" s="184">
        <f>SUMIFS(GL_BS!$G:$G,GL_BS!$R:$R,'Global TARF'!$A$293,GL_BS!$S:$S,'Global TARF'!$A301,GL_BS!$A:$A,'Global TARF'!I$8)</f>
        <v>0</v>
      </c>
      <c r="J301" s="184">
        <f>SUMIFS(GL_BS!$G:$G,GL_BS!$R:$R,'Global TARF'!$A$293,GL_BS!$S:$S,'Global TARF'!$A301,GL_BS!$A:$A,'Global TARF'!J$8)</f>
        <v>0</v>
      </c>
      <c r="K301" s="184">
        <f>SUMIFS(GL_BS!$G:$G,GL_BS!$R:$R,'Global TARF'!$A$293,GL_BS!$S:$S,'Global TARF'!$A301,GL_BS!$A:$A,'Global TARF'!K$8)</f>
        <v>0</v>
      </c>
      <c r="L301" s="184">
        <f>SUMIFS(GL_BS!$G:$G,GL_BS!$R:$R,'Global TARF'!$A$293,GL_BS!$S:$S,'Global TARF'!$A301,GL_BS!$A:$A,'Global TARF'!L$8)</f>
        <v>0</v>
      </c>
      <c r="M301" s="536">
        <f>SUMIFS(GL_BS!$G:$G,GL_BS!$R:$R,'Global TARF'!$A$293,GL_BS!$S:$S,'Global TARF'!$A301,GL_BS!$A:$A,'Global TARF'!M$8)</f>
        <v>0</v>
      </c>
      <c r="N301" s="555">
        <f>SUMIFS(GL_BS!$G:$G,GL_BS!$R:$R,'Global TARF'!$A$293,GL_BS!$S:$S,'Global TARF'!$A301,GL_BS!$A:$A,'Global TARF'!N$8)</f>
        <v>0</v>
      </c>
      <c r="O301" s="18">
        <f>SUMIFS(GL_BS!$G:$G,GL_BS!$R:$R,'Global TARF'!$A$293,GL_BS!$S:$S,'Global TARF'!$A301,GL_BS!$A:$A,'Global TARF'!O$8)</f>
        <v>0</v>
      </c>
      <c r="P301" s="545">
        <f>SUMIFS(GL_PL!$G:$G,GL_PL!$Q:$Q,'Global TARF'!$A$293,GL_PL!$R:$R,'Global TARF'!$A301,GL_PL!$A:$A,'Global TARF'!P$8)</f>
        <v>0</v>
      </c>
      <c r="Q301" s="184">
        <f>SUMIFS(GL_PL!$G:$G,GL_PL!$Q:$Q,'Global TARF'!$A$293,GL_PL!$R:$R,'Global TARF'!$A301,GL_PL!$A:$A,'Global TARF'!Q$8)</f>
        <v>0</v>
      </c>
      <c r="R301" s="184">
        <f>SUMIFS(GL_PL!$G:$G,GL_PL!$Q:$Q,'Global TARF'!$A$293,GL_PL!$R:$R,'Global TARF'!$A301,GL_PL!$A:$A,'Global TARF'!R$8)</f>
        <v>0</v>
      </c>
      <c r="S301" s="536">
        <f>SUMIFS(GL_PL!$G:$G,GL_PL!$Q:$Q,'Global TARF'!$A$293,GL_PL!$R:$R,'Global TARF'!$A301,GL_PL!$A:$A,'Global TARF'!S$8)</f>
        <v>0</v>
      </c>
      <c r="T301" s="26">
        <f>-H301</f>
        <v>0</v>
      </c>
      <c r="U301" s="26"/>
      <c r="Z301" s="582">
        <f t="shared" si="153"/>
        <v>0</v>
      </c>
    </row>
    <row r="302" spans="1:26" x14ac:dyDescent="0.2">
      <c r="A302" s="534" t="s">
        <v>782</v>
      </c>
      <c r="B302" s="184">
        <f>SUMIFS(GL_BS!$G:$G,GL_BS!$R:$R,'Global TARF'!$A$293,GL_BS!$S:$S,'Global TARF'!$A302,GL_BS!$A:$A,'Global TARF'!B$38)</f>
        <v>0</v>
      </c>
      <c r="C302" s="184">
        <f>SUMIFS(GL_BS!$G:$G,GL_BS!$R:$R,'Global TARF'!$A$293,GL_BS!$S:$S,'Global TARF'!$A302,GL_BS!$A:$A,'Global TARF'!C$8)</f>
        <v>0</v>
      </c>
      <c r="D302" s="184">
        <f>SUMIFS(GL_BS!$G:$G,GL_BS!$R:$R,'Global TARF'!$A$293,GL_BS!$S:$S,'Global TARF'!$A302,GL_BS!$A:$A,'Global TARF'!D$8)</f>
        <v>0</v>
      </c>
      <c r="E302" s="184">
        <f>SUMIFS(GL_BS!$G:$G,GL_BS!$R:$R,'Global TARF'!$A$293,GL_BS!$S:$S,'Global TARF'!$A302,GL_BS!$A:$A,'Global TARF'!E$8)</f>
        <v>0</v>
      </c>
      <c r="F302" s="184">
        <f>SUMIFS(GL_BS!$G:$G,GL_BS!$R:$R,'Global TARF'!$A$293,GL_BS!$S:$S,'Global TARF'!$A302,GL_BS!$A:$A,'Global TARF'!F$8)</f>
        <v>0</v>
      </c>
      <c r="G302" s="536">
        <f>SUMIFS(GL_BS!$G:$G,GL_BS!$R:$R,'Global TARF'!$A$293,GL_BS!$S:$S,'Global TARF'!$A302,GL_BS!$A:$A,'Global TARF'!G$8)</f>
        <v>0</v>
      </c>
      <c r="H302" s="545">
        <f>SUMIFS(GL_BS!$G:$G,GL_BS!$R:$R,'Global TARF'!$A$293,GL_BS!$S:$S,'Global TARF'!$A302,GL_BS!$A:$A,'Global TARF'!H$8)</f>
        <v>0</v>
      </c>
      <c r="I302" s="184">
        <f>SUMIFS(GL_BS!$G:$G,GL_BS!$R:$R,'Global TARF'!$A$293,GL_BS!$S:$S,'Global TARF'!$A302,GL_BS!$A:$A,'Global TARF'!I$8)</f>
        <v>0</v>
      </c>
      <c r="J302" s="184">
        <f>SUMIFS(GL_BS!$G:$G,GL_BS!$R:$R,'Global TARF'!$A$293,GL_BS!$S:$S,'Global TARF'!$A302,GL_BS!$A:$A,'Global TARF'!J$8)</f>
        <v>0</v>
      </c>
      <c r="K302" s="184">
        <f>SUMIFS(GL_BS!$G:$G,GL_BS!$R:$R,'Global TARF'!$A$293,GL_BS!$S:$S,'Global TARF'!$A302,GL_BS!$A:$A,'Global TARF'!K$8)</f>
        <v>0</v>
      </c>
      <c r="L302" s="184">
        <f>SUMIFS(GL_BS!$G:$G,GL_BS!$R:$R,'Global TARF'!$A$293,GL_BS!$S:$S,'Global TARF'!$A302,GL_BS!$A:$A,'Global TARF'!L$8)</f>
        <v>0</v>
      </c>
      <c r="M302" s="536">
        <f>SUMIFS(GL_BS!$G:$G,GL_BS!$R:$R,'Global TARF'!$A$293,GL_BS!$S:$S,'Global TARF'!$A302,GL_BS!$A:$A,'Global TARF'!M$8)</f>
        <v>0</v>
      </c>
      <c r="N302" s="555">
        <f>SUMIFS(GL_BS!$G:$G,GL_BS!$R:$R,'Global TARF'!$A$293,GL_BS!$S:$S,'Global TARF'!$A302,GL_BS!$A:$A,'Global TARF'!N$8)</f>
        <v>0</v>
      </c>
      <c r="O302" s="18">
        <f>SUMIFS(GL_BS!$G:$G,GL_BS!$R:$R,'Global TARF'!$A$293,GL_BS!$S:$S,'Global TARF'!$A302,GL_BS!$A:$A,'Global TARF'!O$8)</f>
        <v>0</v>
      </c>
      <c r="P302" s="545">
        <f>SUMIFS(GL_PL!$G:$G,GL_PL!$Q:$Q,'Global TARF'!$A$293,GL_PL!$R:$R,'Global TARF'!$A302,GL_PL!$A:$A,'Global TARF'!P$8)</f>
        <v>0</v>
      </c>
      <c r="Q302" s="184">
        <f>SUMIFS(GL_PL!$G:$G,GL_PL!$Q:$Q,'Global TARF'!$A$293,GL_PL!$R:$R,'Global TARF'!$A302,GL_PL!$A:$A,'Global TARF'!Q$8)</f>
        <v>0</v>
      </c>
      <c r="R302" s="184">
        <f>SUMIFS(GL_PL!$G:$G,GL_PL!$Q:$Q,'Global TARF'!$A$293,GL_PL!$R:$R,'Global TARF'!$A302,GL_PL!$A:$A,'Global TARF'!R$8)</f>
        <v>0</v>
      </c>
      <c r="S302" s="536">
        <f>SUMIFS(GL_PL!$G:$G,GL_PL!$Q:$Q,'Global TARF'!$A$293,GL_PL!$R:$R,'Global TARF'!$A302,GL_PL!$A:$A,'Global TARF'!S$8)</f>
        <v>0</v>
      </c>
      <c r="T302" s="26">
        <f>-H302</f>
        <v>0</v>
      </c>
      <c r="U302" s="26"/>
      <c r="Z302" s="582">
        <f t="shared" si="153"/>
        <v>0</v>
      </c>
    </row>
    <row r="303" spans="1:26" x14ac:dyDescent="0.2">
      <c r="A303" s="534" t="s">
        <v>950</v>
      </c>
      <c r="B303" s="184">
        <f>SUMIFS(GL_BS!$G:$G,GL_BS!$R:$R,'Global TARF'!$A$293,GL_BS!$S:$S,'Global TARF'!$A303,GL_BS!$A:$A,'Global TARF'!B$38)</f>
        <v>0</v>
      </c>
      <c r="C303" s="184">
        <f>SUMIFS(GL_BS!$G:$G,GL_BS!$R:$R,'Global TARF'!$A$293,GL_BS!$S:$S,'Global TARF'!$A303,GL_BS!$A:$A,'Global TARF'!C$8)</f>
        <v>0</v>
      </c>
      <c r="D303" s="184">
        <f>SUMIFS(GL_BS!$G:$G,GL_BS!$R:$R,'Global TARF'!$A$293,GL_BS!$S:$S,'Global TARF'!$A303,GL_BS!$A:$A,'Global TARF'!D$8)</f>
        <v>0</v>
      </c>
      <c r="E303" s="184">
        <f>SUMIFS(GL_BS!$G:$G,GL_BS!$R:$R,'Global TARF'!$A$293,GL_BS!$S:$S,'Global TARF'!$A303,GL_BS!$A:$A,'Global TARF'!E$8)</f>
        <v>0</v>
      </c>
      <c r="F303" s="184">
        <f>SUMIFS(GL_BS!$G:$G,GL_BS!$R:$R,'Global TARF'!$A$293,GL_BS!$S:$S,'Global TARF'!$A303,GL_BS!$A:$A,'Global TARF'!F$8)</f>
        <v>0</v>
      </c>
      <c r="G303" s="536">
        <f>SUMIFS(GL_BS!$G:$G,GL_BS!$R:$R,'Global TARF'!$A$293,GL_BS!$S:$S,'Global TARF'!$A303,GL_BS!$A:$A,'Global TARF'!G$8)</f>
        <v>0</v>
      </c>
      <c r="H303" s="545">
        <f>SUMIFS(GL_BS!$G:$G,GL_BS!$R:$R,'Global TARF'!$A$293,GL_BS!$S:$S,'Global TARF'!$A303,GL_BS!$A:$A,'Global TARF'!H$8)</f>
        <v>0</v>
      </c>
      <c r="I303" s="184">
        <f>SUMIFS(GL_BS!$G:$G,GL_BS!$R:$R,'Global TARF'!$A$293,GL_BS!$S:$S,'Global TARF'!$A303,GL_BS!$A:$A,'Global TARF'!I$8)</f>
        <v>0</v>
      </c>
      <c r="J303" s="184">
        <f>SUMIFS(GL_BS!$G:$G,GL_BS!$R:$R,'Global TARF'!$A$293,GL_BS!$S:$S,'Global TARF'!$A303,GL_BS!$A:$A,'Global TARF'!J$8)</f>
        <v>0</v>
      </c>
      <c r="K303" s="184">
        <f>SUMIFS(GL_BS!$G:$G,GL_BS!$R:$R,'Global TARF'!$A$293,GL_BS!$S:$S,'Global TARF'!$A303,GL_BS!$A:$A,'Global TARF'!K$8)</f>
        <v>0</v>
      </c>
      <c r="L303" s="184">
        <f>SUMIFS(GL_BS!$G:$G,GL_BS!$R:$R,'Global TARF'!$A$293,GL_BS!$S:$S,'Global TARF'!$A303,GL_BS!$A:$A,'Global TARF'!L$8)</f>
        <v>0</v>
      </c>
      <c r="M303" s="536">
        <f>SUMIFS(GL_BS!$G:$G,GL_BS!$R:$R,'Global TARF'!$A$293,GL_BS!$S:$S,'Global TARF'!$A303,GL_BS!$A:$A,'Global TARF'!M$8)</f>
        <v>0</v>
      </c>
      <c r="N303" s="555">
        <f>SUMIFS(GL_BS!$G:$G,GL_BS!$R:$R,'Global TARF'!$A$293,GL_BS!$S:$S,'Global TARF'!$A303,GL_BS!$A:$A,'Global TARF'!N$8)</f>
        <v>0</v>
      </c>
      <c r="O303" s="18">
        <f>SUMIFS(GL_BS!$G:$G,GL_BS!$R:$R,'Global TARF'!$A$293,GL_BS!$S:$S,'Global TARF'!$A303,GL_BS!$A:$A,'Global TARF'!O$8)</f>
        <v>0</v>
      </c>
      <c r="P303" s="545">
        <f>SUMIFS(GL_PL!$G:$G,GL_PL!$Q:$Q,'Global TARF'!$A$293,GL_PL!$R:$R,'Global TARF'!$A303,GL_PL!$A:$A,'Global TARF'!P$8)</f>
        <v>0</v>
      </c>
      <c r="Q303" s="184">
        <f>SUMIFS(GL_PL!$G:$G,GL_PL!$Q:$Q,'Global TARF'!$A$293,GL_PL!$R:$R,'Global TARF'!$A303,GL_PL!$A:$A,'Global TARF'!Q$8)</f>
        <v>0</v>
      </c>
      <c r="R303" s="184">
        <f>SUMIFS(GL_PL!$G:$G,GL_PL!$Q:$Q,'Global TARF'!$A$293,GL_PL!$R:$R,'Global TARF'!$A303,GL_PL!$A:$A,'Global TARF'!R$8)</f>
        <v>0</v>
      </c>
      <c r="S303" s="536">
        <f>SUMIFS(GL_PL!$G:$G,GL_PL!$Q:$Q,'Global TARF'!$A$293,GL_PL!$R:$R,'Global TARF'!$A303,GL_PL!$A:$A,'Global TARF'!S$8)</f>
        <v>0</v>
      </c>
      <c r="T303"/>
      <c r="Z303" s="582">
        <f t="shared" si="153"/>
        <v>0</v>
      </c>
    </row>
    <row r="304" spans="1:26" x14ac:dyDescent="0.2">
      <c r="A304" s="534" t="s">
        <v>4586</v>
      </c>
      <c r="B304" s="184">
        <f>SUMIFS(GL_BS!$G:$G,GL_BS!$R:$R,'Global TARF'!$A$293,GL_BS!$S:$S,'Global TARF'!$A304,GL_BS!$A:$A,'Global TARF'!B$38)</f>
        <v>0</v>
      </c>
      <c r="C304" s="184">
        <f>SUMIFS(GL_BS!$G:$G,GL_BS!$R:$R,'Global TARF'!$A$293,GL_BS!$S:$S,'Global TARF'!$A304,GL_BS!$A:$A,'Global TARF'!C$8)</f>
        <v>0</v>
      </c>
      <c r="D304" s="184">
        <f>SUMIFS(GL_BS!$G:$G,GL_BS!$R:$R,'Global TARF'!$A$293,GL_BS!$S:$S,'Global TARF'!$A304,GL_BS!$A:$A,'Global TARF'!D$8)</f>
        <v>0</v>
      </c>
      <c r="E304" s="184">
        <f>SUMIFS(GL_BS!$G:$G,GL_BS!$R:$R,'Global TARF'!$A$293,GL_BS!$S:$S,'Global TARF'!$A304,GL_BS!$A:$A,'Global TARF'!E$8)</f>
        <v>0</v>
      </c>
      <c r="F304" s="184">
        <f>SUMIFS(GL_BS!$G:$G,GL_BS!$R:$R,'Global TARF'!$A$293,GL_BS!$S:$S,'Global TARF'!$A304,GL_BS!$A:$A,'Global TARF'!F$8)</f>
        <v>0</v>
      </c>
      <c r="G304" s="536">
        <f>SUMIFS(GL_BS!$G:$G,GL_BS!$R:$R,'Global TARF'!$A$293,GL_BS!$S:$S,'Global TARF'!$A304,GL_BS!$A:$A,'Global TARF'!G$8)</f>
        <v>0</v>
      </c>
      <c r="H304" s="545">
        <f>SUMIFS(GL_BS!$G:$G,GL_BS!$R:$R,'Global TARF'!$A$293,GL_BS!$S:$S,'Global TARF'!$A304,GL_BS!$A:$A,'Global TARF'!H$8)</f>
        <v>0</v>
      </c>
      <c r="I304" s="184">
        <f>SUMIFS(GL_BS!$G:$G,GL_BS!$R:$R,'Global TARF'!$A$293,GL_BS!$S:$S,'Global TARF'!$A304,GL_BS!$A:$A,'Global TARF'!I$8)</f>
        <v>0</v>
      </c>
      <c r="J304" s="184">
        <f>SUMIFS(GL_BS!$G:$G,GL_BS!$R:$R,'Global TARF'!$A$293,GL_BS!$S:$S,'Global TARF'!$A304,GL_BS!$A:$A,'Global TARF'!J$8)</f>
        <v>0</v>
      </c>
      <c r="K304" s="184">
        <f>SUMIFS(GL_BS!$G:$G,GL_BS!$R:$R,'Global TARF'!$A$293,GL_BS!$S:$S,'Global TARF'!$A304,GL_BS!$A:$A,'Global TARF'!K$8)</f>
        <v>0</v>
      </c>
      <c r="L304" s="184">
        <f>SUMIFS(GL_BS!$G:$G,GL_BS!$R:$R,'Global TARF'!$A$293,GL_BS!$S:$S,'Global TARF'!$A304,GL_BS!$A:$A,'Global TARF'!L$8)</f>
        <v>0</v>
      </c>
      <c r="M304" s="536">
        <f>SUMIFS(GL_BS!$G:$G,GL_BS!$R:$R,'Global TARF'!$A$293,GL_BS!$S:$S,'Global TARF'!$A304,GL_BS!$A:$A,'Global TARF'!M$8)</f>
        <v>0</v>
      </c>
      <c r="N304" s="555">
        <f>SUMIFS(GL_BS!$G:$G,GL_BS!$R:$R,'Global TARF'!$A$293,GL_BS!$S:$S,'Global TARF'!$A304,GL_BS!$A:$A,'Global TARF'!N$8)</f>
        <v>0</v>
      </c>
      <c r="O304" s="18">
        <f>SUMIFS(GL_BS!$G:$G,GL_BS!$R:$R,'Global TARF'!$A$293,GL_BS!$S:$S,'Global TARF'!$A304,GL_BS!$A:$A,'Global TARF'!O$8)</f>
        <v>0</v>
      </c>
      <c r="P304" s="545">
        <f>SUMIFS(GL_PL!$G:$G,GL_PL!$Q:$Q,'Global TARF'!$A$293,GL_PL!$R:$R,'Global TARF'!$A304,GL_PL!$A:$A,'Global TARF'!P$8)</f>
        <v>0</v>
      </c>
      <c r="Q304" s="184">
        <f>SUMIFS(GL_PL!$G:$G,GL_PL!$Q:$Q,'Global TARF'!$A$293,GL_PL!$R:$R,'Global TARF'!$A304,GL_PL!$A:$A,'Global TARF'!Q$8)</f>
        <v>0</v>
      </c>
      <c r="R304" s="184">
        <f>SUMIFS(GL_PL!$G:$G,GL_PL!$Q:$Q,'Global TARF'!$A$293,GL_PL!$R:$R,'Global TARF'!$A304,GL_PL!$A:$A,'Global TARF'!R$8)</f>
        <v>0</v>
      </c>
      <c r="S304" s="536">
        <f>SUMIFS(GL_PL!$G:$G,GL_PL!$Q:$Q,'Global TARF'!$A$293,GL_PL!$R:$R,'Global TARF'!$A304,GL_PL!$A:$A,'Global TARF'!S$8)</f>
        <v>0</v>
      </c>
      <c r="T304"/>
      <c r="Z304" s="582">
        <f t="shared" si="153"/>
        <v>0</v>
      </c>
    </row>
    <row r="305" spans="1:26" x14ac:dyDescent="0.2">
      <c r="A305" s="534" t="s">
        <v>779</v>
      </c>
      <c r="B305" s="184">
        <f>SUMIFS(GL_BS!$G:$G,GL_BS!$R:$R,'Global TARF'!$A$293,GL_BS!$S:$S,'Global TARF'!$A305,GL_BS!$A:$A,'Global TARF'!B$38)</f>
        <v>0</v>
      </c>
      <c r="C305" s="184">
        <f>SUMIFS(GL_BS!$G:$G,GL_BS!$R:$R,'Global TARF'!$A$293,GL_BS!$S:$S,'Global TARF'!$A305,GL_BS!$A:$A,'Global TARF'!C$8)</f>
        <v>0</v>
      </c>
      <c r="D305" s="184">
        <f>SUMIFS(GL_BS!$G:$G,GL_BS!$R:$R,'Global TARF'!$A$293,GL_BS!$S:$S,'Global TARF'!$A305,GL_BS!$A:$A,'Global TARF'!D$8)</f>
        <v>0</v>
      </c>
      <c r="E305" s="184">
        <f>SUMIFS(GL_BS!$G:$G,GL_BS!$R:$R,'Global TARF'!$A$293,GL_BS!$S:$S,'Global TARF'!$A305,GL_BS!$A:$A,'Global TARF'!E$8)</f>
        <v>0</v>
      </c>
      <c r="F305" s="184">
        <f>SUMIFS(GL_BS!$G:$G,GL_BS!$R:$R,'Global TARF'!$A$293,GL_BS!$S:$S,'Global TARF'!$A305,GL_BS!$A:$A,'Global TARF'!F$8)</f>
        <v>0</v>
      </c>
      <c r="G305" s="536">
        <f>SUMIFS(GL_BS!$G:$G,GL_BS!$R:$R,'Global TARF'!$A$293,GL_BS!$S:$S,'Global TARF'!$A305,GL_BS!$A:$A,'Global TARF'!G$8)</f>
        <v>0</v>
      </c>
      <c r="H305" s="545">
        <f>SUMIFS(GL_BS!$G:$G,GL_BS!$R:$R,'Global TARF'!$A$293,GL_BS!$S:$S,'Global TARF'!$A305,GL_BS!$A:$A,'Global TARF'!H$8)</f>
        <v>0</v>
      </c>
      <c r="I305" s="184">
        <f>SUMIFS(GL_BS!$G:$G,GL_BS!$R:$R,'Global TARF'!$A$293,GL_BS!$S:$S,'Global TARF'!$A305,GL_BS!$A:$A,'Global TARF'!I$8)</f>
        <v>0</v>
      </c>
      <c r="J305" s="184">
        <f>SUMIFS(GL_BS!$G:$G,GL_BS!$R:$R,'Global TARF'!$A$293,GL_BS!$S:$S,'Global TARF'!$A305,GL_BS!$A:$A,'Global TARF'!J$8)</f>
        <v>0</v>
      </c>
      <c r="K305" s="184">
        <f>SUMIFS(GL_BS!$G:$G,GL_BS!$R:$R,'Global TARF'!$A$293,GL_BS!$S:$S,'Global TARF'!$A305,GL_BS!$A:$A,'Global TARF'!K$8)</f>
        <v>0</v>
      </c>
      <c r="L305" s="184">
        <f>SUMIFS(GL_BS!$G:$G,GL_BS!$R:$R,'Global TARF'!$A$293,GL_BS!$S:$S,'Global TARF'!$A305,GL_BS!$A:$A,'Global TARF'!L$8)</f>
        <v>0</v>
      </c>
      <c r="M305" s="536">
        <f>SUMIFS(GL_BS!$G:$G,GL_BS!$R:$R,'Global TARF'!$A$293,GL_BS!$S:$S,'Global TARF'!$A305,GL_BS!$A:$A,'Global TARF'!M$8)</f>
        <v>0</v>
      </c>
      <c r="N305" s="555">
        <f>SUMIFS(GL_BS!$G:$G,GL_BS!$R:$R,'Global TARF'!$A$293,GL_BS!$S:$S,'Global TARF'!$A305,GL_BS!$A:$A,'Global TARF'!N$8)</f>
        <v>0</v>
      </c>
      <c r="O305" s="18">
        <f>SUMIFS(GL_BS!$G:$G,GL_BS!$R:$R,'Global TARF'!$A$293,GL_BS!$S:$S,'Global TARF'!$A305,GL_BS!$A:$A,'Global TARF'!O$8)</f>
        <v>0</v>
      </c>
      <c r="P305" s="545">
        <f>SUMIFS(GL_PL!$G:$G,GL_PL!$Q:$Q,'Global TARF'!$A$293,GL_PL!$R:$R,'Global TARF'!$A305,GL_PL!$A:$A,'Global TARF'!P$8)</f>
        <v>0</v>
      </c>
      <c r="Q305" s="184">
        <f>SUMIFS(GL_PL!$G:$G,GL_PL!$Q:$Q,'Global TARF'!$A$293,GL_PL!$R:$R,'Global TARF'!$A305,GL_PL!$A:$A,'Global TARF'!Q$8)</f>
        <v>0</v>
      </c>
      <c r="R305" s="184">
        <f>SUMIFS(GL_PL!$G:$G,GL_PL!$Q:$Q,'Global TARF'!$A$293,GL_PL!$R:$R,'Global TARF'!$A305,GL_PL!$A:$A,'Global TARF'!R$8)</f>
        <v>0</v>
      </c>
      <c r="S305" s="536">
        <f>SUMIFS(GL_PL!$G:$G,GL_PL!$Q:$Q,'Global TARF'!$A$293,GL_PL!$R:$R,'Global TARF'!$A305,GL_PL!$A:$A,'Global TARF'!S$8)</f>
        <v>0</v>
      </c>
      <c r="T305"/>
      <c r="V305" s="26">
        <f>-SUM(H305,R305)</f>
        <v>0</v>
      </c>
      <c r="Z305" s="582">
        <f t="shared" si="153"/>
        <v>0</v>
      </c>
    </row>
    <row r="306" spans="1:26" x14ac:dyDescent="0.2">
      <c r="A306" s="534" t="s">
        <v>4267</v>
      </c>
      <c r="B306" s="184">
        <f>SUMIFS(GL_BS!$G:$G,GL_BS!$R:$R,'Global TARF'!$A$293,GL_BS!$S:$S,'Global TARF'!$A306,GL_BS!$A:$A,'Global TARF'!B$38)</f>
        <v>0</v>
      </c>
      <c r="C306" s="184">
        <f>SUMIFS(GL_BS!$G:$G,GL_BS!$R:$R,'Global TARF'!$A$293,GL_BS!$S:$S,'Global TARF'!$A306,GL_BS!$A:$A,'Global TARF'!C$8)</f>
        <v>0</v>
      </c>
      <c r="D306" s="184">
        <f>SUMIFS(GL_BS!$G:$G,GL_BS!$R:$R,'Global TARF'!$A$293,GL_BS!$S:$S,'Global TARF'!$A306,GL_BS!$A:$A,'Global TARF'!D$8)</f>
        <v>0</v>
      </c>
      <c r="E306" s="184">
        <f>SUMIFS(GL_BS!$G:$G,GL_BS!$R:$R,'Global TARF'!$A$293,GL_BS!$S:$S,'Global TARF'!$A306,GL_BS!$A:$A,'Global TARF'!E$8)</f>
        <v>0</v>
      </c>
      <c r="F306" s="184">
        <f>SUMIFS(GL_BS!$G:$G,GL_BS!$R:$R,'Global TARF'!$A$293,GL_BS!$S:$S,'Global TARF'!$A306,GL_BS!$A:$A,'Global TARF'!F$8)</f>
        <v>0</v>
      </c>
      <c r="G306" s="536">
        <f>SUMIFS(GL_BS!$G:$G,GL_BS!$R:$R,'Global TARF'!$A$293,GL_BS!$S:$S,'Global TARF'!$A306,GL_BS!$A:$A,'Global TARF'!G$8)</f>
        <v>0</v>
      </c>
      <c r="H306" s="545">
        <f>SUMIFS(GL_BS!$G:$G,GL_BS!$R:$R,'Global TARF'!$A$293,GL_BS!$S:$S,'Global TARF'!$A306,GL_BS!$A:$A,'Global TARF'!H$8)</f>
        <v>0</v>
      </c>
      <c r="I306" s="184">
        <f>SUMIFS(GL_BS!$G:$G,GL_BS!$R:$R,'Global TARF'!$A$293,GL_BS!$S:$S,'Global TARF'!$A306,GL_BS!$A:$A,'Global TARF'!I$8)</f>
        <v>0</v>
      </c>
      <c r="J306" s="184">
        <f>SUMIFS(GL_BS!$G:$G,GL_BS!$R:$R,'Global TARF'!$A$293,GL_BS!$S:$S,'Global TARF'!$A306,GL_BS!$A:$A,'Global TARF'!J$8)</f>
        <v>0</v>
      </c>
      <c r="K306" s="184">
        <f>SUMIFS(GL_BS!$G:$G,GL_BS!$R:$R,'Global TARF'!$A$293,GL_BS!$S:$S,'Global TARF'!$A306,GL_BS!$A:$A,'Global TARF'!K$8)</f>
        <v>0</v>
      </c>
      <c r="L306" s="184">
        <f>SUMIFS(GL_BS!$G:$G,GL_BS!$R:$R,'Global TARF'!$A$293,GL_BS!$S:$S,'Global TARF'!$A306,GL_BS!$A:$A,'Global TARF'!L$8)</f>
        <v>0</v>
      </c>
      <c r="M306" s="536">
        <f>SUMIFS(GL_BS!$G:$G,GL_BS!$R:$R,'Global TARF'!$A$293,GL_BS!$S:$S,'Global TARF'!$A306,GL_BS!$A:$A,'Global TARF'!M$8)</f>
        <v>0</v>
      </c>
      <c r="N306" s="555">
        <f>SUMIFS(GL_BS!$G:$G,GL_BS!$R:$R,'Global TARF'!$A$293,GL_BS!$S:$S,'Global TARF'!$A306,GL_BS!$A:$A,'Global TARF'!N$8)</f>
        <v>0</v>
      </c>
      <c r="O306" s="18">
        <f>SUMIFS(GL_BS!$G:$G,GL_BS!$R:$R,'Global TARF'!$A$293,GL_BS!$S:$S,'Global TARF'!$A306,GL_BS!$A:$A,'Global TARF'!O$8)</f>
        <v>0</v>
      </c>
      <c r="P306" s="545">
        <f>SUMIFS(GL_PL!$G:$G,GL_PL!$Q:$Q,'Global TARF'!$A$293,GL_PL!$R:$R,'Global TARF'!$A306,GL_PL!$A:$A,'Global TARF'!P$8)</f>
        <v>0</v>
      </c>
      <c r="Q306" s="184">
        <f>SUMIFS(GL_PL!$G:$G,GL_PL!$Q:$Q,'Global TARF'!$A$293,GL_PL!$R:$R,'Global TARF'!$A306,GL_PL!$A:$A,'Global TARF'!Q$8)</f>
        <v>0</v>
      </c>
      <c r="R306" s="184">
        <f>SUMIFS(GL_PL!$G:$G,GL_PL!$Q:$Q,'Global TARF'!$A$293,GL_PL!$R:$R,'Global TARF'!$A306,GL_PL!$A:$A,'Global TARF'!R$8)</f>
        <v>0</v>
      </c>
      <c r="S306" s="536">
        <f>SUMIFS(GL_PL!$G:$G,GL_PL!$Q:$Q,'Global TARF'!$A$293,GL_PL!$R:$R,'Global TARF'!$A306,GL_PL!$A:$A,'Global TARF'!S$8)</f>
        <v>0</v>
      </c>
      <c r="T306"/>
      <c r="W306" s="26">
        <f>-SUM(R306,H306)</f>
        <v>0</v>
      </c>
      <c r="Z306" s="582">
        <f t="shared" si="153"/>
        <v>0</v>
      </c>
    </row>
    <row r="307" spans="1:26" x14ac:dyDescent="0.2">
      <c r="A307" s="534" t="s">
        <v>4275</v>
      </c>
      <c r="B307" s="184">
        <f>SUMIFS(GL_BS!$G:$G,GL_BS!$R:$R,'Global TARF'!$A$293,GL_BS!$S:$S,'Global TARF'!$A307,GL_BS!$A:$A,'Global TARF'!B$38)</f>
        <v>0</v>
      </c>
      <c r="C307" s="184">
        <f>SUMIFS(GL_BS!$G:$G,GL_BS!$R:$R,'Global TARF'!$A$293,GL_BS!$S:$S,'Global TARF'!$A307,GL_BS!$A:$A,'Global TARF'!C$8)</f>
        <v>0</v>
      </c>
      <c r="D307" s="184">
        <f>SUMIFS(GL_BS!$G:$G,GL_BS!$R:$R,'Global TARF'!$A$293,GL_BS!$S:$S,'Global TARF'!$A307,GL_BS!$A:$A,'Global TARF'!D$8)</f>
        <v>0</v>
      </c>
      <c r="E307" s="184">
        <f>SUMIFS(GL_BS!$G:$G,GL_BS!$R:$R,'Global TARF'!$A$293,GL_BS!$S:$S,'Global TARF'!$A307,GL_BS!$A:$A,'Global TARF'!E$8)</f>
        <v>0</v>
      </c>
      <c r="F307" s="184">
        <f>SUMIFS(GL_BS!$G:$G,GL_BS!$R:$R,'Global TARF'!$A$293,GL_BS!$S:$S,'Global TARF'!$A307,GL_BS!$A:$A,'Global TARF'!F$8)</f>
        <v>0</v>
      </c>
      <c r="G307" s="536">
        <f>SUMIFS(GL_BS!$G:$G,GL_BS!$R:$R,'Global TARF'!$A$293,GL_BS!$S:$S,'Global TARF'!$A307,GL_BS!$A:$A,'Global TARF'!G$8)</f>
        <v>0</v>
      </c>
      <c r="H307" s="545">
        <f>SUMIFS(GL_BS!$G:$G,GL_BS!$R:$R,'Global TARF'!$A$293,GL_BS!$S:$S,'Global TARF'!$A307,GL_BS!$A:$A,'Global TARF'!H$8)</f>
        <v>0</v>
      </c>
      <c r="I307" s="184">
        <f>SUMIFS(GL_BS!$G:$G,GL_BS!$R:$R,'Global TARF'!$A$293,GL_BS!$S:$S,'Global TARF'!$A307,GL_BS!$A:$A,'Global TARF'!I$8)</f>
        <v>0</v>
      </c>
      <c r="J307" s="184">
        <f>SUMIFS(GL_BS!$G:$G,GL_BS!$R:$R,'Global TARF'!$A$293,GL_BS!$S:$S,'Global TARF'!$A307,GL_BS!$A:$A,'Global TARF'!J$8)</f>
        <v>0</v>
      </c>
      <c r="K307" s="184">
        <f>SUMIFS(GL_BS!$G:$G,GL_BS!$R:$R,'Global TARF'!$A$293,GL_BS!$S:$S,'Global TARF'!$A307,GL_BS!$A:$A,'Global TARF'!K$8)</f>
        <v>0</v>
      </c>
      <c r="L307" s="184">
        <f>SUMIFS(GL_BS!$G:$G,GL_BS!$R:$R,'Global TARF'!$A$293,GL_BS!$S:$S,'Global TARF'!$A307,GL_BS!$A:$A,'Global TARF'!L$8)</f>
        <v>0</v>
      </c>
      <c r="M307" s="536">
        <f>SUMIFS(GL_BS!$G:$G,GL_BS!$R:$R,'Global TARF'!$A$293,GL_BS!$S:$S,'Global TARF'!$A307,GL_BS!$A:$A,'Global TARF'!M$8)</f>
        <v>0</v>
      </c>
      <c r="N307" s="555">
        <f>SUMIFS(GL_BS!$G:$G,GL_BS!$R:$R,'Global TARF'!$A$293,GL_BS!$S:$S,'Global TARF'!$A307,GL_BS!$A:$A,'Global TARF'!N$8)</f>
        <v>0</v>
      </c>
      <c r="O307" s="18">
        <f>SUMIFS(GL_BS!$G:$G,GL_BS!$R:$R,'Global TARF'!$A$293,GL_BS!$S:$S,'Global TARF'!$A307,GL_BS!$A:$A,'Global TARF'!O$8)</f>
        <v>0</v>
      </c>
      <c r="P307" s="545">
        <f>SUMIFS(GL_PL!$G:$G,GL_PL!$Q:$Q,'Global TARF'!$A$293,GL_PL!$R:$R,'Global TARF'!$A307,GL_PL!$A:$A,'Global TARF'!P$8)</f>
        <v>0</v>
      </c>
      <c r="Q307" s="184">
        <f>SUMIFS(GL_PL!$G:$G,GL_PL!$Q:$Q,'Global TARF'!$A$293,GL_PL!$R:$R,'Global TARF'!$A307,GL_PL!$A:$A,'Global TARF'!Q$8)</f>
        <v>0</v>
      </c>
      <c r="R307" s="184">
        <f>SUMIFS(GL_PL!$G:$G,GL_PL!$Q:$Q,'Global TARF'!$A$293,GL_PL!$R:$R,'Global TARF'!$A307,GL_PL!$A:$A,'Global TARF'!R$8)</f>
        <v>0</v>
      </c>
      <c r="S307" s="536">
        <f>SUMIFS(GL_PL!$G:$G,GL_PL!$Q:$Q,'Global TARF'!$A$293,GL_PL!$R:$R,'Global TARF'!$A307,GL_PL!$A:$A,'Global TARF'!S$8)</f>
        <v>0</v>
      </c>
      <c r="T307" s="26">
        <f>-(H307+C307)</f>
        <v>0</v>
      </c>
      <c r="Z307" s="582">
        <f t="shared" si="153"/>
        <v>0</v>
      </c>
    </row>
    <row r="308" spans="1:26" x14ac:dyDescent="0.2">
      <c r="A308" s="534" t="s">
        <v>4481</v>
      </c>
      <c r="B308" s="184">
        <f>SUMIFS(GL_BS!$G:$G,GL_BS!$R:$R,'Global TARF'!$A$293,GL_BS!$S:$S,'Global TARF'!$A308,GL_BS!$A:$A,'Global TARF'!B$38)</f>
        <v>0</v>
      </c>
      <c r="C308" s="184">
        <f>SUMIFS(GL_BS!$G:$G,GL_BS!$R:$R,'Global TARF'!$A$293,GL_BS!$S:$S,'Global TARF'!$A308,GL_BS!$A:$A,'Global TARF'!C$8)</f>
        <v>0</v>
      </c>
      <c r="D308" s="184">
        <f>SUMIFS(GL_BS!$G:$G,GL_BS!$R:$R,'Global TARF'!$A$293,GL_BS!$S:$S,'Global TARF'!$A308,GL_BS!$A:$A,'Global TARF'!D$8)</f>
        <v>0</v>
      </c>
      <c r="E308" s="184">
        <f>SUMIFS(GL_BS!$G:$G,GL_BS!$R:$R,'Global TARF'!$A$293,GL_BS!$S:$S,'Global TARF'!$A308,GL_BS!$A:$A,'Global TARF'!E$8)</f>
        <v>0</v>
      </c>
      <c r="F308" s="184">
        <f>SUMIFS(GL_BS!$G:$G,GL_BS!$R:$R,'Global TARF'!$A$293,GL_BS!$S:$S,'Global TARF'!$A308,GL_BS!$A:$A,'Global TARF'!F$8)</f>
        <v>0</v>
      </c>
      <c r="G308" s="536">
        <f>SUMIFS(GL_BS!$G:$G,GL_BS!$R:$R,'Global TARF'!$A$293,GL_BS!$S:$S,'Global TARF'!$A308,GL_BS!$A:$A,'Global TARF'!G$8)</f>
        <v>0</v>
      </c>
      <c r="H308" s="545">
        <f>SUMIFS(GL_BS!$G:$G,GL_BS!$R:$R,'Global TARF'!$A$293,GL_BS!$S:$S,'Global TARF'!$A308,GL_BS!$A:$A,'Global TARF'!H$8)</f>
        <v>32110.348620682809</v>
      </c>
      <c r="I308" s="184">
        <f>SUMIFS(GL_BS!$G:$G,GL_BS!$R:$R,'Global TARF'!$A$293,GL_BS!$S:$S,'Global TARF'!$A308,GL_BS!$A:$A,'Global TARF'!I$8)</f>
        <v>0</v>
      </c>
      <c r="J308" s="184">
        <f>SUMIFS(GL_BS!$G:$G,GL_BS!$R:$R,'Global TARF'!$A$293,GL_BS!$S:$S,'Global TARF'!$A308,GL_BS!$A:$A,'Global TARF'!J$8)</f>
        <v>0</v>
      </c>
      <c r="K308" s="184">
        <f>SUMIFS(GL_BS!$G:$G,GL_BS!$R:$R,'Global TARF'!$A$293,GL_BS!$S:$S,'Global TARF'!$A308,GL_BS!$A:$A,'Global TARF'!K$8)</f>
        <v>0</v>
      </c>
      <c r="L308" s="184">
        <f>SUMIFS(GL_BS!$G:$G,GL_BS!$R:$R,'Global TARF'!$A$293,GL_BS!$S:$S,'Global TARF'!$A308,GL_BS!$A:$A,'Global TARF'!L$8)</f>
        <v>0</v>
      </c>
      <c r="M308" s="536">
        <f>SUMIFS(GL_BS!$G:$G,GL_BS!$R:$R,'Global TARF'!$A$293,GL_BS!$S:$S,'Global TARF'!$A308,GL_BS!$A:$A,'Global TARF'!M$8)</f>
        <v>0</v>
      </c>
      <c r="N308" s="555">
        <f>SUMIFS(GL_BS!$G:$G,GL_BS!$R:$R,'Global TARF'!$A$293,GL_BS!$S:$S,'Global TARF'!$A308,GL_BS!$A:$A,'Global TARF'!N$8)</f>
        <v>0</v>
      </c>
      <c r="O308" s="18">
        <f>SUMIFS(GL_BS!$G:$G,GL_BS!$R:$R,'Global TARF'!$A$293,GL_BS!$S:$S,'Global TARF'!$A308,GL_BS!$A:$A,'Global TARF'!O$8)</f>
        <v>0</v>
      </c>
      <c r="P308" s="545">
        <f>SUMIFS(GL_PL!$G:$G,GL_PL!$Q:$Q,'Global TARF'!$A$293,GL_PL!$R:$R,'Global TARF'!$A308,GL_PL!$A:$A,'Global TARF'!P$8)</f>
        <v>0</v>
      </c>
      <c r="Q308" s="184">
        <f>SUMIFS(GL_PL!$G:$G,GL_PL!$Q:$Q,'Global TARF'!$A$293,GL_PL!$R:$R,'Global TARF'!$A308,GL_PL!$A:$A,'Global TARF'!Q$8)</f>
        <v>0</v>
      </c>
      <c r="R308" s="184">
        <f>SUMIFS(GL_PL!$G:$G,GL_PL!$Q:$Q,'Global TARF'!$A$293,GL_PL!$R:$R,'Global TARF'!$A308,GL_PL!$A:$A,'Global TARF'!R$8)</f>
        <v>0</v>
      </c>
      <c r="S308" s="536">
        <f>SUMIFS(GL_PL!$G:$G,GL_PL!$Q:$Q,'Global TARF'!$A$293,GL_PL!$R:$R,'Global TARF'!$A308,GL_PL!$A:$A,'Global TARF'!S$8)</f>
        <v>0</v>
      </c>
      <c r="T308" s="26">
        <f>-H308</f>
        <v>-32110.348620682809</v>
      </c>
      <c r="Z308" s="582">
        <f t="shared" si="153"/>
        <v>0</v>
      </c>
    </row>
    <row r="309" spans="1:26" x14ac:dyDescent="0.2">
      <c r="A309" t="s">
        <v>4569</v>
      </c>
      <c r="B309" s="184">
        <f>SUMIFS(GL_BS!$G:$G,GL_BS!$R:$R,'Global TARF'!$A$293,GL_BS!$S:$S,'Global TARF'!$A309,GL_BS!$A:$A,'Global TARF'!B$38)</f>
        <v>0</v>
      </c>
      <c r="C309" s="184">
        <f>SUMIFS(GL_BS!$G:$G,GL_BS!$R:$R,'Global TARF'!$A$293,GL_BS!$S:$S,'Global TARF'!$A309,GL_BS!$A:$A,'Global TARF'!C$8)</f>
        <v>0</v>
      </c>
      <c r="D309" s="184">
        <f>SUMIFS(GL_BS!$G:$G,GL_BS!$R:$R,'Global TARF'!$A$293,GL_BS!$S:$S,'Global TARF'!$A309,GL_BS!$A:$A,'Global TARF'!D$8)</f>
        <v>0</v>
      </c>
      <c r="E309" s="184">
        <f>SUMIFS(GL_BS!$G:$G,GL_BS!$R:$R,'Global TARF'!$A$293,GL_BS!$S:$S,'Global TARF'!$A309,GL_BS!$A:$A,'Global TARF'!E$8)</f>
        <v>0</v>
      </c>
      <c r="F309" s="184">
        <f>SUMIFS(GL_BS!$G:$G,GL_BS!$R:$R,'Global TARF'!$A$293,GL_BS!$S:$S,'Global TARF'!$A309,GL_BS!$A:$A,'Global TARF'!F$8)</f>
        <v>0</v>
      </c>
      <c r="G309" s="536">
        <f>SUMIFS(GL_BS!$G:$G,GL_BS!$R:$R,'Global TARF'!$A$293,GL_BS!$S:$S,'Global TARF'!$A309,GL_BS!$A:$A,'Global TARF'!G$8)</f>
        <v>0</v>
      </c>
      <c r="H309" s="545">
        <f>SUMIFS(GL_BS!$G:$G,GL_BS!$R:$R,'Global TARF'!$A$293,GL_BS!$S:$S,'Global TARF'!$A309,GL_BS!$A:$A,'Global TARF'!H$8)</f>
        <v>-16427.712274739999</v>
      </c>
      <c r="I309" s="184">
        <f>SUMIFS(GL_BS!$G:$G,GL_BS!$R:$R,'Global TARF'!$A$293,GL_BS!$S:$S,'Global TARF'!$A309,GL_BS!$A:$A,'Global TARF'!I$8)</f>
        <v>0</v>
      </c>
      <c r="J309" s="184">
        <f>SUMIFS(GL_BS!$G:$G,GL_BS!$R:$R,'Global TARF'!$A$293,GL_BS!$S:$S,'Global TARF'!$A309,GL_BS!$A:$A,'Global TARF'!J$8)</f>
        <v>0</v>
      </c>
      <c r="K309" s="184">
        <f>SUMIFS(GL_BS!$G:$G,GL_BS!$R:$R,'Global TARF'!$A$293,GL_BS!$S:$S,'Global TARF'!$A309,GL_BS!$A:$A,'Global TARF'!K$8)</f>
        <v>0</v>
      </c>
      <c r="L309" s="184">
        <f>SUMIFS(GL_BS!$G:$G,GL_BS!$R:$R,'Global TARF'!$A$293,GL_BS!$S:$S,'Global TARF'!$A309,GL_BS!$A:$A,'Global TARF'!L$8)</f>
        <v>0</v>
      </c>
      <c r="M309" s="536">
        <f>SUMIFS(GL_BS!$G:$G,GL_BS!$R:$R,'Global TARF'!$A$293,GL_BS!$S:$S,'Global TARF'!$A309,GL_BS!$A:$A,'Global TARF'!M$8)</f>
        <v>0</v>
      </c>
      <c r="N309" s="555">
        <v>-92.09</v>
      </c>
      <c r="O309" s="18">
        <f>SUMIFS(GL_BS!$G:$G,GL_BS!$R:$R,'Global TARF'!$A$293,GL_BS!$S:$S,'Global TARF'!$A309,GL_BS!$A:$A,'Global TARF'!O$8)</f>
        <v>0</v>
      </c>
      <c r="P309" s="545">
        <f>SUMIFS(GL_PL!$G:$G,GL_PL!$Q:$Q,'Global TARF'!$A$293,GL_PL!$R:$R,'Global TARF'!$A309,GL_PL!$A:$A,'Global TARF'!P$8)</f>
        <v>0</v>
      </c>
      <c r="Q309" s="184">
        <f>SUMIFS(GL_PL!$G:$G,GL_PL!$Q:$Q,'Global TARF'!$A$293,GL_PL!$R:$R,'Global TARF'!$A309,GL_PL!$A:$A,'Global TARF'!Q$8)</f>
        <v>0</v>
      </c>
      <c r="R309" s="184">
        <f>SUMIFS(GL_PL!$G:$G,GL_PL!$Q:$Q,'Global TARF'!$A$293,GL_PL!$R:$R,'Global TARF'!$A309,GL_PL!$A:$A,'Global TARF'!R$8)</f>
        <v>16519.797730362581</v>
      </c>
      <c r="S309" s="536">
        <f>SUMIFS(GL_PL!$G:$G,GL_PL!$Q:$Q,'Global TARF'!$A$293,GL_PL!$R:$R,'Global TARF'!$A309,GL_PL!$A:$A,'Global TARF'!S$8)</f>
        <v>0</v>
      </c>
      <c r="T309"/>
      <c r="W309" s="18"/>
      <c r="Z309" s="582">
        <f t="shared" si="153"/>
        <v>-4.5443774179148022E-3</v>
      </c>
    </row>
    <row r="310" spans="1:26" x14ac:dyDescent="0.2">
      <c r="A310" t="s">
        <v>4587</v>
      </c>
      <c r="B310" s="184">
        <f>SUMIFS(GL_BS!$G:$G,GL_BS!$R:$R,'Global TARF'!$A$293,GL_BS!$S:$S,'Global TARF'!$A310,GL_BS!$A:$A,'Global TARF'!B$38)</f>
        <v>0</v>
      </c>
      <c r="C310" s="184">
        <f>SUMIFS(GL_BS!$G:$G,GL_BS!$R:$R,'Global TARF'!$A$293,GL_BS!$S:$S,'Global TARF'!$A310,GL_BS!$A:$A,'Global TARF'!C$8)</f>
        <v>0</v>
      </c>
      <c r="D310" s="184">
        <f>SUMIFS(GL_BS!$G:$G,GL_BS!$R:$R,'Global TARF'!$A$293,GL_BS!$S:$S,'Global TARF'!$A310,GL_BS!$A:$A,'Global TARF'!D$8)</f>
        <v>0</v>
      </c>
      <c r="E310" s="184">
        <f>SUMIFS(GL_BS!$G:$G,GL_BS!$R:$R,'Global TARF'!$A$293,GL_BS!$S:$S,'Global TARF'!$A310,GL_BS!$A:$A,'Global TARF'!E$8)</f>
        <v>0</v>
      </c>
      <c r="F310" s="184">
        <f>SUMIFS(GL_BS!$G:$G,GL_BS!$R:$R,'Global TARF'!$A$293,GL_BS!$S:$S,'Global TARF'!$A310,GL_BS!$A:$A,'Global TARF'!F$8)</f>
        <v>0</v>
      </c>
      <c r="G310" s="536">
        <f>SUMIFS(GL_BS!$G:$G,GL_BS!$R:$R,'Global TARF'!$A$293,GL_BS!$S:$S,'Global TARF'!$A310,GL_BS!$A:$A,'Global TARF'!G$8)</f>
        <v>0</v>
      </c>
      <c r="H310" s="545">
        <f>SUMIFS(GL_BS!$G:$G,GL_BS!$R:$R,'Global TARF'!$A$293,GL_BS!$S:$S,'Global TARF'!$A310,GL_BS!$A:$A,'Global TARF'!H$8)</f>
        <v>0</v>
      </c>
      <c r="I310" s="184">
        <f>SUMIFS(GL_BS!$G:$G,GL_BS!$R:$R,'Global TARF'!$A$293,GL_BS!$S:$S,'Global TARF'!$A310,GL_BS!$A:$A,'Global TARF'!I$8)</f>
        <v>0</v>
      </c>
      <c r="J310" s="184">
        <f>SUMIFS(GL_BS!$G:$G,GL_BS!$R:$R,'Global TARF'!$A$293,GL_BS!$S:$S,'Global TARF'!$A310,GL_BS!$A:$A,'Global TARF'!J$8)</f>
        <v>0</v>
      </c>
      <c r="K310" s="184">
        <f>SUMIFS(GL_BS!$G:$G,GL_BS!$R:$R,'Global TARF'!$A$293,GL_BS!$S:$S,'Global TARF'!$A310,GL_BS!$A:$A,'Global TARF'!K$8)</f>
        <v>0</v>
      </c>
      <c r="L310" s="184">
        <f>SUMIFS(GL_BS!$G:$G,GL_BS!$R:$R,'Global TARF'!$A$293,GL_BS!$S:$S,'Global TARF'!$A310,GL_BS!$A:$A,'Global TARF'!L$8)</f>
        <v>0</v>
      </c>
      <c r="M310" s="536">
        <f>SUMIFS(GL_BS!$G:$G,GL_BS!$R:$R,'Global TARF'!$A$293,GL_BS!$S:$S,'Global TARF'!$A310,GL_BS!$A:$A,'Global TARF'!M$8)</f>
        <v>0</v>
      </c>
      <c r="N310" s="555"/>
      <c r="O310" s="18"/>
      <c r="P310" s="545">
        <f>SUMIFS(GL_PL!$G:$G,GL_PL!$Q:$Q,'Global TARF'!$A$293,GL_PL!$R:$R,'Global TARF'!$A310,GL_PL!$A:$A,'Global TARF'!P$8)</f>
        <v>0</v>
      </c>
      <c r="Q310" s="184">
        <f>SUMIFS(GL_PL!$G:$G,GL_PL!$Q:$Q,'Global TARF'!$A$293,GL_PL!$R:$R,'Global TARF'!$A310,GL_PL!$A:$A,'Global TARF'!Q$8)</f>
        <v>0</v>
      </c>
      <c r="R310" s="184">
        <f>SUMIFS(GL_PL!$G:$G,GL_PL!$Q:$Q,'Global TARF'!$A$293,GL_PL!$R:$R,'Global TARF'!$A310,GL_PL!$A:$A,'Global TARF'!R$8)</f>
        <v>0</v>
      </c>
      <c r="S310" s="536">
        <f>SUMIFS(GL_PL!$G:$G,GL_PL!$Q:$Q,'Global TARF'!$A$293,GL_PL!$R:$R,'Global TARF'!$A310,GL_PL!$A:$A,'Global TARF'!S$8)</f>
        <v>0</v>
      </c>
      <c r="T310"/>
      <c r="Z310" s="582"/>
    </row>
    <row r="311" spans="1:26" x14ac:dyDescent="0.2">
      <c r="A311" t="s">
        <v>4369</v>
      </c>
      <c r="B311" s="184">
        <f>SUMIFS(GL_BS!$G:$G,GL_BS!$R:$R,'Global TARF'!$A$293,GL_BS!$S:$S,'Global TARF'!$A311,GL_BS!$A:$A,'Global TARF'!B$38)</f>
        <v>0</v>
      </c>
      <c r="C311" s="184">
        <f>SUMIFS(GL_BS!$G:$G,GL_BS!$R:$R,'Global TARF'!$A$293,GL_BS!$S:$S,'Global TARF'!$A311,GL_BS!$A:$A,'Global TARF'!C$8)</f>
        <v>0</v>
      </c>
      <c r="D311" s="184">
        <f>SUMIFS(GL_BS!$G:$G,GL_BS!$R:$R,'Global TARF'!$A$293,GL_BS!$S:$S,'Global TARF'!$A311,GL_BS!$A:$A,'Global TARF'!D$8)</f>
        <v>0</v>
      </c>
      <c r="E311" s="184">
        <f>SUMIFS(GL_BS!$G:$G,GL_BS!$R:$R,'Global TARF'!$A$293,GL_BS!$S:$S,'Global TARF'!$A311,GL_BS!$A:$A,'Global TARF'!E$8)</f>
        <v>0</v>
      </c>
      <c r="F311" s="184">
        <f>SUMIFS(GL_BS!$G:$G,GL_BS!$R:$R,'Global TARF'!$A$293,GL_BS!$S:$S,'Global TARF'!$A311,GL_BS!$A:$A,'Global TARF'!F$8)</f>
        <v>0</v>
      </c>
      <c r="G311" s="536">
        <f>SUMIFS(GL_BS!$G:$G,GL_BS!$R:$R,'Global TARF'!$A$293,GL_BS!$S:$S,'Global TARF'!$A311,GL_BS!$A:$A,'Global TARF'!G$8)</f>
        <v>0</v>
      </c>
      <c r="H311" s="545">
        <f>SUMIFS(GL_BS!$G:$G,GL_BS!$R:$R,'Global TARF'!$A$293,GL_BS!$S:$S,'Global TARF'!$A311,GL_BS!$A:$A,'Global TARF'!H$8)</f>
        <v>0</v>
      </c>
      <c r="I311" s="184">
        <f>SUMIFS(GL_BS!$G:$G,GL_BS!$R:$R,'Global TARF'!$A$293,GL_BS!$S:$S,'Global TARF'!$A311,GL_BS!$A:$A,'Global TARF'!I$8)</f>
        <v>0</v>
      </c>
      <c r="J311" s="184">
        <f>SUMIFS(GL_BS!$G:$G,GL_BS!$R:$R,'Global TARF'!$A$293,GL_BS!$S:$S,'Global TARF'!$A311,GL_BS!$A:$A,'Global TARF'!J$8)</f>
        <v>0</v>
      </c>
      <c r="K311" s="184">
        <f>SUMIFS(GL_BS!$G:$G,GL_BS!$R:$R,'Global TARF'!$A$293,GL_BS!$S:$S,'Global TARF'!$A311,GL_BS!$A:$A,'Global TARF'!K$8)</f>
        <v>0</v>
      </c>
      <c r="L311" s="184">
        <f>SUMIFS(GL_BS!$G:$G,GL_BS!$R:$R,'Global TARF'!$A$293,GL_BS!$S:$S,'Global TARF'!$A311,GL_BS!$A:$A,'Global TARF'!L$8)</f>
        <v>0</v>
      </c>
      <c r="M311" s="536">
        <f>SUMIFS(GL_BS!$G:$G,GL_BS!$R:$R,'Global TARF'!$A$293,GL_BS!$S:$S,'Global TARF'!$A311,GL_BS!$A:$A,'Global TARF'!M$8)</f>
        <v>0</v>
      </c>
      <c r="N311" s="555"/>
      <c r="O311" s="18"/>
      <c r="P311" s="545">
        <f>SUMIFS(GL_PL!$G:$G,GL_PL!$Q:$Q,'Global TARF'!$A$293,GL_PL!$R:$R,'Global TARF'!$A311,GL_PL!$A:$A,'Global TARF'!P$8)</f>
        <v>0</v>
      </c>
      <c r="Q311" s="184">
        <f>SUMIFS(GL_PL!$G:$G,GL_PL!$Q:$Q,'Global TARF'!$A$293,GL_PL!$R:$R,'Global TARF'!$A311,GL_PL!$A:$A,'Global TARF'!Q$8)</f>
        <v>0</v>
      </c>
      <c r="R311" s="184">
        <f>SUMIFS(GL_PL!$G:$G,GL_PL!$Q:$Q,'Global TARF'!$A$293,GL_PL!$R:$R,'Global TARF'!$A311,GL_PL!$A:$A,'Global TARF'!R$8)</f>
        <v>0</v>
      </c>
      <c r="S311" s="536">
        <f>SUMIFS(GL_PL!$G:$G,GL_PL!$Q:$Q,'Global TARF'!$A$293,GL_PL!$R:$R,'Global TARF'!$A311,GL_PL!$A:$A,'Global TARF'!S$8)</f>
        <v>0</v>
      </c>
      <c r="T311"/>
      <c r="Z311" s="582"/>
    </row>
    <row r="312" spans="1:26" x14ac:dyDescent="0.2">
      <c r="A312" s="534" t="s">
        <v>799</v>
      </c>
      <c r="B312" s="184">
        <f>SUMIFS(GL_BS!$G:$G,GL_BS!$R:$R,'Global TARF'!$A$293,GL_BS!$S:$S,'Global TARF'!$A312,GL_BS!$A:$A,'Global TARF'!B$38)</f>
        <v>0</v>
      </c>
      <c r="C312" s="184">
        <f>SUMIFS(GL_BS!$G:$G,GL_BS!$R:$R,'Global TARF'!$A$293,GL_BS!$S:$S,'Global TARF'!$A312,GL_BS!$A:$A,'Global TARF'!C$8)</f>
        <v>0</v>
      </c>
      <c r="D312" s="184">
        <f>SUMIFS(GL_BS!$G:$G,GL_BS!$R:$R,'Global TARF'!$A$293,GL_BS!$S:$S,'Global TARF'!$A312,GL_BS!$A:$A,'Global TARF'!D$8)</f>
        <v>0</v>
      </c>
      <c r="E312" s="184">
        <f>SUMIFS(GL_BS!$G:$G,GL_BS!$R:$R,'Global TARF'!$A$293,GL_BS!$S:$S,'Global TARF'!$A312,GL_BS!$A:$A,'Global TARF'!E$8)</f>
        <v>0</v>
      </c>
      <c r="F312" s="184">
        <f>SUMIFS(GL_BS!$G:$G,GL_BS!$R:$R,'Global TARF'!$A$293,GL_BS!$S:$S,'Global TARF'!$A312,GL_BS!$A:$A,'Global TARF'!F$8)</f>
        <v>0</v>
      </c>
      <c r="G312" s="536">
        <f>SUMIFS(GL_BS!$G:$G,GL_BS!$R:$R,'Global TARF'!$A$293,GL_BS!$S:$S,'Global TARF'!$A312,GL_BS!$A:$A,'Global TARF'!G$8)</f>
        <v>0</v>
      </c>
      <c r="H312" s="545">
        <f>SUMIFS(GL_BS!$G:$G,GL_BS!$R:$R,'Global TARF'!$A$293,GL_BS!$S:$S,'Global TARF'!$A312,GL_BS!$A:$A,'Global TARF'!H$8)</f>
        <v>0</v>
      </c>
      <c r="I312" s="184">
        <f>SUMIFS(GL_BS!$G:$G,GL_BS!$R:$R,'Global TARF'!$A$293,GL_BS!$S:$S,'Global TARF'!$A312,GL_BS!$A:$A,'Global TARF'!I$8)</f>
        <v>0</v>
      </c>
      <c r="J312" s="184">
        <f>SUMIFS(GL_BS!$G:$G,GL_BS!$R:$R,'Global TARF'!$A$293,GL_BS!$S:$S,'Global TARF'!$A312,GL_BS!$A:$A,'Global TARF'!J$8)</f>
        <v>0</v>
      </c>
      <c r="K312" s="184">
        <f>SUMIFS(GL_BS!$G:$G,GL_BS!$R:$R,'Global TARF'!$A$293,GL_BS!$S:$S,'Global TARF'!$A312,GL_BS!$A:$A,'Global TARF'!K$8)</f>
        <v>0</v>
      </c>
      <c r="L312" s="184">
        <f>SUMIFS(GL_BS!$G:$G,GL_BS!$R:$R,'Global TARF'!$A$293,GL_BS!$S:$S,'Global TARF'!$A312,GL_BS!$A:$A,'Global TARF'!L$8)</f>
        <v>0</v>
      </c>
      <c r="M312" s="536">
        <f>SUMIFS(GL_BS!$G:$G,GL_BS!$R:$R,'Global TARF'!$A$293,GL_BS!$S:$S,'Global TARF'!$A312,GL_BS!$A:$A,'Global TARF'!M$8)</f>
        <v>0</v>
      </c>
      <c r="N312" s="555"/>
      <c r="O312" s="18"/>
      <c r="P312" s="545">
        <f>SUMIFS(GL_PL!$G:$G,GL_PL!$Q:$Q,'Global TARF'!$A$293,GL_PL!$R:$R,'Global TARF'!$A312,GL_PL!$A:$A,'Global TARF'!P$8)</f>
        <v>0</v>
      </c>
      <c r="Q312" s="184">
        <f>SUMIFS(GL_PL!$G:$G,GL_PL!$Q:$Q,'Global TARF'!$A$293,GL_PL!$R:$R,'Global TARF'!$A312,GL_PL!$A:$A,'Global TARF'!Q$8)</f>
        <v>0</v>
      </c>
      <c r="R312" s="184">
        <f>SUMIFS(GL_PL!$G:$G,GL_PL!$Q:$Q,'Global TARF'!$A$293,GL_PL!$R:$R,'Global TARF'!$A312,GL_PL!$A:$A,'Global TARF'!R$8)</f>
        <v>0</v>
      </c>
      <c r="S312" s="536">
        <f>SUMIFS(GL_PL!$G:$G,GL_PL!$Q:$Q,'Global TARF'!$A$293,GL_PL!$R:$R,'Global TARF'!$A312,GL_PL!$A:$A,'Global TARF'!S$8)</f>
        <v>0</v>
      </c>
      <c r="T312"/>
      <c r="Z312" s="582"/>
    </row>
    <row r="313" spans="1:26" x14ac:dyDescent="0.2">
      <c r="A313" s="534" t="s">
        <v>3845</v>
      </c>
      <c r="B313" s="184">
        <f>SUMIFS(GL_BS!$G:$G,GL_BS!$R:$R,'Global TARF'!$A$293,GL_BS!$S:$S,'Global TARF'!$A313,GL_BS!$A:$A,'Global TARF'!B$38)</f>
        <v>0</v>
      </c>
      <c r="C313" s="184">
        <f>SUMIFS(GL_BS!$G:$G,GL_BS!$R:$R,'Global TARF'!$A$293,GL_BS!$S:$S,'Global TARF'!$A313,GL_BS!$A:$A,'Global TARF'!C$8)</f>
        <v>19993.771086119999</v>
      </c>
      <c r="D313" s="184">
        <f>SUMIFS(GL_BS!$G:$G,GL_BS!$R:$R,'Global TARF'!$A$293,GL_BS!$S:$S,'Global TARF'!$A313,GL_BS!$A:$A,'Global TARF'!D$8)</f>
        <v>0</v>
      </c>
      <c r="E313" s="184">
        <f>SUMIFS(GL_BS!$G:$G,GL_BS!$R:$R,'Global TARF'!$A$293,GL_BS!$S:$S,'Global TARF'!$A313,GL_BS!$A:$A,'Global TARF'!E$8)</f>
        <v>0</v>
      </c>
      <c r="F313" s="184">
        <f>SUMIFS(GL_BS!$G:$G,GL_BS!$R:$R,'Global TARF'!$A$293,GL_BS!$S:$S,'Global TARF'!$A313,GL_BS!$A:$A,'Global TARF'!F$8)</f>
        <v>0</v>
      </c>
      <c r="G313" s="536">
        <f>SUMIFS(GL_BS!$G:$G,GL_BS!$R:$R,'Global TARF'!$A$293,GL_BS!$S:$S,'Global TARF'!$A313,GL_BS!$A:$A,'Global TARF'!G$8)</f>
        <v>0</v>
      </c>
      <c r="H313" s="545">
        <f>SUMIFS(GL_BS!$G:$G,GL_BS!$R:$R,'Global TARF'!$A$293,GL_BS!$S:$S,'Global TARF'!$A313,GL_BS!$A:$A,'Global TARF'!H$8)</f>
        <v>-19993.771086119999</v>
      </c>
      <c r="I313" s="184">
        <f>SUMIFS(GL_BS!$G:$G,GL_BS!$R:$R,'Global TARF'!$A$293,GL_BS!$S:$S,'Global TARF'!$A313,GL_BS!$A:$A,'Global TARF'!I$8)</f>
        <v>0</v>
      </c>
      <c r="J313" s="184">
        <f>SUMIFS(GL_BS!$G:$G,GL_BS!$R:$R,'Global TARF'!$A$293,GL_BS!$S:$S,'Global TARF'!$A313,GL_BS!$A:$A,'Global TARF'!J$8)</f>
        <v>0</v>
      </c>
      <c r="K313" s="184">
        <f>SUMIFS(GL_BS!$G:$G,GL_BS!$R:$R,'Global TARF'!$A$293,GL_BS!$S:$S,'Global TARF'!$A313,GL_BS!$A:$A,'Global TARF'!K$8)</f>
        <v>0</v>
      </c>
      <c r="L313" s="184">
        <f>SUMIFS(GL_BS!$G:$G,GL_BS!$R:$R,'Global TARF'!$A$293,GL_BS!$S:$S,'Global TARF'!$A313,GL_BS!$A:$A,'Global TARF'!L$8)</f>
        <v>0</v>
      </c>
      <c r="M313" s="536">
        <f>SUMIFS(GL_BS!$G:$G,GL_BS!$R:$R,'Global TARF'!$A$293,GL_BS!$S:$S,'Global TARF'!$A313,GL_BS!$A:$A,'Global TARF'!M$8)</f>
        <v>0</v>
      </c>
      <c r="N313" s="555">
        <f>SUMIFS(GL_BS!$G:$G,GL_BS!$R:$R,'Global TARF'!$A$293,GL_BS!$S:$S,'Global TARF'!$A313,GL_BS!$A:$A,'Global TARF'!N$8)</f>
        <v>0</v>
      </c>
      <c r="O313" s="18">
        <f>SUMIFS(GL_BS!$G:$G,GL_BS!$R:$R,'Global TARF'!$A$293,GL_BS!$S:$S,'Global TARF'!$A313,GL_BS!$A:$A,'Global TARF'!O$8)</f>
        <v>0</v>
      </c>
      <c r="P313" s="545">
        <f>SUMIFS(GL_PL!$G:$G,GL_PL!$Q:$Q,'Global TARF'!$A$293,GL_PL!$R:$R,'Global TARF'!$A313,GL_PL!$A:$A,'Global TARF'!P$8)</f>
        <v>0</v>
      </c>
      <c r="Q313" s="184">
        <f>SUMIFS(GL_PL!$G:$G,GL_PL!$Q:$Q,'Global TARF'!$A$293,GL_PL!$R:$R,'Global TARF'!$A313,GL_PL!$A:$A,'Global TARF'!Q$8)</f>
        <v>0</v>
      </c>
      <c r="R313" s="184">
        <f>SUMIFS(GL_PL!$G:$G,GL_PL!$Q:$Q,'Global TARF'!$A$293,GL_PL!$R:$R,'Global TARF'!$A313,GL_PL!$A:$A,'Global TARF'!R$8)</f>
        <v>0</v>
      </c>
      <c r="S313" s="536">
        <f>SUMIFS(GL_PL!$G:$G,GL_PL!$Q:$Q,'Global TARF'!$A$293,GL_PL!$R:$R,'Global TARF'!$A313,GL_PL!$A:$A,'Global TARF'!S$8)</f>
        <v>0</v>
      </c>
      <c r="T313" s="26"/>
      <c r="W313" s="26">
        <f>-SUM(C313,H313)</f>
        <v>0</v>
      </c>
      <c r="Z313" s="582">
        <f t="shared" si="153"/>
        <v>0</v>
      </c>
    </row>
    <row r="314" spans="1:26" x14ac:dyDescent="0.2">
      <c r="A314" s="534" t="s">
        <v>792</v>
      </c>
      <c r="B314" s="184">
        <f>SUMIFS(GL_BS!$G:$G,GL_BS!$R:$R,'Global TARF'!$A$293,GL_BS!$S:$S,'Global TARF'!$A314,GL_BS!$A:$A,'Global TARF'!B$38)</f>
        <v>0</v>
      </c>
      <c r="C314" s="184">
        <f>SUMIFS(GL_BS!$G:$G,GL_BS!$R:$R,'Global TARF'!$A$293,GL_BS!$S:$S,'Global TARF'!$A314,GL_BS!$A:$A,'Global TARF'!C$8)</f>
        <v>0</v>
      </c>
      <c r="D314" s="184">
        <f>SUMIFS(GL_BS!$G:$G,GL_BS!$R:$R,'Global TARF'!$A$293,GL_BS!$S:$S,'Global TARF'!$A314,GL_BS!$A:$A,'Global TARF'!D$8)</f>
        <v>0</v>
      </c>
      <c r="E314" s="184">
        <f>SUMIFS(GL_BS!$G:$G,GL_BS!$R:$R,'Global TARF'!$A$293,GL_BS!$S:$S,'Global TARF'!$A314,GL_BS!$A:$A,'Global TARF'!E$8)</f>
        <v>0</v>
      </c>
      <c r="F314" s="184">
        <f>SUMIFS(GL_BS!$G:$G,GL_BS!$R:$R,'Global TARF'!$A$293,GL_BS!$S:$S,'Global TARF'!$A314,GL_BS!$A:$A,'Global TARF'!F$8)</f>
        <v>0</v>
      </c>
      <c r="G314" s="536">
        <f>SUMIFS(GL_BS!$G:$G,GL_BS!$R:$R,'Global TARF'!$A$293,GL_BS!$S:$S,'Global TARF'!$A314,GL_BS!$A:$A,'Global TARF'!G$8)</f>
        <v>0</v>
      </c>
      <c r="H314" s="545">
        <f>SUMIFS(GL_BS!$G:$G,GL_BS!$R:$R,'Global TARF'!$A$293,GL_BS!$S:$S,'Global TARF'!$A314,GL_BS!$A:$A,'Global TARF'!H$8)</f>
        <v>0</v>
      </c>
      <c r="I314" s="184">
        <f>SUMIFS(GL_BS!$G:$G,GL_BS!$R:$R,'Global TARF'!$A$293,GL_BS!$S:$S,'Global TARF'!$A314,GL_BS!$A:$A,'Global TARF'!I$8)</f>
        <v>0</v>
      </c>
      <c r="J314" s="184">
        <f>SUMIFS(GL_BS!$G:$G,GL_BS!$R:$R,'Global TARF'!$A$293,GL_BS!$S:$S,'Global TARF'!$A314,GL_BS!$A:$A,'Global TARF'!J$8)</f>
        <v>0</v>
      </c>
      <c r="K314" s="184">
        <f>SUMIFS(GL_BS!$G:$G,GL_BS!$R:$R,'Global TARF'!$A$293,GL_BS!$S:$S,'Global TARF'!$A314,GL_BS!$A:$A,'Global TARF'!K$8)</f>
        <v>0</v>
      </c>
      <c r="L314" s="184">
        <f>SUMIFS(GL_BS!$G:$G,GL_BS!$R:$R,'Global TARF'!$A$293,GL_BS!$S:$S,'Global TARF'!$A314,GL_BS!$A:$A,'Global TARF'!L$8)</f>
        <v>0</v>
      </c>
      <c r="M314" s="536">
        <f>SUMIFS(GL_BS!$G:$G,GL_BS!$R:$R,'Global TARF'!$A$293,GL_BS!$S:$S,'Global TARF'!$A314,GL_BS!$A:$A,'Global TARF'!M$8)</f>
        <v>0</v>
      </c>
      <c r="N314" s="555">
        <f>SUMIFS(GL_BS!$G:$G,GL_BS!$R:$R,'Global TARF'!$A$293,GL_BS!$S:$S,'Global TARF'!$A314,GL_BS!$A:$A,'Global TARF'!N$8)</f>
        <v>0</v>
      </c>
      <c r="O314" s="18">
        <f>SUMIFS(GL_BS!$G:$G,GL_BS!$R:$R,'Global TARF'!$A$293,GL_BS!$S:$S,'Global TARF'!$A314,GL_BS!$A:$A,'Global TARF'!O$8)</f>
        <v>0</v>
      </c>
      <c r="P314" s="545">
        <f>SUMIFS(GL_PL!$G:$G,GL_PL!$Q:$Q,'Global TARF'!$A$293,GL_PL!$R:$R,'Global TARF'!$A314,GL_PL!$A:$A,'Global TARF'!P$8)</f>
        <v>0</v>
      </c>
      <c r="Q314" s="184">
        <f>SUMIFS(GL_PL!$G:$G,GL_PL!$Q:$Q,'Global TARF'!$A$293,GL_PL!$R:$R,'Global TARF'!$A314,GL_PL!$A:$A,'Global TARF'!Q$8)</f>
        <v>0</v>
      </c>
      <c r="R314" s="184">
        <f>SUMIFS(GL_PL!$G:$G,GL_PL!$Q:$Q,'Global TARF'!$A$293,GL_PL!$R:$R,'Global TARF'!$A314,GL_PL!$A:$A,'Global TARF'!R$8)</f>
        <v>0</v>
      </c>
      <c r="S314" s="536">
        <f>SUMIFS(GL_PL!$G:$G,GL_PL!$Q:$Q,'Global TARF'!$A$293,GL_PL!$R:$R,'Global TARF'!$A314,GL_PL!$A:$A,'Global TARF'!S$8)</f>
        <v>0</v>
      </c>
      <c r="T314"/>
      <c r="V314" s="26">
        <f>-SUM(Q314,B314)</f>
        <v>0</v>
      </c>
      <c r="Z314" s="582">
        <f t="shared" si="153"/>
        <v>0</v>
      </c>
    </row>
    <row r="315" spans="1:26" x14ac:dyDescent="0.2">
      <c r="A315" s="534" t="s">
        <v>791</v>
      </c>
      <c r="B315" s="184">
        <f>SUMIFS(GL_BS!$G:$G,GL_BS!$R:$R,'Global TARF'!$A$293,GL_BS!$S:$S,'Global TARF'!$A315,GL_BS!$A:$A,'Global TARF'!B$38)</f>
        <v>0</v>
      </c>
      <c r="C315" s="184">
        <f>SUMIFS(GL_BS!$G:$G,GL_BS!$R:$R,'Global TARF'!$A$293,GL_BS!$S:$S,'Global TARF'!$A315,GL_BS!$A:$A,'Global TARF'!C$8)</f>
        <v>0</v>
      </c>
      <c r="D315" s="184">
        <f>SUMIFS(GL_BS!$G:$G,GL_BS!$R:$R,'Global TARF'!$A$293,GL_BS!$S:$S,'Global TARF'!$A315,GL_BS!$A:$A,'Global TARF'!D$8)</f>
        <v>0</v>
      </c>
      <c r="E315" s="184">
        <f>SUMIFS(GL_BS!$G:$G,GL_BS!$R:$R,'Global TARF'!$A$293,GL_BS!$S:$S,'Global TARF'!$A315,GL_BS!$A:$A,'Global TARF'!E$8)</f>
        <v>0</v>
      </c>
      <c r="F315" s="184">
        <f>SUMIFS(GL_BS!$G:$G,GL_BS!$R:$R,'Global TARF'!$A$293,GL_BS!$S:$S,'Global TARF'!$A315,GL_BS!$A:$A,'Global TARF'!F$8)</f>
        <v>0</v>
      </c>
      <c r="G315" s="536">
        <f>SUMIFS(GL_BS!$G:$G,GL_BS!$R:$R,'Global TARF'!$A$293,GL_BS!$S:$S,'Global TARF'!$A315,GL_BS!$A:$A,'Global TARF'!G$8)</f>
        <v>0</v>
      </c>
      <c r="H315" s="545">
        <f>SUMIFS(GL_BS!$G:$G,GL_BS!$R:$R,'Global TARF'!$A$293,GL_BS!$S:$S,'Global TARF'!$A315,GL_BS!$A:$A,'Global TARF'!H$8)</f>
        <v>0</v>
      </c>
      <c r="I315" s="184">
        <f>SUMIFS(GL_BS!$G:$G,GL_BS!$R:$R,'Global TARF'!$A$293,GL_BS!$S:$S,'Global TARF'!$A315,GL_BS!$A:$A,'Global TARF'!I$8)</f>
        <v>0</v>
      </c>
      <c r="J315" s="184">
        <f>SUMIFS(GL_BS!$G:$G,GL_BS!$R:$R,'Global TARF'!$A$293,GL_BS!$S:$S,'Global TARF'!$A315,GL_BS!$A:$A,'Global TARF'!J$8)</f>
        <v>0</v>
      </c>
      <c r="K315" s="184">
        <f>SUMIFS(GL_BS!$G:$G,GL_BS!$R:$R,'Global TARF'!$A$293,GL_BS!$S:$S,'Global TARF'!$A315,GL_BS!$A:$A,'Global TARF'!K$8)</f>
        <v>0</v>
      </c>
      <c r="L315" s="184">
        <f>SUMIFS(GL_BS!$G:$G,GL_BS!$R:$R,'Global TARF'!$A$293,GL_BS!$S:$S,'Global TARF'!$A315,GL_BS!$A:$A,'Global TARF'!L$8)</f>
        <v>0</v>
      </c>
      <c r="M315" s="536">
        <f>SUMIFS(GL_BS!$G:$G,GL_BS!$R:$R,'Global TARF'!$A$293,GL_BS!$S:$S,'Global TARF'!$A315,GL_BS!$A:$A,'Global TARF'!M$8)</f>
        <v>0</v>
      </c>
      <c r="N315" s="555">
        <f>SUMIFS(GL_BS!$G:$G,GL_BS!$R:$R,'Global TARF'!$A$293,GL_BS!$S:$S,'Global TARF'!$A315,GL_BS!$A:$A,'Global TARF'!N$8)</f>
        <v>0</v>
      </c>
      <c r="O315" s="18">
        <f>SUMIFS(GL_BS!$G:$G,GL_BS!$R:$R,'Global TARF'!$A$293,GL_BS!$S:$S,'Global TARF'!$A315,GL_BS!$A:$A,'Global TARF'!O$8)</f>
        <v>0</v>
      </c>
      <c r="P315" s="545">
        <f>SUMIFS(GL_PL!$G:$G,GL_PL!$Q:$Q,'Global TARF'!$A$293,GL_PL!$R:$R,'Global TARF'!$A315,GL_PL!$A:$A,'Global TARF'!P$8)</f>
        <v>0</v>
      </c>
      <c r="Q315" s="184">
        <f>SUMIFS(GL_PL!$G:$G,GL_PL!$Q:$Q,'Global TARF'!$A$293,GL_PL!$R:$R,'Global TARF'!$A315,GL_PL!$A:$A,'Global TARF'!Q$8)</f>
        <v>0</v>
      </c>
      <c r="R315" s="184">
        <f>SUMIFS(GL_PL!$G:$G,GL_PL!$Q:$Q,'Global TARF'!$A$293,GL_PL!$R:$R,'Global TARF'!$A315,GL_PL!$A:$A,'Global TARF'!R$8)</f>
        <v>0</v>
      </c>
      <c r="S315" s="536">
        <f>SUMIFS(GL_PL!$G:$G,GL_PL!$Q:$Q,'Global TARF'!$A$293,GL_PL!$R:$R,'Global TARF'!$A315,GL_PL!$A:$A,'Global TARF'!S$8)</f>
        <v>0</v>
      </c>
      <c r="T315" s="26">
        <f>-SUM(P315:R315)</f>
        <v>0</v>
      </c>
      <c r="U315" s="26"/>
      <c r="Z315" s="582">
        <f t="shared" si="153"/>
        <v>0</v>
      </c>
    </row>
    <row r="316" spans="1:26" x14ac:dyDescent="0.2">
      <c r="A316" s="534" t="s">
        <v>243</v>
      </c>
      <c r="B316" s="184">
        <f>SUMIFS(GL_BS!$G:$G,GL_BS!$R:$R,'Global TARF'!$A$293,GL_BS!$S:$S,'Global TARF'!$A316,GL_BS!$A:$A,'Global TARF'!B$38)</f>
        <v>0</v>
      </c>
      <c r="C316" s="184">
        <f>SUMIFS(GL_BS!$G:$G,GL_BS!$R:$R,'Global TARF'!$A$293,GL_BS!$S:$S,'Global TARF'!$A316,GL_BS!$A:$A,'Global TARF'!C$8)</f>
        <v>-57.778636968000001</v>
      </c>
      <c r="D316" s="184">
        <f>SUMIFS(GL_BS!$G:$G,GL_BS!$R:$R,'Global TARF'!$A$293,GL_BS!$S:$S,'Global TARF'!$A316,GL_BS!$A:$A,'Global TARF'!D$8)</f>
        <v>0</v>
      </c>
      <c r="E316" s="184">
        <f>SUMIFS(GL_BS!$G:$G,GL_BS!$R:$R,'Global TARF'!$A$293,GL_BS!$S:$S,'Global TARF'!$A316,GL_BS!$A:$A,'Global TARF'!E$8)</f>
        <v>0</v>
      </c>
      <c r="F316" s="184">
        <f>SUMIFS(GL_BS!$G:$G,GL_BS!$R:$R,'Global TARF'!$A$293,GL_BS!$S:$S,'Global TARF'!$A316,GL_BS!$A:$A,'Global TARF'!F$8)</f>
        <v>0</v>
      </c>
      <c r="G316" s="536">
        <f>SUMIFS(GL_BS!$G:$G,GL_BS!$R:$R,'Global TARF'!$A$293,GL_BS!$S:$S,'Global TARF'!$A316,GL_BS!$A:$A,'Global TARF'!G$8)</f>
        <v>0</v>
      </c>
      <c r="H316" s="545">
        <f>SUMIFS(GL_BS!$G:$G,GL_BS!$R:$R,'Global TARF'!$A$293,GL_BS!$S:$S,'Global TARF'!$A316,GL_BS!$A:$A,'Global TARF'!H$8)</f>
        <v>-1700.0988044507997</v>
      </c>
      <c r="I316" s="184">
        <f>SUMIFS(GL_BS!$G:$G,GL_BS!$R:$R,'Global TARF'!$A$293,GL_BS!$S:$S,'Global TARF'!$A316,GL_BS!$A:$A,'Global TARF'!I$8)</f>
        <v>0</v>
      </c>
      <c r="J316" s="184">
        <f>SUMIFS(GL_BS!$G:$G,GL_BS!$R:$R,'Global TARF'!$A$293,GL_BS!$S:$S,'Global TARF'!$A316,GL_BS!$A:$A,'Global TARF'!J$8)</f>
        <v>0</v>
      </c>
      <c r="K316" s="184">
        <f>SUMIFS(GL_BS!$G:$G,GL_BS!$R:$R,'Global TARF'!$A$293,GL_BS!$S:$S,'Global TARF'!$A316,GL_BS!$A:$A,'Global TARF'!K$8)</f>
        <v>0</v>
      </c>
      <c r="L316" s="184">
        <f>SUMIFS(GL_BS!$G:$G,GL_BS!$R:$R,'Global TARF'!$A$293,GL_BS!$S:$S,'Global TARF'!$A316,GL_BS!$A:$A,'Global TARF'!L$8)</f>
        <v>0</v>
      </c>
      <c r="M316" s="536">
        <f>SUMIFS(GL_BS!$G:$G,GL_BS!$R:$R,'Global TARF'!$A$293,GL_BS!$S:$S,'Global TARF'!$A316,GL_BS!$A:$A,'Global TARF'!M$8)</f>
        <v>0</v>
      </c>
      <c r="N316" s="555">
        <f>SUMIFS(GL_BS!$G:$G,GL_BS!$R:$R,'Global TARF'!$A$293,GL_BS!$S:$S,'Global TARF'!$A316,GL_BS!$A:$A,'Global TARF'!N$8)</f>
        <v>0</v>
      </c>
      <c r="O316" s="18">
        <f>SUMIFS(GL_BS!$G:$G,GL_BS!$R:$R,'Global TARF'!$A$293,GL_BS!$S:$S,'Global TARF'!$A316,GL_BS!$A:$A,'Global TARF'!O$8)</f>
        <v>0</v>
      </c>
      <c r="P316" s="545">
        <f>SUMIFS(GL_PL!$G:$G,GL_PL!$Q:$Q,'Global TARF'!$A$293,GL_PL!$R:$R,'Global TARF'!$A316,GL_PL!$A:$A,'Global TARF'!P$8)</f>
        <v>0</v>
      </c>
      <c r="Q316" s="184">
        <f>SUMIFS(GL_PL!$G:$G,GL_PL!$Q:$Q,'Global TARF'!$A$293,GL_PL!$R:$R,'Global TARF'!$A316,GL_PL!$A:$A,'Global TARF'!Q$8)</f>
        <v>0</v>
      </c>
      <c r="R316" s="184">
        <f>SUMIFS(GL_PL!$G:$G,GL_PL!$Q:$Q,'Global TARF'!$A$293,GL_PL!$R:$R,'Global TARF'!$A316,GL_PL!$A:$A,'Global TARF'!R$8)</f>
        <v>0</v>
      </c>
      <c r="S316" s="536">
        <f>SUMIFS(GL_PL!$G:$G,GL_PL!$Q:$Q,'Global TARF'!$A$293,GL_PL!$R:$R,'Global TARF'!$A316,GL_PL!$A:$A,'Global TARF'!S$8)</f>
        <v>0</v>
      </c>
      <c r="T316"/>
      <c r="V316" s="26"/>
      <c r="W316" s="26">
        <f>-H316-C316</f>
        <v>1757.8774414187997</v>
      </c>
      <c r="Z316" s="582">
        <f t="shared" si="153"/>
        <v>0</v>
      </c>
    </row>
    <row r="317" spans="1:26" x14ac:dyDescent="0.2">
      <c r="A317" s="534" t="s">
        <v>795</v>
      </c>
      <c r="B317" s="184">
        <f>SUMIFS(GL_BS!$G:$G,GL_BS!$R:$R,'Global TARF'!$A$293,GL_BS!$S:$S,'Global TARF'!$A317,GL_BS!$A:$A,'Global TARF'!B$38)</f>
        <v>0</v>
      </c>
      <c r="C317" s="184">
        <f>SUMIFS(GL_BS!$G:$G,GL_BS!$R:$R,'Global TARF'!$A$293,GL_BS!$S:$S,'Global TARF'!$A317,GL_BS!$A:$A,'Global TARF'!C$8)</f>
        <v>0</v>
      </c>
      <c r="D317" s="184">
        <f>SUMIFS(GL_BS!$G:$G,GL_BS!$R:$R,'Global TARF'!$A$293,GL_BS!$S:$S,'Global TARF'!$A317,GL_BS!$A:$A,'Global TARF'!D$8)</f>
        <v>0</v>
      </c>
      <c r="E317" s="184">
        <f>SUMIFS(GL_BS!$G:$G,GL_BS!$R:$R,'Global TARF'!$A$293,GL_BS!$S:$S,'Global TARF'!$A317,GL_BS!$A:$A,'Global TARF'!E$8)</f>
        <v>0</v>
      </c>
      <c r="F317" s="184">
        <f>SUMIFS(GL_BS!$G:$G,GL_BS!$R:$R,'Global TARF'!$A$293,GL_BS!$S:$S,'Global TARF'!$A317,GL_BS!$A:$A,'Global TARF'!F$8)</f>
        <v>0</v>
      </c>
      <c r="G317" s="536">
        <f>SUMIFS(GL_BS!$G:$G,GL_BS!$R:$R,'Global TARF'!$A$293,GL_BS!$S:$S,'Global TARF'!$A317,GL_BS!$A:$A,'Global TARF'!G$8)</f>
        <v>0</v>
      </c>
      <c r="H317" s="545">
        <f>SUMIFS(GL_BS!$G:$G,GL_BS!$R:$R,'Global TARF'!$A$293,GL_BS!$S:$S,'Global TARF'!$A317,GL_BS!$A:$A,'Global TARF'!H$8)</f>
        <v>0</v>
      </c>
      <c r="I317" s="184">
        <f>SUMIFS(GL_BS!$G:$G,GL_BS!$R:$R,'Global TARF'!$A$293,GL_BS!$S:$S,'Global TARF'!$A317,GL_BS!$A:$A,'Global TARF'!I$8)</f>
        <v>0</v>
      </c>
      <c r="J317" s="184">
        <f>SUMIFS(GL_BS!$G:$G,GL_BS!$R:$R,'Global TARF'!$A$293,GL_BS!$S:$S,'Global TARF'!$A317,GL_BS!$A:$A,'Global TARF'!J$8)</f>
        <v>0</v>
      </c>
      <c r="K317" s="184">
        <f>SUMIFS(GL_BS!$G:$G,GL_BS!$R:$R,'Global TARF'!$A$293,GL_BS!$S:$S,'Global TARF'!$A317,GL_BS!$A:$A,'Global TARF'!K$8)</f>
        <v>0</v>
      </c>
      <c r="L317" s="184">
        <f>SUMIFS(GL_BS!$G:$G,GL_BS!$R:$R,'Global TARF'!$A$293,GL_BS!$S:$S,'Global TARF'!$A317,GL_BS!$A:$A,'Global TARF'!L$8)</f>
        <v>0</v>
      </c>
      <c r="M317" s="536">
        <f>SUMIFS(GL_BS!$G:$G,GL_BS!$R:$R,'Global TARF'!$A$293,GL_BS!$S:$S,'Global TARF'!$A317,GL_BS!$A:$A,'Global TARF'!M$8)</f>
        <v>0</v>
      </c>
      <c r="N317" s="555">
        <f>SUMIFS(GL_BS!$G:$G,GL_BS!$R:$R,'Global TARF'!$A$293,GL_BS!$S:$S,'Global TARF'!$A317,GL_BS!$A:$A,'Global TARF'!N$8)</f>
        <v>0</v>
      </c>
      <c r="O317" s="18">
        <f>SUMIFS(GL_BS!$G:$G,GL_BS!$R:$R,'Global TARF'!$A$293,GL_BS!$S:$S,'Global TARF'!$A317,GL_BS!$A:$A,'Global TARF'!O$8)</f>
        <v>0</v>
      </c>
      <c r="P317" s="545">
        <f>SUMIFS(GL_PL!$G:$G,GL_PL!$Q:$Q,'Global TARF'!$A$293,GL_PL!$R:$R,'Global TARF'!$A317,GL_PL!$A:$A,'Global TARF'!P$8)</f>
        <v>0</v>
      </c>
      <c r="Q317" s="184">
        <f>SUMIFS(GL_PL!$G:$G,GL_PL!$Q:$Q,'Global TARF'!$A$293,GL_PL!$R:$R,'Global TARF'!$A317,GL_PL!$A:$A,'Global TARF'!Q$8)</f>
        <v>0</v>
      </c>
      <c r="R317" s="184">
        <f>SUMIFS(GL_PL!$G:$G,GL_PL!$Q:$Q,'Global TARF'!$A$293,GL_PL!$R:$R,'Global TARF'!$A317,GL_PL!$A:$A,'Global TARF'!R$8)</f>
        <v>0</v>
      </c>
      <c r="S317" s="536">
        <f>SUMIFS(GL_PL!$G:$G,GL_PL!$Q:$Q,'Global TARF'!$A$293,GL_PL!$R:$R,'Global TARF'!$A317,GL_PL!$A:$A,'Global TARF'!S$8)</f>
        <v>0</v>
      </c>
      <c r="T317" s="26">
        <f>-SUM(P317:R317)</f>
        <v>0</v>
      </c>
      <c r="U317" s="26"/>
      <c r="Z317" s="582">
        <f t="shared" si="153"/>
        <v>0</v>
      </c>
    </row>
    <row r="318" spans="1:26" ht="10.5" thickBot="1" x14ac:dyDescent="0.25">
      <c r="A318" s="534" t="s">
        <v>793</v>
      </c>
      <c r="B318" s="184">
        <f>SUMIFS(GL_BS!$G:$G,GL_BS!$R:$R,'Global TARF'!$A$293,GL_BS!$S:$S,'Global TARF'!$A318,GL_BS!$A:$A,'Global TARF'!B$38)</f>
        <v>0</v>
      </c>
      <c r="C318" s="184">
        <f>SUMIFS(GL_BS!$G:$G,GL_BS!$R:$R,'Global TARF'!$A$293,GL_BS!$S:$S,'Global TARF'!$A318,GL_BS!$A:$A,'Global TARF'!C$8)</f>
        <v>0</v>
      </c>
      <c r="D318" s="184">
        <f>SUMIFS(GL_BS!$G:$G,GL_BS!$R:$R,'Global TARF'!$A$293,GL_BS!$S:$S,'Global TARF'!$A318,GL_BS!$A:$A,'Global TARF'!D$8)</f>
        <v>0</v>
      </c>
      <c r="E318" s="184">
        <f>SUMIFS(GL_BS!$G:$G,GL_BS!$R:$R,'Global TARF'!$A$293,GL_BS!$S:$S,'Global TARF'!$A318,GL_BS!$A:$A,'Global TARF'!E$8)</f>
        <v>0</v>
      </c>
      <c r="F318" s="184">
        <f>SUMIFS(GL_BS!$G:$G,GL_BS!$R:$R,'Global TARF'!$A$293,GL_BS!$S:$S,'Global TARF'!$A318,GL_BS!$A:$A,'Global TARF'!F$8)</f>
        <v>0</v>
      </c>
      <c r="G318" s="536">
        <f>SUMIFS(GL_BS!$G:$G,GL_BS!$R:$R,'Global TARF'!$A$293,GL_BS!$S:$S,'Global TARF'!$A318,GL_BS!$A:$A,'Global TARF'!G$8)</f>
        <v>0</v>
      </c>
      <c r="H318" s="545">
        <f>SUMIFS(GL_BS!$G:$G,GL_BS!$R:$R,'Global TARF'!$A$293,GL_BS!$S:$S,'Global TARF'!$A318,GL_BS!$A:$A,'Global TARF'!H$8)</f>
        <v>0</v>
      </c>
      <c r="I318" s="184">
        <f>SUMIFS(GL_BS!$G:$G,GL_BS!$R:$R,'Global TARF'!$A$293,GL_BS!$S:$S,'Global TARF'!$A318,GL_BS!$A:$A,'Global TARF'!I$8)</f>
        <v>0</v>
      </c>
      <c r="J318" s="184">
        <f>SUMIFS(GL_BS!$G:$G,GL_BS!$R:$R,'Global TARF'!$A$293,GL_BS!$S:$S,'Global TARF'!$A318,GL_BS!$A:$A,'Global TARF'!J$8)</f>
        <v>0</v>
      </c>
      <c r="K318" s="184">
        <f>SUMIFS(GL_BS!$G:$G,GL_BS!$R:$R,'Global TARF'!$A$293,GL_BS!$S:$S,'Global TARF'!$A318,GL_BS!$A:$A,'Global TARF'!K$8)</f>
        <v>0</v>
      </c>
      <c r="L318" s="184">
        <f>SUMIFS(GL_BS!$G:$G,GL_BS!$R:$R,'Global TARF'!$A$293,GL_BS!$S:$S,'Global TARF'!$A318,GL_BS!$A:$A,'Global TARF'!L$8)</f>
        <v>0</v>
      </c>
      <c r="M318" s="536">
        <f>SUMIFS(GL_BS!$G:$G,GL_BS!$R:$R,'Global TARF'!$A$293,GL_BS!$S:$S,'Global TARF'!$A318,GL_BS!$A:$A,'Global TARF'!M$8)</f>
        <v>0</v>
      </c>
      <c r="N318" s="555">
        <f>SUMIFS(GL_BS!$G:$G,GL_BS!$R:$R,'Global TARF'!$A$293,GL_BS!$S:$S,'Global TARF'!$A318,GL_BS!$A:$A,'Global TARF'!N$8)</f>
        <v>0</v>
      </c>
      <c r="O318" s="18">
        <f>SUMIFS(GL_BS!$G:$G,GL_BS!$R:$R,'Global TARF'!$A$293,GL_BS!$S:$S,'Global TARF'!$A318,GL_BS!$A:$A,'Global TARF'!O$8)</f>
        <v>0</v>
      </c>
      <c r="P318" s="545">
        <f>SUMIFS(GL_PL!$G:$G,GL_PL!$Q:$Q,'Global TARF'!$A$293,GL_PL!$R:$R,'Global TARF'!$A318,GL_PL!$A:$A,'Global TARF'!P$8)</f>
        <v>0</v>
      </c>
      <c r="Q318" s="184">
        <f>SUMIFS(GL_PL!$G:$G,GL_PL!$Q:$Q,'Global TARF'!$A$293,GL_PL!$R:$R,'Global TARF'!$A318,GL_PL!$A:$A,'Global TARF'!Q$8)</f>
        <v>0</v>
      </c>
      <c r="R318" s="184">
        <f>SUMIFS(GL_PL!$G:$G,GL_PL!$Q:$Q,'Global TARF'!$A$293,GL_PL!$R:$R,'Global TARF'!$A318,GL_PL!$A:$A,'Global TARF'!R$8)</f>
        <v>0</v>
      </c>
      <c r="S318" s="536">
        <f>SUMIFS(GL_PL!$G:$G,GL_PL!$Q:$Q,'Global TARF'!$A$293,GL_PL!$R:$R,'Global TARF'!$A318,GL_PL!$A:$A,'Global TARF'!S$8)</f>
        <v>0</v>
      </c>
      <c r="T318"/>
      <c r="V318" s="26">
        <f>-H318</f>
        <v>0</v>
      </c>
      <c r="Z318" s="582">
        <f t="shared" si="153"/>
        <v>0</v>
      </c>
    </row>
    <row r="319" spans="1:26" s="23" customFormat="1" ht="10.5" thickBot="1" x14ac:dyDescent="0.25">
      <c r="A319" s="563" t="str">
        <f>$A$34</f>
        <v>Balance as of 06/31/2024</v>
      </c>
      <c r="B319" s="564">
        <f>SUM(B295:B318)</f>
        <v>0</v>
      </c>
      <c r="C319" s="564">
        <f>SUM(C295:C318)</f>
        <v>45272.245704919995</v>
      </c>
      <c r="D319" s="564">
        <f>SUM(D295:D318)</f>
        <v>0</v>
      </c>
      <c r="E319" s="564">
        <f t="shared" ref="E319:T319" si="154">SUM(E295:E318)</f>
        <v>0</v>
      </c>
      <c r="F319" s="564"/>
      <c r="G319" s="566">
        <f t="shared" si="154"/>
        <v>0</v>
      </c>
      <c r="H319" s="565">
        <f t="shared" si="154"/>
        <v>-11643.162524455789</v>
      </c>
      <c r="I319" s="565">
        <f t="shared" si="154"/>
        <v>0</v>
      </c>
      <c r="J319" s="565">
        <f t="shared" si="154"/>
        <v>0</v>
      </c>
      <c r="K319" s="565">
        <f t="shared" si="154"/>
        <v>0</v>
      </c>
      <c r="L319" s="564">
        <f t="shared" si="154"/>
        <v>0</v>
      </c>
      <c r="M319" s="566">
        <f t="shared" si="154"/>
        <v>0</v>
      </c>
      <c r="N319" s="567">
        <f t="shared" si="154"/>
        <v>486.02</v>
      </c>
      <c r="O319" s="564">
        <f t="shared" si="154"/>
        <v>0</v>
      </c>
      <c r="P319" s="565">
        <f t="shared" si="154"/>
        <v>0</v>
      </c>
      <c r="Q319" s="564">
        <f t="shared" si="154"/>
        <v>0</v>
      </c>
      <c r="R319" s="564">
        <f t="shared" si="154"/>
        <v>16519.797730362581</v>
      </c>
      <c r="S319" s="566">
        <f t="shared" ref="S319" si="155">SUM(S295:S318)</f>
        <v>0</v>
      </c>
      <c r="T319" s="564">
        <f t="shared" si="154"/>
        <v>-32110.348620682809</v>
      </c>
      <c r="U319" s="564"/>
      <c r="V319" s="564"/>
      <c r="W319" s="566"/>
      <c r="X319" s="27"/>
      <c r="Z319" s="583"/>
    </row>
    <row r="320" spans="1:26" x14ac:dyDescent="0.2">
      <c r="A320" s="534"/>
      <c r="B320" s="186">
        <f>IFERROR(INDEX('BS_Q2 24'!$A$9:$O$279,MATCH('Global TARF'!B$8,'BS_Q2 24'!$A$9:$A$279,0),MATCH($A$293,'BS_Q2 24'!$A$8:$O$8)),0)</f>
        <v>0</v>
      </c>
      <c r="C320" s="186">
        <f>IFERROR(INDEX('BS_Q2 24'!$A$9:$O$279,MATCH('Global TARF'!C$8,'BS_Q2 24'!$A$9:$A$279,0),MATCH($A$293,'BS_Q2 24'!$A$8:$O$8)),0)</f>
        <v>45272.246945327999</v>
      </c>
      <c r="D320" s="186">
        <f>IFERROR(INDEX('BS_Q2 24'!$A$9:$O$279,MATCH('Global TARF'!D$8,'BS_Q2 24'!$A$9:$A$279,0),MATCH($A$293,'BS_Q2 24'!$A$8:$O$8)),0)</f>
        <v>0</v>
      </c>
      <c r="E320" s="186">
        <f>IFERROR(INDEX('BS_Q2 24'!$A$9:$O$279,MATCH('Global TARF'!E$8,'BS_Q2 24'!$A$9:$A$279,0),MATCH($A$293,'BS_Q2 24'!$A$8:$O$8)),0)</f>
        <v>0</v>
      </c>
      <c r="F320" s="186">
        <f>IFERROR(INDEX('BS_Q2 24'!$A$9:$O$279,MATCH('Global TARF'!F$8,'BS_Q2 24'!$A$9:$A$279,0),MATCH($A$293,'BS_Q2 24'!$A$8:$O$8)),0)</f>
        <v>0</v>
      </c>
      <c r="G320" s="186">
        <f>IFERROR(INDEX('BS_Q2 24'!$A$9:$O$279,MATCH('Global TARF'!G$8,'BS_Q2 24'!$A$9:$A$279,0),MATCH($A$293,'BS_Q2 24'!$A$8:$O$8)),0)</f>
        <v>0</v>
      </c>
      <c r="H320" s="546">
        <f>-IFERROR(INDEX('BS_Q2 24'!$A$9:$O$279,MATCH('Global TARF'!H$8,'BS_Q2 24'!$A$9:$A$279,0),MATCH($A$293,'BS_Q2 24'!$A$8:$O$8)),0)</f>
        <v>-11643.157855227601</v>
      </c>
      <c r="I320" s="546">
        <f>-IFERROR(INDEX('BS_Q2 24'!$A$9:$O$279,MATCH('Global TARF'!I$8,'BS_Q2 24'!$A$9:$A$279,0),MATCH($A$293,'BS_Q2 24'!$A$8:$O$8)),0)</f>
        <v>0</v>
      </c>
      <c r="J320" s="546">
        <f>-IFERROR(INDEX('BS_Q2 24'!$A$9:$O$279,MATCH('Global TARF'!J$8,'BS_Q2 24'!$A$9:$A$279,0),MATCH($A$293,'BS_Q2 24'!$A$8:$O$8)),0)</f>
        <v>0</v>
      </c>
      <c r="K320" s="546">
        <f>-IFERROR(INDEX('BS_Q2 24'!$A$9:$O$279,MATCH('Global TARF'!K$8,'BS_Q2 24'!$A$9:$A$279,0),MATCH($A$293,'BS_Q2 24'!$A$8:$O$8)),0)</f>
        <v>0</v>
      </c>
      <c r="L320" s="546">
        <f>-IFERROR(INDEX('BS_Q2 24'!$A$9:$O$279,MATCH('Global TARF'!L$8,'BS_Q2 24'!$A$9:$A$279,0),MATCH($A$293,'BS_Q2 24'!$A$8:$O$8)),0)</f>
        <v>0</v>
      </c>
      <c r="M320" s="546">
        <f>-IFERROR(INDEX('BS_Q2 24'!$A$9:$O$279,MATCH('Global TARF'!M$8,'BS_Q2 24'!$A$9:$A$279,0),MATCH($A$293,'BS_Q2 24'!$A$8:$O$8)),0)</f>
        <v>0</v>
      </c>
      <c r="N320" s="554" t="e">
        <f>-INDEX('BS_Q2 24'!$A$9:$O$118,MATCH('Global TARF'!N$8,'BS_Q2 24'!$A$9:$A$118,0),MATCH($A$101,'BS_Q2 24'!$A$8:$O$8))</f>
        <v>#N/A</v>
      </c>
      <c r="O320" s="24" t="e">
        <f>-INDEX('BS_Q2 24'!$A$9:$O$118,MATCH('Global TARF'!O$8,'BS_Q2 24'!$A$9:$A$118,0),MATCH($A$101,'BS_Q2 24'!$A$8:$O$8))</f>
        <v>#N/A</v>
      </c>
      <c r="P320" s="546">
        <f>-IFERROR(INDEX('IS_Q2 24'!$A$7:$O$700,MATCH('Global TARF'!P$8,'IS_Q2 24'!$A$7:$A$700,0),MATCH($A$293,'IS_Q2 24'!$A$8:$O$8)),0)</f>
        <v>0</v>
      </c>
      <c r="Q320" s="546">
        <f>-IFERROR(INDEX('IS_Q2 24'!$A$7:$O$700,MATCH('Global TARF'!Q$8,'IS_Q2 24'!$A$7:$A$700,0),MATCH($A$293,'IS_Q2 24'!$A$8:$O$8)),0)</f>
        <v>0</v>
      </c>
      <c r="R320" s="546">
        <f>-IFERROR(INDEX('IS_Q2 24'!$A$7:$O$700,MATCH('Global TARF'!R$8,'IS_Q2 24'!$A$7:$A$700,0),MATCH($A$293,'IS_Q2 24'!$A$8:$O$8)),0)</f>
        <v>16519.797730362585</v>
      </c>
      <c r="S320" s="546">
        <f>-IFERROR(INDEX('IS_Q2 24'!$A$7:$O$700,MATCH('Global TARF'!S$8,'IS_Q2 24'!$A$7:$A$700,0),MATCH($A$293,'IS_Q2 24'!$A$8:$O$8)),0)</f>
        <v>0</v>
      </c>
      <c r="T320"/>
      <c r="Z320" s="580"/>
    </row>
    <row r="321" spans="1:26" x14ac:dyDescent="0.2">
      <c r="A321" s="534"/>
      <c r="B321" t="b">
        <f t="shared" ref="B321:V321" si="156">ROUND(B319,0)=ROUND(B320,0)</f>
        <v>1</v>
      </c>
      <c r="C321" t="b">
        <f t="shared" si="156"/>
        <v>1</v>
      </c>
      <c r="D321" t="b">
        <f t="shared" ref="D321" si="157">ROUND(D319,0)=ROUND(D320,0)</f>
        <v>1</v>
      </c>
      <c r="E321" t="b">
        <f t="shared" si="156"/>
        <v>1</v>
      </c>
      <c r="F321" t="b">
        <f t="shared" si="156"/>
        <v>1</v>
      </c>
      <c r="G321" s="535" t="b">
        <f t="shared" si="156"/>
        <v>1</v>
      </c>
      <c r="H321" s="534" t="b">
        <f t="shared" si="156"/>
        <v>1</v>
      </c>
      <c r="I321" s="534" t="b">
        <f t="shared" si="156"/>
        <v>1</v>
      </c>
      <c r="J321" s="534" t="b">
        <f t="shared" si="156"/>
        <v>1</v>
      </c>
      <c r="K321" s="534" t="b">
        <f t="shared" si="156"/>
        <v>1</v>
      </c>
      <c r="L321" t="b">
        <f t="shared" si="156"/>
        <v>1</v>
      </c>
      <c r="M321" s="535" t="b">
        <f t="shared" si="156"/>
        <v>1</v>
      </c>
      <c r="N321" s="552" t="e">
        <f t="shared" si="156"/>
        <v>#N/A</v>
      </c>
      <c r="O321" t="e">
        <f t="shared" si="156"/>
        <v>#N/A</v>
      </c>
      <c r="P321" s="534" t="b">
        <f t="shared" si="156"/>
        <v>1</v>
      </c>
      <c r="Q321" t="b">
        <f t="shared" si="156"/>
        <v>1</v>
      </c>
      <c r="R321" t="b">
        <f t="shared" si="156"/>
        <v>1</v>
      </c>
      <c r="S321" s="535" t="b">
        <f t="shared" ref="S321" si="158">ROUND(S319,0)=ROUND(S320,0)</f>
        <v>1</v>
      </c>
      <c r="T321"/>
      <c r="V321" t="b">
        <f t="shared" si="156"/>
        <v>1</v>
      </c>
      <c r="Z321" s="580"/>
    </row>
    <row r="322" spans="1:26" x14ac:dyDescent="0.2">
      <c r="A322" s="534"/>
      <c r="C322" s="26">
        <f>C319-C320</f>
        <v>-1.2404080043779686E-3</v>
      </c>
      <c r="G322" s="535"/>
      <c r="H322" s="537">
        <f>H319-H320</f>
        <v>-4.6692281885043485E-3</v>
      </c>
      <c r="I322" s="26"/>
      <c r="J322" s="26"/>
      <c r="K322" s="26"/>
      <c r="M322" s="535"/>
      <c r="N322" s="552"/>
      <c r="P322" s="534"/>
      <c r="S322" s="535"/>
      <c r="T322"/>
      <c r="Z322" s="580"/>
    </row>
    <row r="323" spans="1:26" x14ac:dyDescent="0.2">
      <c r="A323" s="534"/>
      <c r="G323" s="535"/>
      <c r="H323" s="534"/>
      <c r="M323" s="535"/>
      <c r="N323" s="552"/>
      <c r="P323" s="534"/>
      <c r="S323" s="535"/>
      <c r="T323"/>
      <c r="Z323" s="580"/>
    </row>
    <row r="324" spans="1:26" x14ac:dyDescent="0.2">
      <c r="A324" s="534"/>
      <c r="G324" s="535"/>
      <c r="H324" s="534"/>
      <c r="M324" s="535"/>
      <c r="N324" s="552"/>
      <c r="P324" s="534"/>
      <c r="S324" s="535"/>
      <c r="T324"/>
      <c r="Z324" s="580"/>
    </row>
    <row r="325" spans="1:26" s="17" customFormat="1" ht="10.5" x14ac:dyDescent="0.25">
      <c r="A325" s="562">
        <v>209</v>
      </c>
      <c r="B325" s="558" t="s">
        <v>342</v>
      </c>
      <c r="C325" s="558" t="s">
        <v>220</v>
      </c>
      <c r="D325" s="558" t="str">
        <f>$D$8</f>
        <v>145700 - Income tax receivable - Long Term</v>
      </c>
      <c r="E325" s="558" t="s">
        <v>378</v>
      </c>
      <c r="F325" s="558" t="s">
        <v>427</v>
      </c>
      <c r="G325" s="559" t="s">
        <v>415</v>
      </c>
      <c r="H325" s="558" t="s">
        <v>240</v>
      </c>
      <c r="I325" s="558" t="s">
        <v>467</v>
      </c>
      <c r="J325" s="558" t="s">
        <v>4397</v>
      </c>
      <c r="K325" s="558" t="s">
        <v>4396</v>
      </c>
      <c r="L325" s="559" t="s">
        <v>502</v>
      </c>
      <c r="M325" s="559" t="s">
        <v>503</v>
      </c>
      <c r="N325" s="560" t="s">
        <v>877</v>
      </c>
      <c r="O325" s="561"/>
      <c r="P325" s="558" t="s">
        <v>20</v>
      </c>
      <c r="Q325" s="561" t="s">
        <v>57</v>
      </c>
      <c r="R325" s="561" t="s">
        <v>183</v>
      </c>
      <c r="S325" s="561" t="s">
        <v>3623</v>
      </c>
      <c r="T325" s="561" t="s">
        <v>4268</v>
      </c>
      <c r="U325" s="561" t="s">
        <v>4269</v>
      </c>
      <c r="V325" s="561" t="s">
        <v>794</v>
      </c>
      <c r="W325" s="561" t="s">
        <v>793</v>
      </c>
      <c r="Z325" s="579"/>
    </row>
    <row r="326" spans="1:26" ht="11" thickBot="1" x14ac:dyDescent="0.3">
      <c r="A326" s="538" t="s">
        <v>815</v>
      </c>
      <c r="G326" s="535"/>
      <c r="H326" s="534"/>
      <c r="M326" s="535"/>
      <c r="N326" s="550"/>
      <c r="P326" s="534"/>
      <c r="S326" s="535"/>
      <c r="T326"/>
      <c r="Z326" s="580"/>
    </row>
    <row r="327" spans="1:26" s="23" customFormat="1" ht="10.5" thickBot="1" x14ac:dyDescent="0.25">
      <c r="A327" s="563" t="str">
        <f>A10</f>
        <v>Balance as of 12/31/2023</v>
      </c>
      <c r="B327" s="564">
        <f>IFERROR(INDEX(BS_2023!$A$8:$O$271,MATCH('Global TARF'!B$8,BS_2023!$A$8:$A$271,0),MATCH($A$325,BS_2023!$A$7:$O$7)),0)</f>
        <v>0</v>
      </c>
      <c r="C327" s="564">
        <f>IFERROR(INDEX(BS_2023!$A$8:$O$271,MATCH('Global TARF'!C$8,BS_2023!$A$8:$A$271,0),MATCH($A$325,BS_2023!$A$7:$O$7)),0)</f>
        <v>0</v>
      </c>
      <c r="D327" s="564">
        <f>IFERROR(INDEX(BS_2023!$A$8:$O$271,MATCH('Global TARF'!D$8,BS_2023!$A$8:$A$271,0),MATCH($A$325,BS_2023!$A$7:$O$7)),0)</f>
        <v>0</v>
      </c>
      <c r="E327" s="564">
        <f>IFERROR(INDEX(BS_2023!$A$8:$O$271,MATCH('Global TARF'!E$8,BS_2023!$A$8:$A$271,0),MATCH($A$325,BS_2023!$A$7:$O$7)),0)</f>
        <v>0</v>
      </c>
      <c r="F327" s="564">
        <f>IFERROR(INDEX(BS_2023!$A$8:$O$271,MATCH('Global TARF'!F$8,BS_2023!$A$8:$A$271,0),MATCH($A$325,BS_2023!$A$7:$O$7)),0)</f>
        <v>0</v>
      </c>
      <c r="G327" s="564">
        <f>IFERROR(INDEX(BS_2023!$A$8:$O$271,MATCH('Global TARF'!G$8,BS_2023!$A$8:$A$271,0),MATCH($A$325,BS_2023!$A$7:$O$7)),0)</f>
        <v>0</v>
      </c>
      <c r="H327" s="565">
        <f>-IFERROR(INDEX(BS_2023!$A$8:$O$271,MATCH('Global TARF'!H$8,BS_2023!$A$8:$A$271,0),MATCH($A$325,BS_2023!$A$7:$O$7)),0)</f>
        <v>0</v>
      </c>
      <c r="I327" s="565">
        <f>-IFERROR(INDEX(BS_2023!$A$8:$O$271,MATCH('Global TARF'!I$8,BS_2023!$A$8:$A$271,0),MATCH($A$325,BS_2023!$A$7:$O$7)),0)</f>
        <v>0</v>
      </c>
      <c r="J327" s="565">
        <f>-IFERROR(INDEX(BS_2023!$A$8:$O$271,MATCH('Global TARF'!J$8,BS_2023!$A$8:$A$271,0),MATCH($A$325,BS_2023!$A$7:$O$7)),0)</f>
        <v>0</v>
      </c>
      <c r="K327" s="565">
        <f>-IFERROR(INDEX(BS_2023!$A$8:$O$271,MATCH('Global TARF'!K$8,BS_2023!$A$8:$A$271,0),MATCH($A$325,BS_2023!$A$7:$O$7)),0)</f>
        <v>0</v>
      </c>
      <c r="L327" s="565">
        <f>-IFERROR(INDEX(BS_2023!$A$8:$O$271,MATCH('Global TARF'!L$8,BS_2023!$A$8:$A$271,0),MATCH($A$325,BS_2023!$A$7:$O$7)),0)</f>
        <v>0</v>
      </c>
      <c r="M327" s="565">
        <f>-IFERROR(INDEX(BS_2023!$A$8:$O$271,MATCH('Global TARF'!M$8,BS_2023!$A$8:$A$271,0),MATCH($A$325,BS_2023!$A$7:$O$7)),0)</f>
        <v>0</v>
      </c>
      <c r="N327" s="567" t="e">
        <f>INDEX(BS_2023!$A$8:$O$245,MATCH('Global TARF'!N$8,BS_2023!$A$8:$A$245,0),MATCH($A$325,BS_2023!$A$7:$O$7))</f>
        <v>#N/A</v>
      </c>
      <c r="O327" s="564" t="e">
        <f>INDEX(BS_2023!$A$8:$O$245,MATCH('Global TARF'!O$8,BS_2023!$A$8:$A$245,0),MATCH($A$325,BS_2023!$A$7:$O$7))</f>
        <v>#N/A</v>
      </c>
      <c r="P327" s="563"/>
      <c r="Q327" s="574"/>
      <c r="R327" s="574"/>
      <c r="S327" s="575"/>
      <c r="T327" s="574"/>
      <c r="U327" s="574"/>
      <c r="V327" s="574"/>
      <c r="W327" s="575"/>
      <c r="Z327" s="583"/>
    </row>
    <row r="328" spans="1:26" x14ac:dyDescent="0.2">
      <c r="A328" s="534" t="s">
        <v>798</v>
      </c>
      <c r="G328" s="535"/>
      <c r="H328" s="534"/>
      <c r="M328" s="535"/>
      <c r="N328" s="553">
        <f>-SUM(H328,G328,C328,E328,M328,L328,F328,B328,D328)</f>
        <v>0</v>
      </c>
      <c r="P328" s="534"/>
      <c r="S328" s="535"/>
      <c r="T328"/>
      <c r="Z328" s="580"/>
    </row>
    <row r="329" spans="1:26" x14ac:dyDescent="0.2">
      <c r="A329" s="534"/>
      <c r="G329" s="535"/>
      <c r="H329" s="534"/>
      <c r="M329" s="535"/>
      <c r="N329" s="552"/>
      <c r="P329" s="534"/>
      <c r="S329" s="535"/>
      <c r="T329"/>
      <c r="Z329" s="580"/>
    </row>
    <row r="330" spans="1:26" x14ac:dyDescent="0.2">
      <c r="A330" s="534"/>
      <c r="B330" s="184">
        <f>SUMIFS(GL_BS!$G:$G,GL_BS!$R:$R,'Global TARF'!$A$325,GL_BS!$S:$S,'Global TARF'!$A330,GL_BS!$A:$A,'Global TARF'!B$38)</f>
        <v>0</v>
      </c>
      <c r="C330" s="184">
        <f>SUMIFS(GL_BS!$G:$G,GL_BS!$R:$R,'Global TARF'!$A$325,GL_BS!$S:$S,'Global TARF'!$A330,GL_BS!$A:$A,'Global TARF'!C$8)</f>
        <v>0</v>
      </c>
      <c r="D330" s="184">
        <f>SUMIFS(GL_BS!$G:$G,GL_BS!$R:$R,'Global TARF'!$A$325,GL_BS!$S:$S,'Global TARF'!$A330,GL_BS!$A:$A,'Global TARF'!D$8)</f>
        <v>0</v>
      </c>
      <c r="E330" s="184">
        <f>SUMIFS(GL_BS!$G:$G,GL_BS!$R:$R,'Global TARF'!$A$325,GL_BS!$S:$S,'Global TARF'!$A330,GL_BS!$A:$A,'Global TARF'!E$8)</f>
        <v>0</v>
      </c>
      <c r="F330" s="184"/>
      <c r="G330" s="536">
        <f>SUMIFS(GL_BS!$G:$G,GL_BS!$R:$R,'Global TARF'!$A$325,GL_BS!$S:$S,'Global TARF'!$A330,GL_BS!$A:$A,'Global TARF'!G$8)</f>
        <v>0</v>
      </c>
      <c r="H330" s="545">
        <f>SUMIFS(GL_BS!$G:$G,GL_BS!$R:$R,'Global TARF'!$A$325,GL_BS!$S:$S,'Global TARF'!$A330,GL_BS!$A:$A,'Global TARF'!H$8)</f>
        <v>0</v>
      </c>
      <c r="I330" s="184"/>
      <c r="J330" s="184"/>
      <c r="K330" s="184"/>
      <c r="L330" s="184">
        <f>SUMIFS(GL_BS!$G:$G,GL_BS!$R:$R,'Global TARF'!$A$325,GL_BS!$S:$S,'Global TARF'!$A330,GL_BS!$A:$A,'Global TARF'!L$8)</f>
        <v>0</v>
      </c>
      <c r="M330" s="536">
        <f>SUMIFS(GL_BS!$G:$G,GL_BS!$R:$R,'Global TARF'!$A$325,GL_BS!$S:$S,'Global TARF'!$A330,GL_BS!$A:$A,'Global TARF'!M$8)</f>
        <v>0</v>
      </c>
      <c r="N330" s="555">
        <f>SUMIFS(GL_BS!$G:$G,GL_BS!$R:$R,'Global TARF'!$A$325,GL_BS!$S:$S,'Global TARF'!$A330,GL_BS!$A:$A,'Global TARF'!N$8)</f>
        <v>0</v>
      </c>
      <c r="O330" s="18">
        <f>SUMIFS(GL_BS!$G:$G,GL_BS!$R:$R,'Global TARF'!$A$325,GL_BS!$S:$S,'Global TARF'!$A330,GL_BS!$A:$A,'Global TARF'!O$8)</f>
        <v>0</v>
      </c>
      <c r="P330" s="545">
        <f>SUMIFS(GL_PL!$G:$G,GL_PL!$Q:$Q,'Global TARF'!$A$325,GL_PL!$R:$R,'Global TARF'!$A330,GL_PL!$A:$A,'Global TARF'!P$8)</f>
        <v>0</v>
      </c>
      <c r="Q330" s="184">
        <f>SUMIFS(GL_PL!$G:$G,GL_PL!$Q:$Q,'Global TARF'!$A$325,GL_PL!$R:$R,'Global TARF'!$A330,GL_PL!$A:$A,'Global TARF'!Q$8)</f>
        <v>0</v>
      </c>
      <c r="R330" s="184">
        <f>SUMIFS(GL_PL!$G:$G,GL_PL!$Q:$Q,'Global TARF'!$A$325,GL_PL!$R:$R,'Global TARF'!$A330,GL_PL!$A:$A,'Global TARF'!R$8)</f>
        <v>0</v>
      </c>
      <c r="S330" s="536">
        <f>SUMIFS(GL_PL!$G:$G,GL_PL!$Q:$Q,'Global TARF'!$A$325,GL_PL!$R:$R,'Global TARF'!$A330,GL_PL!$A:$A,'Global TARF'!S$8)</f>
        <v>0</v>
      </c>
      <c r="T330" s="26">
        <f>-P330</f>
        <v>0</v>
      </c>
      <c r="U330" s="26"/>
      <c r="Z330" s="582">
        <f t="shared" ref="Z330:Z350" si="159">SUM(B330:Y330)</f>
        <v>0</v>
      </c>
    </row>
    <row r="331" spans="1:26" x14ac:dyDescent="0.2">
      <c r="A331" s="534"/>
      <c r="B331" s="184">
        <f>SUMIFS(GL_BS!$G:$G,GL_BS!$R:$R,'Global TARF'!$A$325,GL_BS!$S:$S,'Global TARF'!$A331,GL_BS!$A:$A,'Global TARF'!B$38)</f>
        <v>0</v>
      </c>
      <c r="C331" s="184">
        <f>SUMIFS(GL_BS!$G:$G,GL_BS!$R:$R,'Global TARF'!$A$325,GL_BS!$S:$S,'Global TARF'!$A331,GL_BS!$A:$A,'Global TARF'!C$8)</f>
        <v>0</v>
      </c>
      <c r="D331" s="184">
        <f>SUMIFS(GL_BS!$G:$G,GL_BS!$R:$R,'Global TARF'!$A$325,GL_BS!$S:$S,'Global TARF'!$A331,GL_BS!$A:$A,'Global TARF'!D$8)</f>
        <v>0</v>
      </c>
      <c r="E331" s="184">
        <f>SUMIFS(GL_BS!$G:$G,GL_BS!$R:$R,'Global TARF'!$A$325,GL_BS!$S:$S,'Global TARF'!$A331,GL_BS!$A:$A,'Global TARF'!E$8)</f>
        <v>0</v>
      </c>
      <c r="F331" s="184"/>
      <c r="G331" s="536">
        <f>SUMIFS(GL_BS!$G:$G,GL_BS!$R:$R,'Global TARF'!$A$325,GL_BS!$S:$S,'Global TARF'!$A331,GL_BS!$A:$A,'Global TARF'!G$8)</f>
        <v>0</v>
      </c>
      <c r="H331" s="545">
        <f>SUMIFS(GL_BS!$G:$G,GL_BS!$R:$R,'Global TARF'!$A$325,GL_BS!$S:$S,'Global TARF'!$A331,GL_BS!$A:$A,'Global TARF'!H$8)</f>
        <v>0</v>
      </c>
      <c r="I331" s="184"/>
      <c r="J331" s="184"/>
      <c r="K331" s="184"/>
      <c r="L331" s="184">
        <f>SUMIFS(GL_BS!$G:$G,GL_BS!$R:$R,'Global TARF'!$A$325,GL_BS!$S:$S,'Global TARF'!$A331,GL_BS!$A:$A,'Global TARF'!L$8)</f>
        <v>0</v>
      </c>
      <c r="M331" s="536">
        <f>SUMIFS(GL_BS!$G:$G,GL_BS!$R:$R,'Global TARF'!$A$325,GL_BS!$S:$S,'Global TARF'!$A331,GL_BS!$A:$A,'Global TARF'!M$8)</f>
        <v>0</v>
      </c>
      <c r="N331" s="555">
        <f>SUMIFS(GL_BS!$G:$G,GL_BS!$R:$R,'Global TARF'!$A$325,GL_BS!$S:$S,'Global TARF'!$A331,GL_BS!$A:$A,'Global TARF'!N$8)</f>
        <v>0</v>
      </c>
      <c r="O331" s="18">
        <f>SUMIFS(GL_BS!$G:$G,GL_BS!$R:$R,'Global TARF'!$A$325,GL_BS!$S:$S,'Global TARF'!$A331,GL_BS!$A:$A,'Global TARF'!O$8)</f>
        <v>0</v>
      </c>
      <c r="P331" s="545">
        <f>SUMIFS(GL_PL!$G:$G,GL_PL!$Q:$Q,'Global TARF'!$A$325,GL_PL!$R:$R,'Global TARF'!$A331,GL_PL!$A:$A,'Global TARF'!P$8)</f>
        <v>0</v>
      </c>
      <c r="Q331" s="184">
        <f>SUMIFS(GL_PL!$G:$G,GL_PL!$Q:$Q,'Global TARF'!$A$325,GL_PL!$R:$R,'Global TARF'!$A331,GL_PL!$A:$A,'Global TARF'!Q$8)</f>
        <v>0</v>
      </c>
      <c r="R331" s="184">
        <f>SUMIFS(GL_PL!$G:$G,GL_PL!$Q:$Q,'Global TARF'!$A$325,GL_PL!$R:$R,'Global TARF'!$A331,GL_PL!$A:$A,'Global TARF'!R$8)</f>
        <v>0</v>
      </c>
      <c r="S331" s="536">
        <f>SUMIFS(GL_PL!$G:$G,GL_PL!$Q:$Q,'Global TARF'!$A$325,GL_PL!$R:$R,'Global TARF'!$A331,GL_PL!$A:$A,'Global TARF'!S$8)</f>
        <v>0</v>
      </c>
      <c r="T331" s="26">
        <f>-SUM(P331,H331,C331,Q331,R331)</f>
        <v>0</v>
      </c>
      <c r="U331" s="26"/>
      <c r="Z331" s="582">
        <f t="shared" si="159"/>
        <v>0</v>
      </c>
    </row>
    <row r="332" spans="1:26" x14ac:dyDescent="0.2">
      <c r="A332" s="534" t="s">
        <v>780</v>
      </c>
      <c r="B332" s="184">
        <f>SUMIFS(GL_BS!$G:$G,GL_BS!$R:$R,'Global TARF'!$A$325,GL_BS!$S:$S,'Global TARF'!$A332,GL_BS!$A:$A,'Global TARF'!B$38)</f>
        <v>0</v>
      </c>
      <c r="C332" s="184">
        <f>SUMIFS(GL_BS!$G:$G,GL_BS!$R:$R,'Global TARF'!$A$325,GL_BS!$S:$S,'Global TARF'!$A332,GL_BS!$A:$A,'Global TARF'!C$8)</f>
        <v>0</v>
      </c>
      <c r="D332" s="184">
        <f>SUMIFS(GL_BS!$G:$G,GL_BS!$R:$R,'Global TARF'!$A$325,GL_BS!$S:$S,'Global TARF'!$A332,GL_BS!$A:$A,'Global TARF'!D$8)</f>
        <v>0</v>
      </c>
      <c r="E332" s="184">
        <f>SUMIFS(GL_BS!$G:$G,GL_BS!$R:$R,'Global TARF'!$A$325,GL_BS!$S:$S,'Global TARF'!$A332,GL_BS!$A:$A,'Global TARF'!E$8)</f>
        <v>0</v>
      </c>
      <c r="F332" s="184">
        <f>SUMIFS(GL_BS!$G:$G,GL_BS!$R:$R,'Global TARF'!$A$325,GL_BS!$S:$S,'Global TARF'!$A332,GL_BS!$A:$A,'Global TARF'!F$8)</f>
        <v>0</v>
      </c>
      <c r="G332" s="536">
        <f>SUMIFS(GL_BS!$G:$G,GL_BS!$R:$R,'Global TARF'!$A$325,GL_BS!$S:$S,'Global TARF'!$A332,GL_BS!$A:$A,'Global TARF'!G$8)</f>
        <v>0</v>
      </c>
      <c r="H332" s="545">
        <f>SUMIFS(GL_BS!$G:$G,GL_BS!$R:$R,'Global TARF'!$A$325,GL_BS!$S:$S,'Global TARF'!$A332,GL_BS!$A:$A,'Global TARF'!H$8)</f>
        <v>0</v>
      </c>
      <c r="I332" s="184">
        <f>SUMIFS(GL_BS!$G:$G,GL_BS!$R:$R,'Global TARF'!$A$325,GL_BS!$S:$S,'Global TARF'!$A332,GL_BS!$A:$A,'Global TARF'!I$8)</f>
        <v>0</v>
      </c>
      <c r="J332" s="184">
        <f>SUMIFS(GL_BS!$G:$G,GL_BS!$R:$R,'Global TARF'!$A$325,GL_BS!$S:$S,'Global TARF'!$A332,GL_BS!$A:$A,'Global TARF'!J$8)</f>
        <v>0</v>
      </c>
      <c r="K332" s="184">
        <f>SUMIFS(GL_BS!$G:$G,GL_BS!$R:$R,'Global TARF'!$A$325,GL_BS!$S:$S,'Global TARF'!$A332,GL_BS!$A:$A,'Global TARF'!K$8)</f>
        <v>0</v>
      </c>
      <c r="L332" s="184">
        <f>SUMIFS(GL_BS!$G:$G,GL_BS!$R:$R,'Global TARF'!$A$325,GL_BS!$S:$S,'Global TARF'!$A332,GL_BS!$A:$A,'Global TARF'!L$8)</f>
        <v>0</v>
      </c>
      <c r="M332" s="536">
        <f>SUMIFS(GL_BS!$G:$G,GL_BS!$R:$R,'Global TARF'!$A$325,GL_BS!$S:$S,'Global TARF'!$A332,GL_BS!$A:$A,'Global TARF'!M$8)</f>
        <v>0</v>
      </c>
      <c r="N332" s="555">
        <f>SUMIFS(GL_BS!$G:$G,GL_BS!$R:$R,'Global TARF'!$A$325,GL_BS!$S:$S,'Global TARF'!$A332,GL_BS!$A:$A,'Global TARF'!N$8)</f>
        <v>0</v>
      </c>
      <c r="O332" s="18">
        <f>SUMIFS(GL_BS!$G:$G,GL_BS!$R:$R,'Global TARF'!$A$325,GL_BS!$S:$S,'Global TARF'!$A332,GL_BS!$A:$A,'Global TARF'!O$8)</f>
        <v>0</v>
      </c>
      <c r="P332" s="545">
        <f>SUMIFS(GL_PL!$G:$G,GL_PL!$Q:$Q,'Global TARF'!$A$325,GL_PL!$R:$R,'Global TARF'!$A332,GL_PL!$A:$A,'Global TARF'!P$8)</f>
        <v>0</v>
      </c>
      <c r="Q332" s="184">
        <f>SUMIFS(GL_PL!$G:$G,GL_PL!$Q:$Q,'Global TARF'!$A$325,GL_PL!$R:$R,'Global TARF'!$A332,GL_PL!$A:$A,'Global TARF'!Q$8)</f>
        <v>0</v>
      </c>
      <c r="R332" s="184">
        <f>SUMIFS(GL_PL!$G:$G,GL_PL!$Q:$Q,'Global TARF'!$A$325,GL_PL!$R:$R,'Global TARF'!$A332,GL_PL!$A:$A,'Global TARF'!R$8)</f>
        <v>0</v>
      </c>
      <c r="S332" s="536">
        <f>SUMIFS(GL_PL!$G:$G,GL_PL!$Q:$Q,'Global TARF'!$A$325,GL_PL!$R:$R,'Global TARF'!$A332,GL_PL!$A:$A,'Global TARF'!S$8)</f>
        <v>0</v>
      </c>
      <c r="T332" s="26">
        <f>-SUM(P332:R332,H332,C332)</f>
        <v>0</v>
      </c>
      <c r="U332" s="26"/>
      <c r="Z332" s="582">
        <f t="shared" si="159"/>
        <v>0</v>
      </c>
    </row>
    <row r="333" spans="1:26" x14ac:dyDescent="0.2">
      <c r="A333" s="534" t="s">
        <v>781</v>
      </c>
      <c r="B333" s="184">
        <f>SUMIFS(GL_BS!$G:$G,GL_BS!$R:$R,'Global TARF'!$A$325,GL_BS!$S:$S,'Global TARF'!$A333,GL_BS!$A:$A,'Global TARF'!B$38)</f>
        <v>0</v>
      </c>
      <c r="C333" s="184">
        <f>SUMIFS(GL_BS!$G:$G,GL_BS!$R:$R,'Global TARF'!$A$325,GL_BS!$S:$S,'Global TARF'!$A333,GL_BS!$A:$A,'Global TARF'!C$8)</f>
        <v>0</v>
      </c>
      <c r="D333" s="184">
        <f>SUMIFS(GL_BS!$G:$G,GL_BS!$R:$R,'Global TARF'!$A$325,GL_BS!$S:$S,'Global TARF'!$A333,GL_BS!$A:$A,'Global TARF'!D$8)</f>
        <v>0</v>
      </c>
      <c r="E333" s="184">
        <f>SUMIFS(GL_BS!$G:$G,GL_BS!$R:$R,'Global TARF'!$A$325,GL_BS!$S:$S,'Global TARF'!$A333,GL_BS!$A:$A,'Global TARF'!E$8)</f>
        <v>0</v>
      </c>
      <c r="F333" s="184">
        <f>SUMIFS(GL_BS!$G:$G,GL_BS!$R:$R,'Global TARF'!$A$325,GL_BS!$S:$S,'Global TARF'!$A333,GL_BS!$A:$A,'Global TARF'!F$8)</f>
        <v>0</v>
      </c>
      <c r="G333" s="536">
        <f>SUMIFS(GL_BS!$G:$G,GL_BS!$R:$R,'Global TARF'!$A$325,GL_BS!$S:$S,'Global TARF'!$A333,GL_BS!$A:$A,'Global TARF'!G$8)</f>
        <v>0</v>
      </c>
      <c r="H333" s="545">
        <f>SUMIFS(GL_BS!$G:$G,GL_BS!$R:$R,'Global TARF'!$A$325,GL_BS!$S:$S,'Global TARF'!$A333,GL_BS!$A:$A,'Global TARF'!H$8)</f>
        <v>0</v>
      </c>
      <c r="I333" s="184">
        <f>SUMIFS(GL_BS!$G:$G,GL_BS!$R:$R,'Global TARF'!$A$325,GL_BS!$S:$S,'Global TARF'!$A333,GL_BS!$A:$A,'Global TARF'!I$8)</f>
        <v>0</v>
      </c>
      <c r="J333" s="184">
        <f>SUMIFS(GL_BS!$G:$G,GL_BS!$R:$R,'Global TARF'!$A$325,GL_BS!$S:$S,'Global TARF'!$A333,GL_BS!$A:$A,'Global TARF'!J$8)</f>
        <v>0</v>
      </c>
      <c r="K333" s="184">
        <f>SUMIFS(GL_BS!$G:$G,GL_BS!$R:$R,'Global TARF'!$A$325,GL_BS!$S:$S,'Global TARF'!$A333,GL_BS!$A:$A,'Global TARF'!K$8)</f>
        <v>0</v>
      </c>
      <c r="L333" s="184">
        <f>SUMIFS(GL_BS!$G:$G,GL_BS!$R:$R,'Global TARF'!$A$325,GL_BS!$S:$S,'Global TARF'!$A333,GL_BS!$A:$A,'Global TARF'!L$8)</f>
        <v>0</v>
      </c>
      <c r="M333" s="536">
        <f>SUMIFS(GL_BS!$G:$G,GL_BS!$R:$R,'Global TARF'!$A$325,GL_BS!$S:$S,'Global TARF'!$A333,GL_BS!$A:$A,'Global TARF'!M$8)</f>
        <v>0</v>
      </c>
      <c r="N333" s="555">
        <f>SUMIFS(GL_BS!$G:$G,GL_BS!$R:$R,'Global TARF'!$A$325,GL_BS!$S:$S,'Global TARF'!$A333,GL_BS!$A:$A,'Global TARF'!N$8)</f>
        <v>0</v>
      </c>
      <c r="O333" s="18">
        <f>SUMIFS(GL_BS!$G:$G,GL_BS!$R:$R,'Global TARF'!$A$325,GL_BS!$S:$S,'Global TARF'!$A333,GL_BS!$A:$A,'Global TARF'!O$8)</f>
        <v>0</v>
      </c>
      <c r="P333" s="545">
        <f>SUMIFS(GL_PL!$G:$G,GL_PL!$Q:$Q,'Global TARF'!$A$325,GL_PL!$R:$R,'Global TARF'!$A333,GL_PL!$A:$A,'Global TARF'!P$8)</f>
        <v>0</v>
      </c>
      <c r="Q333" s="184">
        <f>SUMIFS(GL_PL!$G:$G,GL_PL!$Q:$Q,'Global TARF'!$A$325,GL_PL!$R:$R,'Global TARF'!$A333,GL_PL!$A:$A,'Global TARF'!Q$8)</f>
        <v>0</v>
      </c>
      <c r="R333" s="184">
        <f>SUMIFS(GL_PL!$G:$G,GL_PL!$Q:$Q,'Global TARF'!$A$325,GL_PL!$R:$R,'Global TARF'!$A333,GL_PL!$A:$A,'Global TARF'!R$8)</f>
        <v>0</v>
      </c>
      <c r="S333" s="536">
        <f>SUMIFS(GL_PL!$G:$G,GL_PL!$Q:$Q,'Global TARF'!$A$325,GL_PL!$R:$R,'Global TARF'!$A333,GL_PL!$A:$A,'Global TARF'!S$8)</f>
        <v>0</v>
      </c>
      <c r="T333"/>
      <c r="Z333" s="582">
        <f t="shared" si="159"/>
        <v>0</v>
      </c>
    </row>
    <row r="334" spans="1:26" x14ac:dyDescent="0.2">
      <c r="A334" s="534" t="s">
        <v>782</v>
      </c>
      <c r="B334" s="184">
        <f>SUMIFS(GL_BS!$G:$G,GL_BS!$R:$R,'Global TARF'!$A$325,GL_BS!$S:$S,'Global TARF'!$A334,GL_BS!$A:$A,'Global TARF'!B$38)</f>
        <v>0</v>
      </c>
      <c r="C334" s="184">
        <f>SUMIFS(GL_BS!$G:$G,GL_BS!$R:$R,'Global TARF'!$A$325,GL_BS!$S:$S,'Global TARF'!$A334,GL_BS!$A:$A,'Global TARF'!C$8)</f>
        <v>0</v>
      </c>
      <c r="D334" s="184">
        <f>SUMIFS(GL_BS!$G:$G,GL_BS!$R:$R,'Global TARF'!$A$325,GL_BS!$S:$S,'Global TARF'!$A334,GL_BS!$A:$A,'Global TARF'!D$8)</f>
        <v>0</v>
      </c>
      <c r="E334" s="184">
        <f>SUMIFS(GL_BS!$G:$G,GL_BS!$R:$R,'Global TARF'!$A$325,GL_BS!$S:$S,'Global TARF'!$A334,GL_BS!$A:$A,'Global TARF'!E$8)</f>
        <v>0</v>
      </c>
      <c r="F334" s="184">
        <f>SUMIFS(GL_BS!$G:$G,GL_BS!$R:$R,'Global TARF'!$A$325,GL_BS!$S:$S,'Global TARF'!$A334,GL_BS!$A:$A,'Global TARF'!F$8)</f>
        <v>0</v>
      </c>
      <c r="G334" s="536">
        <f>SUMIFS(GL_BS!$G:$G,GL_BS!$R:$R,'Global TARF'!$A$325,GL_BS!$S:$S,'Global TARF'!$A334,GL_BS!$A:$A,'Global TARF'!G$8)</f>
        <v>0</v>
      </c>
      <c r="H334" s="545">
        <f>SUMIFS(GL_BS!$G:$G,GL_BS!$R:$R,'Global TARF'!$A$325,GL_BS!$S:$S,'Global TARF'!$A334,GL_BS!$A:$A,'Global TARF'!H$8)</f>
        <v>0</v>
      </c>
      <c r="I334" s="184">
        <f>SUMIFS(GL_BS!$G:$G,GL_BS!$R:$R,'Global TARF'!$A$325,GL_BS!$S:$S,'Global TARF'!$A334,GL_BS!$A:$A,'Global TARF'!I$8)</f>
        <v>0</v>
      </c>
      <c r="J334" s="184">
        <f>SUMIFS(GL_BS!$G:$G,GL_BS!$R:$R,'Global TARF'!$A$325,GL_BS!$S:$S,'Global TARF'!$A334,GL_BS!$A:$A,'Global TARF'!J$8)</f>
        <v>0</v>
      </c>
      <c r="K334" s="184">
        <f>SUMIFS(GL_BS!$G:$G,GL_BS!$R:$R,'Global TARF'!$A$325,GL_BS!$S:$S,'Global TARF'!$A334,GL_BS!$A:$A,'Global TARF'!K$8)</f>
        <v>0</v>
      </c>
      <c r="L334" s="184">
        <f>SUMIFS(GL_BS!$G:$G,GL_BS!$R:$R,'Global TARF'!$A$325,GL_BS!$S:$S,'Global TARF'!$A334,GL_BS!$A:$A,'Global TARF'!L$8)</f>
        <v>0</v>
      </c>
      <c r="M334" s="536">
        <f>SUMIFS(GL_BS!$G:$G,GL_BS!$R:$R,'Global TARF'!$A$325,GL_BS!$S:$S,'Global TARF'!$A334,GL_BS!$A:$A,'Global TARF'!M$8)</f>
        <v>0</v>
      </c>
      <c r="N334" s="555">
        <f>SUMIFS(GL_BS!$G:$G,GL_BS!$R:$R,'Global TARF'!$A$325,GL_BS!$S:$S,'Global TARF'!$A334,GL_BS!$A:$A,'Global TARF'!N$8)</f>
        <v>0</v>
      </c>
      <c r="O334" s="18">
        <f>SUMIFS(GL_BS!$G:$G,GL_BS!$R:$R,'Global TARF'!$A$325,GL_BS!$S:$S,'Global TARF'!$A334,GL_BS!$A:$A,'Global TARF'!O$8)</f>
        <v>0</v>
      </c>
      <c r="P334" s="545">
        <f>SUMIFS(GL_PL!$G:$G,GL_PL!$Q:$Q,'Global TARF'!$A$325,GL_PL!$R:$R,'Global TARF'!$A334,GL_PL!$A:$A,'Global TARF'!P$8)</f>
        <v>0</v>
      </c>
      <c r="Q334" s="184">
        <f>SUMIFS(GL_PL!$G:$G,GL_PL!$Q:$Q,'Global TARF'!$A$325,GL_PL!$R:$R,'Global TARF'!$A334,GL_PL!$A:$A,'Global TARF'!Q$8)</f>
        <v>0</v>
      </c>
      <c r="R334" s="184">
        <f>SUMIFS(GL_PL!$G:$G,GL_PL!$Q:$Q,'Global TARF'!$A$325,GL_PL!$R:$R,'Global TARF'!$A334,GL_PL!$A:$A,'Global TARF'!R$8)</f>
        <v>0</v>
      </c>
      <c r="S334" s="536">
        <f>SUMIFS(GL_PL!$G:$G,GL_PL!$Q:$Q,'Global TARF'!$A$325,GL_PL!$R:$R,'Global TARF'!$A334,GL_PL!$A:$A,'Global TARF'!S$8)</f>
        <v>0</v>
      </c>
      <c r="T334"/>
      <c r="Z334" s="582">
        <f t="shared" si="159"/>
        <v>0</v>
      </c>
    </row>
    <row r="335" spans="1:26" x14ac:dyDescent="0.2">
      <c r="A335" s="534" t="s">
        <v>950</v>
      </c>
      <c r="B335" s="184">
        <f>SUMIFS(GL_BS!$G:$G,GL_BS!$R:$R,'Global TARF'!$A$325,GL_BS!$S:$S,'Global TARF'!$A335,GL_BS!$A:$A,'Global TARF'!B$38)</f>
        <v>0</v>
      </c>
      <c r="C335" s="184">
        <f>SUMIFS(GL_BS!$G:$G,GL_BS!$R:$R,'Global TARF'!$A$325,GL_BS!$S:$S,'Global TARF'!$A335,GL_BS!$A:$A,'Global TARF'!C$8)</f>
        <v>0</v>
      </c>
      <c r="D335" s="184">
        <f>SUMIFS(GL_BS!$G:$G,GL_BS!$R:$R,'Global TARF'!$A$325,GL_BS!$S:$S,'Global TARF'!$A335,GL_BS!$A:$A,'Global TARF'!D$8)</f>
        <v>0</v>
      </c>
      <c r="E335" s="184">
        <f>SUMIFS(GL_BS!$G:$G,GL_BS!$R:$R,'Global TARF'!$A$325,GL_BS!$S:$S,'Global TARF'!$A335,GL_BS!$A:$A,'Global TARF'!E$8)</f>
        <v>0</v>
      </c>
      <c r="F335" s="184">
        <f>SUMIFS(GL_BS!$G:$G,GL_BS!$R:$R,'Global TARF'!$A$325,GL_BS!$S:$S,'Global TARF'!$A335,GL_BS!$A:$A,'Global TARF'!F$8)</f>
        <v>0</v>
      </c>
      <c r="G335" s="536">
        <f>SUMIFS(GL_BS!$G:$G,GL_BS!$R:$R,'Global TARF'!$A$325,GL_BS!$S:$S,'Global TARF'!$A335,GL_BS!$A:$A,'Global TARF'!G$8)</f>
        <v>0</v>
      </c>
      <c r="H335" s="545">
        <f>SUMIFS(GL_BS!$G:$G,GL_BS!$R:$R,'Global TARF'!$A$325,GL_BS!$S:$S,'Global TARF'!$A335,GL_BS!$A:$A,'Global TARF'!H$8)</f>
        <v>0</v>
      </c>
      <c r="I335" s="184">
        <f>SUMIFS(GL_BS!$G:$G,GL_BS!$R:$R,'Global TARF'!$A$325,GL_BS!$S:$S,'Global TARF'!$A335,GL_BS!$A:$A,'Global TARF'!I$8)</f>
        <v>0</v>
      </c>
      <c r="J335" s="184">
        <f>SUMIFS(GL_BS!$G:$G,GL_BS!$R:$R,'Global TARF'!$A$325,GL_BS!$S:$S,'Global TARF'!$A335,GL_BS!$A:$A,'Global TARF'!J$8)</f>
        <v>0</v>
      </c>
      <c r="K335" s="184">
        <f>SUMIFS(GL_BS!$G:$G,GL_BS!$R:$R,'Global TARF'!$A$325,GL_BS!$S:$S,'Global TARF'!$A335,GL_BS!$A:$A,'Global TARF'!K$8)</f>
        <v>0</v>
      </c>
      <c r="L335" s="184">
        <f>SUMIFS(GL_BS!$G:$G,GL_BS!$R:$R,'Global TARF'!$A$325,GL_BS!$S:$S,'Global TARF'!$A335,GL_BS!$A:$A,'Global TARF'!L$8)</f>
        <v>0</v>
      </c>
      <c r="M335" s="536">
        <f>SUMIFS(GL_BS!$G:$G,GL_BS!$R:$R,'Global TARF'!$A$325,GL_BS!$S:$S,'Global TARF'!$A335,GL_BS!$A:$A,'Global TARF'!M$8)</f>
        <v>0</v>
      </c>
      <c r="N335" s="555">
        <f>SUMIFS(GL_BS!$G:$G,GL_BS!$R:$R,'Global TARF'!$A$325,GL_BS!$S:$S,'Global TARF'!$A335,GL_BS!$A:$A,'Global TARF'!N$8)</f>
        <v>0</v>
      </c>
      <c r="O335" s="18">
        <f>SUMIFS(GL_BS!$G:$G,GL_BS!$R:$R,'Global TARF'!$A$325,GL_BS!$S:$S,'Global TARF'!$A335,GL_BS!$A:$A,'Global TARF'!O$8)</f>
        <v>0</v>
      </c>
      <c r="P335" s="545">
        <f>SUMIFS(GL_PL!$G:$G,GL_PL!$Q:$Q,'Global TARF'!$A$325,GL_PL!$R:$R,'Global TARF'!$A335,GL_PL!$A:$A,'Global TARF'!P$8)</f>
        <v>0</v>
      </c>
      <c r="Q335" s="184">
        <f>SUMIFS(GL_PL!$G:$G,GL_PL!$Q:$Q,'Global TARF'!$A$325,GL_PL!$R:$R,'Global TARF'!$A335,GL_PL!$A:$A,'Global TARF'!Q$8)</f>
        <v>0</v>
      </c>
      <c r="R335" s="184">
        <f>SUMIFS(GL_PL!$G:$G,GL_PL!$Q:$Q,'Global TARF'!$A$325,GL_PL!$R:$R,'Global TARF'!$A335,GL_PL!$A:$A,'Global TARF'!R$8)</f>
        <v>0</v>
      </c>
      <c r="S335" s="536">
        <f>SUMIFS(GL_PL!$G:$G,GL_PL!$Q:$Q,'Global TARF'!$A$325,GL_PL!$R:$R,'Global TARF'!$A335,GL_PL!$A:$A,'Global TARF'!S$8)</f>
        <v>0</v>
      </c>
      <c r="T335"/>
      <c r="Z335" s="582">
        <f t="shared" si="159"/>
        <v>0</v>
      </c>
    </row>
    <row r="336" spans="1:26" x14ac:dyDescent="0.2">
      <c r="A336" s="534" t="s">
        <v>4586</v>
      </c>
      <c r="B336" s="184">
        <f>SUMIFS(GL_BS!$G:$G,GL_BS!$R:$R,'Global TARF'!$A$325,GL_BS!$S:$S,'Global TARF'!$A336,GL_BS!$A:$A,'Global TARF'!B$38)</f>
        <v>0</v>
      </c>
      <c r="C336" s="184">
        <f>SUMIFS(GL_BS!$G:$G,GL_BS!$R:$R,'Global TARF'!$A$325,GL_BS!$S:$S,'Global TARF'!$A336,GL_BS!$A:$A,'Global TARF'!C$8)</f>
        <v>0</v>
      </c>
      <c r="D336" s="184">
        <f>SUMIFS(GL_BS!$G:$G,GL_BS!$R:$R,'Global TARF'!$A$325,GL_BS!$S:$S,'Global TARF'!$A336,GL_BS!$A:$A,'Global TARF'!D$8)</f>
        <v>0</v>
      </c>
      <c r="E336" s="184">
        <f>SUMIFS(GL_BS!$G:$G,GL_BS!$R:$R,'Global TARF'!$A$325,GL_BS!$S:$S,'Global TARF'!$A336,GL_BS!$A:$A,'Global TARF'!E$8)</f>
        <v>0</v>
      </c>
      <c r="F336" s="184">
        <f>SUMIFS(GL_BS!$G:$G,GL_BS!$R:$R,'Global TARF'!$A$325,GL_BS!$S:$S,'Global TARF'!$A336,GL_BS!$A:$A,'Global TARF'!F$8)</f>
        <v>0</v>
      </c>
      <c r="G336" s="536">
        <f>SUMIFS(GL_BS!$G:$G,GL_BS!$R:$R,'Global TARF'!$A$325,GL_BS!$S:$S,'Global TARF'!$A336,GL_BS!$A:$A,'Global TARF'!G$8)</f>
        <v>0</v>
      </c>
      <c r="H336" s="545">
        <f>SUMIFS(GL_BS!$G:$G,GL_BS!$R:$R,'Global TARF'!$A$325,GL_BS!$S:$S,'Global TARF'!$A336,GL_BS!$A:$A,'Global TARF'!H$8)</f>
        <v>0</v>
      </c>
      <c r="I336" s="184">
        <f>SUMIFS(GL_BS!$G:$G,GL_BS!$R:$R,'Global TARF'!$A$325,GL_BS!$S:$S,'Global TARF'!$A336,GL_BS!$A:$A,'Global TARF'!I$8)</f>
        <v>0</v>
      </c>
      <c r="J336" s="184">
        <f>SUMIFS(GL_BS!$G:$G,GL_BS!$R:$R,'Global TARF'!$A$325,GL_BS!$S:$S,'Global TARF'!$A336,GL_BS!$A:$A,'Global TARF'!J$8)</f>
        <v>0</v>
      </c>
      <c r="K336" s="184">
        <f>SUMIFS(GL_BS!$G:$G,GL_BS!$R:$R,'Global TARF'!$A$325,GL_BS!$S:$S,'Global TARF'!$A336,GL_BS!$A:$A,'Global TARF'!K$8)</f>
        <v>0</v>
      </c>
      <c r="L336" s="184">
        <f>SUMIFS(GL_BS!$G:$G,GL_BS!$R:$R,'Global TARF'!$A$325,GL_BS!$S:$S,'Global TARF'!$A336,GL_BS!$A:$A,'Global TARF'!L$8)</f>
        <v>0</v>
      </c>
      <c r="M336" s="536">
        <f>SUMIFS(GL_BS!$G:$G,GL_BS!$R:$R,'Global TARF'!$A$325,GL_BS!$S:$S,'Global TARF'!$A336,GL_BS!$A:$A,'Global TARF'!M$8)</f>
        <v>0</v>
      </c>
      <c r="N336" s="555">
        <f>SUMIFS(GL_BS!$G:$G,GL_BS!$R:$R,'Global TARF'!$A$325,GL_BS!$S:$S,'Global TARF'!$A336,GL_BS!$A:$A,'Global TARF'!N$8)</f>
        <v>0</v>
      </c>
      <c r="O336" s="18">
        <f>SUMIFS(GL_BS!$G:$G,GL_BS!$R:$R,'Global TARF'!$A$325,GL_BS!$S:$S,'Global TARF'!$A336,GL_BS!$A:$A,'Global TARF'!O$8)</f>
        <v>0</v>
      </c>
      <c r="P336" s="545">
        <f>SUMIFS(GL_PL!$G:$G,GL_PL!$Q:$Q,'Global TARF'!$A$325,GL_PL!$R:$R,'Global TARF'!$A336,GL_PL!$A:$A,'Global TARF'!P$8)</f>
        <v>0</v>
      </c>
      <c r="Q336" s="184">
        <f>SUMIFS(GL_PL!$G:$G,GL_PL!$Q:$Q,'Global TARF'!$A$325,GL_PL!$R:$R,'Global TARF'!$A336,GL_PL!$A:$A,'Global TARF'!Q$8)</f>
        <v>0</v>
      </c>
      <c r="R336" s="184">
        <f>SUMIFS(GL_PL!$G:$G,GL_PL!$Q:$Q,'Global TARF'!$A$325,GL_PL!$R:$R,'Global TARF'!$A336,GL_PL!$A:$A,'Global TARF'!R$8)</f>
        <v>0</v>
      </c>
      <c r="S336" s="536">
        <f>SUMIFS(GL_PL!$G:$G,GL_PL!$Q:$Q,'Global TARF'!$A$325,GL_PL!$R:$R,'Global TARF'!$A336,GL_PL!$A:$A,'Global TARF'!S$8)</f>
        <v>0</v>
      </c>
      <c r="T336"/>
      <c r="Z336" s="582">
        <f t="shared" si="159"/>
        <v>0</v>
      </c>
    </row>
    <row r="337" spans="1:26" x14ac:dyDescent="0.2">
      <c r="A337" s="534" t="s">
        <v>779</v>
      </c>
      <c r="B337" s="184">
        <f>SUMIFS(GL_BS!$G:$G,GL_BS!$R:$R,'Global TARF'!$A$325,GL_BS!$S:$S,'Global TARF'!$A337,GL_BS!$A:$A,'Global TARF'!B$38)</f>
        <v>0</v>
      </c>
      <c r="C337" s="184">
        <f>SUMIFS(GL_BS!$G:$G,GL_BS!$R:$R,'Global TARF'!$A$325,GL_BS!$S:$S,'Global TARF'!$A337,GL_BS!$A:$A,'Global TARF'!C$8)</f>
        <v>0</v>
      </c>
      <c r="D337" s="184">
        <f>SUMIFS(GL_BS!$G:$G,GL_BS!$R:$R,'Global TARF'!$A$325,GL_BS!$S:$S,'Global TARF'!$A337,GL_BS!$A:$A,'Global TARF'!D$8)</f>
        <v>0</v>
      </c>
      <c r="E337" s="184">
        <f>SUMIFS(GL_BS!$G:$G,GL_BS!$R:$R,'Global TARF'!$A$325,GL_BS!$S:$S,'Global TARF'!$A337,GL_BS!$A:$A,'Global TARF'!E$8)</f>
        <v>0</v>
      </c>
      <c r="F337" s="184">
        <f>SUMIFS(GL_BS!$G:$G,GL_BS!$R:$R,'Global TARF'!$A$325,GL_BS!$S:$S,'Global TARF'!$A337,GL_BS!$A:$A,'Global TARF'!F$8)</f>
        <v>0</v>
      </c>
      <c r="G337" s="536">
        <f>SUMIFS(GL_BS!$G:$G,GL_BS!$R:$R,'Global TARF'!$A$325,GL_BS!$S:$S,'Global TARF'!$A337,GL_BS!$A:$A,'Global TARF'!G$8)</f>
        <v>0</v>
      </c>
      <c r="H337" s="545">
        <f>SUMIFS(GL_BS!$G:$G,GL_BS!$R:$R,'Global TARF'!$A$325,GL_BS!$S:$S,'Global TARF'!$A337,GL_BS!$A:$A,'Global TARF'!H$8)</f>
        <v>0</v>
      </c>
      <c r="I337" s="184">
        <f>SUMIFS(GL_BS!$G:$G,GL_BS!$R:$R,'Global TARF'!$A$325,GL_BS!$S:$S,'Global TARF'!$A337,GL_BS!$A:$A,'Global TARF'!I$8)</f>
        <v>0</v>
      </c>
      <c r="J337" s="184">
        <f>SUMIFS(GL_BS!$G:$G,GL_BS!$R:$R,'Global TARF'!$A$325,GL_BS!$S:$S,'Global TARF'!$A337,GL_BS!$A:$A,'Global TARF'!J$8)</f>
        <v>0</v>
      </c>
      <c r="K337" s="184">
        <f>SUMIFS(GL_BS!$G:$G,GL_BS!$R:$R,'Global TARF'!$A$325,GL_BS!$S:$S,'Global TARF'!$A337,GL_BS!$A:$A,'Global TARF'!K$8)</f>
        <v>0</v>
      </c>
      <c r="L337" s="184">
        <f>SUMIFS(GL_BS!$G:$G,GL_BS!$R:$R,'Global TARF'!$A$325,GL_BS!$S:$S,'Global TARF'!$A337,GL_BS!$A:$A,'Global TARF'!L$8)</f>
        <v>0</v>
      </c>
      <c r="M337" s="536">
        <f>SUMIFS(GL_BS!$G:$G,GL_BS!$R:$R,'Global TARF'!$A$325,GL_BS!$S:$S,'Global TARF'!$A337,GL_BS!$A:$A,'Global TARF'!M$8)</f>
        <v>0</v>
      </c>
      <c r="N337" s="555">
        <f>SUMIFS(GL_BS!$G:$G,GL_BS!$R:$R,'Global TARF'!$A$325,GL_BS!$S:$S,'Global TARF'!$A337,GL_BS!$A:$A,'Global TARF'!N$8)</f>
        <v>0</v>
      </c>
      <c r="O337" s="18">
        <f>SUMIFS(GL_BS!$G:$G,GL_BS!$R:$R,'Global TARF'!$A$325,GL_BS!$S:$S,'Global TARF'!$A337,GL_BS!$A:$A,'Global TARF'!O$8)</f>
        <v>0</v>
      </c>
      <c r="P337" s="545">
        <f>SUMIFS(GL_PL!$G:$G,GL_PL!$Q:$Q,'Global TARF'!$A$325,GL_PL!$R:$R,'Global TARF'!$A337,GL_PL!$A:$A,'Global TARF'!P$8)</f>
        <v>0</v>
      </c>
      <c r="Q337" s="184">
        <f>SUMIFS(GL_PL!$G:$G,GL_PL!$Q:$Q,'Global TARF'!$A$325,GL_PL!$R:$R,'Global TARF'!$A337,GL_PL!$A:$A,'Global TARF'!Q$8)</f>
        <v>0</v>
      </c>
      <c r="R337" s="184">
        <f>SUMIFS(GL_PL!$G:$G,GL_PL!$Q:$Q,'Global TARF'!$A$325,GL_PL!$R:$R,'Global TARF'!$A337,GL_PL!$A:$A,'Global TARF'!R$8)</f>
        <v>0</v>
      </c>
      <c r="S337" s="536">
        <f>SUMIFS(GL_PL!$G:$G,GL_PL!$Q:$Q,'Global TARF'!$A$325,GL_PL!$R:$R,'Global TARF'!$A337,GL_PL!$A:$A,'Global TARF'!S$8)</f>
        <v>0</v>
      </c>
      <c r="T337"/>
      <c r="Z337" s="582">
        <f t="shared" si="159"/>
        <v>0</v>
      </c>
    </row>
    <row r="338" spans="1:26" x14ac:dyDescent="0.2">
      <c r="A338" s="534" t="s">
        <v>4267</v>
      </c>
      <c r="B338" s="184">
        <f>SUMIFS(GL_BS!$G:$G,GL_BS!$R:$R,'Global TARF'!$A$325,GL_BS!$S:$S,'Global TARF'!$A338,GL_BS!$A:$A,'Global TARF'!B$38)</f>
        <v>0</v>
      </c>
      <c r="C338" s="184">
        <f>SUMIFS(GL_BS!$G:$G,GL_BS!$R:$R,'Global TARF'!$A$325,GL_BS!$S:$S,'Global TARF'!$A338,GL_BS!$A:$A,'Global TARF'!C$8)</f>
        <v>0</v>
      </c>
      <c r="D338" s="184">
        <f>SUMIFS(GL_BS!$G:$G,GL_BS!$R:$R,'Global TARF'!$A$325,GL_BS!$S:$S,'Global TARF'!$A338,GL_BS!$A:$A,'Global TARF'!D$8)</f>
        <v>0</v>
      </c>
      <c r="E338" s="184">
        <f>SUMIFS(GL_BS!$G:$G,GL_BS!$R:$R,'Global TARF'!$A$325,GL_BS!$S:$S,'Global TARF'!$A338,GL_BS!$A:$A,'Global TARF'!E$8)</f>
        <v>0</v>
      </c>
      <c r="F338" s="184">
        <f>SUMIFS(GL_BS!$G:$G,GL_BS!$R:$R,'Global TARF'!$A$325,GL_BS!$S:$S,'Global TARF'!$A338,GL_BS!$A:$A,'Global TARF'!F$8)</f>
        <v>0</v>
      </c>
      <c r="G338" s="536">
        <f>SUMIFS(GL_BS!$G:$G,GL_BS!$R:$R,'Global TARF'!$A$325,GL_BS!$S:$S,'Global TARF'!$A338,GL_BS!$A:$A,'Global TARF'!G$8)</f>
        <v>0</v>
      </c>
      <c r="H338" s="545">
        <f>SUMIFS(GL_BS!$G:$G,GL_BS!$R:$R,'Global TARF'!$A$325,GL_BS!$S:$S,'Global TARF'!$A338,GL_BS!$A:$A,'Global TARF'!H$8)</f>
        <v>0</v>
      </c>
      <c r="I338" s="184">
        <f>SUMIFS(GL_BS!$G:$G,GL_BS!$R:$R,'Global TARF'!$A$325,GL_BS!$S:$S,'Global TARF'!$A338,GL_BS!$A:$A,'Global TARF'!I$8)</f>
        <v>0</v>
      </c>
      <c r="J338" s="184">
        <f>SUMIFS(GL_BS!$G:$G,GL_BS!$R:$R,'Global TARF'!$A$325,GL_BS!$S:$S,'Global TARF'!$A338,GL_BS!$A:$A,'Global TARF'!J$8)</f>
        <v>0</v>
      </c>
      <c r="K338" s="184">
        <f>SUMIFS(GL_BS!$G:$G,GL_BS!$R:$R,'Global TARF'!$A$325,GL_BS!$S:$S,'Global TARF'!$A338,GL_BS!$A:$A,'Global TARF'!K$8)</f>
        <v>0</v>
      </c>
      <c r="L338" s="184">
        <f>SUMIFS(GL_BS!$G:$G,GL_BS!$R:$R,'Global TARF'!$A$325,GL_BS!$S:$S,'Global TARF'!$A338,GL_BS!$A:$A,'Global TARF'!L$8)</f>
        <v>0</v>
      </c>
      <c r="M338" s="536">
        <f>SUMIFS(GL_BS!$G:$G,GL_BS!$R:$R,'Global TARF'!$A$325,GL_BS!$S:$S,'Global TARF'!$A338,GL_BS!$A:$A,'Global TARF'!M$8)</f>
        <v>0</v>
      </c>
      <c r="N338" s="555">
        <f>SUMIFS(GL_BS!$G:$G,GL_BS!$R:$R,'Global TARF'!$A$325,GL_BS!$S:$S,'Global TARF'!$A338,GL_BS!$A:$A,'Global TARF'!N$8)</f>
        <v>0</v>
      </c>
      <c r="O338" s="18">
        <f>SUMIFS(GL_BS!$G:$G,GL_BS!$R:$R,'Global TARF'!$A$325,GL_BS!$S:$S,'Global TARF'!$A338,GL_BS!$A:$A,'Global TARF'!O$8)</f>
        <v>0</v>
      </c>
      <c r="P338" s="545">
        <f>SUMIFS(GL_PL!$G:$G,GL_PL!$Q:$Q,'Global TARF'!$A$325,GL_PL!$R:$R,'Global TARF'!$A338,GL_PL!$A:$A,'Global TARF'!P$8)</f>
        <v>0</v>
      </c>
      <c r="Q338" s="184">
        <f>SUMIFS(GL_PL!$G:$G,GL_PL!$Q:$Q,'Global TARF'!$A$325,GL_PL!$R:$R,'Global TARF'!$A338,GL_PL!$A:$A,'Global TARF'!Q$8)</f>
        <v>0</v>
      </c>
      <c r="R338" s="184">
        <f>SUMIFS(GL_PL!$G:$G,GL_PL!$Q:$Q,'Global TARF'!$A$325,GL_PL!$R:$R,'Global TARF'!$A338,GL_PL!$A:$A,'Global TARF'!R$8)</f>
        <v>0</v>
      </c>
      <c r="S338" s="536">
        <f>SUMIFS(GL_PL!$G:$G,GL_PL!$Q:$Q,'Global TARF'!$A$325,GL_PL!$R:$R,'Global TARF'!$A338,GL_PL!$A:$A,'Global TARF'!S$8)</f>
        <v>0</v>
      </c>
      <c r="T338"/>
      <c r="Z338" s="582">
        <f t="shared" si="159"/>
        <v>0</v>
      </c>
    </row>
    <row r="339" spans="1:26" x14ac:dyDescent="0.2">
      <c r="A339" s="534" t="s">
        <v>4275</v>
      </c>
      <c r="B339" s="184">
        <f>SUMIFS(GL_BS!$G:$G,GL_BS!$R:$R,'Global TARF'!$A$325,GL_BS!$S:$S,'Global TARF'!$A339,GL_BS!$A:$A,'Global TARF'!B$38)</f>
        <v>0</v>
      </c>
      <c r="C339" s="184">
        <f>SUMIFS(GL_BS!$G:$G,GL_BS!$R:$R,'Global TARF'!$A$325,GL_BS!$S:$S,'Global TARF'!$A339,GL_BS!$A:$A,'Global TARF'!C$8)</f>
        <v>0</v>
      </c>
      <c r="D339" s="184">
        <f>SUMIFS(GL_BS!$G:$G,GL_BS!$R:$R,'Global TARF'!$A$325,GL_BS!$S:$S,'Global TARF'!$A339,GL_BS!$A:$A,'Global TARF'!D$8)</f>
        <v>0</v>
      </c>
      <c r="E339" s="184">
        <f>SUMIFS(GL_BS!$G:$G,GL_BS!$R:$R,'Global TARF'!$A$325,GL_BS!$S:$S,'Global TARF'!$A339,GL_BS!$A:$A,'Global TARF'!E$8)</f>
        <v>0</v>
      </c>
      <c r="F339" s="184">
        <f>SUMIFS(GL_BS!$G:$G,GL_BS!$R:$R,'Global TARF'!$A$325,GL_BS!$S:$S,'Global TARF'!$A339,GL_BS!$A:$A,'Global TARF'!F$8)</f>
        <v>0</v>
      </c>
      <c r="G339" s="536">
        <f>SUMIFS(GL_BS!$G:$G,GL_BS!$R:$R,'Global TARF'!$A$325,GL_BS!$S:$S,'Global TARF'!$A339,GL_BS!$A:$A,'Global TARF'!G$8)</f>
        <v>0</v>
      </c>
      <c r="H339" s="545">
        <f>SUMIFS(GL_BS!$G:$G,GL_BS!$R:$R,'Global TARF'!$A$325,GL_BS!$S:$S,'Global TARF'!$A339,GL_BS!$A:$A,'Global TARF'!H$8)</f>
        <v>0</v>
      </c>
      <c r="I339" s="184">
        <f>SUMIFS(GL_BS!$G:$G,GL_BS!$R:$R,'Global TARF'!$A$325,GL_BS!$S:$S,'Global TARF'!$A339,GL_BS!$A:$A,'Global TARF'!I$8)</f>
        <v>0</v>
      </c>
      <c r="J339" s="184">
        <f>SUMIFS(GL_BS!$G:$G,GL_BS!$R:$R,'Global TARF'!$A$325,GL_BS!$S:$S,'Global TARF'!$A339,GL_BS!$A:$A,'Global TARF'!J$8)</f>
        <v>0</v>
      </c>
      <c r="K339" s="184">
        <f>SUMIFS(GL_BS!$G:$G,GL_BS!$R:$R,'Global TARF'!$A$325,GL_BS!$S:$S,'Global TARF'!$A339,GL_BS!$A:$A,'Global TARF'!K$8)</f>
        <v>0</v>
      </c>
      <c r="L339" s="184">
        <f>SUMIFS(GL_BS!$G:$G,GL_BS!$R:$R,'Global TARF'!$A$325,GL_BS!$S:$S,'Global TARF'!$A339,GL_BS!$A:$A,'Global TARF'!L$8)</f>
        <v>0</v>
      </c>
      <c r="M339" s="536">
        <f>SUMIFS(GL_BS!$G:$G,GL_BS!$R:$R,'Global TARF'!$A$325,GL_BS!$S:$S,'Global TARF'!$A339,GL_BS!$A:$A,'Global TARF'!M$8)</f>
        <v>0</v>
      </c>
      <c r="N339" s="555">
        <f>SUMIFS(GL_BS!$G:$G,GL_BS!$R:$R,'Global TARF'!$A$325,GL_BS!$S:$S,'Global TARF'!$A339,GL_BS!$A:$A,'Global TARF'!N$8)</f>
        <v>0</v>
      </c>
      <c r="O339" s="18">
        <f>SUMIFS(GL_BS!$G:$G,GL_BS!$R:$R,'Global TARF'!$A$325,GL_BS!$S:$S,'Global TARF'!$A339,GL_BS!$A:$A,'Global TARF'!O$8)</f>
        <v>0</v>
      </c>
      <c r="P339" s="545">
        <f>SUMIFS(GL_PL!$G:$G,GL_PL!$Q:$Q,'Global TARF'!$A$325,GL_PL!$R:$R,'Global TARF'!$A339,GL_PL!$A:$A,'Global TARF'!P$8)</f>
        <v>0</v>
      </c>
      <c r="Q339" s="184">
        <f>SUMIFS(GL_PL!$G:$G,GL_PL!$Q:$Q,'Global TARF'!$A$325,GL_PL!$R:$R,'Global TARF'!$A339,GL_PL!$A:$A,'Global TARF'!Q$8)</f>
        <v>0</v>
      </c>
      <c r="R339" s="184">
        <f>SUMIFS(GL_PL!$G:$G,GL_PL!$Q:$Q,'Global TARF'!$A$325,GL_PL!$R:$R,'Global TARF'!$A339,GL_PL!$A:$A,'Global TARF'!R$8)</f>
        <v>0</v>
      </c>
      <c r="S339" s="536">
        <f>SUMIFS(GL_PL!$G:$G,GL_PL!$Q:$Q,'Global TARF'!$A$325,GL_PL!$R:$R,'Global TARF'!$A339,GL_PL!$A:$A,'Global TARF'!S$8)</f>
        <v>0</v>
      </c>
      <c r="T339"/>
      <c r="Z339" s="582">
        <f t="shared" si="159"/>
        <v>0</v>
      </c>
    </row>
    <row r="340" spans="1:26" x14ac:dyDescent="0.2">
      <c r="A340" s="534" t="s">
        <v>4481</v>
      </c>
      <c r="B340" s="184">
        <f>SUMIFS(GL_BS!$G:$G,GL_BS!$R:$R,'Global TARF'!$A$325,GL_BS!$S:$S,'Global TARF'!$A340,GL_BS!$A:$A,'Global TARF'!B$38)</f>
        <v>0</v>
      </c>
      <c r="C340" s="184">
        <f>SUMIFS(GL_BS!$G:$G,GL_BS!$R:$R,'Global TARF'!$A$325,GL_BS!$S:$S,'Global TARF'!$A340,GL_BS!$A:$A,'Global TARF'!C$8)</f>
        <v>0</v>
      </c>
      <c r="D340" s="184">
        <f>SUMIFS(GL_BS!$G:$G,GL_BS!$R:$R,'Global TARF'!$A$325,GL_BS!$S:$S,'Global TARF'!$A340,GL_BS!$A:$A,'Global TARF'!D$8)</f>
        <v>0</v>
      </c>
      <c r="E340" s="184">
        <f>SUMIFS(GL_BS!$G:$G,GL_BS!$R:$R,'Global TARF'!$A$325,GL_BS!$S:$S,'Global TARF'!$A340,GL_BS!$A:$A,'Global TARF'!E$8)</f>
        <v>0</v>
      </c>
      <c r="F340" s="184">
        <f>SUMIFS(GL_BS!$G:$G,GL_BS!$R:$R,'Global TARF'!$A$325,GL_BS!$S:$S,'Global TARF'!$A340,GL_BS!$A:$A,'Global TARF'!F$8)</f>
        <v>0</v>
      </c>
      <c r="G340" s="536">
        <f>SUMIFS(GL_BS!$G:$G,GL_BS!$R:$R,'Global TARF'!$A$325,GL_BS!$S:$S,'Global TARF'!$A340,GL_BS!$A:$A,'Global TARF'!G$8)</f>
        <v>0</v>
      </c>
      <c r="H340" s="545">
        <f>SUMIFS(GL_BS!$G:$G,GL_BS!$R:$R,'Global TARF'!$A$325,GL_BS!$S:$S,'Global TARF'!$A340,GL_BS!$A:$A,'Global TARF'!H$8)</f>
        <v>0</v>
      </c>
      <c r="I340" s="184">
        <f>SUMIFS(GL_BS!$G:$G,GL_BS!$R:$R,'Global TARF'!$A$325,GL_BS!$S:$S,'Global TARF'!$A340,GL_BS!$A:$A,'Global TARF'!I$8)</f>
        <v>0</v>
      </c>
      <c r="J340" s="184">
        <f>SUMIFS(GL_BS!$G:$G,GL_BS!$R:$R,'Global TARF'!$A$325,GL_BS!$S:$S,'Global TARF'!$A340,GL_BS!$A:$A,'Global TARF'!J$8)</f>
        <v>0</v>
      </c>
      <c r="K340" s="184">
        <f>SUMIFS(GL_BS!$G:$G,GL_BS!$R:$R,'Global TARF'!$A$325,GL_BS!$S:$S,'Global TARF'!$A340,GL_BS!$A:$A,'Global TARF'!K$8)</f>
        <v>0</v>
      </c>
      <c r="L340" s="184">
        <f>SUMIFS(GL_BS!$G:$G,GL_BS!$R:$R,'Global TARF'!$A$325,GL_BS!$S:$S,'Global TARF'!$A340,GL_BS!$A:$A,'Global TARF'!L$8)</f>
        <v>0</v>
      </c>
      <c r="M340" s="536">
        <f>SUMIFS(GL_BS!$G:$G,GL_BS!$R:$R,'Global TARF'!$A$325,GL_BS!$S:$S,'Global TARF'!$A340,GL_BS!$A:$A,'Global TARF'!M$8)</f>
        <v>0</v>
      </c>
      <c r="N340" s="555">
        <f>SUMIFS(GL_BS!$G:$G,GL_BS!$R:$R,'Global TARF'!$A$325,GL_BS!$S:$S,'Global TARF'!$A340,GL_BS!$A:$A,'Global TARF'!N$8)</f>
        <v>0</v>
      </c>
      <c r="O340" s="18">
        <f>SUMIFS(GL_BS!$G:$G,GL_BS!$R:$R,'Global TARF'!$A$325,GL_BS!$S:$S,'Global TARF'!$A340,GL_BS!$A:$A,'Global TARF'!O$8)</f>
        <v>0</v>
      </c>
      <c r="P340" s="545">
        <f>SUMIFS(GL_PL!$G:$G,GL_PL!$Q:$Q,'Global TARF'!$A$325,GL_PL!$R:$R,'Global TARF'!$A340,GL_PL!$A:$A,'Global TARF'!P$8)</f>
        <v>0</v>
      </c>
      <c r="Q340" s="184">
        <f>SUMIFS(GL_PL!$G:$G,GL_PL!$Q:$Q,'Global TARF'!$A$325,GL_PL!$R:$R,'Global TARF'!$A340,GL_PL!$A:$A,'Global TARF'!Q$8)</f>
        <v>0</v>
      </c>
      <c r="R340" s="184">
        <f>SUMIFS(GL_PL!$G:$G,GL_PL!$Q:$Q,'Global TARF'!$A$325,GL_PL!$R:$R,'Global TARF'!$A340,GL_PL!$A:$A,'Global TARF'!R$8)</f>
        <v>0</v>
      </c>
      <c r="S340" s="536">
        <f>SUMIFS(GL_PL!$G:$G,GL_PL!$Q:$Q,'Global TARF'!$A$325,GL_PL!$R:$R,'Global TARF'!$A340,GL_PL!$A:$A,'Global TARF'!S$8)</f>
        <v>0</v>
      </c>
      <c r="T340"/>
      <c r="Z340" s="582">
        <f t="shared" si="159"/>
        <v>0</v>
      </c>
    </row>
    <row r="341" spans="1:26" x14ac:dyDescent="0.2">
      <c r="A341" t="s">
        <v>4569</v>
      </c>
      <c r="B341" s="184">
        <f>SUMIFS(GL_BS!$G:$G,GL_BS!$R:$R,'Global TARF'!$A$325,GL_BS!$S:$S,'Global TARF'!$A341,GL_BS!$A:$A,'Global TARF'!B$38)</f>
        <v>0</v>
      </c>
      <c r="C341" s="184">
        <f>SUMIFS(GL_BS!$G:$G,GL_BS!$R:$R,'Global TARF'!$A$325,GL_BS!$S:$S,'Global TARF'!$A341,GL_BS!$A:$A,'Global TARF'!C$8)</f>
        <v>0</v>
      </c>
      <c r="D341" s="184">
        <f>SUMIFS(GL_BS!$G:$G,GL_BS!$R:$R,'Global TARF'!$A$325,GL_BS!$S:$S,'Global TARF'!$A341,GL_BS!$A:$A,'Global TARF'!D$8)</f>
        <v>0</v>
      </c>
      <c r="E341" s="184">
        <f>SUMIFS(GL_BS!$G:$G,GL_BS!$R:$R,'Global TARF'!$A$325,GL_BS!$S:$S,'Global TARF'!$A341,GL_BS!$A:$A,'Global TARF'!E$8)</f>
        <v>0</v>
      </c>
      <c r="F341" s="184">
        <f>SUMIFS(GL_BS!$G:$G,GL_BS!$R:$R,'Global TARF'!$A$325,GL_BS!$S:$S,'Global TARF'!$A341,GL_BS!$A:$A,'Global TARF'!F$8)</f>
        <v>0</v>
      </c>
      <c r="G341" s="536">
        <f>SUMIFS(GL_BS!$G:$G,GL_BS!$R:$R,'Global TARF'!$A$325,GL_BS!$S:$S,'Global TARF'!$A341,GL_BS!$A:$A,'Global TARF'!G$8)</f>
        <v>0</v>
      </c>
      <c r="H341" s="545">
        <f>SUMIFS(GL_BS!$G:$G,GL_BS!$R:$R,'Global TARF'!$A$325,GL_BS!$S:$S,'Global TARF'!$A341,GL_BS!$A:$A,'Global TARF'!H$8)</f>
        <v>-2540.7085090965552</v>
      </c>
      <c r="I341" s="184">
        <f>SUMIFS(GL_BS!$G:$G,GL_BS!$R:$R,'Global TARF'!$A$325,GL_BS!$S:$S,'Global TARF'!$A341,GL_BS!$A:$A,'Global TARF'!I$8)</f>
        <v>0</v>
      </c>
      <c r="J341" s="184">
        <f>SUMIFS(GL_BS!$G:$G,GL_BS!$R:$R,'Global TARF'!$A$325,GL_BS!$S:$S,'Global TARF'!$A341,GL_BS!$A:$A,'Global TARF'!J$8)</f>
        <v>0</v>
      </c>
      <c r="K341" s="184">
        <f>SUMIFS(GL_BS!$G:$G,GL_BS!$R:$R,'Global TARF'!$A$325,GL_BS!$S:$S,'Global TARF'!$A341,GL_BS!$A:$A,'Global TARF'!K$8)</f>
        <v>0</v>
      </c>
      <c r="L341" s="184">
        <f>SUMIFS(GL_BS!$G:$G,GL_BS!$R:$R,'Global TARF'!$A$325,GL_BS!$S:$S,'Global TARF'!$A341,GL_BS!$A:$A,'Global TARF'!L$8)</f>
        <v>0</v>
      </c>
      <c r="M341" s="536">
        <f>SUMIFS(GL_BS!$G:$G,GL_BS!$R:$R,'Global TARF'!$A$325,GL_BS!$S:$S,'Global TARF'!$A341,GL_BS!$A:$A,'Global TARF'!M$8)</f>
        <v>0</v>
      </c>
      <c r="N341" s="555">
        <v>1.27</v>
      </c>
      <c r="O341" s="18">
        <f>SUMIFS(GL_BS!$G:$G,GL_BS!$R:$R,'Global TARF'!$A$325,GL_BS!$S:$S,'Global TARF'!$A341,GL_BS!$A:$A,'Global TARF'!O$8)</f>
        <v>0</v>
      </c>
      <c r="P341" s="545">
        <f>SUMIFS(GL_PL!$G:$G,GL_PL!$Q:$Q,'Global TARF'!$A$325,GL_PL!$R:$R,'Global TARF'!$A341,GL_PL!$A:$A,'Global TARF'!P$8)</f>
        <v>0</v>
      </c>
      <c r="Q341" s="184">
        <f>SUMIFS(GL_PL!$G:$G,GL_PL!$Q:$Q,'Global TARF'!$A$325,GL_PL!$R:$R,'Global TARF'!$A341,GL_PL!$A:$A,'Global TARF'!Q$8)</f>
        <v>0</v>
      </c>
      <c r="R341" s="184">
        <f>SUMIFS(GL_PL!$G:$G,GL_PL!$Q:$Q,'Global TARF'!$A$325,GL_PL!$R:$R,'Global TARF'!$A341,GL_PL!$A:$A,'Global TARF'!R$8)</f>
        <v>2539.4432359052885</v>
      </c>
      <c r="S341" s="536">
        <f>SUMIFS(GL_PL!$G:$G,GL_PL!$Q:$Q,'Global TARF'!$A$325,GL_PL!$R:$R,'Global TARF'!$A341,GL_PL!$A:$A,'Global TARF'!S$8)</f>
        <v>0</v>
      </c>
      <c r="T341"/>
      <c r="Z341" s="705">
        <f t="shared" si="159"/>
        <v>4.7268087332668074E-3</v>
      </c>
    </row>
    <row r="342" spans="1:26" x14ac:dyDescent="0.2">
      <c r="A342" t="s">
        <v>4587</v>
      </c>
      <c r="B342" s="184">
        <f>SUMIFS(GL_BS!$G:$G,GL_BS!$R:$R,'Global TARF'!$A$325,GL_BS!$S:$S,'Global TARF'!$A342,GL_BS!$A:$A,'Global TARF'!B$38)</f>
        <v>0</v>
      </c>
      <c r="C342" s="184">
        <f>SUMIFS(GL_BS!$G:$G,GL_BS!$R:$R,'Global TARF'!$A$325,GL_BS!$S:$S,'Global TARF'!$A342,GL_BS!$A:$A,'Global TARF'!C$8)</f>
        <v>0</v>
      </c>
      <c r="D342" s="184">
        <f>SUMIFS(GL_BS!$G:$G,GL_BS!$R:$R,'Global TARF'!$A$325,GL_BS!$S:$S,'Global TARF'!$A342,GL_BS!$A:$A,'Global TARF'!D$8)</f>
        <v>0</v>
      </c>
      <c r="E342" s="184">
        <f>SUMIFS(GL_BS!$G:$G,GL_BS!$R:$R,'Global TARF'!$A$325,GL_BS!$S:$S,'Global TARF'!$A342,GL_BS!$A:$A,'Global TARF'!E$8)</f>
        <v>0</v>
      </c>
      <c r="F342" s="184">
        <f>SUMIFS(GL_BS!$G:$G,GL_BS!$R:$R,'Global TARF'!$A$325,GL_BS!$S:$S,'Global TARF'!$A342,GL_BS!$A:$A,'Global TARF'!F$8)</f>
        <v>0</v>
      </c>
      <c r="G342" s="536">
        <f>SUMIFS(GL_BS!$G:$G,GL_BS!$R:$R,'Global TARF'!$A$325,GL_BS!$S:$S,'Global TARF'!$A342,GL_BS!$A:$A,'Global TARF'!G$8)</f>
        <v>0</v>
      </c>
      <c r="H342" s="545">
        <f>SUMIFS(GL_BS!$G:$G,GL_BS!$R:$R,'Global TARF'!$A$325,GL_BS!$S:$S,'Global TARF'!$A342,GL_BS!$A:$A,'Global TARF'!H$8)</f>
        <v>0</v>
      </c>
      <c r="I342" s="184">
        <f>SUMIFS(GL_BS!$G:$G,GL_BS!$R:$R,'Global TARF'!$A$325,GL_BS!$S:$S,'Global TARF'!$A342,GL_BS!$A:$A,'Global TARF'!I$8)</f>
        <v>0</v>
      </c>
      <c r="J342" s="184">
        <f>SUMIFS(GL_BS!$G:$G,GL_BS!$R:$R,'Global TARF'!$A$325,GL_BS!$S:$S,'Global TARF'!$A342,GL_BS!$A:$A,'Global TARF'!J$8)</f>
        <v>0</v>
      </c>
      <c r="K342" s="184">
        <f>SUMIFS(GL_BS!$G:$G,GL_BS!$R:$R,'Global TARF'!$A$325,GL_BS!$S:$S,'Global TARF'!$A342,GL_BS!$A:$A,'Global TARF'!K$8)</f>
        <v>0</v>
      </c>
      <c r="L342" s="184">
        <f>SUMIFS(GL_BS!$G:$G,GL_BS!$R:$R,'Global TARF'!$A$325,GL_BS!$S:$S,'Global TARF'!$A342,GL_BS!$A:$A,'Global TARF'!L$8)</f>
        <v>0</v>
      </c>
      <c r="M342" s="536">
        <f>SUMIFS(GL_BS!$G:$G,GL_BS!$R:$R,'Global TARF'!$A$325,GL_BS!$S:$S,'Global TARF'!$A342,GL_BS!$A:$A,'Global TARF'!M$8)</f>
        <v>0</v>
      </c>
      <c r="N342" s="555"/>
      <c r="O342" s="18"/>
      <c r="P342" s="545">
        <f>SUMIFS(GL_PL!$G:$G,GL_PL!$Q:$Q,'Global TARF'!$A$325,GL_PL!$R:$R,'Global TARF'!$A342,GL_PL!$A:$A,'Global TARF'!P$8)</f>
        <v>0</v>
      </c>
      <c r="Q342" s="184">
        <f>SUMIFS(GL_PL!$G:$G,GL_PL!$Q:$Q,'Global TARF'!$A$325,GL_PL!$R:$R,'Global TARF'!$A342,GL_PL!$A:$A,'Global TARF'!Q$8)</f>
        <v>0</v>
      </c>
      <c r="R342" s="184">
        <f>SUMIFS(GL_PL!$G:$G,GL_PL!$Q:$Q,'Global TARF'!$A$325,GL_PL!$R:$R,'Global TARF'!$A342,GL_PL!$A:$A,'Global TARF'!R$8)</f>
        <v>0</v>
      </c>
      <c r="S342" s="536">
        <f>SUMIFS(GL_PL!$G:$G,GL_PL!$Q:$Q,'Global TARF'!$A$325,GL_PL!$R:$R,'Global TARF'!$A342,GL_PL!$A:$A,'Global TARF'!S$8)</f>
        <v>0</v>
      </c>
      <c r="T342"/>
      <c r="Z342" s="582"/>
    </row>
    <row r="343" spans="1:26" x14ac:dyDescent="0.2">
      <c r="A343" t="s">
        <v>4369</v>
      </c>
      <c r="B343" s="184">
        <f>SUMIFS(GL_BS!$G:$G,GL_BS!$R:$R,'Global TARF'!$A$325,GL_BS!$S:$S,'Global TARF'!$A343,GL_BS!$A:$A,'Global TARF'!B$38)</f>
        <v>0</v>
      </c>
      <c r="C343" s="184">
        <f>SUMIFS(GL_BS!$G:$G,GL_BS!$R:$R,'Global TARF'!$A$325,GL_BS!$S:$S,'Global TARF'!$A343,GL_BS!$A:$A,'Global TARF'!C$8)</f>
        <v>0</v>
      </c>
      <c r="D343" s="184">
        <f>SUMIFS(GL_BS!$G:$G,GL_BS!$R:$R,'Global TARF'!$A$325,GL_BS!$S:$S,'Global TARF'!$A343,GL_BS!$A:$A,'Global TARF'!D$8)</f>
        <v>0</v>
      </c>
      <c r="E343" s="184">
        <f>SUMIFS(GL_BS!$G:$G,GL_BS!$R:$R,'Global TARF'!$A$325,GL_BS!$S:$S,'Global TARF'!$A343,GL_BS!$A:$A,'Global TARF'!E$8)</f>
        <v>0</v>
      </c>
      <c r="F343" s="184">
        <f>SUMIFS(GL_BS!$G:$G,GL_BS!$R:$R,'Global TARF'!$A$325,GL_BS!$S:$S,'Global TARF'!$A343,GL_BS!$A:$A,'Global TARF'!F$8)</f>
        <v>0</v>
      </c>
      <c r="G343" s="536">
        <f>SUMIFS(GL_BS!$G:$G,GL_BS!$R:$R,'Global TARF'!$A$325,GL_BS!$S:$S,'Global TARF'!$A343,GL_BS!$A:$A,'Global TARF'!G$8)</f>
        <v>0</v>
      </c>
      <c r="H343" s="545">
        <f>SUMIFS(GL_BS!$G:$G,GL_BS!$R:$R,'Global TARF'!$A$325,GL_BS!$S:$S,'Global TARF'!$A343,GL_BS!$A:$A,'Global TARF'!H$8)</f>
        <v>0</v>
      </c>
      <c r="I343" s="184">
        <f>SUMIFS(GL_BS!$G:$G,GL_BS!$R:$R,'Global TARF'!$A$325,GL_BS!$S:$S,'Global TARF'!$A343,GL_BS!$A:$A,'Global TARF'!I$8)</f>
        <v>0</v>
      </c>
      <c r="J343" s="184">
        <f>SUMIFS(GL_BS!$G:$G,GL_BS!$R:$R,'Global TARF'!$A$325,GL_BS!$S:$S,'Global TARF'!$A343,GL_BS!$A:$A,'Global TARF'!J$8)</f>
        <v>0</v>
      </c>
      <c r="K343" s="184">
        <f>SUMIFS(GL_BS!$G:$G,GL_BS!$R:$R,'Global TARF'!$A$325,GL_BS!$S:$S,'Global TARF'!$A343,GL_BS!$A:$A,'Global TARF'!K$8)</f>
        <v>0</v>
      </c>
      <c r="L343" s="184">
        <f>SUMIFS(GL_BS!$G:$G,GL_BS!$R:$R,'Global TARF'!$A$325,GL_BS!$S:$S,'Global TARF'!$A343,GL_BS!$A:$A,'Global TARF'!L$8)</f>
        <v>0</v>
      </c>
      <c r="M343" s="536">
        <f>SUMIFS(GL_BS!$G:$G,GL_BS!$R:$R,'Global TARF'!$A$325,GL_BS!$S:$S,'Global TARF'!$A343,GL_BS!$A:$A,'Global TARF'!M$8)</f>
        <v>0</v>
      </c>
      <c r="N343" s="555"/>
      <c r="O343" s="18"/>
      <c r="P343" s="545">
        <f>SUMIFS(GL_PL!$G:$G,GL_PL!$Q:$Q,'Global TARF'!$A$325,GL_PL!$R:$R,'Global TARF'!$A343,GL_PL!$A:$A,'Global TARF'!P$8)</f>
        <v>0</v>
      </c>
      <c r="Q343" s="184">
        <f>SUMIFS(GL_PL!$G:$G,GL_PL!$Q:$Q,'Global TARF'!$A$325,GL_PL!$R:$R,'Global TARF'!$A343,GL_PL!$A:$A,'Global TARF'!Q$8)</f>
        <v>0</v>
      </c>
      <c r="R343" s="184">
        <f>SUMIFS(GL_PL!$G:$G,GL_PL!$Q:$Q,'Global TARF'!$A$325,GL_PL!$R:$R,'Global TARF'!$A343,GL_PL!$A:$A,'Global TARF'!R$8)</f>
        <v>0</v>
      </c>
      <c r="S343" s="536">
        <f>SUMIFS(GL_PL!$G:$G,GL_PL!$Q:$Q,'Global TARF'!$A$325,GL_PL!$R:$R,'Global TARF'!$A343,GL_PL!$A:$A,'Global TARF'!S$8)</f>
        <v>0</v>
      </c>
      <c r="T343"/>
      <c r="Z343" s="582"/>
    </row>
    <row r="344" spans="1:26" x14ac:dyDescent="0.2">
      <c r="A344" s="534" t="s">
        <v>799</v>
      </c>
      <c r="B344" s="184">
        <f>SUMIFS(GL_BS!$G:$G,GL_BS!$R:$R,'Global TARF'!$A$325,GL_BS!$S:$S,'Global TARF'!$A344,GL_BS!$A:$A,'Global TARF'!B$38)</f>
        <v>0</v>
      </c>
      <c r="C344" s="184">
        <f>SUMIFS(GL_BS!$G:$G,GL_BS!$R:$R,'Global TARF'!$A$325,GL_BS!$S:$S,'Global TARF'!$A344,GL_BS!$A:$A,'Global TARF'!C$8)</f>
        <v>0</v>
      </c>
      <c r="D344" s="184">
        <f>SUMIFS(GL_BS!$G:$G,GL_BS!$R:$R,'Global TARF'!$A$325,GL_BS!$S:$S,'Global TARF'!$A344,GL_BS!$A:$A,'Global TARF'!D$8)</f>
        <v>0</v>
      </c>
      <c r="E344" s="184">
        <f>SUMIFS(GL_BS!$G:$G,GL_BS!$R:$R,'Global TARF'!$A$325,GL_BS!$S:$S,'Global TARF'!$A344,GL_BS!$A:$A,'Global TARF'!E$8)</f>
        <v>0</v>
      </c>
      <c r="F344" s="184">
        <f>SUMIFS(GL_BS!$G:$G,GL_BS!$R:$R,'Global TARF'!$A$325,GL_BS!$S:$S,'Global TARF'!$A344,GL_BS!$A:$A,'Global TARF'!F$8)</f>
        <v>0</v>
      </c>
      <c r="G344" s="536">
        <f>SUMIFS(GL_BS!$G:$G,GL_BS!$R:$R,'Global TARF'!$A$325,GL_BS!$S:$S,'Global TARF'!$A344,GL_BS!$A:$A,'Global TARF'!G$8)</f>
        <v>0</v>
      </c>
      <c r="H344" s="545">
        <f>SUMIFS(GL_BS!$G:$G,GL_BS!$R:$R,'Global TARF'!$A$325,GL_BS!$S:$S,'Global TARF'!$A344,GL_BS!$A:$A,'Global TARF'!H$8)</f>
        <v>0</v>
      </c>
      <c r="I344" s="184">
        <f>SUMIFS(GL_BS!$G:$G,GL_BS!$R:$R,'Global TARF'!$A$325,GL_BS!$S:$S,'Global TARF'!$A344,GL_BS!$A:$A,'Global TARF'!I$8)</f>
        <v>0</v>
      </c>
      <c r="J344" s="184">
        <f>SUMIFS(GL_BS!$G:$G,GL_BS!$R:$R,'Global TARF'!$A$325,GL_BS!$S:$S,'Global TARF'!$A344,GL_BS!$A:$A,'Global TARF'!J$8)</f>
        <v>0</v>
      </c>
      <c r="K344" s="184">
        <f>SUMIFS(GL_BS!$G:$G,GL_BS!$R:$R,'Global TARF'!$A$325,GL_BS!$S:$S,'Global TARF'!$A344,GL_BS!$A:$A,'Global TARF'!K$8)</f>
        <v>0</v>
      </c>
      <c r="L344" s="184">
        <f>SUMIFS(GL_BS!$G:$G,GL_BS!$R:$R,'Global TARF'!$A$325,GL_BS!$S:$S,'Global TARF'!$A344,GL_BS!$A:$A,'Global TARF'!L$8)</f>
        <v>0</v>
      </c>
      <c r="M344" s="536">
        <f>SUMIFS(GL_BS!$G:$G,GL_BS!$R:$R,'Global TARF'!$A$325,GL_BS!$S:$S,'Global TARF'!$A344,GL_BS!$A:$A,'Global TARF'!M$8)</f>
        <v>0</v>
      </c>
      <c r="N344" s="555"/>
      <c r="O344" s="18"/>
      <c r="P344" s="545">
        <f>SUMIFS(GL_PL!$G:$G,GL_PL!$Q:$Q,'Global TARF'!$A$325,GL_PL!$R:$R,'Global TARF'!$A344,GL_PL!$A:$A,'Global TARF'!P$8)</f>
        <v>0</v>
      </c>
      <c r="Q344" s="184">
        <f>SUMIFS(GL_PL!$G:$G,GL_PL!$Q:$Q,'Global TARF'!$A$325,GL_PL!$R:$R,'Global TARF'!$A344,GL_PL!$A:$A,'Global TARF'!Q$8)</f>
        <v>0</v>
      </c>
      <c r="R344" s="184">
        <f>SUMIFS(GL_PL!$G:$G,GL_PL!$Q:$Q,'Global TARF'!$A$325,GL_PL!$R:$R,'Global TARF'!$A344,GL_PL!$A:$A,'Global TARF'!R$8)</f>
        <v>0</v>
      </c>
      <c r="S344" s="536">
        <f>SUMIFS(GL_PL!$G:$G,GL_PL!$Q:$Q,'Global TARF'!$A$325,GL_PL!$R:$R,'Global TARF'!$A344,GL_PL!$A:$A,'Global TARF'!S$8)</f>
        <v>0</v>
      </c>
      <c r="T344"/>
      <c r="Z344" s="582"/>
    </row>
    <row r="345" spans="1:26" x14ac:dyDescent="0.2">
      <c r="A345" s="534" t="s">
        <v>3845</v>
      </c>
      <c r="B345" s="184">
        <f>SUMIFS(GL_BS!$G:$G,GL_BS!$R:$R,'Global TARF'!$A$325,GL_BS!$S:$S,'Global TARF'!$A345,GL_BS!$A:$A,'Global TARF'!B$38)</f>
        <v>0</v>
      </c>
      <c r="C345" s="184">
        <f>SUMIFS(GL_BS!$G:$G,GL_BS!$R:$R,'Global TARF'!$A$325,GL_BS!$S:$S,'Global TARF'!$A345,GL_BS!$A:$A,'Global TARF'!C$8)</f>
        <v>0</v>
      </c>
      <c r="D345" s="184">
        <f>SUMIFS(GL_BS!$G:$G,GL_BS!$R:$R,'Global TARF'!$A$325,GL_BS!$S:$S,'Global TARF'!$A345,GL_BS!$A:$A,'Global TARF'!D$8)</f>
        <v>0</v>
      </c>
      <c r="E345" s="184">
        <f>SUMIFS(GL_BS!$G:$G,GL_BS!$R:$R,'Global TARF'!$A$325,GL_BS!$S:$S,'Global TARF'!$A345,GL_BS!$A:$A,'Global TARF'!E$8)</f>
        <v>0</v>
      </c>
      <c r="F345" s="184">
        <f>SUMIFS(GL_BS!$G:$G,GL_BS!$R:$R,'Global TARF'!$A$325,GL_BS!$S:$S,'Global TARF'!$A345,GL_BS!$A:$A,'Global TARF'!F$8)</f>
        <v>0</v>
      </c>
      <c r="G345" s="536">
        <f>SUMIFS(GL_BS!$G:$G,GL_BS!$R:$R,'Global TARF'!$A$325,GL_BS!$S:$S,'Global TARF'!$A345,GL_BS!$A:$A,'Global TARF'!G$8)</f>
        <v>0</v>
      </c>
      <c r="H345" s="545">
        <f>SUMIFS(GL_BS!$G:$G,GL_BS!$R:$R,'Global TARF'!$A$325,GL_BS!$S:$S,'Global TARF'!$A345,GL_BS!$A:$A,'Global TARF'!H$8)</f>
        <v>0</v>
      </c>
      <c r="I345" s="184">
        <f>SUMIFS(GL_BS!$G:$G,GL_BS!$R:$R,'Global TARF'!$A$325,GL_BS!$S:$S,'Global TARF'!$A345,GL_BS!$A:$A,'Global TARF'!I$8)</f>
        <v>0</v>
      </c>
      <c r="J345" s="184">
        <f>SUMIFS(GL_BS!$G:$G,GL_BS!$R:$R,'Global TARF'!$A$325,GL_BS!$S:$S,'Global TARF'!$A345,GL_BS!$A:$A,'Global TARF'!J$8)</f>
        <v>0</v>
      </c>
      <c r="K345" s="184">
        <f>SUMIFS(GL_BS!$G:$G,GL_BS!$R:$R,'Global TARF'!$A$325,GL_BS!$S:$S,'Global TARF'!$A345,GL_BS!$A:$A,'Global TARF'!K$8)</f>
        <v>0</v>
      </c>
      <c r="L345" s="184">
        <f>SUMIFS(GL_BS!$G:$G,GL_BS!$R:$R,'Global TARF'!$A$325,GL_BS!$S:$S,'Global TARF'!$A345,GL_BS!$A:$A,'Global TARF'!L$8)</f>
        <v>0</v>
      </c>
      <c r="M345" s="536">
        <f>SUMIFS(GL_BS!$G:$G,GL_BS!$R:$R,'Global TARF'!$A$325,GL_BS!$S:$S,'Global TARF'!$A345,GL_BS!$A:$A,'Global TARF'!M$8)</f>
        <v>0</v>
      </c>
      <c r="N345" s="555">
        <f>SUMIFS(GL_BS!$G:$G,GL_BS!$R:$R,'Global TARF'!$A$325,GL_BS!$S:$S,'Global TARF'!$A345,GL_BS!$A:$A,'Global TARF'!N$8)</f>
        <v>0</v>
      </c>
      <c r="O345" s="18">
        <f>SUMIFS(GL_BS!$G:$G,GL_BS!$R:$R,'Global TARF'!$A$325,GL_BS!$S:$S,'Global TARF'!$A345,GL_BS!$A:$A,'Global TARF'!O$8)</f>
        <v>0</v>
      </c>
      <c r="P345" s="545">
        <f>SUMIFS(GL_PL!$G:$G,GL_PL!$Q:$Q,'Global TARF'!$A$325,GL_PL!$R:$R,'Global TARF'!$A345,GL_PL!$A:$A,'Global TARF'!P$8)</f>
        <v>0</v>
      </c>
      <c r="Q345" s="184">
        <f>SUMIFS(GL_PL!$G:$G,GL_PL!$Q:$Q,'Global TARF'!$A$325,GL_PL!$R:$R,'Global TARF'!$A345,GL_PL!$A:$A,'Global TARF'!Q$8)</f>
        <v>0</v>
      </c>
      <c r="R345" s="184">
        <f>SUMIFS(GL_PL!$G:$G,GL_PL!$Q:$Q,'Global TARF'!$A$325,GL_PL!$R:$R,'Global TARF'!$A345,GL_PL!$A:$A,'Global TARF'!R$8)</f>
        <v>0</v>
      </c>
      <c r="S345" s="536">
        <f>SUMIFS(GL_PL!$G:$G,GL_PL!$Q:$Q,'Global TARF'!$A$325,GL_PL!$R:$R,'Global TARF'!$A345,GL_PL!$A:$A,'Global TARF'!S$8)</f>
        <v>0</v>
      </c>
      <c r="T345"/>
      <c r="Z345" s="582">
        <f t="shared" si="159"/>
        <v>0</v>
      </c>
    </row>
    <row r="346" spans="1:26" x14ac:dyDescent="0.2">
      <c r="A346" s="534" t="s">
        <v>792</v>
      </c>
      <c r="B346" s="184">
        <f>SUMIFS(GL_BS!$G:$G,GL_BS!$R:$R,'Global TARF'!$A$325,GL_BS!$S:$S,'Global TARF'!$A346,GL_BS!$A:$A,'Global TARF'!B$38)</f>
        <v>0</v>
      </c>
      <c r="C346" s="184">
        <f>SUMIFS(GL_BS!$G:$G,GL_BS!$R:$R,'Global TARF'!$A$325,GL_BS!$S:$S,'Global TARF'!$A346,GL_BS!$A:$A,'Global TARF'!C$8)</f>
        <v>0</v>
      </c>
      <c r="D346" s="184">
        <f>SUMIFS(GL_BS!$G:$G,GL_BS!$R:$R,'Global TARF'!$A$325,GL_BS!$S:$S,'Global TARF'!$A346,GL_BS!$A:$A,'Global TARF'!D$8)</f>
        <v>0</v>
      </c>
      <c r="E346" s="184">
        <f>SUMIFS(GL_BS!$G:$G,GL_BS!$R:$R,'Global TARF'!$A$325,GL_BS!$S:$S,'Global TARF'!$A346,GL_BS!$A:$A,'Global TARF'!E$8)</f>
        <v>0</v>
      </c>
      <c r="F346" s="184">
        <f>SUMIFS(GL_BS!$G:$G,GL_BS!$R:$R,'Global TARF'!$A$325,GL_BS!$S:$S,'Global TARF'!$A346,GL_BS!$A:$A,'Global TARF'!F$8)</f>
        <v>0</v>
      </c>
      <c r="G346" s="536">
        <f>SUMIFS(GL_BS!$G:$G,GL_BS!$R:$R,'Global TARF'!$A$325,GL_BS!$S:$S,'Global TARF'!$A346,GL_BS!$A:$A,'Global TARF'!G$8)</f>
        <v>0</v>
      </c>
      <c r="H346" s="545">
        <f>SUMIFS(GL_BS!$G:$G,GL_BS!$R:$R,'Global TARF'!$A$325,GL_BS!$S:$S,'Global TARF'!$A346,GL_BS!$A:$A,'Global TARF'!H$8)</f>
        <v>0</v>
      </c>
      <c r="I346" s="184">
        <f>SUMIFS(GL_BS!$G:$G,GL_BS!$R:$R,'Global TARF'!$A$325,GL_BS!$S:$S,'Global TARF'!$A346,GL_BS!$A:$A,'Global TARF'!I$8)</f>
        <v>0</v>
      </c>
      <c r="J346" s="184">
        <f>SUMIFS(GL_BS!$G:$G,GL_BS!$R:$R,'Global TARF'!$A$325,GL_BS!$S:$S,'Global TARF'!$A346,GL_BS!$A:$A,'Global TARF'!J$8)</f>
        <v>0</v>
      </c>
      <c r="K346" s="184">
        <f>SUMIFS(GL_BS!$G:$G,GL_BS!$R:$R,'Global TARF'!$A$325,GL_BS!$S:$S,'Global TARF'!$A346,GL_BS!$A:$A,'Global TARF'!K$8)</f>
        <v>0</v>
      </c>
      <c r="L346" s="184">
        <f>SUMIFS(GL_BS!$G:$G,GL_BS!$R:$R,'Global TARF'!$A$325,GL_BS!$S:$S,'Global TARF'!$A346,GL_BS!$A:$A,'Global TARF'!L$8)</f>
        <v>0</v>
      </c>
      <c r="M346" s="536">
        <f>SUMIFS(GL_BS!$G:$G,GL_BS!$R:$R,'Global TARF'!$A$325,GL_BS!$S:$S,'Global TARF'!$A346,GL_BS!$A:$A,'Global TARF'!M$8)</f>
        <v>0</v>
      </c>
      <c r="N346" s="555">
        <f>SUMIFS(GL_BS!$G:$G,GL_BS!$R:$R,'Global TARF'!$A$325,GL_BS!$S:$S,'Global TARF'!$A346,GL_BS!$A:$A,'Global TARF'!N$8)</f>
        <v>0</v>
      </c>
      <c r="O346" s="18">
        <f>SUMIFS(GL_BS!$G:$G,GL_BS!$R:$R,'Global TARF'!$A$325,GL_BS!$S:$S,'Global TARF'!$A346,GL_BS!$A:$A,'Global TARF'!O$8)</f>
        <v>0</v>
      </c>
      <c r="P346" s="545">
        <f>SUMIFS(GL_PL!$G:$G,GL_PL!$Q:$Q,'Global TARF'!$A$325,GL_PL!$R:$R,'Global TARF'!$A346,GL_PL!$A:$A,'Global TARF'!P$8)</f>
        <v>0</v>
      </c>
      <c r="Q346" s="184">
        <f>SUMIFS(GL_PL!$G:$G,GL_PL!$Q:$Q,'Global TARF'!$A$325,GL_PL!$R:$R,'Global TARF'!$A346,GL_PL!$A:$A,'Global TARF'!Q$8)</f>
        <v>0</v>
      </c>
      <c r="R346" s="184">
        <f>SUMIFS(GL_PL!$G:$G,GL_PL!$Q:$Q,'Global TARF'!$A$325,GL_PL!$R:$R,'Global TARF'!$A346,GL_PL!$A:$A,'Global TARF'!R$8)</f>
        <v>0</v>
      </c>
      <c r="S346" s="536">
        <f>SUMIFS(GL_PL!$G:$G,GL_PL!$Q:$Q,'Global TARF'!$A$325,GL_PL!$R:$R,'Global TARF'!$A346,GL_PL!$A:$A,'Global TARF'!S$8)</f>
        <v>0</v>
      </c>
      <c r="T346"/>
      <c r="V346" s="26">
        <f>-SUM(Q346,B346)</f>
        <v>0</v>
      </c>
      <c r="Z346" s="582">
        <f t="shared" si="159"/>
        <v>0</v>
      </c>
    </row>
    <row r="347" spans="1:26" x14ac:dyDescent="0.2">
      <c r="A347" s="534" t="s">
        <v>791</v>
      </c>
      <c r="B347" s="184">
        <f>SUMIFS(GL_BS!$G:$G,GL_BS!$R:$R,'Global TARF'!$A$325,GL_BS!$S:$S,'Global TARF'!$A347,GL_BS!$A:$A,'Global TARF'!B$38)</f>
        <v>0</v>
      </c>
      <c r="C347" s="184">
        <f>SUMIFS(GL_BS!$G:$G,GL_BS!$R:$R,'Global TARF'!$A$325,GL_BS!$S:$S,'Global TARF'!$A347,GL_BS!$A:$A,'Global TARF'!C$8)</f>
        <v>0</v>
      </c>
      <c r="D347" s="184">
        <f>SUMIFS(GL_BS!$G:$G,GL_BS!$R:$R,'Global TARF'!$A$325,GL_BS!$S:$S,'Global TARF'!$A347,GL_BS!$A:$A,'Global TARF'!D$8)</f>
        <v>0</v>
      </c>
      <c r="E347" s="184">
        <f>SUMIFS(GL_BS!$G:$G,GL_BS!$R:$R,'Global TARF'!$A$325,GL_BS!$S:$S,'Global TARF'!$A347,GL_BS!$A:$A,'Global TARF'!E$8)</f>
        <v>0</v>
      </c>
      <c r="F347" s="184">
        <f>SUMIFS(GL_BS!$G:$G,GL_BS!$R:$R,'Global TARF'!$A$325,GL_BS!$S:$S,'Global TARF'!$A347,GL_BS!$A:$A,'Global TARF'!F$8)</f>
        <v>0</v>
      </c>
      <c r="G347" s="536">
        <f>SUMIFS(GL_BS!$G:$G,GL_BS!$R:$R,'Global TARF'!$A$325,GL_BS!$S:$S,'Global TARF'!$A347,GL_BS!$A:$A,'Global TARF'!G$8)</f>
        <v>0</v>
      </c>
      <c r="H347" s="545">
        <f>SUMIFS(GL_BS!$G:$G,GL_BS!$R:$R,'Global TARF'!$A$325,GL_BS!$S:$S,'Global TARF'!$A347,GL_BS!$A:$A,'Global TARF'!H$8)</f>
        <v>0</v>
      </c>
      <c r="I347" s="184">
        <f>SUMIFS(GL_BS!$G:$G,GL_BS!$R:$R,'Global TARF'!$A$325,GL_BS!$S:$S,'Global TARF'!$A347,GL_BS!$A:$A,'Global TARF'!I$8)</f>
        <v>0</v>
      </c>
      <c r="J347" s="184">
        <f>SUMIFS(GL_BS!$G:$G,GL_BS!$R:$R,'Global TARF'!$A$325,GL_BS!$S:$S,'Global TARF'!$A347,GL_BS!$A:$A,'Global TARF'!J$8)</f>
        <v>0</v>
      </c>
      <c r="K347" s="184">
        <f>SUMIFS(GL_BS!$G:$G,GL_BS!$R:$R,'Global TARF'!$A$325,GL_BS!$S:$S,'Global TARF'!$A347,GL_BS!$A:$A,'Global TARF'!K$8)</f>
        <v>0</v>
      </c>
      <c r="L347" s="184">
        <f>SUMIFS(GL_BS!$G:$G,GL_BS!$R:$R,'Global TARF'!$A$325,GL_BS!$S:$S,'Global TARF'!$A347,GL_BS!$A:$A,'Global TARF'!L$8)</f>
        <v>0</v>
      </c>
      <c r="M347" s="536">
        <f>SUMIFS(GL_BS!$G:$G,GL_BS!$R:$R,'Global TARF'!$A$325,GL_BS!$S:$S,'Global TARF'!$A347,GL_BS!$A:$A,'Global TARF'!M$8)</f>
        <v>0</v>
      </c>
      <c r="N347" s="555">
        <f>SUMIFS(GL_BS!$G:$G,GL_BS!$R:$R,'Global TARF'!$A$325,GL_BS!$S:$S,'Global TARF'!$A347,GL_BS!$A:$A,'Global TARF'!N$8)</f>
        <v>0</v>
      </c>
      <c r="O347" s="18">
        <f>SUMIFS(GL_BS!$G:$G,GL_BS!$R:$R,'Global TARF'!$A$325,GL_BS!$S:$S,'Global TARF'!$A347,GL_BS!$A:$A,'Global TARF'!O$8)</f>
        <v>0</v>
      </c>
      <c r="P347" s="545">
        <f>SUMIFS(GL_PL!$G:$G,GL_PL!$Q:$Q,'Global TARF'!$A$325,GL_PL!$R:$R,'Global TARF'!$A347,GL_PL!$A:$A,'Global TARF'!P$8)</f>
        <v>0</v>
      </c>
      <c r="Q347" s="184">
        <f>SUMIFS(GL_PL!$G:$G,GL_PL!$Q:$Q,'Global TARF'!$A$325,GL_PL!$R:$R,'Global TARF'!$A347,GL_PL!$A:$A,'Global TARF'!Q$8)</f>
        <v>0</v>
      </c>
      <c r="R347" s="184">
        <f>SUMIFS(GL_PL!$G:$G,GL_PL!$Q:$Q,'Global TARF'!$A$325,GL_PL!$R:$R,'Global TARF'!$A347,GL_PL!$A:$A,'Global TARF'!R$8)</f>
        <v>0</v>
      </c>
      <c r="S347" s="536">
        <f>SUMIFS(GL_PL!$G:$G,GL_PL!$Q:$Q,'Global TARF'!$A$325,GL_PL!$R:$R,'Global TARF'!$A347,GL_PL!$A:$A,'Global TARF'!S$8)</f>
        <v>0</v>
      </c>
      <c r="T347" s="26">
        <f>-SUM(P347:R347)</f>
        <v>0</v>
      </c>
      <c r="U347" s="26"/>
      <c r="Z347" s="582">
        <f t="shared" si="159"/>
        <v>0</v>
      </c>
    </row>
    <row r="348" spans="1:26" x14ac:dyDescent="0.2">
      <c r="A348" s="534" t="s">
        <v>243</v>
      </c>
      <c r="B348" s="184">
        <f>SUMIFS(GL_BS!$G:$G,GL_BS!$R:$R,'Global TARF'!$A$325,GL_BS!$S:$S,'Global TARF'!$A348,GL_BS!$A:$A,'Global TARF'!B$38)</f>
        <v>0</v>
      </c>
      <c r="C348" s="184">
        <f>SUMIFS(GL_BS!$G:$G,GL_BS!$R:$R,'Global TARF'!$A$325,GL_BS!$S:$S,'Global TARF'!$A348,GL_BS!$A:$A,'Global TARF'!C$8)</f>
        <v>0</v>
      </c>
      <c r="D348" s="184">
        <f>SUMIFS(GL_BS!$G:$G,GL_BS!$R:$R,'Global TARF'!$A$325,GL_BS!$S:$S,'Global TARF'!$A348,GL_BS!$A:$A,'Global TARF'!D$8)</f>
        <v>0</v>
      </c>
      <c r="E348" s="184">
        <f>SUMIFS(GL_BS!$G:$G,GL_BS!$R:$R,'Global TARF'!$A$325,GL_BS!$S:$S,'Global TARF'!$A348,GL_BS!$A:$A,'Global TARF'!E$8)</f>
        <v>0</v>
      </c>
      <c r="F348" s="184">
        <f>SUMIFS(GL_BS!$G:$G,GL_BS!$R:$R,'Global TARF'!$A$325,GL_BS!$S:$S,'Global TARF'!$A348,GL_BS!$A:$A,'Global TARF'!F$8)</f>
        <v>0</v>
      </c>
      <c r="G348" s="536">
        <f>SUMIFS(GL_BS!$G:$G,GL_BS!$R:$R,'Global TARF'!$A$325,GL_BS!$S:$S,'Global TARF'!$A348,GL_BS!$A:$A,'Global TARF'!G$8)</f>
        <v>0</v>
      </c>
      <c r="H348" s="545">
        <f>SUMIFS(GL_BS!$G:$G,GL_BS!$R:$R,'Global TARF'!$A$325,GL_BS!$S:$S,'Global TARF'!$A348,GL_BS!$A:$A,'Global TARF'!H$8)</f>
        <v>0</v>
      </c>
      <c r="I348" s="184">
        <f>SUMIFS(GL_BS!$G:$G,GL_BS!$R:$R,'Global TARF'!$A$325,GL_BS!$S:$S,'Global TARF'!$A348,GL_BS!$A:$A,'Global TARF'!I$8)</f>
        <v>0</v>
      </c>
      <c r="J348" s="184">
        <f>SUMIFS(GL_BS!$G:$G,GL_BS!$R:$R,'Global TARF'!$A$325,GL_BS!$S:$S,'Global TARF'!$A348,GL_BS!$A:$A,'Global TARF'!J$8)</f>
        <v>0</v>
      </c>
      <c r="K348" s="184">
        <f>SUMIFS(GL_BS!$G:$G,GL_BS!$R:$R,'Global TARF'!$A$325,GL_BS!$S:$S,'Global TARF'!$A348,GL_BS!$A:$A,'Global TARF'!K$8)</f>
        <v>0</v>
      </c>
      <c r="L348" s="184">
        <f>SUMIFS(GL_BS!$G:$G,GL_BS!$R:$R,'Global TARF'!$A$325,GL_BS!$S:$S,'Global TARF'!$A348,GL_BS!$A:$A,'Global TARF'!L$8)</f>
        <v>0</v>
      </c>
      <c r="M348" s="536">
        <f>SUMIFS(GL_BS!$G:$G,GL_BS!$R:$R,'Global TARF'!$A$325,GL_BS!$S:$S,'Global TARF'!$A348,GL_BS!$A:$A,'Global TARF'!M$8)</f>
        <v>0</v>
      </c>
      <c r="N348" s="555">
        <f>SUMIFS(GL_BS!$G:$G,GL_BS!$R:$R,'Global TARF'!$A$325,GL_BS!$S:$S,'Global TARF'!$A348,GL_BS!$A:$A,'Global TARF'!N$8)</f>
        <v>0</v>
      </c>
      <c r="O348" s="18">
        <f>SUMIFS(GL_BS!$G:$G,GL_BS!$R:$R,'Global TARF'!$A$325,GL_BS!$S:$S,'Global TARF'!$A348,GL_BS!$A:$A,'Global TARF'!O$8)</f>
        <v>0</v>
      </c>
      <c r="P348" s="545">
        <f>SUMIFS(GL_PL!$G:$G,GL_PL!$Q:$Q,'Global TARF'!$A$325,GL_PL!$R:$R,'Global TARF'!$A348,GL_PL!$A:$A,'Global TARF'!P$8)</f>
        <v>0</v>
      </c>
      <c r="Q348" s="184">
        <f>SUMIFS(GL_PL!$G:$G,GL_PL!$Q:$Q,'Global TARF'!$A$325,GL_PL!$R:$R,'Global TARF'!$A348,GL_PL!$A:$A,'Global TARF'!Q$8)</f>
        <v>0</v>
      </c>
      <c r="R348" s="184">
        <f>SUMIFS(GL_PL!$G:$G,GL_PL!$Q:$Q,'Global TARF'!$A$325,GL_PL!$R:$R,'Global TARF'!$A348,GL_PL!$A:$A,'Global TARF'!R$8)</f>
        <v>0</v>
      </c>
      <c r="S348" s="536">
        <f>SUMIFS(GL_PL!$G:$G,GL_PL!$Q:$Q,'Global TARF'!$A$325,GL_PL!$R:$R,'Global TARF'!$A348,GL_PL!$A:$A,'Global TARF'!S$8)</f>
        <v>0</v>
      </c>
      <c r="T348"/>
      <c r="Z348" s="582">
        <f t="shared" si="159"/>
        <v>0</v>
      </c>
    </row>
    <row r="349" spans="1:26" x14ac:dyDescent="0.2">
      <c r="A349" s="534" t="s">
        <v>795</v>
      </c>
      <c r="B349" s="184">
        <f>SUMIFS(GL_BS!$G:$G,GL_BS!$R:$R,'Global TARF'!$A$325,GL_BS!$S:$S,'Global TARF'!$A349,GL_BS!$A:$A,'Global TARF'!B$38)</f>
        <v>0</v>
      </c>
      <c r="C349" s="184">
        <f>SUMIFS(GL_BS!$G:$G,GL_BS!$R:$R,'Global TARF'!$A$325,GL_BS!$S:$S,'Global TARF'!$A349,GL_BS!$A:$A,'Global TARF'!C$8)</f>
        <v>0</v>
      </c>
      <c r="D349" s="184">
        <f>SUMIFS(GL_BS!$G:$G,GL_BS!$R:$R,'Global TARF'!$A$325,GL_BS!$S:$S,'Global TARF'!$A349,GL_BS!$A:$A,'Global TARF'!D$8)</f>
        <v>0</v>
      </c>
      <c r="E349" s="184">
        <f>SUMIFS(GL_BS!$G:$G,GL_BS!$R:$R,'Global TARF'!$A$325,GL_BS!$S:$S,'Global TARF'!$A349,GL_BS!$A:$A,'Global TARF'!E$8)</f>
        <v>0</v>
      </c>
      <c r="F349" s="184">
        <f>SUMIFS(GL_BS!$G:$G,GL_BS!$R:$R,'Global TARF'!$A$325,GL_BS!$S:$S,'Global TARF'!$A349,GL_BS!$A:$A,'Global TARF'!F$8)</f>
        <v>0</v>
      </c>
      <c r="G349" s="536">
        <f>SUMIFS(GL_BS!$G:$G,GL_BS!$R:$R,'Global TARF'!$A$325,GL_BS!$S:$S,'Global TARF'!$A349,GL_BS!$A:$A,'Global TARF'!G$8)</f>
        <v>0</v>
      </c>
      <c r="H349" s="545">
        <f>SUMIFS(GL_BS!$G:$G,GL_BS!$R:$R,'Global TARF'!$A$325,GL_BS!$S:$S,'Global TARF'!$A349,GL_BS!$A:$A,'Global TARF'!H$8)</f>
        <v>0</v>
      </c>
      <c r="I349" s="184">
        <f>SUMIFS(GL_BS!$G:$G,GL_BS!$R:$R,'Global TARF'!$A$325,GL_BS!$S:$S,'Global TARF'!$A349,GL_BS!$A:$A,'Global TARF'!I$8)</f>
        <v>0</v>
      </c>
      <c r="J349" s="184">
        <f>SUMIFS(GL_BS!$G:$G,GL_BS!$R:$R,'Global TARF'!$A$325,GL_BS!$S:$S,'Global TARF'!$A349,GL_BS!$A:$A,'Global TARF'!J$8)</f>
        <v>0</v>
      </c>
      <c r="K349" s="184">
        <f>SUMIFS(GL_BS!$G:$G,GL_BS!$R:$R,'Global TARF'!$A$325,GL_BS!$S:$S,'Global TARF'!$A349,GL_BS!$A:$A,'Global TARF'!K$8)</f>
        <v>0</v>
      </c>
      <c r="L349" s="184">
        <f>SUMIFS(GL_BS!$G:$G,GL_BS!$R:$R,'Global TARF'!$A$325,GL_BS!$S:$S,'Global TARF'!$A349,GL_BS!$A:$A,'Global TARF'!L$8)</f>
        <v>0</v>
      </c>
      <c r="M349" s="536">
        <f>SUMIFS(GL_BS!$G:$G,GL_BS!$R:$R,'Global TARF'!$A$325,GL_BS!$S:$S,'Global TARF'!$A349,GL_BS!$A:$A,'Global TARF'!M$8)</f>
        <v>0</v>
      </c>
      <c r="N349" s="555">
        <f>SUMIFS(GL_BS!$G:$G,GL_BS!$R:$R,'Global TARF'!$A$325,GL_BS!$S:$S,'Global TARF'!$A349,GL_BS!$A:$A,'Global TARF'!N$8)</f>
        <v>0</v>
      </c>
      <c r="O349" s="18">
        <f>SUMIFS(GL_BS!$G:$G,GL_BS!$R:$R,'Global TARF'!$A$325,GL_BS!$S:$S,'Global TARF'!$A349,GL_BS!$A:$A,'Global TARF'!O$8)</f>
        <v>0</v>
      </c>
      <c r="P349" s="545">
        <f>SUMIFS(GL_PL!$G:$G,GL_PL!$Q:$Q,'Global TARF'!$A$325,GL_PL!$R:$R,'Global TARF'!$A349,GL_PL!$A:$A,'Global TARF'!P$8)</f>
        <v>0</v>
      </c>
      <c r="Q349" s="184">
        <f>SUMIFS(GL_PL!$G:$G,GL_PL!$Q:$Q,'Global TARF'!$A$325,GL_PL!$R:$R,'Global TARF'!$A349,GL_PL!$A:$A,'Global TARF'!Q$8)</f>
        <v>0</v>
      </c>
      <c r="R349" s="184">
        <f>SUMIFS(GL_PL!$G:$G,GL_PL!$Q:$Q,'Global TARF'!$A$325,GL_PL!$R:$R,'Global TARF'!$A349,GL_PL!$A:$A,'Global TARF'!R$8)</f>
        <v>0</v>
      </c>
      <c r="S349" s="536">
        <f>SUMIFS(GL_PL!$G:$G,GL_PL!$Q:$Q,'Global TARF'!$A$325,GL_PL!$R:$R,'Global TARF'!$A349,GL_PL!$A:$A,'Global TARF'!S$8)</f>
        <v>0</v>
      </c>
      <c r="T349" s="26">
        <f>-SUM(P349:R349)</f>
        <v>0</v>
      </c>
      <c r="U349" s="26"/>
      <c r="Z349" s="582">
        <f t="shared" si="159"/>
        <v>0</v>
      </c>
    </row>
    <row r="350" spans="1:26" ht="10.5" thickBot="1" x14ac:dyDescent="0.25">
      <c r="A350" s="534" t="s">
        <v>793</v>
      </c>
      <c r="B350" s="184">
        <f>SUMIFS(GL_BS!$G:$G,GL_BS!$R:$R,'Global TARF'!$A$325,GL_BS!$S:$S,'Global TARF'!$A350,GL_BS!$A:$A,'Global TARF'!B$38)</f>
        <v>0</v>
      </c>
      <c r="C350" s="184">
        <f>SUMIFS(GL_BS!$G:$G,GL_BS!$R:$R,'Global TARF'!$A$325,GL_BS!$S:$S,'Global TARF'!$A350,GL_BS!$A:$A,'Global TARF'!C$8)</f>
        <v>0</v>
      </c>
      <c r="D350" s="184">
        <f>SUMIFS(GL_BS!$G:$G,GL_BS!$R:$R,'Global TARF'!$A$325,GL_BS!$S:$S,'Global TARF'!$A350,GL_BS!$A:$A,'Global TARF'!D$8)</f>
        <v>0</v>
      </c>
      <c r="E350" s="184">
        <f>SUMIFS(GL_BS!$G:$G,GL_BS!$R:$R,'Global TARF'!$A$325,GL_BS!$S:$S,'Global TARF'!$A350,GL_BS!$A:$A,'Global TARF'!E$8)</f>
        <v>0</v>
      </c>
      <c r="F350" s="184">
        <f>SUMIFS(GL_BS!$G:$G,GL_BS!$R:$R,'Global TARF'!$A$325,GL_BS!$S:$S,'Global TARF'!$A350,GL_BS!$A:$A,'Global TARF'!F$8)</f>
        <v>0</v>
      </c>
      <c r="G350" s="536">
        <f>SUMIFS(GL_BS!$G:$G,GL_BS!$R:$R,'Global TARF'!$A$325,GL_BS!$S:$S,'Global TARF'!$A350,GL_BS!$A:$A,'Global TARF'!G$8)</f>
        <v>0</v>
      </c>
      <c r="H350" s="545">
        <f>SUMIFS(GL_BS!$G:$G,GL_BS!$R:$R,'Global TARF'!$A$325,GL_BS!$S:$S,'Global TARF'!$A350,GL_BS!$A:$A,'Global TARF'!H$8)</f>
        <v>0</v>
      </c>
      <c r="I350" s="184">
        <f>SUMIFS(GL_BS!$G:$G,GL_BS!$R:$R,'Global TARF'!$A$325,GL_BS!$S:$S,'Global TARF'!$A350,GL_BS!$A:$A,'Global TARF'!I$8)</f>
        <v>0</v>
      </c>
      <c r="J350" s="184">
        <f>SUMIFS(GL_BS!$G:$G,GL_BS!$R:$R,'Global TARF'!$A$325,GL_BS!$S:$S,'Global TARF'!$A350,GL_BS!$A:$A,'Global TARF'!J$8)</f>
        <v>0</v>
      </c>
      <c r="K350" s="184">
        <f>SUMIFS(GL_BS!$G:$G,GL_BS!$R:$R,'Global TARF'!$A$325,GL_BS!$S:$S,'Global TARF'!$A350,GL_BS!$A:$A,'Global TARF'!K$8)</f>
        <v>0</v>
      </c>
      <c r="L350" s="184">
        <f>SUMIFS(GL_BS!$G:$G,GL_BS!$R:$R,'Global TARF'!$A$325,GL_BS!$S:$S,'Global TARF'!$A350,GL_BS!$A:$A,'Global TARF'!L$8)</f>
        <v>0</v>
      </c>
      <c r="M350" s="536">
        <f>SUMIFS(GL_BS!$G:$G,GL_BS!$R:$R,'Global TARF'!$A$325,GL_BS!$S:$S,'Global TARF'!$A350,GL_BS!$A:$A,'Global TARF'!M$8)</f>
        <v>0</v>
      </c>
      <c r="N350" s="555">
        <f>SUMIFS(GL_BS!$G:$G,GL_BS!$R:$R,'Global TARF'!$A$325,GL_BS!$S:$S,'Global TARF'!$A350,GL_BS!$A:$A,'Global TARF'!N$8)</f>
        <v>0</v>
      </c>
      <c r="O350" s="18">
        <f>SUMIFS(GL_BS!$G:$G,GL_BS!$R:$R,'Global TARF'!$A$325,GL_BS!$S:$S,'Global TARF'!$A350,GL_BS!$A:$A,'Global TARF'!O$8)</f>
        <v>0</v>
      </c>
      <c r="P350" s="545">
        <f>SUMIFS(GL_PL!$G:$G,GL_PL!$Q:$Q,'Global TARF'!$A$325,GL_PL!$R:$R,'Global TARF'!$A350,GL_PL!$A:$A,'Global TARF'!P$8)</f>
        <v>0</v>
      </c>
      <c r="Q350" s="184">
        <f>SUMIFS(GL_PL!$G:$G,GL_PL!$Q:$Q,'Global TARF'!$A$325,GL_PL!$R:$R,'Global TARF'!$A350,GL_PL!$A:$A,'Global TARF'!Q$8)</f>
        <v>0</v>
      </c>
      <c r="R350" s="184">
        <f>SUMIFS(GL_PL!$G:$G,GL_PL!$Q:$Q,'Global TARF'!$A$325,GL_PL!$R:$R,'Global TARF'!$A350,GL_PL!$A:$A,'Global TARF'!R$8)</f>
        <v>0</v>
      </c>
      <c r="S350" s="536">
        <f>SUMIFS(GL_PL!$G:$G,GL_PL!$Q:$Q,'Global TARF'!$A$325,GL_PL!$R:$R,'Global TARF'!$A350,GL_PL!$A:$A,'Global TARF'!S$8)</f>
        <v>0</v>
      </c>
      <c r="T350"/>
      <c r="Z350" s="582">
        <f t="shared" si="159"/>
        <v>0</v>
      </c>
    </row>
    <row r="351" spans="1:26" s="23" customFormat="1" ht="10.5" thickBot="1" x14ac:dyDescent="0.25">
      <c r="A351" s="563" t="str">
        <f>$A$34</f>
        <v>Balance as of 06/31/2024</v>
      </c>
      <c r="B351" s="564">
        <f>SUM(B327:B350)</f>
        <v>0</v>
      </c>
      <c r="C351" s="564">
        <f>SUM(C327:C350)</f>
        <v>0</v>
      </c>
      <c r="D351" s="564">
        <f>SUM(D327:D350)</f>
        <v>0</v>
      </c>
      <c r="E351" s="564">
        <f t="shared" ref="E351:T351" si="160">SUM(E327:E350)</f>
        <v>0</v>
      </c>
      <c r="F351" s="564"/>
      <c r="G351" s="566">
        <f t="shared" si="160"/>
        <v>0</v>
      </c>
      <c r="H351" s="565">
        <f t="shared" si="160"/>
        <v>-2540.7085090965552</v>
      </c>
      <c r="I351" s="565">
        <f t="shared" si="160"/>
        <v>0</v>
      </c>
      <c r="J351" s="565">
        <f t="shared" si="160"/>
        <v>0</v>
      </c>
      <c r="K351" s="565">
        <f t="shared" si="160"/>
        <v>0</v>
      </c>
      <c r="L351" s="564">
        <f t="shared" si="160"/>
        <v>0</v>
      </c>
      <c r="M351" s="566">
        <f t="shared" si="160"/>
        <v>0</v>
      </c>
      <c r="N351" s="567" t="e">
        <f t="shared" si="160"/>
        <v>#N/A</v>
      </c>
      <c r="O351" s="564" t="e">
        <f t="shared" si="160"/>
        <v>#N/A</v>
      </c>
      <c r="P351" s="565">
        <f t="shared" si="160"/>
        <v>0</v>
      </c>
      <c r="Q351" s="564">
        <f t="shared" si="160"/>
        <v>0</v>
      </c>
      <c r="R351" s="564">
        <f t="shared" si="160"/>
        <v>2539.4432359052885</v>
      </c>
      <c r="S351" s="566">
        <f t="shared" ref="S351" si="161">SUM(S327:S350)</f>
        <v>0</v>
      </c>
      <c r="T351" s="564">
        <f t="shared" si="160"/>
        <v>0</v>
      </c>
      <c r="U351" s="564"/>
      <c r="V351" s="564"/>
      <c r="W351" s="566"/>
      <c r="X351" s="27"/>
      <c r="Z351" s="583"/>
    </row>
    <row r="352" spans="1:26" x14ac:dyDescent="0.2">
      <c r="A352" s="534"/>
      <c r="B352" s="186">
        <f>IFERROR(INDEX('BS_Q2 24'!$A$9:$O$279,MATCH('Global TARF'!B$8,'BS_Q2 24'!$A$9:$A$279,0),MATCH($A$325,'BS_Q2 24'!$A$8:$O$8)),0)</f>
        <v>0</v>
      </c>
      <c r="C352" s="186">
        <f>IFERROR(INDEX('BS_Q2 24'!$A$9:$O$279,MATCH('Global TARF'!C$8,'BS_Q2 24'!$A$9:$A$279,0),MATCH($A$325,'BS_Q2 24'!$A$8:$O$8)),0)</f>
        <v>0</v>
      </c>
      <c r="D352" s="186">
        <f>IFERROR(INDEX('BS_Q2 24'!$A$9:$O$279,MATCH('Global TARF'!D$8,'BS_Q2 24'!$A$9:$A$279,0),MATCH($A$325,'BS_Q2 24'!$A$8:$O$8)),0)</f>
        <v>0</v>
      </c>
      <c r="E352" s="186">
        <f>IFERROR(INDEX('BS_Q2 24'!$A$9:$O$279,MATCH('Global TARF'!E$8,'BS_Q2 24'!$A$9:$A$279,0),MATCH($A$325,'BS_Q2 24'!$A$8:$O$8)),0)</f>
        <v>0</v>
      </c>
      <c r="F352" s="186">
        <f>IFERROR(INDEX('BS_Q2 24'!$A$9:$O$279,MATCH('Global TARF'!F$8,'BS_Q2 24'!$A$9:$A$279,0),MATCH($A$325,'BS_Q2 24'!$A$8:$O$8)),0)</f>
        <v>0</v>
      </c>
      <c r="G352" s="186">
        <f>IFERROR(INDEX('BS_Q2 24'!$A$9:$O$279,MATCH('Global TARF'!G$8,'BS_Q2 24'!$A$9:$A$279,0),MATCH($A$325,'BS_Q2 24'!$A$8:$O$8)),0)</f>
        <v>0</v>
      </c>
      <c r="H352" s="546">
        <f>-IFERROR(INDEX('BS_Q2 24'!$A$9:$O$279,MATCH('Global TARF'!H$8,'BS_Q2 24'!$A$9:$A$279,0),MATCH($A$325,'BS_Q2 24'!$A$8:$O$8)),0)</f>
        <v>-2540.7085090965552</v>
      </c>
      <c r="I352" s="546">
        <f>-IFERROR(INDEX('BS_Q2 24'!$A$9:$O$279,MATCH('Global TARF'!I$8,'BS_Q2 24'!$A$9:$A$279,0),MATCH($A$325,'BS_Q2 24'!$A$8:$O$8)),0)</f>
        <v>0</v>
      </c>
      <c r="J352" s="546">
        <f>-IFERROR(INDEX('BS_Q2 24'!$A$9:$O$279,MATCH('Global TARF'!J$8,'BS_Q2 24'!$A$9:$A$279,0),MATCH($A$325,'BS_Q2 24'!$A$8:$O$8)),0)</f>
        <v>0</v>
      </c>
      <c r="K352" s="546">
        <f>-IFERROR(INDEX('BS_Q2 24'!$A$9:$O$279,MATCH('Global TARF'!K$8,'BS_Q2 24'!$A$9:$A$279,0),MATCH($A$325,'BS_Q2 24'!$A$8:$O$8)),0)</f>
        <v>0</v>
      </c>
      <c r="L352" s="546">
        <f>-IFERROR(INDEX('BS_Q2 24'!$A$9:$O$279,MATCH('Global TARF'!L$8,'BS_Q2 24'!$A$9:$A$279,0),MATCH($A$325,'BS_Q2 24'!$A$8:$O$8)),0)</f>
        <v>0</v>
      </c>
      <c r="M352" s="546">
        <f>-IFERROR(INDEX('BS_Q2 24'!$A$9:$O$279,MATCH('Global TARF'!M$8,'BS_Q2 24'!$A$9:$A$279,0),MATCH($A$325,'BS_Q2 24'!$A$8:$O$8)),0)</f>
        <v>0</v>
      </c>
      <c r="N352" s="554" t="e">
        <f>-INDEX('BS_Q2 24'!$A$9:$O$118,MATCH('Global TARF'!N$8,'BS_Q2 24'!$A$9:$A$118,0),MATCH($A$101,'BS_Q2 24'!$A$8:$O$8))</f>
        <v>#N/A</v>
      </c>
      <c r="O352" s="24" t="e">
        <f>-INDEX('BS_Q2 24'!$A$9:$O$118,MATCH('Global TARF'!O$8,'BS_Q2 24'!$A$9:$A$118,0),MATCH($A$101,'BS_Q2 24'!$A$8:$O$8))</f>
        <v>#N/A</v>
      </c>
      <c r="P352" s="546">
        <f>-IFERROR(INDEX('IS_Q2 24'!$A$7:$O$700,MATCH('Global TARF'!P$8,'IS_Q2 24'!$A$7:$A$700,0),MATCH($A$325,'IS_Q2 24'!$A$8:$O$8)),0)</f>
        <v>0</v>
      </c>
      <c r="Q352" s="546">
        <f>-IFERROR(INDEX('IS_Q2 24'!$A$7:$O$700,MATCH('Global TARF'!Q$8,'IS_Q2 24'!$A$7:$A$700,0),MATCH($A$325,'IS_Q2 24'!$A$8:$O$8)),0)</f>
        <v>0</v>
      </c>
      <c r="R352" s="546">
        <f>-IFERROR(INDEX('IS_Q2 24'!$A$7:$O$700,MATCH('Global TARF'!R$8,'IS_Q2 24'!$A$7:$A$700,0),MATCH($A$325,'IS_Q2 24'!$A$8:$O$8)),0)</f>
        <v>2539.4432359052885</v>
      </c>
      <c r="S352" s="546">
        <f>-IFERROR(INDEX('IS_Q2 24'!$A$7:$O$700,MATCH('Global TARF'!S$8,'IS_Q2 24'!$A$7:$A$700,0),MATCH($A$325,'IS_Q2 24'!$A$8:$O$8)),0)</f>
        <v>0</v>
      </c>
      <c r="T352"/>
      <c r="Z352" s="580"/>
    </row>
    <row r="353" spans="1:26" x14ac:dyDescent="0.2">
      <c r="A353" s="534"/>
      <c r="B353" t="b">
        <f t="shared" ref="B353:V353" si="162">ROUND(B351,0)=ROUND(B352,0)</f>
        <v>1</v>
      </c>
      <c r="C353" t="b">
        <f t="shared" si="162"/>
        <v>1</v>
      </c>
      <c r="D353" t="b">
        <f t="shared" ref="D353" si="163">ROUND(D351,0)=ROUND(D352,0)</f>
        <v>1</v>
      </c>
      <c r="E353" t="b">
        <f t="shared" si="162"/>
        <v>1</v>
      </c>
      <c r="G353" s="535" t="b">
        <f t="shared" si="162"/>
        <v>1</v>
      </c>
      <c r="H353" s="534" t="b">
        <f t="shared" si="162"/>
        <v>1</v>
      </c>
      <c r="I353" s="534" t="b">
        <f t="shared" si="162"/>
        <v>1</v>
      </c>
      <c r="J353" s="534" t="b">
        <f t="shared" si="162"/>
        <v>1</v>
      </c>
      <c r="K353" s="534" t="b">
        <f t="shared" si="162"/>
        <v>1</v>
      </c>
      <c r="L353" t="b">
        <f t="shared" si="162"/>
        <v>1</v>
      </c>
      <c r="M353" s="535" t="b">
        <f t="shared" si="162"/>
        <v>1</v>
      </c>
      <c r="N353" s="552" t="e">
        <f t="shared" si="162"/>
        <v>#N/A</v>
      </c>
      <c r="O353" t="e">
        <f t="shared" si="162"/>
        <v>#N/A</v>
      </c>
      <c r="P353" s="534" t="b">
        <f t="shared" si="162"/>
        <v>1</v>
      </c>
      <c r="Q353" t="b">
        <f t="shared" si="162"/>
        <v>1</v>
      </c>
      <c r="R353" t="b">
        <f t="shared" si="162"/>
        <v>1</v>
      </c>
      <c r="S353" s="535" t="b">
        <f t="shared" ref="S353" si="164">ROUND(S351,0)=ROUND(S352,0)</f>
        <v>1</v>
      </c>
      <c r="T353" t="b">
        <f t="shared" si="162"/>
        <v>1</v>
      </c>
      <c r="V353" t="b">
        <f t="shared" si="162"/>
        <v>1</v>
      </c>
      <c r="Z353" s="580"/>
    </row>
    <row r="354" spans="1:26" x14ac:dyDescent="0.2">
      <c r="A354" s="534"/>
      <c r="G354" s="535"/>
      <c r="H354" s="534"/>
      <c r="M354" s="535"/>
      <c r="N354" s="552"/>
      <c r="P354" s="534"/>
      <c r="S354" s="535"/>
      <c r="T354"/>
      <c r="Z354" s="580"/>
    </row>
    <row r="355" spans="1:26" x14ac:dyDescent="0.2">
      <c r="A355" s="534"/>
      <c r="G355" s="535"/>
      <c r="H355" s="534"/>
      <c r="M355" s="535"/>
      <c r="N355" s="552"/>
      <c r="P355" s="534"/>
      <c r="S355" s="535"/>
      <c r="T355"/>
      <c r="Z355" s="580"/>
    </row>
    <row r="356" spans="1:26" x14ac:dyDescent="0.2">
      <c r="A356" s="534"/>
      <c r="G356" s="535"/>
      <c r="H356" s="534"/>
      <c r="M356" s="535"/>
      <c r="N356" s="552"/>
      <c r="P356" s="534"/>
      <c r="S356" s="535"/>
      <c r="T356"/>
      <c r="Z356" s="580"/>
    </row>
    <row r="357" spans="1:26" s="17" customFormat="1" ht="10.5" x14ac:dyDescent="0.25">
      <c r="A357" s="562">
        <v>210</v>
      </c>
      <c r="B357" s="558" t="s">
        <v>342</v>
      </c>
      <c r="C357" s="558" t="s">
        <v>220</v>
      </c>
      <c r="D357" s="558" t="str">
        <f>$D$8</f>
        <v>145700 - Income tax receivable - Long Term</v>
      </c>
      <c r="E357" s="558" t="s">
        <v>378</v>
      </c>
      <c r="F357" s="558" t="s">
        <v>427</v>
      </c>
      <c r="G357" s="559" t="s">
        <v>415</v>
      </c>
      <c r="H357" s="558" t="s">
        <v>240</v>
      </c>
      <c r="I357" s="558" t="s">
        <v>467</v>
      </c>
      <c r="J357" s="558" t="s">
        <v>4397</v>
      </c>
      <c r="K357" s="558" t="s">
        <v>4396</v>
      </c>
      <c r="L357" s="559" t="s">
        <v>502</v>
      </c>
      <c r="M357" s="559" t="s">
        <v>503</v>
      </c>
      <c r="N357" s="560" t="s">
        <v>877</v>
      </c>
      <c r="O357" s="561"/>
      <c r="P357" s="558" t="s">
        <v>20</v>
      </c>
      <c r="Q357" s="561" t="s">
        <v>57</v>
      </c>
      <c r="R357" s="561" t="s">
        <v>183</v>
      </c>
      <c r="S357" s="561" t="s">
        <v>3623</v>
      </c>
      <c r="T357" s="561" t="s">
        <v>4268</v>
      </c>
      <c r="U357" s="561" t="s">
        <v>4269</v>
      </c>
      <c r="V357" s="561" t="s">
        <v>794</v>
      </c>
      <c r="W357" s="561" t="s">
        <v>793</v>
      </c>
      <c r="Z357" s="579"/>
    </row>
    <row r="358" spans="1:26" ht="11" thickBot="1" x14ac:dyDescent="0.3">
      <c r="A358" s="538" t="s">
        <v>4244</v>
      </c>
      <c r="G358" s="535"/>
      <c r="H358" s="534"/>
      <c r="M358" s="535"/>
      <c r="N358" s="550"/>
      <c r="P358" s="534"/>
      <c r="S358" s="535"/>
      <c r="T358"/>
      <c r="Z358" s="580"/>
    </row>
    <row r="359" spans="1:26" s="23" customFormat="1" ht="10.5" thickBot="1" x14ac:dyDescent="0.25">
      <c r="A359" s="563" t="str">
        <f>A10</f>
        <v>Balance as of 12/31/2023</v>
      </c>
      <c r="B359" s="564">
        <f>IFERROR(INDEX(BS_2023!$A$8:$O$271,MATCH('Global TARF'!B$8,BS_2023!$A$8:$A$271,0),MATCH($A$357,BS_2023!$A$7:$O$7)),0)</f>
        <v>0</v>
      </c>
      <c r="C359" s="564">
        <f>IFERROR(INDEX(BS_2023!$A$8:$O$271,MATCH('Global TARF'!C$8,BS_2023!$A$8:$A$271,0),MATCH($A$357,BS_2023!$A$7:$O$7)),0)</f>
        <v>14.901614010399999</v>
      </c>
      <c r="D359" s="564">
        <f>IFERROR(INDEX(BS_2023!$A$8:$O$271,MATCH('Global TARF'!D$8,BS_2023!$A$8:$A$271,0),MATCH($A$357,BS_2023!$A$7:$O$7)),0)</f>
        <v>0</v>
      </c>
      <c r="E359" s="564">
        <f>IFERROR(INDEX(BS_2023!$A$8:$O$271,MATCH('Global TARF'!E$8,BS_2023!$A$8:$A$271,0),MATCH($A$357,BS_2023!$A$7:$O$7)),0)</f>
        <v>0</v>
      </c>
      <c r="F359" s="564">
        <f>IFERROR(INDEX(BS_2023!$A$8:$O$271,MATCH('Global TARF'!F$8,BS_2023!$A$8:$A$271,0),MATCH($A$357,BS_2023!$A$7:$O$7)),0)</f>
        <v>0</v>
      </c>
      <c r="G359" s="564">
        <f>IFERROR(INDEX(BS_2023!$A$8:$O$271,MATCH('Global TARF'!G$8,BS_2023!$A$8:$A$271,0),MATCH($A$357,BS_2023!$A$7:$O$7)),0)</f>
        <v>0</v>
      </c>
      <c r="H359" s="565">
        <f>-IFERROR(INDEX(BS_2023!$A$8:$O$271,MATCH('Global TARF'!H$8,BS_2023!$A$8:$A$271,0),MATCH($A$357,BS_2023!$A$7:$O$7)),0)</f>
        <v>-18767.411057460002</v>
      </c>
      <c r="I359" s="565">
        <f>-IFERROR(INDEX(BS_2023!$A$8:$O$271,MATCH('Global TARF'!I$8,BS_2023!$A$8:$A$271,0),MATCH($A$357,BS_2023!$A$7:$O$7)),0)</f>
        <v>0</v>
      </c>
      <c r="J359" s="565">
        <f>-IFERROR(INDEX(BS_2023!$A$8:$O$271,MATCH('Global TARF'!J$8,BS_2023!$A$8:$A$271,0),MATCH($A$357,BS_2023!$A$7:$O$7)),0)</f>
        <v>0</v>
      </c>
      <c r="K359" s="565">
        <f>-IFERROR(INDEX(BS_2023!$A$8:$O$271,MATCH('Global TARF'!K$8,BS_2023!$A$8:$A$271,0),MATCH($A$357,BS_2023!$A$7:$O$7)),0)</f>
        <v>0</v>
      </c>
      <c r="L359" s="565">
        <f>-IFERROR(INDEX(BS_2023!$A$8:$O$271,MATCH('Global TARF'!L$8,BS_2023!$A$8:$A$271,0),MATCH($A$357,BS_2023!$A$7:$O$7)),0)</f>
        <v>0</v>
      </c>
      <c r="M359" s="565">
        <f>-IFERROR(INDEX(BS_2023!$A$8:$O$271,MATCH('Global TARF'!M$8,BS_2023!$A$8:$A$271,0),MATCH($A$357,BS_2023!$A$7:$O$7)),0)</f>
        <v>0</v>
      </c>
      <c r="N359" s="567" t="e">
        <f>INDEX(BS_2023!$A$8:$O$245,MATCH('Global TARF'!N$8,BS_2023!$A$8:$A$245,0),MATCH($A$357,BS_2023!$A$7:$O$7))</f>
        <v>#N/A</v>
      </c>
      <c r="O359" s="564" t="e">
        <f>INDEX(BS_2023!$A$8:$O$245,MATCH('Global TARF'!O$8,BS_2023!$A$8:$A$245,0),MATCH($A$357,BS_2023!$A$7:$O$7))</f>
        <v>#N/A</v>
      </c>
      <c r="P359" s="563"/>
      <c r="Q359" s="574"/>
      <c r="R359" s="574"/>
      <c r="S359" s="575"/>
      <c r="T359" s="574"/>
      <c r="U359" s="574"/>
      <c r="V359" s="574"/>
      <c r="W359" s="575"/>
      <c r="Z359" s="583"/>
    </row>
    <row r="360" spans="1:26" x14ac:dyDescent="0.2">
      <c r="A360" s="534" t="s">
        <v>798</v>
      </c>
      <c r="C360" s="24">
        <v>-0.42</v>
      </c>
      <c r="G360" s="535"/>
      <c r="H360" s="534">
        <v>534.91999999999996</v>
      </c>
      <c r="M360" s="535"/>
      <c r="N360" s="553">
        <f>-SUM(H360,G360,C360,E360,M360,L360,F360,B360,D360)</f>
        <v>-534.5</v>
      </c>
      <c r="P360" s="534"/>
      <c r="S360" s="535"/>
      <c r="T360"/>
      <c r="Z360" s="580"/>
    </row>
    <row r="361" spans="1:26" x14ac:dyDescent="0.2">
      <c r="A361" s="534"/>
      <c r="G361" s="535"/>
      <c r="H361" s="534"/>
      <c r="M361" s="535"/>
      <c r="N361" s="552"/>
      <c r="P361" s="534"/>
      <c r="S361" s="535"/>
      <c r="T361"/>
      <c r="Z361" s="580"/>
    </row>
    <row r="362" spans="1:26" x14ac:dyDescent="0.2">
      <c r="A362" s="534"/>
      <c r="B362" s="184">
        <f>SUMIFS(GL_BS!$G:$G,GL_BS!$R:$R,'Global TARF'!$A$357,GL_BS!$S:$S,'Global TARF'!$A362,GL_BS!$A:$A,'Global TARF'!B$38)</f>
        <v>0</v>
      </c>
      <c r="C362" s="184">
        <f>SUMIFS(GL_BS!$G:$G,GL_BS!$R:$R,'Global TARF'!$A$357,GL_BS!$S:$S,'Global TARF'!$A362,GL_BS!$A:$A,'Global TARF'!C$8)</f>
        <v>0</v>
      </c>
      <c r="D362" s="184">
        <f>SUMIFS(GL_BS!$G:$G,GL_BS!$R:$R,'Global TARF'!$A$357,GL_BS!$S:$S,'Global TARF'!$A362,GL_BS!$A:$A,'Global TARF'!D$8)</f>
        <v>0</v>
      </c>
      <c r="E362" s="184">
        <f>SUMIFS(GL_BS!$G:$G,GL_BS!$R:$R,'Global TARF'!$A$357,GL_BS!$S:$S,'Global TARF'!$A362,GL_BS!$A:$A,'Global TARF'!E$8)</f>
        <v>0</v>
      </c>
      <c r="F362" s="184"/>
      <c r="G362" s="536">
        <f>SUMIFS(GL_BS!$G:$G,GL_BS!$R:$R,'Global TARF'!$A$357,GL_BS!$S:$S,'Global TARF'!$A362,GL_BS!$A:$A,'Global TARF'!G$8)</f>
        <v>0</v>
      </c>
      <c r="H362" s="545">
        <f>-SUMIFS(GL_BS!$G:$G,GL_BS!$R:$R,'Global TARF'!$A$357,GL_BS!$S:$S,'Global TARF'!$A362,GL_BS!$A:$A,'Global TARF'!H$8)</f>
        <v>0</v>
      </c>
      <c r="I362" s="184"/>
      <c r="J362" s="184"/>
      <c r="K362" s="184"/>
      <c r="L362" s="184">
        <f>SUMIFS(GL_BS!$G:$G,GL_BS!$R:$R,'Global TARF'!$A$357,GL_BS!$S:$S,'Global TARF'!$A362,GL_BS!$A:$A,'Global TARF'!L$8)</f>
        <v>0</v>
      </c>
      <c r="M362" s="536">
        <f>SUMIFS(GL_BS!$G:$G,GL_BS!$R:$R,'Global TARF'!$A$357,GL_BS!$S:$S,'Global TARF'!$A362,GL_BS!$A:$A,'Global TARF'!M$8)</f>
        <v>0</v>
      </c>
      <c r="N362" s="555">
        <f>SUMIFS(GL_BS!$G:$G,GL_BS!$R:$R,'Global TARF'!$A$357,GL_BS!$S:$S,'Global TARF'!$A362,GL_BS!$A:$A,'Global TARF'!N$8)</f>
        <v>0</v>
      </c>
      <c r="O362" s="18">
        <f>SUMIFS(GL_BS!$G:$G,GL_BS!$R:$R,'Global TARF'!$A$357,GL_BS!$S:$S,'Global TARF'!$A362,GL_BS!$A:$A,'Global TARF'!O$8)</f>
        <v>0</v>
      </c>
      <c r="P362" s="545">
        <f>SUMIFS(GL_PL!$G:$G,GL_PL!$Q:$Q,'Global TARF'!$A$357,GL_PL!$R:$R,'Global TARF'!$A362,GL_PL!$A:$A,'Global TARF'!P$8)</f>
        <v>0</v>
      </c>
      <c r="Q362" s="184">
        <f>SUMIFS(GL_PL!$G:$G,GL_PL!$Q:$Q,'Global TARF'!$A$357,GL_PL!$R:$R,'Global TARF'!$A362,GL_PL!$A:$A,'Global TARF'!Q$8)</f>
        <v>0</v>
      </c>
      <c r="R362" s="184">
        <f>SUMIFS(GL_PL!$G:$G,GL_PL!$Q:$Q,'Global TARF'!$A$357,GL_PL!$R:$R,'Global TARF'!$A362,GL_PL!$A:$A,'Global TARF'!R$8)</f>
        <v>0</v>
      </c>
      <c r="S362" s="536">
        <f>SUMIFS(GL_PL!$G:$G,GL_PL!$Q:$Q,'Global TARF'!$A$357,GL_PL!$R:$R,'Global TARF'!$A362,GL_PL!$A:$A,'Global TARF'!S$8)</f>
        <v>0</v>
      </c>
      <c r="T362" s="26">
        <f>-P362</f>
        <v>0</v>
      </c>
      <c r="U362" s="26"/>
      <c r="Z362" s="582">
        <f t="shared" ref="Z362:Z382" si="165">SUM(B362:Y362)</f>
        <v>0</v>
      </c>
    </row>
    <row r="363" spans="1:26" x14ac:dyDescent="0.2">
      <c r="A363" s="534"/>
      <c r="B363" s="184">
        <f>SUMIFS(GL_BS!$G:$G,GL_BS!$R:$R,'Global TARF'!$A$357,GL_BS!$S:$S,'Global TARF'!$A363,GL_BS!$A:$A,'Global TARF'!B$38)</f>
        <v>0</v>
      </c>
      <c r="C363" s="184">
        <f>SUMIFS(GL_BS!$G:$G,GL_BS!$R:$R,'Global TARF'!$A$357,GL_BS!$S:$S,'Global TARF'!$A363,GL_BS!$A:$A,'Global TARF'!C$8)</f>
        <v>0</v>
      </c>
      <c r="D363" s="184">
        <f>SUMIFS(GL_BS!$G:$G,GL_BS!$R:$R,'Global TARF'!$A$357,GL_BS!$S:$S,'Global TARF'!$A363,GL_BS!$A:$A,'Global TARF'!D$8)</f>
        <v>0</v>
      </c>
      <c r="E363" s="184">
        <f>SUMIFS(GL_BS!$G:$G,GL_BS!$R:$R,'Global TARF'!$A$357,GL_BS!$S:$S,'Global TARF'!$A363,GL_BS!$A:$A,'Global TARF'!E$8)</f>
        <v>0</v>
      </c>
      <c r="F363" s="184"/>
      <c r="G363" s="536">
        <f>SUMIFS(GL_BS!$G:$G,GL_BS!$R:$R,'Global TARF'!$A$357,GL_BS!$S:$S,'Global TARF'!$A363,GL_BS!$A:$A,'Global TARF'!G$8)</f>
        <v>0</v>
      </c>
      <c r="H363" s="545">
        <f>SUMIFS(GL_BS!$G:$G,GL_BS!$R:$R,'Global TARF'!$A$357,GL_BS!$S:$S,'Global TARF'!$A363,GL_BS!$A:$A,'Global TARF'!H$8)</f>
        <v>0</v>
      </c>
      <c r="I363" s="184"/>
      <c r="J363" s="184"/>
      <c r="K363" s="184"/>
      <c r="L363" s="184">
        <f>SUMIFS(GL_BS!$G:$G,GL_BS!$R:$R,'Global TARF'!$A$357,GL_BS!$S:$S,'Global TARF'!$A363,GL_BS!$A:$A,'Global TARF'!L$8)</f>
        <v>0</v>
      </c>
      <c r="M363" s="536">
        <f>SUMIFS(GL_BS!$G:$G,GL_BS!$R:$R,'Global TARF'!$A$357,GL_BS!$S:$S,'Global TARF'!$A363,GL_BS!$A:$A,'Global TARF'!M$8)</f>
        <v>0</v>
      </c>
      <c r="N363" s="555">
        <f>SUMIFS(GL_BS!$G:$G,GL_BS!$R:$R,'Global TARF'!$A$357,GL_BS!$S:$S,'Global TARF'!$A363,GL_BS!$A:$A,'Global TARF'!N$8)</f>
        <v>0</v>
      </c>
      <c r="O363" s="18">
        <f>SUMIFS(GL_BS!$G:$G,GL_BS!$R:$R,'Global TARF'!$A$357,GL_BS!$S:$S,'Global TARF'!$A363,GL_BS!$A:$A,'Global TARF'!O$8)</f>
        <v>0</v>
      </c>
      <c r="P363" s="545">
        <f>SUMIFS(GL_PL!$G:$G,GL_PL!$Q:$Q,'Global TARF'!$A$357,GL_PL!$R:$R,'Global TARF'!$A363,GL_PL!$A:$A,'Global TARF'!P$8)</f>
        <v>0</v>
      </c>
      <c r="Q363" s="184">
        <f>SUMIFS(GL_PL!$G:$G,GL_PL!$Q:$Q,'Global TARF'!$A$357,GL_PL!$R:$R,'Global TARF'!$A363,GL_PL!$A:$A,'Global TARF'!Q$8)</f>
        <v>0</v>
      </c>
      <c r="R363" s="184">
        <f>SUMIFS(GL_PL!$G:$G,GL_PL!$Q:$Q,'Global TARF'!$A$357,GL_PL!$R:$R,'Global TARF'!$A363,GL_PL!$A:$A,'Global TARF'!R$8)</f>
        <v>0</v>
      </c>
      <c r="S363" s="536">
        <f>SUMIFS(GL_PL!$G:$G,GL_PL!$Q:$Q,'Global TARF'!$A$357,GL_PL!$R:$R,'Global TARF'!$A363,GL_PL!$A:$A,'Global TARF'!S$8)</f>
        <v>0</v>
      </c>
      <c r="T363" s="26">
        <f>-SUM(P363,H363,C363,Q363,R363)</f>
        <v>0</v>
      </c>
      <c r="U363" s="26"/>
      <c r="Z363" s="582">
        <f t="shared" si="165"/>
        <v>0</v>
      </c>
    </row>
    <row r="364" spans="1:26" x14ac:dyDescent="0.2">
      <c r="A364" s="534" t="s">
        <v>780</v>
      </c>
      <c r="B364" s="184">
        <f>SUMIFS(GL_BS!$G:$G,GL_BS!$R:$R,'Global TARF'!$A$357,GL_BS!$S:$S,'Global TARF'!$A364,GL_BS!$A:$A,'Global TARF'!B$38)</f>
        <v>0</v>
      </c>
      <c r="C364" s="184">
        <f>SUMIFS(GL_BS!$G:$G,GL_BS!$R:$R,'Global TARF'!$A$357,GL_BS!$S:$S,'Global TARF'!$A364,GL_BS!$A:$A,'Global TARF'!C$8)</f>
        <v>0</v>
      </c>
      <c r="D364" s="184">
        <f>SUMIFS(GL_BS!$G:$G,GL_BS!$R:$R,'Global TARF'!$A$357,GL_BS!$S:$S,'Global TARF'!$A364,GL_BS!$A:$A,'Global TARF'!D$8)</f>
        <v>0</v>
      </c>
      <c r="E364" s="184">
        <f>SUMIFS(GL_BS!$G:$G,GL_BS!$R:$R,'Global TARF'!$A$357,GL_BS!$S:$S,'Global TARF'!$A364,GL_BS!$A:$A,'Global TARF'!E$8)</f>
        <v>0</v>
      </c>
      <c r="F364" s="184">
        <f>SUMIFS(GL_BS!$G:$G,GL_BS!$R:$R,'Global TARF'!$A$357,GL_BS!$S:$S,'Global TARF'!$A364,GL_BS!$A:$A,'Global TARF'!F$8)</f>
        <v>0</v>
      </c>
      <c r="G364" s="536">
        <f>SUMIFS(GL_BS!$G:$G,GL_BS!$R:$R,'Global TARF'!$A$357,GL_BS!$S:$S,'Global TARF'!$A364,GL_BS!$A:$A,'Global TARF'!G$8)</f>
        <v>0</v>
      </c>
      <c r="H364" s="545">
        <f>SUMIFS(GL_BS!$G:$G,GL_BS!$R:$R,'Global TARF'!$A$357,GL_BS!$S:$S,'Global TARF'!$A364,GL_BS!$A:$A,'Global TARF'!H$8)</f>
        <v>0</v>
      </c>
      <c r="I364" s="184">
        <f>SUMIFS(GL_BS!$G:$G,GL_BS!$R:$R,'Global TARF'!$A$357,GL_BS!$S:$S,'Global TARF'!$A364,GL_BS!$A:$A,'Global TARF'!I$8)</f>
        <v>0</v>
      </c>
      <c r="J364" s="184">
        <f>SUMIFS(GL_BS!$G:$G,GL_BS!$R:$R,'Global TARF'!$A$357,GL_BS!$S:$S,'Global TARF'!$A364,GL_BS!$A:$A,'Global TARF'!J$8)</f>
        <v>0</v>
      </c>
      <c r="K364" s="184">
        <f>SUMIFS(GL_BS!$G:$G,GL_BS!$R:$R,'Global TARF'!$A$357,GL_BS!$S:$S,'Global TARF'!$A364,GL_BS!$A:$A,'Global TARF'!K$8)</f>
        <v>0</v>
      </c>
      <c r="L364" s="184">
        <f>SUMIFS(GL_BS!$G:$G,GL_BS!$R:$R,'Global TARF'!$A$357,GL_BS!$S:$S,'Global TARF'!$A364,GL_BS!$A:$A,'Global TARF'!L$8)</f>
        <v>0</v>
      </c>
      <c r="M364" s="536">
        <f>SUMIFS(GL_BS!$G:$G,GL_BS!$R:$R,'Global TARF'!$A$357,GL_BS!$S:$S,'Global TARF'!$A364,GL_BS!$A:$A,'Global TARF'!M$8)</f>
        <v>0</v>
      </c>
      <c r="N364" s="555">
        <f>SUMIFS(GL_BS!$G:$G,GL_BS!$R:$R,'Global TARF'!$A$357,GL_BS!$S:$S,'Global TARF'!$A364,GL_BS!$A:$A,'Global TARF'!N$8)</f>
        <v>0</v>
      </c>
      <c r="O364" s="18">
        <f>SUMIFS(GL_BS!$G:$G,GL_BS!$R:$R,'Global TARF'!$A$357,GL_BS!$S:$S,'Global TARF'!$A364,GL_BS!$A:$A,'Global TARF'!O$8)</f>
        <v>0</v>
      </c>
      <c r="P364" s="545">
        <f>SUMIFS(GL_PL!$G:$G,GL_PL!$Q:$Q,'Global TARF'!$A$357,GL_PL!$R:$R,'Global TARF'!$A364,GL_PL!$A:$A,'Global TARF'!P$8)</f>
        <v>0</v>
      </c>
      <c r="Q364" s="184">
        <f>SUMIFS(GL_PL!$G:$G,GL_PL!$Q:$Q,'Global TARF'!$A$357,GL_PL!$R:$R,'Global TARF'!$A364,GL_PL!$A:$A,'Global TARF'!Q$8)</f>
        <v>0</v>
      </c>
      <c r="R364" s="184">
        <f>SUMIFS(GL_PL!$G:$G,GL_PL!$Q:$Q,'Global TARF'!$A$357,GL_PL!$R:$R,'Global TARF'!$A364,GL_PL!$A:$A,'Global TARF'!R$8)</f>
        <v>0</v>
      </c>
      <c r="S364" s="536">
        <f>SUMIFS(GL_PL!$G:$G,GL_PL!$Q:$Q,'Global TARF'!$A$357,GL_PL!$R:$R,'Global TARF'!$A364,GL_PL!$A:$A,'Global TARF'!S$8)</f>
        <v>0</v>
      </c>
      <c r="T364" s="26">
        <f>-SUM(P364:R364,H364,C364)</f>
        <v>0</v>
      </c>
      <c r="U364" s="26"/>
      <c r="Z364" s="582">
        <f t="shared" si="165"/>
        <v>0</v>
      </c>
    </row>
    <row r="365" spans="1:26" x14ac:dyDescent="0.2">
      <c r="A365" s="534" t="s">
        <v>781</v>
      </c>
      <c r="B365" s="184">
        <f>SUMIFS(GL_BS!$G:$G,GL_BS!$R:$R,'Global TARF'!$A$357,GL_BS!$S:$S,'Global TARF'!$A365,GL_BS!$A:$A,'Global TARF'!B$38)</f>
        <v>0</v>
      </c>
      <c r="C365" s="184">
        <f>SUMIFS(GL_BS!$G:$G,GL_BS!$R:$R,'Global TARF'!$A$357,GL_BS!$S:$S,'Global TARF'!$A365,GL_BS!$A:$A,'Global TARF'!C$8)</f>
        <v>0</v>
      </c>
      <c r="D365" s="184">
        <f>SUMIFS(GL_BS!$G:$G,GL_BS!$R:$R,'Global TARF'!$A$357,GL_BS!$S:$S,'Global TARF'!$A365,GL_BS!$A:$A,'Global TARF'!D$8)</f>
        <v>0</v>
      </c>
      <c r="E365" s="184">
        <f>SUMIFS(GL_BS!$G:$G,GL_BS!$R:$R,'Global TARF'!$A$357,GL_BS!$S:$S,'Global TARF'!$A365,GL_BS!$A:$A,'Global TARF'!E$8)</f>
        <v>0</v>
      </c>
      <c r="F365" s="184">
        <f>SUMIFS(GL_BS!$G:$G,GL_BS!$R:$R,'Global TARF'!$A$357,GL_BS!$S:$S,'Global TARF'!$A365,GL_BS!$A:$A,'Global TARF'!F$8)</f>
        <v>0</v>
      </c>
      <c r="G365" s="536">
        <f>SUMIFS(GL_BS!$G:$G,GL_BS!$R:$R,'Global TARF'!$A$357,GL_BS!$S:$S,'Global TARF'!$A365,GL_BS!$A:$A,'Global TARF'!G$8)</f>
        <v>0</v>
      </c>
      <c r="H365" s="545">
        <f>SUMIFS(GL_BS!$G:$G,GL_BS!$R:$R,'Global TARF'!$A$357,GL_BS!$S:$S,'Global TARF'!$A365,GL_BS!$A:$A,'Global TARF'!H$8)</f>
        <v>0</v>
      </c>
      <c r="I365" s="184">
        <f>SUMIFS(GL_BS!$G:$G,GL_BS!$R:$R,'Global TARF'!$A$357,GL_BS!$S:$S,'Global TARF'!$A365,GL_BS!$A:$A,'Global TARF'!I$8)</f>
        <v>0</v>
      </c>
      <c r="J365" s="184">
        <f>SUMIFS(GL_BS!$G:$G,GL_BS!$R:$R,'Global TARF'!$A$357,GL_BS!$S:$S,'Global TARF'!$A365,GL_BS!$A:$A,'Global TARF'!J$8)</f>
        <v>0</v>
      </c>
      <c r="K365" s="184">
        <f>SUMIFS(GL_BS!$G:$G,GL_BS!$R:$R,'Global TARF'!$A$357,GL_BS!$S:$S,'Global TARF'!$A365,GL_BS!$A:$A,'Global TARF'!K$8)</f>
        <v>0</v>
      </c>
      <c r="L365" s="184">
        <f>SUMIFS(GL_BS!$G:$G,GL_BS!$R:$R,'Global TARF'!$A$357,GL_BS!$S:$S,'Global TARF'!$A365,GL_BS!$A:$A,'Global TARF'!L$8)</f>
        <v>0</v>
      </c>
      <c r="M365" s="536">
        <f>SUMIFS(GL_BS!$G:$G,GL_BS!$R:$R,'Global TARF'!$A$357,GL_BS!$S:$S,'Global TARF'!$A365,GL_BS!$A:$A,'Global TARF'!M$8)</f>
        <v>0</v>
      </c>
      <c r="N365" s="555">
        <f>SUMIFS(GL_BS!$G:$G,GL_BS!$R:$R,'Global TARF'!$A$357,GL_BS!$S:$S,'Global TARF'!$A365,GL_BS!$A:$A,'Global TARF'!N$8)</f>
        <v>0</v>
      </c>
      <c r="O365" s="18">
        <f>SUMIFS(GL_BS!$G:$G,GL_BS!$R:$R,'Global TARF'!$A$357,GL_BS!$S:$S,'Global TARF'!$A365,GL_BS!$A:$A,'Global TARF'!O$8)</f>
        <v>0</v>
      </c>
      <c r="P365" s="545">
        <f>SUMIFS(GL_PL!$G:$G,GL_PL!$Q:$Q,'Global TARF'!$A$357,GL_PL!$R:$R,'Global TARF'!$A365,GL_PL!$A:$A,'Global TARF'!P$8)</f>
        <v>0</v>
      </c>
      <c r="Q365" s="184">
        <f>SUMIFS(GL_PL!$G:$G,GL_PL!$Q:$Q,'Global TARF'!$A$357,GL_PL!$R:$R,'Global TARF'!$A365,GL_PL!$A:$A,'Global TARF'!Q$8)</f>
        <v>0</v>
      </c>
      <c r="R365" s="184">
        <f>SUMIFS(GL_PL!$G:$G,GL_PL!$Q:$Q,'Global TARF'!$A$357,GL_PL!$R:$R,'Global TARF'!$A365,GL_PL!$A:$A,'Global TARF'!R$8)</f>
        <v>0</v>
      </c>
      <c r="S365" s="536">
        <f>SUMIFS(GL_PL!$G:$G,GL_PL!$Q:$Q,'Global TARF'!$A$357,GL_PL!$R:$R,'Global TARF'!$A365,GL_PL!$A:$A,'Global TARF'!S$8)</f>
        <v>0</v>
      </c>
      <c r="T365"/>
      <c r="Z365" s="582">
        <f t="shared" si="165"/>
        <v>0</v>
      </c>
    </row>
    <row r="366" spans="1:26" x14ac:dyDescent="0.2">
      <c r="A366" s="534" t="s">
        <v>782</v>
      </c>
      <c r="B366" s="184">
        <f>SUMIFS(GL_BS!$G:$G,GL_BS!$R:$R,'Global TARF'!$A$357,GL_BS!$S:$S,'Global TARF'!$A366,GL_BS!$A:$A,'Global TARF'!B$38)</f>
        <v>0</v>
      </c>
      <c r="C366" s="184">
        <f>SUMIFS(GL_BS!$G:$G,GL_BS!$R:$R,'Global TARF'!$A$357,GL_BS!$S:$S,'Global TARF'!$A366,GL_BS!$A:$A,'Global TARF'!C$8)</f>
        <v>0</v>
      </c>
      <c r="D366" s="184">
        <f>SUMIFS(GL_BS!$G:$G,GL_BS!$R:$R,'Global TARF'!$A$357,GL_BS!$S:$S,'Global TARF'!$A366,GL_BS!$A:$A,'Global TARF'!D$8)</f>
        <v>0</v>
      </c>
      <c r="E366" s="184">
        <f>SUMIFS(GL_BS!$G:$G,GL_BS!$R:$R,'Global TARF'!$A$357,GL_BS!$S:$S,'Global TARF'!$A366,GL_BS!$A:$A,'Global TARF'!E$8)</f>
        <v>0</v>
      </c>
      <c r="F366" s="184">
        <f>SUMIFS(GL_BS!$G:$G,GL_BS!$R:$R,'Global TARF'!$A$357,GL_BS!$S:$S,'Global TARF'!$A366,GL_BS!$A:$A,'Global TARF'!F$8)</f>
        <v>0</v>
      </c>
      <c r="G366" s="536">
        <f>SUMIFS(GL_BS!$G:$G,GL_BS!$R:$R,'Global TARF'!$A$357,GL_BS!$S:$S,'Global TARF'!$A366,GL_BS!$A:$A,'Global TARF'!G$8)</f>
        <v>0</v>
      </c>
      <c r="H366" s="545">
        <f>SUMIFS(GL_BS!$G:$G,GL_BS!$R:$R,'Global TARF'!$A$357,GL_BS!$S:$S,'Global TARF'!$A366,GL_BS!$A:$A,'Global TARF'!H$8)</f>
        <v>0</v>
      </c>
      <c r="I366" s="184">
        <f>SUMIFS(GL_BS!$G:$G,GL_BS!$R:$R,'Global TARF'!$A$357,GL_BS!$S:$S,'Global TARF'!$A366,GL_BS!$A:$A,'Global TARF'!I$8)</f>
        <v>0</v>
      </c>
      <c r="J366" s="184">
        <f>SUMIFS(GL_BS!$G:$G,GL_BS!$R:$R,'Global TARF'!$A$357,GL_BS!$S:$S,'Global TARF'!$A366,GL_BS!$A:$A,'Global TARF'!J$8)</f>
        <v>0</v>
      </c>
      <c r="K366" s="184">
        <f>SUMIFS(GL_BS!$G:$G,GL_BS!$R:$R,'Global TARF'!$A$357,GL_BS!$S:$S,'Global TARF'!$A366,GL_BS!$A:$A,'Global TARF'!K$8)</f>
        <v>0</v>
      </c>
      <c r="L366" s="184">
        <f>SUMIFS(GL_BS!$G:$G,GL_BS!$R:$R,'Global TARF'!$A$357,GL_BS!$S:$S,'Global TARF'!$A366,GL_BS!$A:$A,'Global TARF'!L$8)</f>
        <v>0</v>
      </c>
      <c r="M366" s="536">
        <f>SUMIFS(GL_BS!$G:$G,GL_BS!$R:$R,'Global TARF'!$A$357,GL_BS!$S:$S,'Global TARF'!$A366,GL_BS!$A:$A,'Global TARF'!M$8)</f>
        <v>0</v>
      </c>
      <c r="N366" s="555">
        <f>SUMIFS(GL_BS!$G:$G,GL_BS!$R:$R,'Global TARF'!$A$357,GL_BS!$S:$S,'Global TARF'!$A366,GL_BS!$A:$A,'Global TARF'!N$8)</f>
        <v>0</v>
      </c>
      <c r="O366" s="18">
        <f>SUMIFS(GL_BS!$G:$G,GL_BS!$R:$R,'Global TARF'!$A$357,GL_BS!$S:$S,'Global TARF'!$A366,GL_BS!$A:$A,'Global TARF'!O$8)</f>
        <v>0</v>
      </c>
      <c r="P366" s="545">
        <f>SUMIFS(GL_PL!$G:$G,GL_PL!$Q:$Q,'Global TARF'!$A$357,GL_PL!$R:$R,'Global TARF'!$A366,GL_PL!$A:$A,'Global TARF'!P$8)</f>
        <v>0</v>
      </c>
      <c r="Q366" s="184">
        <f>SUMIFS(GL_PL!$G:$G,GL_PL!$Q:$Q,'Global TARF'!$A$357,GL_PL!$R:$R,'Global TARF'!$A366,GL_PL!$A:$A,'Global TARF'!Q$8)</f>
        <v>0</v>
      </c>
      <c r="R366" s="184">
        <f>SUMIFS(GL_PL!$G:$G,GL_PL!$Q:$Q,'Global TARF'!$A$357,GL_PL!$R:$R,'Global TARF'!$A366,GL_PL!$A:$A,'Global TARF'!R$8)</f>
        <v>0</v>
      </c>
      <c r="S366" s="536">
        <f>SUMIFS(GL_PL!$G:$G,GL_PL!$Q:$Q,'Global TARF'!$A$357,GL_PL!$R:$R,'Global TARF'!$A366,GL_PL!$A:$A,'Global TARF'!S$8)</f>
        <v>0</v>
      </c>
      <c r="T366" s="26">
        <f>-H366</f>
        <v>0</v>
      </c>
      <c r="Z366" s="582">
        <f t="shared" si="165"/>
        <v>0</v>
      </c>
    </row>
    <row r="367" spans="1:26" x14ac:dyDescent="0.2">
      <c r="A367" s="534" t="s">
        <v>950</v>
      </c>
      <c r="B367" s="184">
        <f>SUMIFS(GL_BS!$G:$G,GL_BS!$R:$R,'Global TARF'!$A$357,GL_BS!$S:$S,'Global TARF'!$A367,GL_BS!$A:$A,'Global TARF'!B$38)</f>
        <v>0</v>
      </c>
      <c r="C367" s="184">
        <f>SUMIFS(GL_BS!$G:$G,GL_BS!$R:$R,'Global TARF'!$A$357,GL_BS!$S:$S,'Global TARF'!$A367,GL_BS!$A:$A,'Global TARF'!C$8)</f>
        <v>0</v>
      </c>
      <c r="D367" s="184">
        <f>SUMIFS(GL_BS!$G:$G,GL_BS!$R:$R,'Global TARF'!$A$357,GL_BS!$S:$S,'Global TARF'!$A367,GL_BS!$A:$A,'Global TARF'!D$8)</f>
        <v>0</v>
      </c>
      <c r="E367" s="184">
        <f>SUMIFS(GL_BS!$G:$G,GL_BS!$R:$R,'Global TARF'!$A$357,GL_BS!$S:$S,'Global TARF'!$A367,GL_BS!$A:$A,'Global TARF'!E$8)</f>
        <v>0</v>
      </c>
      <c r="F367" s="184">
        <f>SUMIFS(GL_BS!$G:$G,GL_BS!$R:$R,'Global TARF'!$A$357,GL_BS!$S:$S,'Global TARF'!$A367,GL_BS!$A:$A,'Global TARF'!F$8)</f>
        <v>0</v>
      </c>
      <c r="G367" s="536">
        <f>SUMIFS(GL_BS!$G:$G,GL_BS!$R:$R,'Global TARF'!$A$357,GL_BS!$S:$S,'Global TARF'!$A367,GL_BS!$A:$A,'Global TARF'!G$8)</f>
        <v>0</v>
      </c>
      <c r="H367" s="545">
        <f>SUMIFS(GL_BS!$G:$G,GL_BS!$R:$R,'Global TARF'!$A$357,GL_BS!$S:$S,'Global TARF'!$A367,GL_BS!$A:$A,'Global TARF'!H$8)</f>
        <v>0</v>
      </c>
      <c r="I367" s="184">
        <f>SUMIFS(GL_BS!$G:$G,GL_BS!$R:$R,'Global TARF'!$A$357,GL_BS!$S:$S,'Global TARF'!$A367,GL_BS!$A:$A,'Global TARF'!I$8)</f>
        <v>0</v>
      </c>
      <c r="J367" s="184">
        <f>SUMIFS(GL_BS!$G:$G,GL_BS!$R:$R,'Global TARF'!$A$357,GL_BS!$S:$S,'Global TARF'!$A367,GL_BS!$A:$A,'Global TARF'!J$8)</f>
        <v>0</v>
      </c>
      <c r="K367" s="184">
        <f>SUMIFS(GL_BS!$G:$G,GL_BS!$R:$R,'Global TARF'!$A$357,GL_BS!$S:$S,'Global TARF'!$A367,GL_BS!$A:$A,'Global TARF'!K$8)</f>
        <v>0</v>
      </c>
      <c r="L367" s="184">
        <f>SUMIFS(GL_BS!$G:$G,GL_BS!$R:$R,'Global TARF'!$A$357,GL_BS!$S:$S,'Global TARF'!$A367,GL_BS!$A:$A,'Global TARF'!L$8)</f>
        <v>0</v>
      </c>
      <c r="M367" s="536">
        <f>SUMIFS(GL_BS!$G:$G,GL_BS!$R:$R,'Global TARF'!$A$357,GL_BS!$S:$S,'Global TARF'!$A367,GL_BS!$A:$A,'Global TARF'!M$8)</f>
        <v>0</v>
      </c>
      <c r="N367" s="555">
        <f>SUMIFS(GL_BS!$G:$G,GL_BS!$R:$R,'Global TARF'!$A$357,GL_BS!$S:$S,'Global TARF'!$A367,GL_BS!$A:$A,'Global TARF'!N$8)</f>
        <v>0</v>
      </c>
      <c r="O367" s="18">
        <f>SUMIFS(GL_BS!$G:$G,GL_BS!$R:$R,'Global TARF'!$A$357,GL_BS!$S:$S,'Global TARF'!$A367,GL_BS!$A:$A,'Global TARF'!O$8)</f>
        <v>0</v>
      </c>
      <c r="P367" s="545">
        <f>SUMIFS(GL_PL!$G:$G,GL_PL!$Q:$Q,'Global TARF'!$A$357,GL_PL!$R:$R,'Global TARF'!$A367,GL_PL!$A:$A,'Global TARF'!P$8)</f>
        <v>0</v>
      </c>
      <c r="Q367" s="184">
        <f>SUMIFS(GL_PL!$G:$G,GL_PL!$Q:$Q,'Global TARF'!$A$357,GL_PL!$R:$R,'Global TARF'!$A367,GL_PL!$A:$A,'Global TARF'!Q$8)</f>
        <v>0</v>
      </c>
      <c r="R367" s="184">
        <f>SUMIFS(GL_PL!$G:$G,GL_PL!$Q:$Q,'Global TARF'!$A$357,GL_PL!$R:$R,'Global TARF'!$A367,GL_PL!$A:$A,'Global TARF'!R$8)</f>
        <v>0</v>
      </c>
      <c r="S367" s="536">
        <f>SUMIFS(GL_PL!$G:$G,GL_PL!$Q:$Q,'Global TARF'!$A$357,GL_PL!$R:$R,'Global TARF'!$A367,GL_PL!$A:$A,'Global TARF'!S$8)</f>
        <v>0</v>
      </c>
      <c r="T367"/>
      <c r="Z367" s="582">
        <f t="shared" si="165"/>
        <v>0</v>
      </c>
    </row>
    <row r="368" spans="1:26" x14ac:dyDescent="0.2">
      <c r="A368" s="534" t="s">
        <v>4586</v>
      </c>
      <c r="B368" s="184">
        <f>SUMIFS(GL_BS!$G:$G,GL_BS!$R:$R,'Global TARF'!$A$357,GL_BS!$S:$S,'Global TARF'!$A368,GL_BS!$A:$A,'Global TARF'!B$38)</f>
        <v>0</v>
      </c>
      <c r="C368" s="184">
        <f>SUMIFS(GL_BS!$G:$G,GL_BS!$R:$R,'Global TARF'!$A$357,GL_BS!$S:$S,'Global TARF'!$A368,GL_BS!$A:$A,'Global TARF'!C$8)</f>
        <v>0</v>
      </c>
      <c r="D368" s="184">
        <f>SUMIFS(GL_BS!$G:$G,GL_BS!$R:$R,'Global TARF'!$A$357,GL_BS!$S:$S,'Global TARF'!$A368,GL_BS!$A:$A,'Global TARF'!D$8)</f>
        <v>0</v>
      </c>
      <c r="E368" s="184">
        <f>SUMIFS(GL_BS!$G:$G,GL_BS!$R:$R,'Global TARF'!$A$357,GL_BS!$S:$S,'Global TARF'!$A368,GL_BS!$A:$A,'Global TARF'!E$8)</f>
        <v>0</v>
      </c>
      <c r="F368" s="184">
        <f>SUMIFS(GL_BS!$G:$G,GL_BS!$R:$R,'Global TARF'!$A$357,GL_BS!$S:$S,'Global TARF'!$A368,GL_BS!$A:$A,'Global TARF'!F$8)</f>
        <v>0</v>
      </c>
      <c r="G368" s="536">
        <f>SUMIFS(GL_BS!$G:$G,GL_BS!$R:$R,'Global TARF'!$A$357,GL_BS!$S:$S,'Global TARF'!$A368,GL_BS!$A:$A,'Global TARF'!G$8)</f>
        <v>0</v>
      </c>
      <c r="H368" s="545">
        <f>SUMIFS(GL_BS!$G:$G,GL_BS!$R:$R,'Global TARF'!$A$357,GL_BS!$S:$S,'Global TARF'!$A368,GL_BS!$A:$A,'Global TARF'!H$8)</f>
        <v>0</v>
      </c>
      <c r="I368" s="184">
        <f>SUMIFS(GL_BS!$G:$G,GL_BS!$R:$R,'Global TARF'!$A$357,GL_BS!$S:$S,'Global TARF'!$A368,GL_BS!$A:$A,'Global TARF'!I$8)</f>
        <v>0</v>
      </c>
      <c r="J368" s="184">
        <f>SUMIFS(GL_BS!$G:$G,GL_BS!$R:$R,'Global TARF'!$A$357,GL_BS!$S:$S,'Global TARF'!$A368,GL_BS!$A:$A,'Global TARF'!J$8)</f>
        <v>0</v>
      </c>
      <c r="K368" s="184">
        <f>SUMIFS(GL_BS!$G:$G,GL_BS!$R:$R,'Global TARF'!$A$357,GL_BS!$S:$S,'Global TARF'!$A368,GL_BS!$A:$A,'Global TARF'!K$8)</f>
        <v>0</v>
      </c>
      <c r="L368" s="184">
        <f>SUMIFS(GL_BS!$G:$G,GL_BS!$R:$R,'Global TARF'!$A$357,GL_BS!$S:$S,'Global TARF'!$A368,GL_BS!$A:$A,'Global TARF'!L$8)</f>
        <v>0</v>
      </c>
      <c r="M368" s="536">
        <f>SUMIFS(GL_BS!$G:$G,GL_BS!$R:$R,'Global TARF'!$A$357,GL_BS!$S:$S,'Global TARF'!$A368,GL_BS!$A:$A,'Global TARF'!M$8)</f>
        <v>0</v>
      </c>
      <c r="N368" s="555">
        <f>SUMIFS(GL_BS!$G:$G,GL_BS!$R:$R,'Global TARF'!$A$357,GL_BS!$S:$S,'Global TARF'!$A368,GL_BS!$A:$A,'Global TARF'!N$8)</f>
        <v>0</v>
      </c>
      <c r="O368" s="18">
        <f>SUMIFS(GL_BS!$G:$G,GL_BS!$R:$R,'Global TARF'!$A$357,GL_BS!$S:$S,'Global TARF'!$A368,GL_BS!$A:$A,'Global TARF'!O$8)</f>
        <v>0</v>
      </c>
      <c r="P368" s="545">
        <f>SUMIFS(GL_PL!$G:$G,GL_PL!$Q:$Q,'Global TARF'!$A$357,GL_PL!$R:$R,'Global TARF'!$A368,GL_PL!$A:$A,'Global TARF'!P$8)</f>
        <v>0</v>
      </c>
      <c r="Q368" s="184">
        <f>SUMIFS(GL_PL!$G:$G,GL_PL!$Q:$Q,'Global TARF'!$A$357,GL_PL!$R:$R,'Global TARF'!$A368,GL_PL!$A:$A,'Global TARF'!Q$8)</f>
        <v>0</v>
      </c>
      <c r="R368" s="184">
        <f>SUMIFS(GL_PL!$G:$G,GL_PL!$Q:$Q,'Global TARF'!$A$357,GL_PL!$R:$R,'Global TARF'!$A368,GL_PL!$A:$A,'Global TARF'!R$8)</f>
        <v>0</v>
      </c>
      <c r="S368" s="536">
        <f>SUMIFS(GL_PL!$G:$G,GL_PL!$Q:$Q,'Global TARF'!$A$357,GL_PL!$R:$R,'Global TARF'!$A368,GL_PL!$A:$A,'Global TARF'!S$8)</f>
        <v>0</v>
      </c>
      <c r="T368"/>
      <c r="Z368" s="582">
        <f t="shared" si="165"/>
        <v>0</v>
      </c>
    </row>
    <row r="369" spans="1:26" x14ac:dyDescent="0.2">
      <c r="A369" s="534" t="s">
        <v>779</v>
      </c>
      <c r="B369" s="184">
        <f>SUMIFS(GL_BS!$G:$G,GL_BS!$R:$R,'Global TARF'!$A$357,GL_BS!$S:$S,'Global TARF'!$A369,GL_BS!$A:$A,'Global TARF'!B$38)</f>
        <v>0</v>
      </c>
      <c r="C369" s="184">
        <f>SUMIFS(GL_BS!$G:$G,GL_BS!$R:$R,'Global TARF'!$A$357,GL_BS!$S:$S,'Global TARF'!$A369,GL_BS!$A:$A,'Global TARF'!C$8)</f>
        <v>0</v>
      </c>
      <c r="D369" s="184">
        <f>SUMIFS(GL_BS!$G:$G,GL_BS!$R:$R,'Global TARF'!$A$357,GL_BS!$S:$S,'Global TARF'!$A369,GL_BS!$A:$A,'Global TARF'!D$8)</f>
        <v>0</v>
      </c>
      <c r="E369" s="184">
        <f>SUMIFS(GL_BS!$G:$G,GL_BS!$R:$R,'Global TARF'!$A$357,GL_BS!$S:$S,'Global TARF'!$A369,GL_BS!$A:$A,'Global TARF'!E$8)</f>
        <v>0</v>
      </c>
      <c r="F369" s="184">
        <f>SUMIFS(GL_BS!$G:$G,GL_BS!$R:$R,'Global TARF'!$A$357,GL_BS!$S:$S,'Global TARF'!$A369,GL_BS!$A:$A,'Global TARF'!F$8)</f>
        <v>0</v>
      </c>
      <c r="G369" s="536">
        <f>SUMIFS(GL_BS!$G:$G,GL_BS!$R:$R,'Global TARF'!$A$357,GL_BS!$S:$S,'Global TARF'!$A369,GL_BS!$A:$A,'Global TARF'!G$8)</f>
        <v>0</v>
      </c>
      <c r="H369" s="545">
        <f>SUMIFS(GL_BS!$G:$G,GL_BS!$R:$R,'Global TARF'!$A$357,GL_BS!$S:$S,'Global TARF'!$A369,GL_BS!$A:$A,'Global TARF'!H$8)</f>
        <v>0</v>
      </c>
      <c r="I369" s="184">
        <f>SUMIFS(GL_BS!$G:$G,GL_BS!$R:$R,'Global TARF'!$A$357,GL_BS!$S:$S,'Global TARF'!$A369,GL_BS!$A:$A,'Global TARF'!I$8)</f>
        <v>0</v>
      </c>
      <c r="J369" s="184">
        <f>SUMIFS(GL_BS!$G:$G,GL_BS!$R:$R,'Global TARF'!$A$357,GL_BS!$S:$S,'Global TARF'!$A369,GL_BS!$A:$A,'Global TARF'!J$8)</f>
        <v>0</v>
      </c>
      <c r="K369" s="184">
        <f>SUMIFS(GL_BS!$G:$G,GL_BS!$R:$R,'Global TARF'!$A$357,GL_BS!$S:$S,'Global TARF'!$A369,GL_BS!$A:$A,'Global TARF'!K$8)</f>
        <v>0</v>
      </c>
      <c r="L369" s="184">
        <f>SUMIFS(GL_BS!$G:$G,GL_BS!$R:$R,'Global TARF'!$A$357,GL_BS!$S:$S,'Global TARF'!$A369,GL_BS!$A:$A,'Global TARF'!L$8)</f>
        <v>0</v>
      </c>
      <c r="M369" s="536">
        <f>SUMIFS(GL_BS!$G:$G,GL_BS!$R:$R,'Global TARF'!$A$357,GL_BS!$S:$S,'Global TARF'!$A369,GL_BS!$A:$A,'Global TARF'!M$8)</f>
        <v>0</v>
      </c>
      <c r="N369" s="555">
        <f>SUMIFS(GL_BS!$G:$G,GL_BS!$R:$R,'Global TARF'!$A$357,GL_BS!$S:$S,'Global TARF'!$A369,GL_BS!$A:$A,'Global TARF'!N$8)</f>
        <v>0</v>
      </c>
      <c r="O369" s="18">
        <f>SUMIFS(GL_BS!$G:$G,GL_BS!$R:$R,'Global TARF'!$A$357,GL_BS!$S:$S,'Global TARF'!$A369,GL_BS!$A:$A,'Global TARF'!O$8)</f>
        <v>0</v>
      </c>
      <c r="P369" s="545">
        <f>SUMIFS(GL_PL!$G:$G,GL_PL!$Q:$Q,'Global TARF'!$A$357,GL_PL!$R:$R,'Global TARF'!$A369,GL_PL!$A:$A,'Global TARF'!P$8)</f>
        <v>0</v>
      </c>
      <c r="Q369" s="184">
        <f>SUMIFS(GL_PL!$G:$G,GL_PL!$Q:$Q,'Global TARF'!$A$357,GL_PL!$R:$R,'Global TARF'!$A369,GL_PL!$A:$A,'Global TARF'!Q$8)</f>
        <v>0</v>
      </c>
      <c r="R369" s="184">
        <f>SUMIFS(GL_PL!$G:$G,GL_PL!$Q:$Q,'Global TARF'!$A$357,GL_PL!$R:$R,'Global TARF'!$A369,GL_PL!$A:$A,'Global TARF'!R$8)</f>
        <v>0</v>
      </c>
      <c r="S369" s="536">
        <f>SUMIFS(GL_PL!$G:$G,GL_PL!$Q:$Q,'Global TARF'!$A$357,GL_PL!$R:$R,'Global TARF'!$A369,GL_PL!$A:$A,'Global TARF'!S$8)</f>
        <v>0</v>
      </c>
      <c r="T369"/>
      <c r="Z369" s="582">
        <f t="shared" si="165"/>
        <v>0</v>
      </c>
    </row>
    <row r="370" spans="1:26" x14ac:dyDescent="0.2">
      <c r="A370" s="534" t="s">
        <v>4267</v>
      </c>
      <c r="B370" s="184">
        <f>SUMIFS(GL_BS!$G:$G,GL_BS!$R:$R,'Global TARF'!$A$357,GL_BS!$S:$S,'Global TARF'!$A370,GL_BS!$A:$A,'Global TARF'!B$38)</f>
        <v>0</v>
      </c>
      <c r="C370" s="184">
        <f>SUMIFS(GL_BS!$G:$G,GL_BS!$R:$R,'Global TARF'!$A$357,GL_BS!$S:$S,'Global TARF'!$A370,GL_BS!$A:$A,'Global TARF'!C$8)</f>
        <v>0</v>
      </c>
      <c r="D370" s="184">
        <f>SUMIFS(GL_BS!$G:$G,GL_BS!$R:$R,'Global TARF'!$A$357,GL_BS!$S:$S,'Global TARF'!$A370,GL_BS!$A:$A,'Global TARF'!D$8)</f>
        <v>0</v>
      </c>
      <c r="E370" s="184">
        <f>SUMIFS(GL_BS!$G:$G,GL_BS!$R:$R,'Global TARF'!$A$357,GL_BS!$S:$S,'Global TARF'!$A370,GL_BS!$A:$A,'Global TARF'!E$8)</f>
        <v>0</v>
      </c>
      <c r="F370" s="184">
        <f>SUMIFS(GL_BS!$G:$G,GL_BS!$R:$R,'Global TARF'!$A$357,GL_BS!$S:$S,'Global TARF'!$A370,GL_BS!$A:$A,'Global TARF'!F$8)</f>
        <v>0</v>
      </c>
      <c r="G370" s="536">
        <f>SUMIFS(GL_BS!$G:$G,GL_BS!$R:$R,'Global TARF'!$A$357,GL_BS!$S:$S,'Global TARF'!$A370,GL_BS!$A:$A,'Global TARF'!G$8)</f>
        <v>0</v>
      </c>
      <c r="H370" s="545">
        <f>SUMIFS(GL_BS!$G:$G,GL_BS!$R:$R,'Global TARF'!$A$357,GL_BS!$S:$S,'Global TARF'!$A370,GL_BS!$A:$A,'Global TARF'!H$8)</f>
        <v>0</v>
      </c>
      <c r="I370" s="184">
        <f>SUMIFS(GL_BS!$G:$G,GL_BS!$R:$R,'Global TARF'!$A$357,GL_BS!$S:$S,'Global TARF'!$A370,GL_BS!$A:$A,'Global TARF'!I$8)</f>
        <v>0</v>
      </c>
      <c r="J370" s="184">
        <f>SUMIFS(GL_BS!$G:$G,GL_BS!$R:$R,'Global TARF'!$A$357,GL_BS!$S:$S,'Global TARF'!$A370,GL_BS!$A:$A,'Global TARF'!J$8)</f>
        <v>0</v>
      </c>
      <c r="K370" s="184">
        <f>SUMIFS(GL_BS!$G:$G,GL_BS!$R:$R,'Global TARF'!$A$357,GL_BS!$S:$S,'Global TARF'!$A370,GL_BS!$A:$A,'Global TARF'!K$8)</f>
        <v>0</v>
      </c>
      <c r="L370" s="184">
        <f>SUMIFS(GL_BS!$G:$G,GL_BS!$R:$R,'Global TARF'!$A$357,GL_BS!$S:$S,'Global TARF'!$A370,GL_BS!$A:$A,'Global TARF'!L$8)</f>
        <v>0</v>
      </c>
      <c r="M370" s="536">
        <f>SUMIFS(GL_BS!$G:$G,GL_BS!$R:$R,'Global TARF'!$A$357,GL_BS!$S:$S,'Global TARF'!$A370,GL_BS!$A:$A,'Global TARF'!M$8)</f>
        <v>0</v>
      </c>
      <c r="N370" s="555">
        <f>SUMIFS(GL_BS!$G:$G,GL_BS!$R:$R,'Global TARF'!$A$357,GL_BS!$S:$S,'Global TARF'!$A370,GL_BS!$A:$A,'Global TARF'!N$8)</f>
        <v>0</v>
      </c>
      <c r="O370" s="18">
        <f>SUMIFS(GL_BS!$G:$G,GL_BS!$R:$R,'Global TARF'!$A$357,GL_BS!$S:$S,'Global TARF'!$A370,GL_BS!$A:$A,'Global TARF'!O$8)</f>
        <v>0</v>
      </c>
      <c r="P370" s="545">
        <f>SUMIFS(GL_PL!$G:$G,GL_PL!$Q:$Q,'Global TARF'!$A$357,GL_PL!$R:$R,'Global TARF'!$A370,GL_PL!$A:$A,'Global TARF'!P$8)</f>
        <v>0</v>
      </c>
      <c r="Q370" s="184">
        <f>SUMIFS(GL_PL!$G:$G,GL_PL!$Q:$Q,'Global TARF'!$A$357,GL_PL!$R:$R,'Global TARF'!$A370,GL_PL!$A:$A,'Global TARF'!Q$8)</f>
        <v>0</v>
      </c>
      <c r="R370" s="184">
        <f>SUMIFS(GL_PL!$G:$G,GL_PL!$Q:$Q,'Global TARF'!$A$357,GL_PL!$R:$R,'Global TARF'!$A370,GL_PL!$A:$A,'Global TARF'!R$8)</f>
        <v>0</v>
      </c>
      <c r="S370" s="536">
        <f>SUMIFS(GL_PL!$G:$G,GL_PL!$Q:$Q,'Global TARF'!$A$357,GL_PL!$R:$R,'Global TARF'!$A370,GL_PL!$A:$A,'Global TARF'!S$8)</f>
        <v>0</v>
      </c>
      <c r="T370"/>
      <c r="W370" s="26">
        <f>-SUM(R370,H370)</f>
        <v>0</v>
      </c>
      <c r="Z370" s="582">
        <f t="shared" si="165"/>
        <v>0</v>
      </c>
    </row>
    <row r="371" spans="1:26" x14ac:dyDescent="0.2">
      <c r="A371" s="534" t="s">
        <v>4275</v>
      </c>
      <c r="B371" s="184">
        <f>SUMIFS(GL_BS!$G:$G,GL_BS!$R:$R,'Global TARF'!$A$357,GL_BS!$S:$S,'Global TARF'!$A371,GL_BS!$A:$A,'Global TARF'!B$38)</f>
        <v>0</v>
      </c>
      <c r="C371" s="184">
        <f>SUMIFS(GL_BS!$G:$G,GL_BS!$R:$R,'Global TARF'!$A$357,GL_BS!$S:$S,'Global TARF'!$A371,GL_BS!$A:$A,'Global TARF'!C$8)</f>
        <v>0</v>
      </c>
      <c r="D371" s="184">
        <f>SUMIFS(GL_BS!$G:$G,GL_BS!$R:$R,'Global TARF'!$A$357,GL_BS!$S:$S,'Global TARF'!$A371,GL_BS!$A:$A,'Global TARF'!D$8)</f>
        <v>0</v>
      </c>
      <c r="E371" s="184">
        <f>SUMIFS(GL_BS!$G:$G,GL_BS!$R:$R,'Global TARF'!$A$357,GL_BS!$S:$S,'Global TARF'!$A371,GL_BS!$A:$A,'Global TARF'!E$8)</f>
        <v>0</v>
      </c>
      <c r="F371" s="184">
        <f>SUMIFS(GL_BS!$G:$G,GL_BS!$R:$R,'Global TARF'!$A$357,GL_BS!$S:$S,'Global TARF'!$A371,GL_BS!$A:$A,'Global TARF'!F$8)</f>
        <v>0</v>
      </c>
      <c r="G371" s="536">
        <f>SUMIFS(GL_BS!$G:$G,GL_BS!$R:$R,'Global TARF'!$A$357,GL_BS!$S:$S,'Global TARF'!$A371,GL_BS!$A:$A,'Global TARF'!G$8)</f>
        <v>0</v>
      </c>
      <c r="H371" s="545">
        <f>SUMIFS(GL_BS!$G:$G,GL_BS!$R:$R,'Global TARF'!$A$357,GL_BS!$S:$S,'Global TARF'!$A371,GL_BS!$A:$A,'Global TARF'!H$8)</f>
        <v>0</v>
      </c>
      <c r="I371" s="184">
        <f>SUMIFS(GL_BS!$G:$G,GL_BS!$R:$R,'Global TARF'!$A$357,GL_BS!$S:$S,'Global TARF'!$A371,GL_BS!$A:$A,'Global TARF'!I$8)</f>
        <v>0</v>
      </c>
      <c r="J371" s="184">
        <f>SUMIFS(GL_BS!$G:$G,GL_BS!$R:$R,'Global TARF'!$A$357,GL_BS!$S:$S,'Global TARF'!$A371,GL_BS!$A:$A,'Global TARF'!J$8)</f>
        <v>0</v>
      </c>
      <c r="K371" s="184">
        <f>SUMIFS(GL_BS!$G:$G,GL_BS!$R:$R,'Global TARF'!$A$357,GL_BS!$S:$S,'Global TARF'!$A371,GL_BS!$A:$A,'Global TARF'!K$8)</f>
        <v>0</v>
      </c>
      <c r="L371" s="184">
        <f>SUMIFS(GL_BS!$G:$G,GL_BS!$R:$R,'Global TARF'!$A$357,GL_BS!$S:$S,'Global TARF'!$A371,GL_BS!$A:$A,'Global TARF'!L$8)</f>
        <v>0</v>
      </c>
      <c r="M371" s="536">
        <f>SUMIFS(GL_BS!$G:$G,GL_BS!$R:$R,'Global TARF'!$A$357,GL_BS!$S:$S,'Global TARF'!$A371,GL_BS!$A:$A,'Global TARF'!M$8)</f>
        <v>0</v>
      </c>
      <c r="N371" s="555">
        <f>SUMIFS(GL_BS!$G:$G,GL_BS!$R:$R,'Global TARF'!$A$357,GL_BS!$S:$S,'Global TARF'!$A371,GL_BS!$A:$A,'Global TARF'!N$8)</f>
        <v>0</v>
      </c>
      <c r="O371" s="18">
        <f>SUMIFS(GL_BS!$G:$G,GL_BS!$R:$R,'Global TARF'!$A$357,GL_BS!$S:$S,'Global TARF'!$A371,GL_BS!$A:$A,'Global TARF'!O$8)</f>
        <v>0</v>
      </c>
      <c r="P371" s="545">
        <f>SUMIFS(GL_PL!$G:$G,GL_PL!$Q:$Q,'Global TARF'!$A$357,GL_PL!$R:$R,'Global TARF'!$A371,GL_PL!$A:$A,'Global TARF'!P$8)</f>
        <v>0</v>
      </c>
      <c r="Q371" s="184">
        <f>SUMIFS(GL_PL!$G:$G,GL_PL!$Q:$Q,'Global TARF'!$A$357,GL_PL!$R:$R,'Global TARF'!$A371,GL_PL!$A:$A,'Global TARF'!Q$8)</f>
        <v>0</v>
      </c>
      <c r="R371" s="184">
        <f>SUMIFS(GL_PL!$G:$G,GL_PL!$Q:$Q,'Global TARF'!$A$357,GL_PL!$R:$R,'Global TARF'!$A371,GL_PL!$A:$A,'Global TARF'!R$8)</f>
        <v>0</v>
      </c>
      <c r="S371" s="536">
        <f>SUMIFS(GL_PL!$G:$G,GL_PL!$Q:$Q,'Global TARF'!$A$357,GL_PL!$R:$R,'Global TARF'!$A371,GL_PL!$A:$A,'Global TARF'!S$8)</f>
        <v>0</v>
      </c>
      <c r="T371"/>
      <c r="Z371" s="582">
        <f t="shared" si="165"/>
        <v>0</v>
      </c>
    </row>
    <row r="372" spans="1:26" x14ac:dyDescent="0.2">
      <c r="A372" s="534" t="s">
        <v>4481</v>
      </c>
      <c r="B372" s="184">
        <f>SUMIFS(GL_BS!$G:$G,GL_BS!$R:$R,'Global TARF'!$A$357,GL_BS!$S:$S,'Global TARF'!$A372,GL_BS!$A:$A,'Global TARF'!B$38)</f>
        <v>0</v>
      </c>
      <c r="C372" s="184">
        <f>SUMIFS(GL_BS!$G:$G,GL_BS!$R:$R,'Global TARF'!$A$357,GL_BS!$S:$S,'Global TARF'!$A372,GL_BS!$A:$A,'Global TARF'!C$8)</f>
        <v>0</v>
      </c>
      <c r="D372" s="184">
        <f>SUMIFS(GL_BS!$G:$G,GL_BS!$R:$R,'Global TARF'!$A$357,GL_BS!$S:$S,'Global TARF'!$A372,GL_BS!$A:$A,'Global TARF'!D$8)</f>
        <v>0</v>
      </c>
      <c r="E372" s="184">
        <f>SUMIFS(GL_BS!$G:$G,GL_BS!$R:$R,'Global TARF'!$A$357,GL_BS!$S:$S,'Global TARF'!$A372,GL_BS!$A:$A,'Global TARF'!E$8)</f>
        <v>0</v>
      </c>
      <c r="F372" s="184">
        <f>SUMIFS(GL_BS!$G:$G,GL_BS!$R:$R,'Global TARF'!$A$357,GL_BS!$S:$S,'Global TARF'!$A372,GL_BS!$A:$A,'Global TARF'!F$8)</f>
        <v>0</v>
      </c>
      <c r="G372" s="536">
        <f>SUMIFS(GL_BS!$G:$G,GL_BS!$R:$R,'Global TARF'!$A$357,GL_BS!$S:$S,'Global TARF'!$A372,GL_BS!$A:$A,'Global TARF'!G$8)</f>
        <v>0</v>
      </c>
      <c r="H372" s="545">
        <f>SUMIFS(GL_BS!$G:$G,GL_BS!$R:$R,'Global TARF'!$A$357,GL_BS!$S:$S,'Global TARF'!$A372,GL_BS!$A:$A,'Global TARF'!H$8)</f>
        <v>0</v>
      </c>
      <c r="I372" s="184">
        <f>SUMIFS(GL_BS!$G:$G,GL_BS!$R:$R,'Global TARF'!$A$357,GL_BS!$S:$S,'Global TARF'!$A372,GL_BS!$A:$A,'Global TARF'!I$8)</f>
        <v>0</v>
      </c>
      <c r="J372" s="184">
        <f>SUMIFS(GL_BS!$G:$G,GL_BS!$R:$R,'Global TARF'!$A$357,GL_BS!$S:$S,'Global TARF'!$A372,GL_BS!$A:$A,'Global TARF'!J$8)</f>
        <v>0</v>
      </c>
      <c r="K372" s="184">
        <f>SUMIFS(GL_BS!$G:$G,GL_BS!$R:$R,'Global TARF'!$A$357,GL_BS!$S:$S,'Global TARF'!$A372,GL_BS!$A:$A,'Global TARF'!K$8)</f>
        <v>0</v>
      </c>
      <c r="L372" s="184">
        <f>SUMIFS(GL_BS!$G:$G,GL_BS!$R:$R,'Global TARF'!$A$357,GL_BS!$S:$S,'Global TARF'!$A372,GL_BS!$A:$A,'Global TARF'!L$8)</f>
        <v>0</v>
      </c>
      <c r="M372" s="536">
        <f>SUMIFS(GL_BS!$G:$G,GL_BS!$R:$R,'Global TARF'!$A$357,GL_BS!$S:$S,'Global TARF'!$A372,GL_BS!$A:$A,'Global TARF'!M$8)</f>
        <v>0</v>
      </c>
      <c r="N372" s="555">
        <f>SUMIFS(GL_BS!$G:$G,GL_BS!$R:$R,'Global TARF'!$A$357,GL_BS!$S:$S,'Global TARF'!$A372,GL_BS!$A:$A,'Global TARF'!N$8)</f>
        <v>0</v>
      </c>
      <c r="O372" s="18">
        <f>SUMIFS(GL_BS!$G:$G,GL_BS!$R:$R,'Global TARF'!$A$357,GL_BS!$S:$S,'Global TARF'!$A372,GL_BS!$A:$A,'Global TARF'!O$8)</f>
        <v>0</v>
      </c>
      <c r="P372" s="545">
        <f>SUMIFS(GL_PL!$G:$G,GL_PL!$Q:$Q,'Global TARF'!$A$357,GL_PL!$R:$R,'Global TARF'!$A372,GL_PL!$A:$A,'Global TARF'!P$8)</f>
        <v>0</v>
      </c>
      <c r="Q372" s="184">
        <f>SUMIFS(GL_PL!$G:$G,GL_PL!$Q:$Q,'Global TARF'!$A$357,GL_PL!$R:$R,'Global TARF'!$A372,GL_PL!$A:$A,'Global TARF'!Q$8)</f>
        <v>0</v>
      </c>
      <c r="R372" s="184">
        <f>SUMIFS(GL_PL!$G:$G,GL_PL!$Q:$Q,'Global TARF'!$A$357,GL_PL!$R:$R,'Global TARF'!$A372,GL_PL!$A:$A,'Global TARF'!R$8)</f>
        <v>0</v>
      </c>
      <c r="S372" s="536">
        <f>SUMIFS(GL_PL!$G:$G,GL_PL!$Q:$Q,'Global TARF'!$A$357,GL_PL!$R:$R,'Global TARF'!$A372,GL_PL!$A:$A,'Global TARF'!S$8)</f>
        <v>0</v>
      </c>
      <c r="T372"/>
      <c r="Z372" s="582">
        <f t="shared" si="165"/>
        <v>0</v>
      </c>
    </row>
    <row r="373" spans="1:26" x14ac:dyDescent="0.2">
      <c r="A373" t="s">
        <v>4569</v>
      </c>
      <c r="B373" s="184">
        <f>SUMIFS(GL_BS!$G:$G,GL_BS!$R:$R,'Global TARF'!$A$357,GL_BS!$S:$S,'Global TARF'!$A373,GL_BS!$A:$A,'Global TARF'!B$38)</f>
        <v>0</v>
      </c>
      <c r="C373" s="184">
        <f>SUMIFS(GL_BS!$G:$G,GL_BS!$R:$R,'Global TARF'!$A$357,GL_BS!$S:$S,'Global TARF'!$A373,GL_BS!$A:$A,'Global TARF'!C$8)</f>
        <v>0</v>
      </c>
      <c r="D373" s="184">
        <f>SUMIFS(GL_BS!$G:$G,GL_BS!$R:$R,'Global TARF'!$A$357,GL_BS!$S:$S,'Global TARF'!$A373,GL_BS!$A:$A,'Global TARF'!D$8)</f>
        <v>0</v>
      </c>
      <c r="E373" s="184">
        <f>SUMIFS(GL_BS!$G:$G,GL_BS!$R:$R,'Global TARF'!$A$357,GL_BS!$S:$S,'Global TARF'!$A373,GL_BS!$A:$A,'Global TARF'!E$8)</f>
        <v>0</v>
      </c>
      <c r="F373" s="184">
        <f>SUMIFS(GL_BS!$G:$G,GL_BS!$R:$R,'Global TARF'!$A$357,GL_BS!$S:$S,'Global TARF'!$A373,GL_BS!$A:$A,'Global TARF'!F$8)</f>
        <v>0</v>
      </c>
      <c r="G373" s="536">
        <f>SUMIFS(GL_BS!$G:$G,GL_BS!$R:$R,'Global TARF'!$A$357,GL_BS!$S:$S,'Global TARF'!$A373,GL_BS!$A:$A,'Global TARF'!G$8)</f>
        <v>0</v>
      </c>
      <c r="H373" s="545">
        <f>SUMIFS(GL_BS!$G:$G,GL_BS!$R:$R,'Global TARF'!$A$357,GL_BS!$S:$S,'Global TARF'!$A373,GL_BS!$A:$A,'Global TARF'!H$8)</f>
        <v>-11275.1358605028</v>
      </c>
      <c r="I373" s="184">
        <f>SUMIFS(GL_BS!$G:$G,GL_BS!$R:$R,'Global TARF'!$A$357,GL_BS!$S:$S,'Global TARF'!$A373,GL_BS!$A:$A,'Global TARF'!I$8)</f>
        <v>0</v>
      </c>
      <c r="J373" s="184">
        <f>SUMIFS(GL_BS!$G:$G,GL_BS!$R:$R,'Global TARF'!$A$357,GL_BS!$S:$S,'Global TARF'!$A373,GL_BS!$A:$A,'Global TARF'!J$8)</f>
        <v>0</v>
      </c>
      <c r="K373" s="184">
        <f>SUMIFS(GL_BS!$G:$G,GL_BS!$R:$R,'Global TARF'!$A$357,GL_BS!$S:$S,'Global TARF'!$A373,GL_BS!$A:$A,'Global TARF'!K$8)</f>
        <v>0</v>
      </c>
      <c r="L373" s="184">
        <f>SUMIFS(GL_BS!$G:$G,GL_BS!$R:$R,'Global TARF'!$A$357,GL_BS!$S:$S,'Global TARF'!$A373,GL_BS!$A:$A,'Global TARF'!L$8)</f>
        <v>0</v>
      </c>
      <c r="M373" s="536">
        <f>SUMIFS(GL_BS!$G:$G,GL_BS!$R:$R,'Global TARF'!$A$357,GL_BS!$S:$S,'Global TARF'!$A373,GL_BS!$A:$A,'Global TARF'!M$8)</f>
        <v>0</v>
      </c>
      <c r="N373" s="555">
        <v>-84.77</v>
      </c>
      <c r="O373" s="18">
        <f>SUMIFS(GL_BS!$G:$G,GL_BS!$R:$R,'Global TARF'!$A$357,GL_BS!$S:$S,'Global TARF'!$A373,GL_BS!$A:$A,'Global TARF'!O$8)</f>
        <v>0</v>
      </c>
      <c r="P373" s="545">
        <f>SUMIFS(GL_PL!$G:$G,GL_PL!$Q:$Q,'Global TARF'!$A$357,GL_PL!$R:$R,'Global TARF'!$A373,GL_PL!$A:$A,'Global TARF'!P$8)</f>
        <v>0</v>
      </c>
      <c r="Q373" s="184">
        <f>SUMIFS(GL_PL!$G:$G,GL_PL!$Q:$Q,'Global TARF'!$A$357,GL_PL!$R:$R,'Global TARF'!$A373,GL_PL!$A:$A,'Global TARF'!Q$8)</f>
        <v>0</v>
      </c>
      <c r="R373" s="184">
        <f>SUMIFS(GL_PL!$G:$G,GL_PL!$Q:$Q,'Global TARF'!$A$357,GL_PL!$R:$R,'Global TARF'!$A373,GL_PL!$A:$A,'Global TARF'!R$8)</f>
        <v>11359.908969694099</v>
      </c>
      <c r="S373" s="536">
        <f>SUMIFS(GL_PL!$G:$G,GL_PL!$Q:$Q,'Global TARF'!$A$357,GL_PL!$R:$R,'Global TARF'!$A373,GL_PL!$A:$A,'Global TARF'!S$8)</f>
        <v>0</v>
      </c>
      <c r="T373"/>
      <c r="Z373" s="582">
        <f t="shared" si="165"/>
        <v>3.1091912987903925E-3</v>
      </c>
    </row>
    <row r="374" spans="1:26" x14ac:dyDescent="0.2">
      <c r="A374" t="s">
        <v>4587</v>
      </c>
      <c r="B374" s="184">
        <f>SUMIFS(GL_BS!$G:$G,GL_BS!$R:$R,'Global TARF'!$A$357,GL_BS!$S:$S,'Global TARF'!$A374,GL_BS!$A:$A,'Global TARF'!B$38)</f>
        <v>0</v>
      </c>
      <c r="C374" s="184">
        <f>SUMIFS(GL_BS!$G:$G,GL_BS!$R:$R,'Global TARF'!$A$357,GL_BS!$S:$S,'Global TARF'!$A374,GL_BS!$A:$A,'Global TARF'!C$8)</f>
        <v>0</v>
      </c>
      <c r="D374" s="184">
        <f>SUMIFS(GL_BS!$G:$G,GL_BS!$R:$R,'Global TARF'!$A$357,GL_BS!$S:$S,'Global TARF'!$A374,GL_BS!$A:$A,'Global TARF'!D$8)</f>
        <v>0</v>
      </c>
      <c r="E374" s="184">
        <f>SUMIFS(GL_BS!$G:$G,GL_BS!$R:$R,'Global TARF'!$A$357,GL_BS!$S:$S,'Global TARF'!$A374,GL_BS!$A:$A,'Global TARF'!E$8)</f>
        <v>0</v>
      </c>
      <c r="F374" s="184">
        <f>SUMIFS(GL_BS!$G:$G,GL_BS!$R:$R,'Global TARF'!$A$357,GL_BS!$S:$S,'Global TARF'!$A374,GL_BS!$A:$A,'Global TARF'!F$8)</f>
        <v>0</v>
      </c>
      <c r="G374" s="536">
        <f>SUMIFS(GL_BS!$G:$G,GL_BS!$R:$R,'Global TARF'!$A$357,GL_BS!$S:$S,'Global TARF'!$A374,GL_BS!$A:$A,'Global TARF'!G$8)</f>
        <v>0</v>
      </c>
      <c r="H374" s="545">
        <f>SUMIFS(GL_BS!$G:$G,GL_BS!$R:$R,'Global TARF'!$A$357,GL_BS!$S:$S,'Global TARF'!$A374,GL_BS!$A:$A,'Global TARF'!H$8)</f>
        <v>0</v>
      </c>
      <c r="I374" s="184">
        <f>SUMIFS(GL_BS!$G:$G,GL_BS!$R:$R,'Global TARF'!$A$357,GL_BS!$S:$S,'Global TARF'!$A374,GL_BS!$A:$A,'Global TARF'!I$8)</f>
        <v>0</v>
      </c>
      <c r="J374" s="184">
        <f>SUMIFS(GL_BS!$G:$G,GL_BS!$R:$R,'Global TARF'!$A$357,GL_BS!$S:$S,'Global TARF'!$A374,GL_BS!$A:$A,'Global TARF'!J$8)</f>
        <v>0</v>
      </c>
      <c r="K374" s="184">
        <f>SUMIFS(GL_BS!$G:$G,GL_BS!$R:$R,'Global TARF'!$A$357,GL_BS!$S:$S,'Global TARF'!$A374,GL_BS!$A:$A,'Global TARF'!K$8)</f>
        <v>0</v>
      </c>
      <c r="L374" s="184">
        <f>SUMIFS(GL_BS!$G:$G,GL_BS!$R:$R,'Global TARF'!$A$357,GL_BS!$S:$S,'Global TARF'!$A374,GL_BS!$A:$A,'Global TARF'!L$8)</f>
        <v>0</v>
      </c>
      <c r="M374" s="536">
        <f>SUMIFS(GL_BS!$G:$G,GL_BS!$R:$R,'Global TARF'!$A$357,GL_BS!$S:$S,'Global TARF'!$A374,GL_BS!$A:$A,'Global TARF'!M$8)</f>
        <v>0</v>
      </c>
      <c r="N374" s="555"/>
      <c r="O374" s="18"/>
      <c r="P374" s="545">
        <f>SUMIFS(GL_PL!$G:$G,GL_PL!$Q:$Q,'Global TARF'!$A$357,GL_PL!$R:$R,'Global TARF'!$A374,GL_PL!$A:$A,'Global TARF'!P$8)</f>
        <v>0</v>
      </c>
      <c r="Q374" s="184">
        <f>SUMIFS(GL_PL!$G:$G,GL_PL!$Q:$Q,'Global TARF'!$A$357,GL_PL!$R:$R,'Global TARF'!$A374,GL_PL!$A:$A,'Global TARF'!Q$8)</f>
        <v>0</v>
      </c>
      <c r="R374" s="184">
        <f>SUMIFS(GL_PL!$G:$G,GL_PL!$Q:$Q,'Global TARF'!$A$357,GL_PL!$R:$R,'Global TARF'!$A374,GL_PL!$A:$A,'Global TARF'!R$8)</f>
        <v>0</v>
      </c>
      <c r="S374" s="536">
        <f>SUMIFS(GL_PL!$G:$G,GL_PL!$Q:$Q,'Global TARF'!$A$357,GL_PL!$R:$R,'Global TARF'!$A374,GL_PL!$A:$A,'Global TARF'!S$8)</f>
        <v>0</v>
      </c>
      <c r="T374"/>
      <c r="Z374" s="582"/>
    </row>
    <row r="375" spans="1:26" x14ac:dyDescent="0.2">
      <c r="A375" t="s">
        <v>4369</v>
      </c>
      <c r="B375" s="184">
        <f>SUMIFS(GL_BS!$G:$G,GL_BS!$R:$R,'Global TARF'!$A$357,GL_BS!$S:$S,'Global TARF'!$A375,GL_BS!$A:$A,'Global TARF'!B$38)</f>
        <v>0</v>
      </c>
      <c r="C375" s="184">
        <f>SUMIFS(GL_BS!$G:$G,GL_BS!$R:$R,'Global TARF'!$A$357,GL_BS!$S:$S,'Global TARF'!$A375,GL_BS!$A:$A,'Global TARF'!C$8)</f>
        <v>0</v>
      </c>
      <c r="D375" s="184">
        <f>SUMIFS(GL_BS!$G:$G,GL_BS!$R:$R,'Global TARF'!$A$357,GL_BS!$S:$S,'Global TARF'!$A375,GL_BS!$A:$A,'Global TARF'!D$8)</f>
        <v>0</v>
      </c>
      <c r="E375" s="184">
        <f>SUMIFS(GL_BS!$G:$G,GL_BS!$R:$R,'Global TARF'!$A$357,GL_BS!$S:$S,'Global TARF'!$A375,GL_BS!$A:$A,'Global TARF'!E$8)</f>
        <v>0</v>
      </c>
      <c r="F375" s="184">
        <f>SUMIFS(GL_BS!$G:$G,GL_BS!$R:$R,'Global TARF'!$A$357,GL_BS!$S:$S,'Global TARF'!$A375,GL_BS!$A:$A,'Global TARF'!F$8)</f>
        <v>0</v>
      </c>
      <c r="G375" s="536">
        <f>SUMIFS(GL_BS!$G:$G,GL_BS!$R:$R,'Global TARF'!$A$357,GL_BS!$S:$S,'Global TARF'!$A375,GL_BS!$A:$A,'Global TARF'!G$8)</f>
        <v>0</v>
      </c>
      <c r="H375" s="545">
        <f>SUMIFS(GL_BS!$G:$G,GL_BS!$R:$R,'Global TARF'!$A$357,GL_BS!$S:$S,'Global TARF'!$A375,GL_BS!$A:$A,'Global TARF'!H$8)</f>
        <v>0</v>
      </c>
      <c r="I375" s="184">
        <f>SUMIFS(GL_BS!$G:$G,GL_BS!$R:$R,'Global TARF'!$A$357,GL_BS!$S:$S,'Global TARF'!$A375,GL_BS!$A:$A,'Global TARF'!I$8)</f>
        <v>0</v>
      </c>
      <c r="J375" s="184">
        <f>SUMIFS(GL_BS!$G:$G,GL_BS!$R:$R,'Global TARF'!$A$357,GL_BS!$S:$S,'Global TARF'!$A375,GL_BS!$A:$A,'Global TARF'!J$8)</f>
        <v>0</v>
      </c>
      <c r="K375" s="184">
        <f>SUMIFS(GL_BS!$G:$G,GL_BS!$R:$R,'Global TARF'!$A$357,GL_BS!$S:$S,'Global TARF'!$A375,GL_BS!$A:$A,'Global TARF'!K$8)</f>
        <v>0</v>
      </c>
      <c r="L375" s="184">
        <f>SUMIFS(GL_BS!$G:$G,GL_BS!$R:$R,'Global TARF'!$A$357,GL_BS!$S:$S,'Global TARF'!$A375,GL_BS!$A:$A,'Global TARF'!L$8)</f>
        <v>0</v>
      </c>
      <c r="M375" s="536">
        <f>SUMIFS(GL_BS!$G:$G,GL_BS!$R:$R,'Global TARF'!$A$357,GL_BS!$S:$S,'Global TARF'!$A375,GL_BS!$A:$A,'Global TARF'!M$8)</f>
        <v>0</v>
      </c>
      <c r="N375" s="555"/>
      <c r="O375" s="18"/>
      <c r="P375" s="545">
        <f>SUMIFS(GL_PL!$G:$G,GL_PL!$Q:$Q,'Global TARF'!$A$357,GL_PL!$R:$R,'Global TARF'!$A375,GL_PL!$A:$A,'Global TARF'!P$8)</f>
        <v>0</v>
      </c>
      <c r="Q375" s="184">
        <f>SUMIFS(GL_PL!$G:$G,GL_PL!$Q:$Q,'Global TARF'!$A$357,GL_PL!$R:$R,'Global TARF'!$A375,GL_PL!$A:$A,'Global TARF'!Q$8)</f>
        <v>0</v>
      </c>
      <c r="R375" s="184">
        <f>SUMIFS(GL_PL!$G:$G,GL_PL!$Q:$Q,'Global TARF'!$A$357,GL_PL!$R:$R,'Global TARF'!$A375,GL_PL!$A:$A,'Global TARF'!R$8)</f>
        <v>0</v>
      </c>
      <c r="S375" s="536">
        <f>SUMIFS(GL_PL!$G:$G,GL_PL!$Q:$Q,'Global TARF'!$A$357,GL_PL!$R:$R,'Global TARF'!$A375,GL_PL!$A:$A,'Global TARF'!S$8)</f>
        <v>0</v>
      </c>
      <c r="T375"/>
      <c r="Z375" s="582"/>
    </row>
    <row r="376" spans="1:26" x14ac:dyDescent="0.2">
      <c r="A376" s="534" t="s">
        <v>799</v>
      </c>
      <c r="B376" s="184">
        <f>SUMIFS(GL_BS!$G:$G,GL_BS!$R:$R,'Global TARF'!$A$357,GL_BS!$S:$S,'Global TARF'!$A376,GL_BS!$A:$A,'Global TARF'!B$38)</f>
        <v>0</v>
      </c>
      <c r="C376" s="184">
        <f>SUMIFS(GL_BS!$G:$G,GL_BS!$R:$R,'Global TARF'!$A$357,GL_BS!$S:$S,'Global TARF'!$A376,GL_BS!$A:$A,'Global TARF'!C$8)</f>
        <v>0</v>
      </c>
      <c r="D376" s="184">
        <f>SUMIFS(GL_BS!$G:$G,GL_BS!$R:$R,'Global TARF'!$A$357,GL_BS!$S:$S,'Global TARF'!$A376,GL_BS!$A:$A,'Global TARF'!D$8)</f>
        <v>0</v>
      </c>
      <c r="E376" s="184">
        <f>SUMIFS(GL_BS!$G:$G,GL_BS!$R:$R,'Global TARF'!$A$357,GL_BS!$S:$S,'Global TARF'!$A376,GL_BS!$A:$A,'Global TARF'!E$8)</f>
        <v>0</v>
      </c>
      <c r="F376" s="184">
        <f>SUMIFS(GL_BS!$G:$G,GL_BS!$R:$R,'Global TARF'!$A$357,GL_BS!$S:$S,'Global TARF'!$A376,GL_BS!$A:$A,'Global TARF'!F$8)</f>
        <v>0</v>
      </c>
      <c r="G376" s="536">
        <f>SUMIFS(GL_BS!$G:$G,GL_BS!$R:$R,'Global TARF'!$A$357,GL_BS!$S:$S,'Global TARF'!$A376,GL_BS!$A:$A,'Global TARF'!G$8)</f>
        <v>0</v>
      </c>
      <c r="H376" s="545">
        <f>SUMIFS(GL_BS!$G:$G,GL_BS!$R:$R,'Global TARF'!$A$357,GL_BS!$S:$S,'Global TARF'!$A376,GL_BS!$A:$A,'Global TARF'!H$8)</f>
        <v>0</v>
      </c>
      <c r="I376" s="184">
        <f>SUMIFS(GL_BS!$G:$G,GL_BS!$R:$R,'Global TARF'!$A$357,GL_BS!$S:$S,'Global TARF'!$A376,GL_BS!$A:$A,'Global TARF'!I$8)</f>
        <v>0</v>
      </c>
      <c r="J376" s="184">
        <f>SUMIFS(GL_BS!$G:$G,GL_BS!$R:$R,'Global TARF'!$A$357,GL_BS!$S:$S,'Global TARF'!$A376,GL_BS!$A:$A,'Global TARF'!J$8)</f>
        <v>0</v>
      </c>
      <c r="K376" s="184">
        <f>SUMIFS(GL_BS!$G:$G,GL_BS!$R:$R,'Global TARF'!$A$357,GL_BS!$S:$S,'Global TARF'!$A376,GL_BS!$A:$A,'Global TARF'!K$8)</f>
        <v>0</v>
      </c>
      <c r="L376" s="184">
        <f>SUMIFS(GL_BS!$G:$G,GL_BS!$R:$R,'Global TARF'!$A$357,GL_BS!$S:$S,'Global TARF'!$A376,GL_BS!$A:$A,'Global TARF'!L$8)</f>
        <v>0</v>
      </c>
      <c r="M376" s="536">
        <f>SUMIFS(GL_BS!$G:$G,GL_BS!$R:$R,'Global TARF'!$A$357,GL_BS!$S:$S,'Global TARF'!$A376,GL_BS!$A:$A,'Global TARF'!M$8)</f>
        <v>0</v>
      </c>
      <c r="N376" s="555"/>
      <c r="O376" s="18"/>
      <c r="P376" s="545">
        <f>SUMIFS(GL_PL!$G:$G,GL_PL!$Q:$Q,'Global TARF'!$A$357,GL_PL!$R:$R,'Global TARF'!$A376,GL_PL!$A:$A,'Global TARF'!P$8)</f>
        <v>0</v>
      </c>
      <c r="Q376" s="184">
        <f>SUMIFS(GL_PL!$G:$G,GL_PL!$Q:$Q,'Global TARF'!$A$357,GL_PL!$R:$R,'Global TARF'!$A376,GL_PL!$A:$A,'Global TARF'!Q$8)</f>
        <v>0</v>
      </c>
      <c r="R376" s="184">
        <f>SUMIFS(GL_PL!$G:$G,GL_PL!$Q:$Q,'Global TARF'!$A$357,GL_PL!$R:$R,'Global TARF'!$A376,GL_PL!$A:$A,'Global TARF'!R$8)</f>
        <v>0</v>
      </c>
      <c r="S376" s="536">
        <f>SUMIFS(GL_PL!$G:$G,GL_PL!$Q:$Q,'Global TARF'!$A$357,GL_PL!$R:$R,'Global TARF'!$A376,GL_PL!$A:$A,'Global TARF'!S$8)</f>
        <v>0</v>
      </c>
      <c r="T376"/>
      <c r="Z376" s="582"/>
    </row>
    <row r="377" spans="1:26" x14ac:dyDescent="0.2">
      <c r="A377" s="534" t="s">
        <v>3845</v>
      </c>
      <c r="B377" s="184">
        <f>SUMIFS(GL_BS!$G:$G,GL_BS!$R:$R,'Global TARF'!$A$357,GL_BS!$S:$S,'Global TARF'!$A377,GL_BS!$A:$A,'Global TARF'!B$38)</f>
        <v>0</v>
      </c>
      <c r="C377" s="184">
        <f>SUMIFS(GL_BS!$G:$G,GL_BS!$R:$R,'Global TARF'!$A$357,GL_BS!$S:$S,'Global TARF'!$A377,GL_BS!$A:$A,'Global TARF'!C$8)</f>
        <v>0</v>
      </c>
      <c r="D377" s="184">
        <f>SUMIFS(GL_BS!$G:$G,GL_BS!$R:$R,'Global TARF'!$A$357,GL_BS!$S:$S,'Global TARF'!$A377,GL_BS!$A:$A,'Global TARF'!D$8)</f>
        <v>0</v>
      </c>
      <c r="E377" s="184">
        <f>SUMIFS(GL_BS!$G:$G,GL_BS!$R:$R,'Global TARF'!$A$357,GL_BS!$S:$S,'Global TARF'!$A377,GL_BS!$A:$A,'Global TARF'!E$8)</f>
        <v>0</v>
      </c>
      <c r="F377" s="184">
        <f>SUMIFS(GL_BS!$G:$G,GL_BS!$R:$R,'Global TARF'!$A$357,GL_BS!$S:$S,'Global TARF'!$A377,GL_BS!$A:$A,'Global TARF'!F$8)</f>
        <v>0</v>
      </c>
      <c r="G377" s="536">
        <f>SUMIFS(GL_BS!$G:$G,GL_BS!$R:$R,'Global TARF'!$A$357,GL_BS!$S:$S,'Global TARF'!$A377,GL_BS!$A:$A,'Global TARF'!G$8)</f>
        <v>0</v>
      </c>
      <c r="H377" s="545">
        <f>SUMIFS(GL_BS!$G:$G,GL_BS!$R:$R,'Global TARF'!$A$357,GL_BS!$S:$S,'Global TARF'!$A377,GL_BS!$A:$A,'Global TARF'!H$8)</f>
        <v>0</v>
      </c>
      <c r="I377" s="184">
        <f>SUMIFS(GL_BS!$G:$G,GL_BS!$R:$R,'Global TARF'!$A$357,GL_BS!$S:$S,'Global TARF'!$A377,GL_BS!$A:$A,'Global TARF'!I$8)</f>
        <v>0</v>
      </c>
      <c r="J377" s="184">
        <f>SUMIFS(GL_BS!$G:$G,GL_BS!$R:$R,'Global TARF'!$A$357,GL_BS!$S:$S,'Global TARF'!$A377,GL_BS!$A:$A,'Global TARF'!J$8)</f>
        <v>0</v>
      </c>
      <c r="K377" s="184">
        <f>SUMIFS(GL_BS!$G:$G,GL_BS!$R:$R,'Global TARF'!$A$357,GL_BS!$S:$S,'Global TARF'!$A377,GL_BS!$A:$A,'Global TARF'!K$8)</f>
        <v>0</v>
      </c>
      <c r="L377" s="184">
        <f>SUMIFS(GL_BS!$G:$G,GL_BS!$R:$R,'Global TARF'!$A$357,GL_BS!$S:$S,'Global TARF'!$A377,GL_BS!$A:$A,'Global TARF'!L$8)</f>
        <v>0</v>
      </c>
      <c r="M377" s="536">
        <f>SUMIFS(GL_BS!$G:$G,GL_BS!$R:$R,'Global TARF'!$A$357,GL_BS!$S:$S,'Global TARF'!$A377,GL_BS!$A:$A,'Global TARF'!M$8)</f>
        <v>0</v>
      </c>
      <c r="N377" s="555">
        <f>SUMIFS(GL_BS!$G:$G,GL_BS!$R:$R,'Global TARF'!$A$357,GL_BS!$S:$S,'Global TARF'!$A377,GL_BS!$A:$A,'Global TARF'!N$8)</f>
        <v>0</v>
      </c>
      <c r="O377" s="18">
        <f>SUMIFS(GL_BS!$G:$G,GL_BS!$R:$R,'Global TARF'!$A$357,GL_BS!$S:$S,'Global TARF'!$A377,GL_BS!$A:$A,'Global TARF'!O$8)</f>
        <v>0</v>
      </c>
      <c r="P377" s="545">
        <f>SUMIFS(GL_PL!$G:$G,GL_PL!$Q:$Q,'Global TARF'!$A$357,GL_PL!$R:$R,'Global TARF'!$A377,GL_PL!$A:$A,'Global TARF'!P$8)</f>
        <v>0</v>
      </c>
      <c r="Q377" s="184">
        <f>SUMIFS(GL_PL!$G:$G,GL_PL!$Q:$Q,'Global TARF'!$A$357,GL_PL!$R:$R,'Global TARF'!$A377,GL_PL!$A:$A,'Global TARF'!Q$8)</f>
        <v>0</v>
      </c>
      <c r="R377" s="184">
        <f>SUMIFS(GL_PL!$G:$G,GL_PL!$Q:$Q,'Global TARF'!$A$357,GL_PL!$R:$R,'Global TARF'!$A377,GL_PL!$A:$A,'Global TARF'!R$8)</f>
        <v>0</v>
      </c>
      <c r="S377" s="536">
        <f>SUMIFS(GL_PL!$G:$G,GL_PL!$Q:$Q,'Global TARF'!$A$357,GL_PL!$R:$R,'Global TARF'!$A377,GL_PL!$A:$A,'Global TARF'!S$8)</f>
        <v>0</v>
      </c>
      <c r="T377"/>
      <c r="Z377" s="582">
        <f t="shared" si="165"/>
        <v>0</v>
      </c>
    </row>
    <row r="378" spans="1:26" x14ac:dyDescent="0.2">
      <c r="A378" s="534" t="s">
        <v>792</v>
      </c>
      <c r="B378" s="184">
        <f>SUMIFS(GL_BS!$G:$G,GL_BS!$R:$R,'Global TARF'!$A$357,GL_BS!$S:$S,'Global TARF'!$A378,GL_BS!$A:$A,'Global TARF'!B$38)</f>
        <v>0</v>
      </c>
      <c r="C378" s="184">
        <f>SUMIFS(GL_BS!$G:$G,GL_BS!$R:$R,'Global TARF'!$A$357,GL_BS!$S:$S,'Global TARF'!$A378,GL_BS!$A:$A,'Global TARF'!C$8)</f>
        <v>0</v>
      </c>
      <c r="D378" s="184">
        <f>SUMIFS(GL_BS!$G:$G,GL_BS!$R:$R,'Global TARF'!$A$357,GL_BS!$S:$S,'Global TARF'!$A378,GL_BS!$A:$A,'Global TARF'!D$8)</f>
        <v>0</v>
      </c>
      <c r="E378" s="184">
        <f>SUMIFS(GL_BS!$G:$G,GL_BS!$R:$R,'Global TARF'!$A$357,GL_BS!$S:$S,'Global TARF'!$A378,GL_BS!$A:$A,'Global TARF'!E$8)</f>
        <v>0</v>
      </c>
      <c r="F378" s="184">
        <f>SUMIFS(GL_BS!$G:$G,GL_BS!$R:$R,'Global TARF'!$A$357,GL_BS!$S:$S,'Global TARF'!$A378,GL_BS!$A:$A,'Global TARF'!F$8)</f>
        <v>0</v>
      </c>
      <c r="G378" s="536">
        <f>SUMIFS(GL_BS!$G:$G,GL_BS!$R:$R,'Global TARF'!$A$357,GL_BS!$S:$S,'Global TARF'!$A378,GL_BS!$A:$A,'Global TARF'!G$8)</f>
        <v>0</v>
      </c>
      <c r="H378" s="545">
        <f>SUMIFS(GL_BS!$G:$G,GL_BS!$R:$R,'Global TARF'!$A$357,GL_BS!$S:$S,'Global TARF'!$A378,GL_BS!$A:$A,'Global TARF'!H$8)</f>
        <v>0</v>
      </c>
      <c r="I378" s="184">
        <f>SUMIFS(GL_BS!$G:$G,GL_BS!$R:$R,'Global TARF'!$A$357,GL_BS!$S:$S,'Global TARF'!$A378,GL_BS!$A:$A,'Global TARF'!I$8)</f>
        <v>0</v>
      </c>
      <c r="J378" s="184">
        <f>SUMIFS(GL_BS!$G:$G,GL_BS!$R:$R,'Global TARF'!$A$357,GL_BS!$S:$S,'Global TARF'!$A378,GL_BS!$A:$A,'Global TARF'!J$8)</f>
        <v>0</v>
      </c>
      <c r="K378" s="184">
        <f>SUMIFS(GL_BS!$G:$G,GL_BS!$R:$R,'Global TARF'!$A$357,GL_BS!$S:$S,'Global TARF'!$A378,GL_BS!$A:$A,'Global TARF'!K$8)</f>
        <v>0</v>
      </c>
      <c r="L378" s="184">
        <f>SUMIFS(GL_BS!$G:$G,GL_BS!$R:$R,'Global TARF'!$A$357,GL_BS!$S:$S,'Global TARF'!$A378,GL_BS!$A:$A,'Global TARF'!L$8)</f>
        <v>0</v>
      </c>
      <c r="M378" s="536">
        <f>SUMIFS(GL_BS!$G:$G,GL_BS!$R:$R,'Global TARF'!$A$357,GL_BS!$S:$S,'Global TARF'!$A378,GL_BS!$A:$A,'Global TARF'!M$8)</f>
        <v>0</v>
      </c>
      <c r="N378" s="555">
        <f>SUMIFS(GL_BS!$G:$G,GL_BS!$R:$R,'Global TARF'!$A$357,GL_BS!$S:$S,'Global TARF'!$A378,GL_BS!$A:$A,'Global TARF'!N$8)</f>
        <v>0</v>
      </c>
      <c r="O378" s="18">
        <f>SUMIFS(GL_BS!$G:$G,GL_BS!$R:$R,'Global TARF'!$A$357,GL_BS!$S:$S,'Global TARF'!$A378,GL_BS!$A:$A,'Global TARF'!O$8)</f>
        <v>0</v>
      </c>
      <c r="P378" s="545">
        <f>SUMIFS(GL_PL!$G:$G,GL_PL!$Q:$Q,'Global TARF'!$A$357,GL_PL!$R:$R,'Global TARF'!$A378,GL_PL!$A:$A,'Global TARF'!P$8)</f>
        <v>0</v>
      </c>
      <c r="Q378" s="184">
        <f>SUMIFS(GL_PL!$G:$G,GL_PL!$Q:$Q,'Global TARF'!$A$357,GL_PL!$R:$R,'Global TARF'!$A378,GL_PL!$A:$A,'Global TARF'!Q$8)</f>
        <v>0</v>
      </c>
      <c r="R378" s="184">
        <f>SUMIFS(GL_PL!$G:$G,GL_PL!$Q:$Q,'Global TARF'!$A$357,GL_PL!$R:$R,'Global TARF'!$A378,GL_PL!$A:$A,'Global TARF'!R$8)</f>
        <v>0</v>
      </c>
      <c r="S378" s="536">
        <f>SUMIFS(GL_PL!$G:$G,GL_PL!$Q:$Q,'Global TARF'!$A$357,GL_PL!$R:$R,'Global TARF'!$A378,GL_PL!$A:$A,'Global TARF'!S$8)</f>
        <v>0</v>
      </c>
      <c r="T378"/>
      <c r="V378" s="26">
        <f>-SUM(Q378,B378)</f>
        <v>0</v>
      </c>
      <c r="Z378" s="582">
        <f t="shared" si="165"/>
        <v>0</v>
      </c>
    </row>
    <row r="379" spans="1:26" x14ac:dyDescent="0.2">
      <c r="A379" s="534" t="s">
        <v>791</v>
      </c>
      <c r="B379" s="184">
        <f>SUMIFS(GL_BS!$G:$G,GL_BS!$R:$R,'Global TARF'!$A$357,GL_BS!$S:$S,'Global TARF'!$A379,GL_BS!$A:$A,'Global TARF'!B$38)</f>
        <v>0</v>
      </c>
      <c r="C379" s="184">
        <f>SUMIFS(GL_BS!$G:$G,GL_BS!$R:$R,'Global TARF'!$A$357,GL_BS!$S:$S,'Global TARF'!$A379,GL_BS!$A:$A,'Global TARF'!C$8)</f>
        <v>0</v>
      </c>
      <c r="D379" s="184">
        <f>SUMIFS(GL_BS!$G:$G,GL_BS!$R:$R,'Global TARF'!$A$357,GL_BS!$S:$S,'Global TARF'!$A379,GL_BS!$A:$A,'Global TARF'!D$8)</f>
        <v>0</v>
      </c>
      <c r="E379" s="184">
        <f>SUMIFS(GL_BS!$G:$G,GL_BS!$R:$R,'Global TARF'!$A$357,GL_BS!$S:$S,'Global TARF'!$A379,GL_BS!$A:$A,'Global TARF'!E$8)</f>
        <v>0</v>
      </c>
      <c r="F379" s="184">
        <f>SUMIFS(GL_BS!$G:$G,GL_BS!$R:$R,'Global TARF'!$A$357,GL_BS!$S:$S,'Global TARF'!$A379,GL_BS!$A:$A,'Global TARF'!F$8)</f>
        <v>0</v>
      </c>
      <c r="G379" s="536">
        <f>SUMIFS(GL_BS!$G:$G,GL_BS!$R:$R,'Global TARF'!$A$357,GL_BS!$S:$S,'Global TARF'!$A379,GL_BS!$A:$A,'Global TARF'!G$8)</f>
        <v>0</v>
      </c>
      <c r="H379" s="545">
        <f>SUMIFS(GL_BS!$G:$G,GL_BS!$R:$R,'Global TARF'!$A$357,GL_BS!$S:$S,'Global TARF'!$A379,GL_BS!$A:$A,'Global TARF'!H$8)</f>
        <v>0</v>
      </c>
      <c r="I379" s="184">
        <f>SUMIFS(GL_BS!$G:$G,GL_BS!$R:$R,'Global TARF'!$A$357,GL_BS!$S:$S,'Global TARF'!$A379,GL_BS!$A:$A,'Global TARF'!I$8)</f>
        <v>0</v>
      </c>
      <c r="J379" s="184">
        <f>SUMIFS(GL_BS!$G:$G,GL_BS!$R:$R,'Global TARF'!$A$357,GL_BS!$S:$S,'Global TARF'!$A379,GL_BS!$A:$A,'Global TARF'!J$8)</f>
        <v>0</v>
      </c>
      <c r="K379" s="184">
        <f>SUMIFS(GL_BS!$G:$G,GL_BS!$R:$R,'Global TARF'!$A$357,GL_BS!$S:$S,'Global TARF'!$A379,GL_BS!$A:$A,'Global TARF'!K$8)</f>
        <v>0</v>
      </c>
      <c r="L379" s="184">
        <f>SUMIFS(GL_BS!$G:$G,GL_BS!$R:$R,'Global TARF'!$A$357,GL_BS!$S:$S,'Global TARF'!$A379,GL_BS!$A:$A,'Global TARF'!L$8)</f>
        <v>0</v>
      </c>
      <c r="M379" s="536">
        <f>SUMIFS(GL_BS!$G:$G,GL_BS!$R:$R,'Global TARF'!$A$357,GL_BS!$S:$S,'Global TARF'!$A379,GL_BS!$A:$A,'Global TARF'!M$8)</f>
        <v>0</v>
      </c>
      <c r="N379" s="555">
        <f>SUMIFS(GL_BS!$G:$G,GL_BS!$R:$R,'Global TARF'!$A$357,GL_BS!$S:$S,'Global TARF'!$A379,GL_BS!$A:$A,'Global TARF'!N$8)</f>
        <v>0</v>
      </c>
      <c r="O379" s="18">
        <f>SUMIFS(GL_BS!$G:$G,GL_BS!$R:$R,'Global TARF'!$A$357,GL_BS!$S:$S,'Global TARF'!$A379,GL_BS!$A:$A,'Global TARF'!O$8)</f>
        <v>0</v>
      </c>
      <c r="P379" s="545">
        <f>SUMIFS(GL_PL!$G:$G,GL_PL!$Q:$Q,'Global TARF'!$A$357,GL_PL!$R:$R,'Global TARF'!$A379,GL_PL!$A:$A,'Global TARF'!P$8)</f>
        <v>0</v>
      </c>
      <c r="Q379" s="184">
        <f>SUMIFS(GL_PL!$G:$G,GL_PL!$Q:$Q,'Global TARF'!$A$357,GL_PL!$R:$R,'Global TARF'!$A379,GL_PL!$A:$A,'Global TARF'!Q$8)</f>
        <v>0</v>
      </c>
      <c r="R379" s="184">
        <f>SUMIFS(GL_PL!$G:$G,GL_PL!$Q:$Q,'Global TARF'!$A$357,GL_PL!$R:$R,'Global TARF'!$A379,GL_PL!$A:$A,'Global TARF'!R$8)</f>
        <v>0</v>
      </c>
      <c r="S379" s="536">
        <f>SUMIFS(GL_PL!$G:$G,GL_PL!$Q:$Q,'Global TARF'!$A$357,GL_PL!$R:$R,'Global TARF'!$A379,GL_PL!$A:$A,'Global TARF'!S$8)</f>
        <v>0</v>
      </c>
      <c r="T379" s="26">
        <f>-SUM(P379:R379)</f>
        <v>0</v>
      </c>
      <c r="U379" s="26"/>
      <c r="Z379" s="582">
        <f t="shared" si="165"/>
        <v>0</v>
      </c>
    </row>
    <row r="380" spans="1:26" x14ac:dyDescent="0.2">
      <c r="A380" s="534" t="s">
        <v>243</v>
      </c>
      <c r="B380" s="184">
        <f>SUMIFS(GL_BS!$G:$G,GL_BS!$R:$R,'Global TARF'!$A$357,GL_BS!$S:$S,'Global TARF'!$A380,GL_BS!$A:$A,'Global TARF'!B$38)</f>
        <v>0</v>
      </c>
      <c r="C380" s="184">
        <f>SUMIFS(GL_BS!$G:$G,GL_BS!$R:$R,'Global TARF'!$A$357,GL_BS!$S:$S,'Global TARF'!$A380,GL_BS!$A:$A,'Global TARF'!C$8)</f>
        <v>0</v>
      </c>
      <c r="D380" s="184">
        <f>SUMIFS(GL_BS!$G:$G,GL_BS!$R:$R,'Global TARF'!$A$357,GL_BS!$S:$S,'Global TARF'!$A380,GL_BS!$A:$A,'Global TARF'!D$8)</f>
        <v>0</v>
      </c>
      <c r="E380" s="184">
        <f>SUMIFS(GL_BS!$G:$G,GL_BS!$R:$R,'Global TARF'!$A$357,GL_BS!$S:$S,'Global TARF'!$A380,GL_BS!$A:$A,'Global TARF'!E$8)</f>
        <v>0</v>
      </c>
      <c r="F380" s="184">
        <f>SUMIFS(GL_BS!$G:$G,GL_BS!$R:$R,'Global TARF'!$A$357,GL_BS!$S:$S,'Global TARF'!$A380,GL_BS!$A:$A,'Global TARF'!F$8)</f>
        <v>0</v>
      </c>
      <c r="G380" s="536">
        <f>SUMIFS(GL_BS!$G:$G,GL_BS!$R:$R,'Global TARF'!$A$357,GL_BS!$S:$S,'Global TARF'!$A380,GL_BS!$A:$A,'Global TARF'!G$8)</f>
        <v>0</v>
      </c>
      <c r="H380" s="545">
        <f>SUMIFS(GL_BS!$G:$G,GL_BS!$R:$R,'Global TARF'!$A$357,GL_BS!$S:$S,'Global TARF'!$A380,GL_BS!$A:$A,'Global TARF'!H$8)</f>
        <v>0</v>
      </c>
      <c r="I380" s="184">
        <f>SUMIFS(GL_BS!$G:$G,GL_BS!$R:$R,'Global TARF'!$A$357,GL_BS!$S:$S,'Global TARF'!$A380,GL_BS!$A:$A,'Global TARF'!I$8)</f>
        <v>0</v>
      </c>
      <c r="J380" s="184">
        <f>SUMIFS(GL_BS!$G:$G,GL_BS!$R:$R,'Global TARF'!$A$357,GL_BS!$S:$S,'Global TARF'!$A380,GL_BS!$A:$A,'Global TARF'!J$8)</f>
        <v>0</v>
      </c>
      <c r="K380" s="184">
        <f>SUMIFS(GL_BS!$G:$G,GL_BS!$R:$R,'Global TARF'!$A$357,GL_BS!$S:$S,'Global TARF'!$A380,GL_BS!$A:$A,'Global TARF'!K$8)</f>
        <v>0</v>
      </c>
      <c r="L380" s="184">
        <f>SUMIFS(GL_BS!$G:$G,GL_BS!$R:$R,'Global TARF'!$A$357,GL_BS!$S:$S,'Global TARF'!$A380,GL_BS!$A:$A,'Global TARF'!L$8)</f>
        <v>0</v>
      </c>
      <c r="M380" s="536">
        <f>SUMIFS(GL_BS!$G:$G,GL_BS!$R:$R,'Global TARF'!$A$357,GL_BS!$S:$S,'Global TARF'!$A380,GL_BS!$A:$A,'Global TARF'!M$8)</f>
        <v>0</v>
      </c>
      <c r="N380" s="555">
        <f>SUMIFS(GL_BS!$G:$G,GL_BS!$R:$R,'Global TARF'!$A$357,GL_BS!$S:$S,'Global TARF'!$A380,GL_BS!$A:$A,'Global TARF'!N$8)</f>
        <v>0</v>
      </c>
      <c r="O380" s="18">
        <f>SUMIFS(GL_BS!$G:$G,GL_BS!$R:$R,'Global TARF'!$A$357,GL_BS!$S:$S,'Global TARF'!$A380,GL_BS!$A:$A,'Global TARF'!O$8)</f>
        <v>0</v>
      </c>
      <c r="P380" s="545">
        <f>SUMIFS(GL_PL!$G:$G,GL_PL!$Q:$Q,'Global TARF'!$A$357,GL_PL!$R:$R,'Global TARF'!$A380,GL_PL!$A:$A,'Global TARF'!P$8)</f>
        <v>0</v>
      </c>
      <c r="Q380" s="184">
        <f>SUMIFS(GL_PL!$G:$G,GL_PL!$Q:$Q,'Global TARF'!$A$357,GL_PL!$R:$R,'Global TARF'!$A380,GL_PL!$A:$A,'Global TARF'!Q$8)</f>
        <v>0</v>
      </c>
      <c r="R380" s="184">
        <f>SUMIFS(GL_PL!$G:$G,GL_PL!$Q:$Q,'Global TARF'!$A$357,GL_PL!$R:$R,'Global TARF'!$A380,GL_PL!$A:$A,'Global TARF'!R$8)</f>
        <v>0</v>
      </c>
      <c r="S380" s="536">
        <f>SUMIFS(GL_PL!$G:$G,GL_PL!$Q:$Q,'Global TARF'!$A$357,GL_PL!$R:$R,'Global TARF'!$A380,GL_PL!$A:$A,'Global TARF'!S$8)</f>
        <v>0</v>
      </c>
      <c r="T380"/>
      <c r="Z380" s="582">
        <f t="shared" si="165"/>
        <v>0</v>
      </c>
    </row>
    <row r="381" spans="1:26" x14ac:dyDescent="0.2">
      <c r="A381" s="534" t="s">
        <v>795</v>
      </c>
      <c r="B381" s="184">
        <f>SUMIFS(GL_BS!$G:$G,GL_BS!$R:$R,'Global TARF'!$A$357,GL_BS!$S:$S,'Global TARF'!$A381,GL_BS!$A:$A,'Global TARF'!B$38)</f>
        <v>0</v>
      </c>
      <c r="C381" s="184">
        <f>SUMIFS(GL_BS!$G:$G,GL_BS!$R:$R,'Global TARF'!$A$357,GL_BS!$S:$S,'Global TARF'!$A381,GL_BS!$A:$A,'Global TARF'!C$8)</f>
        <v>0</v>
      </c>
      <c r="D381" s="184">
        <f>SUMIFS(GL_BS!$G:$G,GL_BS!$R:$R,'Global TARF'!$A$357,GL_BS!$S:$S,'Global TARF'!$A381,GL_BS!$A:$A,'Global TARF'!D$8)</f>
        <v>0</v>
      </c>
      <c r="E381" s="184">
        <f>SUMIFS(GL_BS!$G:$G,GL_BS!$R:$R,'Global TARF'!$A$357,GL_BS!$S:$S,'Global TARF'!$A381,GL_BS!$A:$A,'Global TARF'!E$8)</f>
        <v>0</v>
      </c>
      <c r="F381" s="184">
        <f>SUMIFS(GL_BS!$G:$G,GL_BS!$R:$R,'Global TARF'!$A$357,GL_BS!$S:$S,'Global TARF'!$A381,GL_BS!$A:$A,'Global TARF'!F$8)</f>
        <v>0</v>
      </c>
      <c r="G381" s="536">
        <f>SUMIFS(GL_BS!$G:$G,GL_BS!$R:$R,'Global TARF'!$A$357,GL_BS!$S:$S,'Global TARF'!$A381,GL_BS!$A:$A,'Global TARF'!G$8)</f>
        <v>0</v>
      </c>
      <c r="H381" s="545">
        <f>SUMIFS(GL_BS!$G:$G,GL_BS!$R:$R,'Global TARF'!$A$357,GL_BS!$S:$S,'Global TARF'!$A381,GL_BS!$A:$A,'Global TARF'!H$8)</f>
        <v>0</v>
      </c>
      <c r="I381" s="184">
        <f>SUMIFS(GL_BS!$G:$G,GL_BS!$R:$R,'Global TARF'!$A$357,GL_BS!$S:$S,'Global TARF'!$A381,GL_BS!$A:$A,'Global TARF'!I$8)</f>
        <v>0</v>
      </c>
      <c r="J381" s="184">
        <f>SUMIFS(GL_BS!$G:$G,GL_BS!$R:$R,'Global TARF'!$A$357,GL_BS!$S:$S,'Global TARF'!$A381,GL_BS!$A:$A,'Global TARF'!J$8)</f>
        <v>0</v>
      </c>
      <c r="K381" s="184">
        <f>SUMIFS(GL_BS!$G:$G,GL_BS!$R:$R,'Global TARF'!$A$357,GL_BS!$S:$S,'Global TARF'!$A381,GL_BS!$A:$A,'Global TARF'!K$8)</f>
        <v>0</v>
      </c>
      <c r="L381" s="184">
        <f>SUMIFS(GL_BS!$G:$G,GL_BS!$R:$R,'Global TARF'!$A$357,GL_BS!$S:$S,'Global TARF'!$A381,GL_BS!$A:$A,'Global TARF'!L$8)</f>
        <v>0</v>
      </c>
      <c r="M381" s="536">
        <f>SUMIFS(GL_BS!$G:$G,GL_BS!$R:$R,'Global TARF'!$A$357,GL_BS!$S:$S,'Global TARF'!$A381,GL_BS!$A:$A,'Global TARF'!M$8)</f>
        <v>0</v>
      </c>
      <c r="N381" s="555">
        <f>SUMIFS(GL_BS!$G:$G,GL_BS!$R:$R,'Global TARF'!$A$357,GL_BS!$S:$S,'Global TARF'!$A381,GL_BS!$A:$A,'Global TARF'!N$8)</f>
        <v>0</v>
      </c>
      <c r="O381" s="18">
        <f>SUMIFS(GL_BS!$G:$G,GL_BS!$R:$R,'Global TARF'!$A$357,GL_BS!$S:$S,'Global TARF'!$A381,GL_BS!$A:$A,'Global TARF'!O$8)</f>
        <v>0</v>
      </c>
      <c r="P381" s="545">
        <f>SUMIFS(GL_PL!$G:$G,GL_PL!$Q:$Q,'Global TARF'!$A$357,GL_PL!$R:$R,'Global TARF'!$A381,GL_PL!$A:$A,'Global TARF'!P$8)</f>
        <v>0</v>
      </c>
      <c r="Q381" s="184">
        <f>SUMIFS(GL_PL!$G:$G,GL_PL!$Q:$Q,'Global TARF'!$A$357,GL_PL!$R:$R,'Global TARF'!$A381,GL_PL!$A:$A,'Global TARF'!Q$8)</f>
        <v>0</v>
      </c>
      <c r="R381" s="184">
        <f>SUMIFS(GL_PL!$G:$G,GL_PL!$Q:$Q,'Global TARF'!$A$357,GL_PL!$R:$R,'Global TARF'!$A381,GL_PL!$A:$A,'Global TARF'!R$8)</f>
        <v>0</v>
      </c>
      <c r="S381" s="536">
        <f>SUMIFS(GL_PL!$G:$G,GL_PL!$Q:$Q,'Global TARF'!$A$357,GL_PL!$R:$R,'Global TARF'!$A381,GL_PL!$A:$A,'Global TARF'!S$8)</f>
        <v>0</v>
      </c>
      <c r="T381" s="26">
        <f>-SUM(P381:R381)</f>
        <v>0</v>
      </c>
      <c r="U381" s="26"/>
      <c r="Z381" s="582">
        <f t="shared" si="165"/>
        <v>0</v>
      </c>
    </row>
    <row r="382" spans="1:26" ht="10.5" thickBot="1" x14ac:dyDescent="0.25">
      <c r="A382" s="534" t="s">
        <v>793</v>
      </c>
      <c r="B382" s="184">
        <f>SUMIFS(GL_BS!$G:$G,GL_BS!$R:$R,'Global TARF'!$A$357,GL_BS!$S:$S,'Global TARF'!$A382,GL_BS!$A:$A,'Global TARF'!B$38)</f>
        <v>0</v>
      </c>
      <c r="C382" s="184">
        <f>SUMIFS(GL_BS!$G:$G,GL_BS!$R:$R,'Global TARF'!$A$357,GL_BS!$S:$S,'Global TARF'!$A382,GL_BS!$A:$A,'Global TARF'!C$8)</f>
        <v>0</v>
      </c>
      <c r="D382" s="184">
        <f>SUMIFS(GL_BS!$G:$G,GL_BS!$R:$R,'Global TARF'!$A$357,GL_BS!$S:$S,'Global TARF'!$A382,GL_BS!$A:$A,'Global TARF'!D$8)</f>
        <v>0</v>
      </c>
      <c r="E382" s="184">
        <f>SUMIFS(GL_BS!$G:$G,GL_BS!$R:$R,'Global TARF'!$A$357,GL_BS!$S:$S,'Global TARF'!$A382,GL_BS!$A:$A,'Global TARF'!E$8)</f>
        <v>0</v>
      </c>
      <c r="F382" s="184">
        <f>SUMIFS(GL_BS!$G:$G,GL_BS!$R:$R,'Global TARF'!$A$357,GL_BS!$S:$S,'Global TARF'!$A382,GL_BS!$A:$A,'Global TARF'!F$8)</f>
        <v>0</v>
      </c>
      <c r="G382" s="536">
        <f>SUMIFS(GL_BS!$G:$G,GL_BS!$R:$R,'Global TARF'!$A$357,GL_BS!$S:$S,'Global TARF'!$A382,GL_BS!$A:$A,'Global TARF'!G$8)</f>
        <v>0</v>
      </c>
      <c r="H382" s="545">
        <f>SUMIFS(GL_BS!$G:$G,GL_BS!$R:$R,'Global TARF'!$A$357,GL_BS!$S:$S,'Global TARF'!$A382,GL_BS!$A:$A,'Global TARF'!H$8)</f>
        <v>0</v>
      </c>
      <c r="I382" s="184">
        <f>SUMIFS(GL_BS!$G:$G,GL_BS!$R:$R,'Global TARF'!$A$357,GL_BS!$S:$S,'Global TARF'!$A382,GL_BS!$A:$A,'Global TARF'!I$8)</f>
        <v>0</v>
      </c>
      <c r="J382" s="184">
        <f>SUMIFS(GL_BS!$G:$G,GL_BS!$R:$R,'Global TARF'!$A$357,GL_BS!$S:$S,'Global TARF'!$A382,GL_BS!$A:$A,'Global TARF'!J$8)</f>
        <v>0</v>
      </c>
      <c r="K382" s="184">
        <f>SUMIFS(GL_BS!$G:$G,GL_BS!$R:$R,'Global TARF'!$A$357,GL_BS!$S:$S,'Global TARF'!$A382,GL_BS!$A:$A,'Global TARF'!K$8)</f>
        <v>0</v>
      </c>
      <c r="L382" s="184">
        <f>SUMIFS(GL_BS!$G:$G,GL_BS!$R:$R,'Global TARF'!$A$357,GL_BS!$S:$S,'Global TARF'!$A382,GL_BS!$A:$A,'Global TARF'!L$8)</f>
        <v>0</v>
      </c>
      <c r="M382" s="536">
        <f>SUMIFS(GL_BS!$G:$G,GL_BS!$R:$R,'Global TARF'!$A$357,GL_BS!$S:$S,'Global TARF'!$A382,GL_BS!$A:$A,'Global TARF'!M$8)</f>
        <v>0</v>
      </c>
      <c r="N382" s="555">
        <f>SUMIFS(GL_BS!$G:$G,GL_BS!$R:$R,'Global TARF'!$A$357,GL_BS!$S:$S,'Global TARF'!$A382,GL_BS!$A:$A,'Global TARF'!N$8)</f>
        <v>0</v>
      </c>
      <c r="O382" s="18">
        <f>SUMIFS(GL_BS!$G:$G,GL_BS!$R:$R,'Global TARF'!$A$357,GL_BS!$S:$S,'Global TARF'!$A382,GL_BS!$A:$A,'Global TARF'!O$8)</f>
        <v>0</v>
      </c>
      <c r="P382" s="545">
        <f>SUMIFS(GL_PL!$G:$G,GL_PL!$Q:$Q,'Global TARF'!$A$357,GL_PL!$R:$R,'Global TARF'!$A382,GL_PL!$A:$A,'Global TARF'!P$8)</f>
        <v>0</v>
      </c>
      <c r="Q382" s="184">
        <f>SUMIFS(GL_PL!$G:$G,GL_PL!$Q:$Q,'Global TARF'!$A$357,GL_PL!$R:$R,'Global TARF'!$A382,GL_PL!$A:$A,'Global TARF'!Q$8)</f>
        <v>0</v>
      </c>
      <c r="R382" s="184">
        <f>SUMIFS(GL_PL!$G:$G,GL_PL!$Q:$Q,'Global TARF'!$A$357,GL_PL!$R:$R,'Global TARF'!$A382,GL_PL!$A:$A,'Global TARF'!R$8)</f>
        <v>0</v>
      </c>
      <c r="S382" s="536">
        <f>SUMIFS(GL_PL!$G:$G,GL_PL!$Q:$Q,'Global TARF'!$A$357,GL_PL!$R:$R,'Global TARF'!$A382,GL_PL!$A:$A,'Global TARF'!S$8)</f>
        <v>0</v>
      </c>
      <c r="T382"/>
      <c r="W382" s="26">
        <f>-SUM(S382,C382)</f>
        <v>0</v>
      </c>
      <c r="Z382" s="582">
        <f t="shared" si="165"/>
        <v>0</v>
      </c>
    </row>
    <row r="383" spans="1:26" s="23" customFormat="1" ht="10.5" thickBot="1" x14ac:dyDescent="0.25">
      <c r="A383" s="563" t="str">
        <f>$A$34</f>
        <v>Balance as of 06/31/2024</v>
      </c>
      <c r="B383" s="564">
        <f>SUM(B359:B382)</f>
        <v>0</v>
      </c>
      <c r="C383" s="564">
        <f>SUM(C359:C382)</f>
        <v>14.4816140104</v>
      </c>
      <c r="D383" s="564">
        <f>SUM(D359:D382)</f>
        <v>0</v>
      </c>
      <c r="E383" s="564">
        <f t="shared" ref="E383:T383" si="166">SUM(E359:E382)</f>
        <v>0</v>
      </c>
      <c r="F383" s="564"/>
      <c r="G383" s="566">
        <f t="shared" si="166"/>
        <v>0</v>
      </c>
      <c r="H383" s="565">
        <f t="shared" si="166"/>
        <v>-29507.626917962803</v>
      </c>
      <c r="I383" s="565">
        <f t="shared" si="166"/>
        <v>0</v>
      </c>
      <c r="J383" s="565">
        <f t="shared" si="166"/>
        <v>0</v>
      </c>
      <c r="K383" s="565">
        <f t="shared" si="166"/>
        <v>0</v>
      </c>
      <c r="L383" s="564">
        <f t="shared" si="166"/>
        <v>0</v>
      </c>
      <c r="M383" s="566">
        <f t="shared" si="166"/>
        <v>0</v>
      </c>
      <c r="N383" s="567" t="e">
        <f t="shared" si="166"/>
        <v>#N/A</v>
      </c>
      <c r="O383" s="564" t="e">
        <f t="shared" si="166"/>
        <v>#N/A</v>
      </c>
      <c r="P383" s="565">
        <f t="shared" si="166"/>
        <v>0</v>
      </c>
      <c r="Q383" s="564">
        <f t="shared" si="166"/>
        <v>0</v>
      </c>
      <c r="R383" s="564">
        <f t="shared" si="166"/>
        <v>11359.908969694099</v>
      </c>
      <c r="S383" s="566">
        <f t="shared" ref="S383" si="167">SUM(S359:S382)</f>
        <v>0</v>
      </c>
      <c r="T383" s="564">
        <f t="shared" si="166"/>
        <v>0</v>
      </c>
      <c r="U383" s="564"/>
      <c r="V383" s="564"/>
      <c r="W383" s="566"/>
      <c r="X383" s="27"/>
      <c r="Z383" s="583"/>
    </row>
    <row r="384" spans="1:26" x14ac:dyDescent="0.2">
      <c r="A384" s="534"/>
      <c r="B384" s="186">
        <f>IFERROR(INDEX('BS_Q2 24'!$A$9:$O$279,MATCH('Global TARF'!B$8,'BS_Q2 24'!$A$9:$A$279,0),MATCH($A$357,'BS_Q2 24'!$A$8:$O$8)),0)</f>
        <v>0</v>
      </c>
      <c r="C384" s="186">
        <f>IFERROR(INDEX('BS_Q2 24'!$A$9:$O$279,MATCH('Global TARF'!C$8,'BS_Q2 24'!$A$9:$A$279,0),MATCH($A$357,'BS_Q2 24'!$A$8:$O$8)),0)</f>
        <v>14.4768778128</v>
      </c>
      <c r="D384" s="186">
        <f>IFERROR(INDEX('BS_Q2 24'!$A$9:$O$279,MATCH('Global TARF'!D$8,'BS_Q2 24'!$A$9:$A$279,0),MATCH($A$357,'BS_Q2 24'!$A$8:$O$8)),0)</f>
        <v>0</v>
      </c>
      <c r="E384" s="186">
        <f>IFERROR(INDEX('BS_Q2 24'!$A$9:$O$279,MATCH('Global TARF'!E$8,'BS_Q2 24'!$A$9:$A$279,0),MATCH($A$357,'BS_Q2 24'!$A$8:$O$8)),0)</f>
        <v>0</v>
      </c>
      <c r="F384" s="186">
        <f>IFERROR(INDEX('BS_Q2 24'!$A$9:$O$279,MATCH('Global TARF'!F$8,'BS_Q2 24'!$A$9:$A$279,0),MATCH($A$357,'BS_Q2 24'!$A$8:$O$8)),0)</f>
        <v>0</v>
      </c>
      <c r="G384" s="186">
        <f>IFERROR(INDEX('BS_Q2 24'!$A$9:$O$279,MATCH('Global TARF'!G$8,'BS_Q2 24'!$A$9:$A$279,0),MATCH($A$357,'BS_Q2 24'!$A$8:$O$8)),0)</f>
        <v>0</v>
      </c>
      <c r="H384" s="186">
        <f>-IFERROR(INDEX('BS_Q2 24'!$A$9:$O$279,MATCH('Global TARF'!H$8,'BS_Q2 24'!$A$9:$A$279,0),MATCH($A$357,'BS_Q2 24'!$A$8:$O$8)),0)</f>
        <v>-29507.625076222801</v>
      </c>
      <c r="I384" s="186">
        <f>-IFERROR(INDEX('BS_Q2 24'!$A$9:$O$279,MATCH('Global TARF'!I$8,'BS_Q2 24'!$A$9:$A$279,0),MATCH($A$357,'BS_Q2 24'!$A$8:$O$8)),0)</f>
        <v>0</v>
      </c>
      <c r="J384" s="186">
        <f>-IFERROR(INDEX('BS_Q2 24'!$A$9:$O$279,MATCH('Global TARF'!J$8,'BS_Q2 24'!$A$9:$A$279,0),MATCH($A$357,'BS_Q2 24'!$A$8:$O$8)),0)</f>
        <v>0</v>
      </c>
      <c r="K384" s="186">
        <f>-IFERROR(INDEX('BS_Q2 24'!$A$9:$O$279,MATCH('Global TARF'!K$8,'BS_Q2 24'!$A$9:$A$279,0),MATCH($A$357,'BS_Q2 24'!$A$8:$O$8)),0)</f>
        <v>0</v>
      </c>
      <c r="L384" s="186">
        <f>-IFERROR(INDEX('BS_Q2 24'!$A$9:$O$279,MATCH('Global TARF'!L$8,'BS_Q2 24'!$A$9:$A$279,0),MATCH($A$357,'BS_Q2 24'!$A$8:$O$8)),0)</f>
        <v>0</v>
      </c>
      <c r="M384" s="186">
        <f>-IFERROR(INDEX('BS_Q2 24'!$A$9:$O$279,MATCH('Global TARF'!M$8,'BS_Q2 24'!$A$9:$A$279,0),MATCH($A$357,'BS_Q2 24'!$A$8:$O$8)),0)</f>
        <v>0</v>
      </c>
      <c r="N384" s="554" t="e">
        <f>INDEX('BS_Q2 24'!$A$9:$O$118,MATCH('Global TARF'!N$8,'BS_Q2 24'!$A$9:$A$118,0),MATCH($A$357,'BS_Q2 24'!$A$8:$O$8))</f>
        <v>#N/A</v>
      </c>
      <c r="O384" s="24" t="e">
        <f>INDEX('BS_Q2 24'!$A$9:$O$118,MATCH('Global TARF'!O$8,'BS_Q2 24'!$A$9:$A$118,0),MATCH($A$357,'BS_Q2 24'!$A$8:$O$8))</f>
        <v>#N/A</v>
      </c>
      <c r="P384" s="546">
        <f>-IFERROR(INDEX('IS_Q2 24'!$A$7:$O$700,MATCH('Global TARF'!P$8,'IS_Q2 24'!$A$7:$A$700,0),MATCH($A$357,'IS_Q2 24'!$A$8:$O$8)),0)</f>
        <v>0</v>
      </c>
      <c r="Q384" s="546">
        <f>-IFERROR(INDEX('IS_Q2 24'!$A$7:$O$700,MATCH('Global TARF'!Q$8,'IS_Q2 24'!$A$7:$A$700,0),MATCH($A$357,'IS_Q2 24'!$A$8:$O$8)),0)</f>
        <v>0</v>
      </c>
      <c r="R384" s="546">
        <f>-IFERROR(INDEX('IS_Q2 24'!$A$7:$O$700,MATCH('Global TARF'!R$8,'IS_Q2 24'!$A$7:$A$700,0),MATCH($A$357,'IS_Q2 24'!$A$8:$O$8)),0)</f>
        <v>11359.908969694099</v>
      </c>
      <c r="S384" s="546">
        <f>-IFERROR(INDEX('IS_Q2 24'!$A$7:$O$700,MATCH('Global TARF'!S$8,'IS_Q2 24'!$A$7:$A$700,0),MATCH($A$357,'IS_Q2 24'!$A$8:$O$8)),0)</f>
        <v>0</v>
      </c>
      <c r="T384"/>
      <c r="Z384" s="580"/>
    </row>
    <row r="385" spans="1:26" x14ac:dyDescent="0.2">
      <c r="A385" s="534"/>
      <c r="B385" t="b">
        <f t="shared" ref="B385:V385" si="168">ROUND(B383,0)=ROUND(B384,0)</f>
        <v>1</v>
      </c>
      <c r="C385" t="b">
        <f t="shared" si="168"/>
        <v>1</v>
      </c>
      <c r="D385" t="b">
        <f t="shared" ref="D385" si="169">ROUND(D383,0)=ROUND(D384,0)</f>
        <v>1</v>
      </c>
      <c r="E385" t="b">
        <f t="shared" si="168"/>
        <v>1</v>
      </c>
      <c r="F385" t="b">
        <f t="shared" si="168"/>
        <v>1</v>
      </c>
      <c r="G385" s="535" t="b">
        <f t="shared" si="168"/>
        <v>1</v>
      </c>
      <c r="H385" s="534" t="b">
        <f t="shared" si="168"/>
        <v>1</v>
      </c>
      <c r="I385" s="534" t="b">
        <f t="shared" si="168"/>
        <v>1</v>
      </c>
      <c r="J385" s="534" t="b">
        <f t="shared" si="168"/>
        <v>1</v>
      </c>
      <c r="K385" s="534" t="b">
        <f t="shared" si="168"/>
        <v>1</v>
      </c>
      <c r="L385" t="b">
        <f t="shared" si="168"/>
        <v>1</v>
      </c>
      <c r="M385" s="535" t="b">
        <f t="shared" si="168"/>
        <v>1</v>
      </c>
      <c r="N385" s="552" t="e">
        <f t="shared" si="168"/>
        <v>#N/A</v>
      </c>
      <c r="O385" t="e">
        <f t="shared" si="168"/>
        <v>#N/A</v>
      </c>
      <c r="P385" s="534" t="b">
        <f t="shared" si="168"/>
        <v>1</v>
      </c>
      <c r="Q385" t="b">
        <f t="shared" si="168"/>
        <v>1</v>
      </c>
      <c r="R385" t="b">
        <f t="shared" si="168"/>
        <v>1</v>
      </c>
      <c r="S385" s="535" t="b">
        <f t="shared" ref="S385" si="170">ROUND(S383,0)=ROUND(S384,0)</f>
        <v>1</v>
      </c>
      <c r="T385" t="b">
        <f t="shared" si="168"/>
        <v>1</v>
      </c>
      <c r="V385" t="b">
        <f t="shared" si="168"/>
        <v>1</v>
      </c>
      <c r="Z385" s="580"/>
    </row>
    <row r="386" spans="1:26" x14ac:dyDescent="0.2">
      <c r="A386" s="534"/>
      <c r="C386" s="26">
        <f>C383-C384</f>
        <v>4.7361975999997696E-3</v>
      </c>
      <c r="G386" s="535"/>
      <c r="H386" s="537">
        <f>H383-H384</f>
        <v>-1.8417400024191011E-3</v>
      </c>
      <c r="M386" s="535"/>
      <c r="N386" s="552"/>
      <c r="P386" s="534"/>
      <c r="S386" s="535"/>
      <c r="T386"/>
      <c r="Z386" s="580"/>
    </row>
    <row r="387" spans="1:26" x14ac:dyDescent="0.2">
      <c r="A387" s="534"/>
      <c r="G387" s="535"/>
      <c r="H387" s="537"/>
      <c r="I387" s="26"/>
      <c r="J387" s="26"/>
      <c r="K387" s="26"/>
      <c r="M387" s="535"/>
      <c r="N387" s="552"/>
      <c r="P387" s="534"/>
      <c r="S387" s="535"/>
      <c r="T387"/>
      <c r="Z387" s="580"/>
    </row>
    <row r="388" spans="1:26" x14ac:dyDescent="0.2">
      <c r="A388" s="534"/>
      <c r="G388" s="535"/>
      <c r="H388" s="534"/>
      <c r="M388" s="535"/>
      <c r="N388" s="552"/>
      <c r="P388" s="534"/>
      <c r="S388" s="535"/>
      <c r="T388"/>
      <c r="Z388" s="580"/>
    </row>
    <row r="389" spans="1:26" s="17" customFormat="1" ht="10.5" x14ac:dyDescent="0.25">
      <c r="A389" s="562">
        <v>300</v>
      </c>
      <c r="B389" s="558" t="s">
        <v>342</v>
      </c>
      <c r="C389" s="558" t="s">
        <v>220</v>
      </c>
      <c r="D389" s="558" t="str">
        <f>$D$8</f>
        <v>145700 - Income tax receivable - Long Term</v>
      </c>
      <c r="E389" s="558" t="s">
        <v>378</v>
      </c>
      <c r="F389" s="558" t="s">
        <v>427</v>
      </c>
      <c r="G389" s="559" t="s">
        <v>415</v>
      </c>
      <c r="H389" s="558" t="s">
        <v>240</v>
      </c>
      <c r="I389" s="558" t="s">
        <v>467</v>
      </c>
      <c r="J389" s="558" t="s">
        <v>4397</v>
      </c>
      <c r="K389" s="558" t="s">
        <v>4396</v>
      </c>
      <c r="L389" s="559" t="s">
        <v>502</v>
      </c>
      <c r="M389" s="559" t="s">
        <v>503</v>
      </c>
      <c r="N389" s="560" t="s">
        <v>877</v>
      </c>
      <c r="O389" s="561"/>
      <c r="P389" s="558" t="s">
        <v>20</v>
      </c>
      <c r="Q389" s="561" t="s">
        <v>57</v>
      </c>
      <c r="R389" s="561" t="s">
        <v>183</v>
      </c>
      <c r="S389" s="561" t="s">
        <v>3623</v>
      </c>
      <c r="T389" s="561" t="s">
        <v>4268</v>
      </c>
      <c r="U389" s="561" t="s">
        <v>4269</v>
      </c>
      <c r="V389" s="561" t="s">
        <v>794</v>
      </c>
      <c r="W389" s="561" t="s">
        <v>793</v>
      </c>
      <c r="Z389" s="579"/>
    </row>
    <row r="390" spans="1:26" ht="11" thickBot="1" x14ac:dyDescent="0.3">
      <c r="A390" s="538" t="s">
        <v>0</v>
      </c>
      <c r="G390" s="535"/>
      <c r="H390" s="534"/>
      <c r="M390" s="535"/>
      <c r="N390" s="550"/>
      <c r="P390" s="534"/>
      <c r="S390" s="535"/>
      <c r="T390"/>
      <c r="Z390" s="580"/>
    </row>
    <row r="391" spans="1:26" s="23" customFormat="1" ht="10.5" thickBot="1" x14ac:dyDescent="0.25">
      <c r="A391" s="563" t="str">
        <f>A10</f>
        <v>Balance as of 12/31/2023</v>
      </c>
      <c r="B391" s="564">
        <f>IFERROR(INDEX(BS_2023!$A$8:$O$271,MATCH('Global TARF'!B$8,BS_2023!$A$8:$A$271,0),MATCH($A$389,BS_2023!$A$7:$O$7)),0)</f>
        <v>0</v>
      </c>
      <c r="C391" s="564">
        <f>IFERROR(INDEX(BS_2023!$A$8:$O$271,MATCH('Global TARF'!C$8,BS_2023!$A$8:$A$271,0),MATCH($A$389,BS_2023!$A$7:$O$7)),0)</f>
        <v>0</v>
      </c>
      <c r="D391" s="564">
        <f>IFERROR(INDEX(BS_2023!$A$8:$O$271,MATCH('Global TARF'!D$8,BS_2023!$A$8:$A$271,0),MATCH($A$389,BS_2023!$A$7:$O$7)),0)</f>
        <v>0</v>
      </c>
      <c r="E391" s="564">
        <f>IFERROR(INDEX(BS_2023!$A$8:$O$271,MATCH('Global TARF'!E$8,BS_2023!$A$8:$A$271,0),MATCH($A$389,BS_2023!$A$7:$O$7)),0)</f>
        <v>0</v>
      </c>
      <c r="F391" s="564">
        <f>IFERROR(INDEX(BS_2023!$A$8:$O$271,MATCH('Global TARF'!F$8,BS_2023!$A$8:$A$271,0),MATCH($A$389,BS_2023!$A$7:$O$7)),0)</f>
        <v>0</v>
      </c>
      <c r="G391" s="564">
        <f>IFERROR(INDEX(BS_2023!$A$8:$O$271,MATCH('Global TARF'!G$8,BS_2023!$A$8:$A$271,0),MATCH($A$389,BS_2023!$A$7:$O$7)),0)</f>
        <v>0</v>
      </c>
      <c r="H391" s="565">
        <f>-IFERROR(INDEX(BS_2023!$A$8:$O$271,MATCH('Global TARF'!H$8,BS_2023!$A$8:$A$271,0),MATCH($A$389,BS_2023!$A$7:$O$7)),0)</f>
        <v>0</v>
      </c>
      <c r="I391" s="565">
        <f>-IFERROR(INDEX(BS_2023!$A$8:$O$271,MATCH('Global TARF'!I$8,BS_2023!$A$8:$A$271,0),MATCH($A$389,BS_2023!$A$7:$O$7)),0)</f>
        <v>0</v>
      </c>
      <c r="J391" s="565">
        <f>-IFERROR(INDEX(BS_2023!$A$8:$O$271,MATCH('Global TARF'!J$8,BS_2023!$A$8:$A$271,0),MATCH($A$389,BS_2023!$A$7:$O$7)),0)</f>
        <v>0</v>
      </c>
      <c r="K391" s="565">
        <f>-IFERROR(INDEX(BS_2023!$A$8:$O$271,MATCH('Global TARF'!K$8,BS_2023!$A$8:$A$271,0),MATCH($A$389,BS_2023!$A$7:$O$7)),0)</f>
        <v>0</v>
      </c>
      <c r="L391" s="565">
        <f>-IFERROR(INDEX(BS_2023!$A$8:$O$271,MATCH('Global TARF'!L$8,BS_2023!$A$8:$A$271,0),MATCH($A$389,BS_2023!$A$7:$O$7)),0)</f>
        <v>0</v>
      </c>
      <c r="M391" s="565">
        <f>-IFERROR(INDEX(BS_2023!$A$8:$O$271,MATCH('Global TARF'!M$8,BS_2023!$A$8:$A$271,0),MATCH($A$389,BS_2023!$A$7:$O$7)),0)</f>
        <v>0</v>
      </c>
      <c r="N391" s="576"/>
      <c r="O391" s="574"/>
      <c r="P391" s="563"/>
      <c r="Q391" s="574"/>
      <c r="R391" s="574"/>
      <c r="S391" s="575"/>
      <c r="T391" s="574"/>
      <c r="U391" s="574"/>
      <c r="V391" s="574"/>
      <c r="W391" s="575"/>
      <c r="Z391" s="583"/>
    </row>
    <row r="392" spans="1:26" x14ac:dyDescent="0.2">
      <c r="A392" s="534" t="s">
        <v>798</v>
      </c>
      <c r="G392" s="535"/>
      <c r="H392" s="534"/>
      <c r="M392" s="535"/>
      <c r="N392" s="553">
        <f>-SUM(H392,G392,C392,E392,M392,L392,F392,B392,D392)</f>
        <v>0</v>
      </c>
      <c r="P392" s="534"/>
      <c r="S392" s="535"/>
      <c r="T392"/>
      <c r="Z392" s="580"/>
    </row>
    <row r="393" spans="1:26" x14ac:dyDescent="0.2">
      <c r="A393" s="534"/>
      <c r="G393" s="535"/>
      <c r="H393" s="534"/>
      <c r="M393" s="535"/>
      <c r="N393" s="552"/>
      <c r="P393" s="534"/>
      <c r="S393" s="535"/>
      <c r="T393"/>
      <c r="Z393" s="580"/>
    </row>
    <row r="394" spans="1:26" x14ac:dyDescent="0.2">
      <c r="A394" s="534"/>
      <c r="B394" s="184">
        <f>SUMIFS(GL_BS!$G:$G,GL_BS!$R:$R,'Global TARF'!$A$389,GL_BS!$S:$S,'Global TARF'!$A394,GL_BS!$A:$A,'Global TARF'!B$38)</f>
        <v>0</v>
      </c>
      <c r="C394" s="184">
        <f>SUMIFS(GL_BS!$G:$G,GL_BS!$R:$R,'Global TARF'!$A$389,GL_BS!$S:$S,'Global TARF'!$A394,GL_BS!$A:$A,'Global TARF'!C$8)</f>
        <v>0</v>
      </c>
      <c r="D394" s="184">
        <f>SUMIFS(GL_BS!$G:$G,GL_BS!$R:$R,'Global TARF'!$A$389,GL_BS!$S:$S,'Global TARF'!$A394,GL_BS!$A:$A,'Global TARF'!D$8)</f>
        <v>0</v>
      </c>
      <c r="E394" s="184">
        <f>SUMIFS(GL_BS!$G:$G,GL_BS!$R:$R,'Global TARF'!$A$389,GL_BS!$S:$S,'Global TARF'!$A394,GL_BS!$A:$A,'Global TARF'!E$8)</f>
        <v>0</v>
      </c>
      <c r="F394" s="184"/>
      <c r="G394" s="536">
        <f>SUMIFS(GL_BS!$G:$G,GL_BS!$R:$R,'Global TARF'!$A$389,GL_BS!$S:$S,'Global TARF'!$A394,GL_BS!$A:$A,'Global TARF'!G$8)</f>
        <v>0</v>
      </c>
      <c r="H394" s="545">
        <f>SUMIFS(GL_BS!$G:$G,GL_BS!$R:$R,'Global TARF'!$A$389,GL_BS!$S:$S,'Global TARF'!$A394,GL_BS!$A:$A,'Global TARF'!H$8)</f>
        <v>0</v>
      </c>
      <c r="I394" s="184"/>
      <c r="J394" s="184"/>
      <c r="K394" s="184"/>
      <c r="L394" s="184">
        <f>SUMIFS(GL_BS!$G:$G,GL_BS!$R:$R,'Global TARF'!$A$389,GL_BS!$S:$S,'Global TARF'!$A394,GL_BS!$A:$A,'Global TARF'!L$8)</f>
        <v>0</v>
      </c>
      <c r="M394" s="536">
        <f>SUMIFS(GL_BS!$G:$G,GL_BS!$R:$R,'Global TARF'!$A$389,GL_BS!$S:$S,'Global TARF'!$A394,GL_BS!$A:$A,'Global TARF'!M$8)</f>
        <v>0</v>
      </c>
      <c r="N394" s="555">
        <f>SUMIFS(GL_BS!$G:$G,GL_BS!$R:$R,'Global TARF'!$A$389,GL_BS!$S:$S,'Global TARF'!$A394,GL_BS!$A:$A,'Global TARF'!N$8)</f>
        <v>0</v>
      </c>
      <c r="O394" s="18">
        <f>SUMIFS(GL_BS!$G:$G,GL_BS!$R:$R,'Global TARF'!$A$389,GL_BS!$S:$S,'Global TARF'!$A394,GL_BS!$A:$A,'Global TARF'!O$8)</f>
        <v>0</v>
      </c>
      <c r="P394" s="545">
        <f>SUMIFS(GL_PL!$G:$G,GL_PL!$Q:$Q,'Global TARF'!$A$389,GL_PL!$R:$R,'Global TARF'!$A394,GL_PL!$A:$A,'Global TARF'!P$8)</f>
        <v>0</v>
      </c>
      <c r="Q394" s="184">
        <f>SUMIFS(GL_PL!$G:$G,GL_PL!$Q:$Q,'Global TARF'!$A$389,GL_PL!$R:$R,'Global TARF'!$A394,GL_PL!$A:$A,'Global TARF'!Q$8)</f>
        <v>0</v>
      </c>
      <c r="R394" s="184">
        <f>SUMIFS(GL_PL!$G:$G,GL_PL!$Q:$Q,'Global TARF'!$A$389,GL_PL!$R:$R,'Global TARF'!$A394,GL_PL!$A:$A,'Global TARF'!R$8)</f>
        <v>0</v>
      </c>
      <c r="S394" s="536">
        <f>SUMIFS(GL_PL!$G:$G,GL_PL!$Q:$Q,'Global TARF'!$A$389,GL_PL!$R:$R,'Global TARF'!$A394,GL_PL!$A:$A,'Global TARF'!S$8)</f>
        <v>0</v>
      </c>
      <c r="T394" s="26">
        <f>-P394</f>
        <v>0</v>
      </c>
      <c r="U394" s="26"/>
      <c r="Z394" s="582">
        <f t="shared" ref="Z394:Z414" si="171">SUM(B394:Y394)</f>
        <v>0</v>
      </c>
    </row>
    <row r="395" spans="1:26" x14ac:dyDescent="0.2">
      <c r="A395" s="534"/>
      <c r="B395" s="184">
        <f>SUMIFS(GL_BS!$G:$G,GL_BS!$R:$R,'Global TARF'!$A$389,GL_BS!$S:$S,'Global TARF'!$A395,GL_BS!$A:$A,'Global TARF'!B$38)</f>
        <v>0</v>
      </c>
      <c r="C395" s="184">
        <f>SUMIFS(GL_BS!$G:$G,GL_BS!$R:$R,'Global TARF'!$A$389,GL_BS!$S:$S,'Global TARF'!$A395,GL_BS!$A:$A,'Global TARF'!C$8)</f>
        <v>0</v>
      </c>
      <c r="D395" s="184">
        <f>SUMIFS(GL_BS!$G:$G,GL_BS!$R:$R,'Global TARF'!$A$389,GL_BS!$S:$S,'Global TARF'!$A395,GL_BS!$A:$A,'Global TARF'!D$8)</f>
        <v>0</v>
      </c>
      <c r="E395" s="184">
        <f>SUMIFS(GL_BS!$G:$G,GL_BS!$R:$R,'Global TARF'!$A$389,GL_BS!$S:$S,'Global TARF'!$A395,GL_BS!$A:$A,'Global TARF'!E$8)</f>
        <v>0</v>
      </c>
      <c r="F395" s="184"/>
      <c r="G395" s="536">
        <f>SUMIFS(GL_BS!$G:$G,GL_BS!$R:$R,'Global TARF'!$A$389,GL_BS!$S:$S,'Global TARF'!$A395,GL_BS!$A:$A,'Global TARF'!G$8)</f>
        <v>0</v>
      </c>
      <c r="H395" s="545">
        <f>SUMIFS(GL_BS!$G:$G,GL_BS!$R:$R,'Global TARF'!$A$389,GL_BS!$S:$S,'Global TARF'!$A395,GL_BS!$A:$A,'Global TARF'!H$8)</f>
        <v>0</v>
      </c>
      <c r="I395" s="184"/>
      <c r="J395" s="184">
        <f>SUMIFS(GL_BS!$G:$G,GL_BS!$R:$R,'Global TARF'!$A$389,GL_BS!$S:$S,'Global TARF'!$A395,GL_BS!$A:$A,'Global TARF'!J$8)</f>
        <v>0</v>
      </c>
      <c r="K395" s="184">
        <f>SUMIFS(GL_BS!$G:$G,GL_BS!$R:$R,'Global TARF'!$A$389,GL_BS!$S:$S,'Global TARF'!$A395,GL_BS!$A:$A,'Global TARF'!K$8)</f>
        <v>0</v>
      </c>
      <c r="L395" s="184">
        <f>SUMIFS(GL_BS!$G:$G,GL_BS!$R:$R,'Global TARF'!$A$389,GL_BS!$S:$S,'Global TARF'!$A395,GL_BS!$A:$A,'Global TARF'!L$8)</f>
        <v>0</v>
      </c>
      <c r="M395" s="536">
        <f>SUMIFS(GL_BS!$G:$G,GL_BS!$R:$R,'Global TARF'!$A$389,GL_BS!$S:$S,'Global TARF'!$A395,GL_BS!$A:$A,'Global TARF'!M$8)</f>
        <v>0</v>
      </c>
      <c r="N395" s="555">
        <f>SUMIFS(GL_BS!$G:$G,GL_BS!$R:$R,'Global TARF'!$A$389,GL_BS!$S:$S,'Global TARF'!$A395,GL_BS!$A:$A,'Global TARF'!N$8)</f>
        <v>0</v>
      </c>
      <c r="O395" s="18">
        <f>SUMIFS(GL_BS!$G:$G,GL_BS!$R:$R,'Global TARF'!$A$389,GL_BS!$S:$S,'Global TARF'!$A395,GL_BS!$A:$A,'Global TARF'!O$8)</f>
        <v>0</v>
      </c>
      <c r="P395" s="545">
        <f>SUMIFS(GL_PL!$G:$G,GL_PL!$Q:$Q,'Global TARF'!$A$389,GL_PL!$R:$R,'Global TARF'!$A395,GL_PL!$A:$A,'Global TARF'!P$8)</f>
        <v>0</v>
      </c>
      <c r="Q395" s="184">
        <f>SUMIFS(GL_PL!$G:$G,GL_PL!$Q:$Q,'Global TARF'!$A$389,GL_PL!$R:$R,'Global TARF'!$A395,GL_PL!$A:$A,'Global TARF'!Q$8)</f>
        <v>0</v>
      </c>
      <c r="R395" s="184">
        <f>SUMIFS(GL_PL!$G:$G,GL_PL!$Q:$Q,'Global TARF'!$A$389,GL_PL!$R:$R,'Global TARF'!$A395,GL_PL!$A:$A,'Global TARF'!R$8)</f>
        <v>0</v>
      </c>
      <c r="S395" s="536">
        <f>SUMIFS(GL_PL!$G:$G,GL_PL!$Q:$Q,'Global TARF'!$A$389,GL_PL!$R:$R,'Global TARF'!$A395,GL_PL!$A:$A,'Global TARF'!S$8)</f>
        <v>0</v>
      </c>
      <c r="T395" s="26">
        <f>-SUM(P395,H395,C395,Q395,R395)</f>
        <v>0</v>
      </c>
      <c r="U395" s="26"/>
      <c r="Z395" s="582">
        <f t="shared" si="171"/>
        <v>0</v>
      </c>
    </row>
    <row r="396" spans="1:26" x14ac:dyDescent="0.2">
      <c r="A396" s="534" t="s">
        <v>780</v>
      </c>
      <c r="B396" s="184">
        <f>SUMIFS(GL_BS!$G:$G,GL_BS!$R:$R,'Global TARF'!$A$389,GL_BS!$S:$S,'Global TARF'!$A396,GL_BS!$A:$A,'Global TARF'!B$38)</f>
        <v>0</v>
      </c>
      <c r="C396" s="184">
        <f>SUMIFS(GL_BS!$G:$G,GL_BS!$R:$R,'Global TARF'!$A$389,GL_BS!$S:$S,'Global TARF'!$A396,GL_BS!$A:$A,'Global TARF'!C$8)</f>
        <v>0</v>
      </c>
      <c r="D396" s="184">
        <f>SUMIFS(GL_BS!$G:$G,GL_BS!$R:$R,'Global TARF'!$A$389,GL_BS!$S:$S,'Global TARF'!$A396,GL_BS!$A:$A,'Global TARF'!D$8)</f>
        <v>0</v>
      </c>
      <c r="E396" s="184">
        <f>SUMIFS(GL_BS!$G:$G,GL_BS!$R:$R,'Global TARF'!$A$389,GL_BS!$S:$S,'Global TARF'!$A396,GL_BS!$A:$A,'Global TARF'!E$8)</f>
        <v>0</v>
      </c>
      <c r="F396" s="184">
        <f>SUMIFS(GL_BS!$G:$G,GL_BS!$R:$R,'Global TARF'!$A$389,GL_BS!$S:$S,'Global TARF'!$A396,GL_BS!$A:$A,'Global TARF'!F$8)</f>
        <v>0</v>
      </c>
      <c r="G396" s="536">
        <f>SUMIFS(GL_BS!$G:$G,GL_BS!$R:$R,'Global TARF'!$A$389,GL_BS!$S:$S,'Global TARF'!$A396,GL_BS!$A:$A,'Global TARF'!G$8)</f>
        <v>0</v>
      </c>
      <c r="H396" s="545">
        <f>SUMIFS(GL_BS!$G:$G,GL_BS!$R:$R,'Global TARF'!$A$389,GL_BS!$S:$S,'Global TARF'!$A396,GL_BS!$A:$A,'Global TARF'!H$8)</f>
        <v>0</v>
      </c>
      <c r="I396" s="184">
        <f>SUMIFS(GL_BS!$G:$G,GL_BS!$R:$R,'Global TARF'!$A$389,GL_BS!$S:$S,'Global TARF'!$A396,GL_BS!$A:$A,'Global TARF'!I$8)</f>
        <v>0</v>
      </c>
      <c r="J396" s="184">
        <f>SUMIFS(GL_BS!$G:$G,GL_BS!$R:$R,'Global TARF'!$A$389,GL_BS!$S:$S,'Global TARF'!$A396,GL_BS!$A:$A,'Global TARF'!J$8)</f>
        <v>0</v>
      </c>
      <c r="K396" s="184">
        <f>SUMIFS(GL_BS!$G:$G,GL_BS!$R:$R,'Global TARF'!$A$389,GL_BS!$S:$S,'Global TARF'!$A396,GL_BS!$A:$A,'Global TARF'!K$8)</f>
        <v>0</v>
      </c>
      <c r="L396" s="184">
        <f>SUMIFS(GL_BS!$G:$G,GL_BS!$R:$R,'Global TARF'!$A$389,GL_BS!$S:$S,'Global TARF'!$A396,GL_BS!$A:$A,'Global TARF'!L$8)</f>
        <v>0</v>
      </c>
      <c r="M396" s="536">
        <f>SUMIFS(GL_BS!$G:$G,GL_BS!$R:$R,'Global TARF'!$A$389,GL_BS!$S:$S,'Global TARF'!$A396,GL_BS!$A:$A,'Global TARF'!M$8)</f>
        <v>0</v>
      </c>
      <c r="N396" s="555">
        <f>SUMIFS(GL_BS!$G:$G,GL_BS!$R:$R,'Global TARF'!$A$389,GL_BS!$S:$S,'Global TARF'!$A396,GL_BS!$A:$A,'Global TARF'!N$8)</f>
        <v>0</v>
      </c>
      <c r="O396" s="18">
        <f>SUMIFS(GL_BS!$G:$G,GL_BS!$R:$R,'Global TARF'!$A$389,GL_BS!$S:$S,'Global TARF'!$A396,GL_BS!$A:$A,'Global TARF'!O$8)</f>
        <v>0</v>
      </c>
      <c r="P396" s="545">
        <f>SUMIFS(GL_PL!$G:$G,GL_PL!$Q:$Q,'Global TARF'!$A$389,GL_PL!$R:$R,'Global TARF'!$A396,GL_PL!$A:$A,'Global TARF'!P$8)</f>
        <v>0</v>
      </c>
      <c r="Q396" s="184">
        <f>SUMIFS(GL_PL!$G:$G,GL_PL!$Q:$Q,'Global TARF'!$A$389,GL_PL!$R:$R,'Global TARF'!$A396,GL_PL!$A:$A,'Global TARF'!Q$8)</f>
        <v>0</v>
      </c>
      <c r="R396" s="184">
        <f>SUMIFS(GL_PL!$G:$G,GL_PL!$Q:$Q,'Global TARF'!$A$389,GL_PL!$R:$R,'Global TARF'!$A396,GL_PL!$A:$A,'Global TARF'!R$8)</f>
        <v>0</v>
      </c>
      <c r="S396" s="536">
        <f>SUMIFS(GL_PL!$G:$G,GL_PL!$Q:$Q,'Global TARF'!$A$389,GL_PL!$R:$R,'Global TARF'!$A396,GL_PL!$A:$A,'Global TARF'!S$8)</f>
        <v>0</v>
      </c>
      <c r="T396" s="26">
        <f>-SUM(P396:R396,H396,C396)</f>
        <v>0</v>
      </c>
      <c r="U396" s="26"/>
      <c r="Z396" s="582">
        <f t="shared" si="171"/>
        <v>0</v>
      </c>
    </row>
    <row r="397" spans="1:26" x14ac:dyDescent="0.2">
      <c r="A397" s="534" t="s">
        <v>781</v>
      </c>
      <c r="B397" s="184">
        <f>SUMIFS(GL_BS!$G:$G,GL_BS!$R:$R,'Global TARF'!$A$389,GL_BS!$S:$S,'Global TARF'!$A397,GL_BS!$A:$A,'Global TARF'!B$38)</f>
        <v>0</v>
      </c>
      <c r="C397" s="184">
        <f>SUMIFS(GL_BS!$G:$G,GL_BS!$R:$R,'Global TARF'!$A$389,GL_BS!$S:$S,'Global TARF'!$A397,GL_BS!$A:$A,'Global TARF'!C$8)</f>
        <v>0</v>
      </c>
      <c r="D397" s="184">
        <f>SUMIFS(GL_BS!$G:$G,GL_BS!$R:$R,'Global TARF'!$A$389,GL_BS!$S:$S,'Global TARF'!$A397,GL_BS!$A:$A,'Global TARF'!D$8)</f>
        <v>0</v>
      </c>
      <c r="E397" s="184">
        <f>SUMIFS(GL_BS!$G:$G,GL_BS!$R:$R,'Global TARF'!$A$389,GL_BS!$S:$S,'Global TARF'!$A397,GL_BS!$A:$A,'Global TARF'!E$8)</f>
        <v>0</v>
      </c>
      <c r="F397" s="184">
        <f>SUMIFS(GL_BS!$G:$G,GL_BS!$R:$R,'Global TARF'!$A$389,GL_BS!$S:$S,'Global TARF'!$A397,GL_BS!$A:$A,'Global TARF'!F$8)</f>
        <v>0</v>
      </c>
      <c r="G397" s="536">
        <f>SUMIFS(GL_BS!$G:$G,GL_BS!$R:$R,'Global TARF'!$A$389,GL_BS!$S:$S,'Global TARF'!$A397,GL_BS!$A:$A,'Global TARF'!G$8)</f>
        <v>0</v>
      </c>
      <c r="H397" s="545">
        <f>SUMIFS(GL_BS!$G:$G,GL_BS!$R:$R,'Global TARF'!$A$389,GL_BS!$S:$S,'Global TARF'!$A397,GL_BS!$A:$A,'Global TARF'!H$8)</f>
        <v>0</v>
      </c>
      <c r="I397" s="184">
        <f>SUMIFS(GL_BS!$G:$G,GL_BS!$R:$R,'Global TARF'!$A$389,GL_BS!$S:$S,'Global TARF'!$A397,GL_BS!$A:$A,'Global TARF'!I$8)</f>
        <v>0</v>
      </c>
      <c r="J397" s="184">
        <f>SUMIFS(GL_BS!$G:$G,GL_BS!$R:$R,'Global TARF'!$A$389,GL_BS!$S:$S,'Global TARF'!$A397,GL_BS!$A:$A,'Global TARF'!J$8)</f>
        <v>0</v>
      </c>
      <c r="K397" s="184">
        <f>SUMIFS(GL_BS!$G:$G,GL_BS!$R:$R,'Global TARF'!$A$389,GL_BS!$S:$S,'Global TARF'!$A397,GL_BS!$A:$A,'Global TARF'!K$8)</f>
        <v>0</v>
      </c>
      <c r="L397" s="184">
        <f>SUMIFS(GL_BS!$G:$G,GL_BS!$R:$R,'Global TARF'!$A$389,GL_BS!$S:$S,'Global TARF'!$A397,GL_BS!$A:$A,'Global TARF'!L$8)</f>
        <v>0</v>
      </c>
      <c r="M397" s="536">
        <f>SUMIFS(GL_BS!$G:$G,GL_BS!$R:$R,'Global TARF'!$A$389,GL_BS!$S:$S,'Global TARF'!$A397,GL_BS!$A:$A,'Global TARF'!M$8)</f>
        <v>0</v>
      </c>
      <c r="N397" s="555">
        <f>SUMIFS(GL_BS!$G:$G,GL_BS!$R:$R,'Global TARF'!$A$389,GL_BS!$S:$S,'Global TARF'!$A397,GL_BS!$A:$A,'Global TARF'!N$8)</f>
        <v>0</v>
      </c>
      <c r="O397" s="18">
        <f>SUMIFS(GL_BS!$G:$G,GL_BS!$R:$R,'Global TARF'!$A$389,GL_BS!$S:$S,'Global TARF'!$A397,GL_BS!$A:$A,'Global TARF'!O$8)</f>
        <v>0</v>
      </c>
      <c r="P397" s="545">
        <f>SUMIFS(GL_PL!$G:$G,GL_PL!$Q:$Q,'Global TARF'!$A$389,GL_PL!$R:$R,'Global TARF'!$A397,GL_PL!$A:$A,'Global TARF'!P$8)</f>
        <v>0</v>
      </c>
      <c r="Q397" s="184">
        <f>SUMIFS(GL_PL!$G:$G,GL_PL!$Q:$Q,'Global TARF'!$A$389,GL_PL!$R:$R,'Global TARF'!$A397,GL_PL!$A:$A,'Global TARF'!Q$8)</f>
        <v>0</v>
      </c>
      <c r="R397" s="184">
        <f>SUMIFS(GL_PL!$G:$G,GL_PL!$Q:$Q,'Global TARF'!$A$389,GL_PL!$R:$R,'Global TARF'!$A397,GL_PL!$A:$A,'Global TARF'!R$8)</f>
        <v>0</v>
      </c>
      <c r="S397" s="536">
        <f>SUMIFS(GL_PL!$G:$G,GL_PL!$Q:$Q,'Global TARF'!$A$389,GL_PL!$R:$R,'Global TARF'!$A397,GL_PL!$A:$A,'Global TARF'!S$8)</f>
        <v>0</v>
      </c>
      <c r="T397"/>
      <c r="Z397" s="582">
        <f t="shared" si="171"/>
        <v>0</v>
      </c>
    </row>
    <row r="398" spans="1:26" x14ac:dyDescent="0.2">
      <c r="A398" s="534" t="s">
        <v>782</v>
      </c>
      <c r="B398" s="184">
        <f>SUMIFS(GL_BS!$G:$G,GL_BS!$R:$R,'Global TARF'!$A$389,GL_BS!$S:$S,'Global TARF'!$A398,GL_BS!$A:$A,'Global TARF'!B$38)</f>
        <v>0</v>
      </c>
      <c r="C398" s="184">
        <f>SUMIFS(GL_BS!$G:$G,GL_BS!$R:$R,'Global TARF'!$A$389,GL_BS!$S:$S,'Global TARF'!$A398,GL_BS!$A:$A,'Global TARF'!C$8)</f>
        <v>0</v>
      </c>
      <c r="D398" s="184">
        <f>SUMIFS(GL_BS!$G:$G,GL_BS!$R:$R,'Global TARF'!$A$389,GL_BS!$S:$S,'Global TARF'!$A398,GL_BS!$A:$A,'Global TARF'!D$8)</f>
        <v>0</v>
      </c>
      <c r="E398" s="184">
        <f>SUMIFS(GL_BS!$G:$G,GL_BS!$R:$R,'Global TARF'!$A$389,GL_BS!$S:$S,'Global TARF'!$A398,GL_BS!$A:$A,'Global TARF'!E$8)</f>
        <v>0</v>
      </c>
      <c r="F398" s="184">
        <f>SUMIFS(GL_BS!$G:$G,GL_BS!$R:$R,'Global TARF'!$A$389,GL_BS!$S:$S,'Global TARF'!$A398,GL_BS!$A:$A,'Global TARF'!F$8)</f>
        <v>0</v>
      </c>
      <c r="G398" s="536">
        <f>SUMIFS(GL_BS!$G:$G,GL_BS!$R:$R,'Global TARF'!$A$389,GL_BS!$S:$S,'Global TARF'!$A398,GL_BS!$A:$A,'Global TARF'!G$8)</f>
        <v>0</v>
      </c>
      <c r="H398" s="545">
        <f>SUMIFS(GL_BS!$G:$G,GL_BS!$R:$R,'Global TARF'!$A$389,GL_BS!$S:$S,'Global TARF'!$A398,GL_BS!$A:$A,'Global TARF'!H$8)</f>
        <v>0</v>
      </c>
      <c r="I398" s="184">
        <f>SUMIFS(GL_BS!$G:$G,GL_BS!$R:$R,'Global TARF'!$A$389,GL_BS!$S:$S,'Global TARF'!$A398,GL_BS!$A:$A,'Global TARF'!I$8)</f>
        <v>0</v>
      </c>
      <c r="J398" s="184">
        <f>SUMIFS(GL_BS!$G:$G,GL_BS!$R:$R,'Global TARF'!$A$389,GL_BS!$S:$S,'Global TARF'!$A398,GL_BS!$A:$A,'Global TARF'!J$8)</f>
        <v>0</v>
      </c>
      <c r="K398" s="184">
        <f>SUMIFS(GL_BS!$G:$G,GL_BS!$R:$R,'Global TARF'!$A$389,GL_BS!$S:$S,'Global TARF'!$A398,GL_BS!$A:$A,'Global TARF'!K$8)</f>
        <v>0</v>
      </c>
      <c r="L398" s="184">
        <f>SUMIFS(GL_BS!$G:$G,GL_BS!$R:$R,'Global TARF'!$A$389,GL_BS!$S:$S,'Global TARF'!$A398,GL_BS!$A:$A,'Global TARF'!L$8)</f>
        <v>0</v>
      </c>
      <c r="M398" s="536">
        <f>SUMIFS(GL_BS!$G:$G,GL_BS!$R:$R,'Global TARF'!$A$389,GL_BS!$S:$S,'Global TARF'!$A398,GL_BS!$A:$A,'Global TARF'!M$8)</f>
        <v>0</v>
      </c>
      <c r="N398" s="555">
        <f>SUMIFS(GL_BS!$G:$G,GL_BS!$R:$R,'Global TARF'!$A$389,GL_BS!$S:$S,'Global TARF'!$A398,GL_BS!$A:$A,'Global TARF'!N$8)</f>
        <v>0</v>
      </c>
      <c r="O398" s="18">
        <f>SUMIFS(GL_BS!$G:$G,GL_BS!$R:$R,'Global TARF'!$A$389,GL_BS!$S:$S,'Global TARF'!$A398,GL_BS!$A:$A,'Global TARF'!O$8)</f>
        <v>0</v>
      </c>
      <c r="P398" s="545">
        <f>SUMIFS(GL_PL!$G:$G,GL_PL!$Q:$Q,'Global TARF'!$A$389,GL_PL!$R:$R,'Global TARF'!$A398,GL_PL!$A:$A,'Global TARF'!P$8)</f>
        <v>0</v>
      </c>
      <c r="Q398" s="184">
        <f>SUMIFS(GL_PL!$G:$G,GL_PL!$Q:$Q,'Global TARF'!$A$389,GL_PL!$R:$R,'Global TARF'!$A398,GL_PL!$A:$A,'Global TARF'!Q$8)</f>
        <v>0</v>
      </c>
      <c r="R398" s="184">
        <f>SUMIFS(GL_PL!$G:$G,GL_PL!$Q:$Q,'Global TARF'!$A$389,GL_PL!$R:$R,'Global TARF'!$A398,GL_PL!$A:$A,'Global TARF'!R$8)</f>
        <v>0</v>
      </c>
      <c r="S398" s="536">
        <f>SUMIFS(GL_PL!$G:$G,GL_PL!$Q:$Q,'Global TARF'!$A$389,GL_PL!$R:$R,'Global TARF'!$A398,GL_PL!$A:$A,'Global TARF'!S$8)</f>
        <v>0</v>
      </c>
      <c r="T398"/>
      <c r="Z398" s="582">
        <f t="shared" si="171"/>
        <v>0</v>
      </c>
    </row>
    <row r="399" spans="1:26" x14ac:dyDescent="0.2">
      <c r="A399" s="534" t="s">
        <v>950</v>
      </c>
      <c r="B399" s="184">
        <f>SUMIFS(GL_BS!$G:$G,GL_BS!$R:$R,'Global TARF'!$A$389,GL_BS!$S:$S,'Global TARF'!$A399,GL_BS!$A:$A,'Global TARF'!B$38)</f>
        <v>0</v>
      </c>
      <c r="C399" s="184">
        <f>SUMIFS(GL_BS!$G:$G,GL_BS!$R:$R,'Global TARF'!$A$389,GL_BS!$S:$S,'Global TARF'!$A399,GL_BS!$A:$A,'Global TARF'!C$8)</f>
        <v>0</v>
      </c>
      <c r="D399" s="184">
        <f>SUMIFS(GL_BS!$G:$G,GL_BS!$R:$R,'Global TARF'!$A$389,GL_BS!$S:$S,'Global TARF'!$A399,GL_BS!$A:$A,'Global TARF'!D$8)</f>
        <v>0</v>
      </c>
      <c r="E399" s="184">
        <f>SUMIFS(GL_BS!$G:$G,GL_BS!$R:$R,'Global TARF'!$A$389,GL_BS!$S:$S,'Global TARF'!$A399,GL_BS!$A:$A,'Global TARF'!E$8)</f>
        <v>0</v>
      </c>
      <c r="F399" s="184">
        <f>SUMIFS(GL_BS!$G:$G,GL_BS!$R:$R,'Global TARF'!$A$389,GL_BS!$S:$S,'Global TARF'!$A399,GL_BS!$A:$A,'Global TARF'!F$8)</f>
        <v>0</v>
      </c>
      <c r="G399" s="536">
        <f>SUMIFS(GL_BS!$G:$G,GL_BS!$R:$R,'Global TARF'!$A$389,GL_BS!$S:$S,'Global TARF'!$A399,GL_BS!$A:$A,'Global TARF'!G$8)</f>
        <v>0</v>
      </c>
      <c r="H399" s="545">
        <f>SUMIFS(GL_BS!$G:$G,GL_BS!$R:$R,'Global TARF'!$A$389,GL_BS!$S:$S,'Global TARF'!$A399,GL_BS!$A:$A,'Global TARF'!H$8)</f>
        <v>0</v>
      </c>
      <c r="I399" s="184">
        <f>SUMIFS(GL_BS!$G:$G,GL_BS!$R:$R,'Global TARF'!$A$389,GL_BS!$S:$S,'Global TARF'!$A399,GL_BS!$A:$A,'Global TARF'!I$8)</f>
        <v>0</v>
      </c>
      <c r="J399" s="184">
        <f>SUMIFS(GL_BS!$G:$G,GL_BS!$R:$R,'Global TARF'!$A$389,GL_BS!$S:$S,'Global TARF'!$A399,GL_BS!$A:$A,'Global TARF'!J$8)</f>
        <v>0</v>
      </c>
      <c r="K399" s="184">
        <f>SUMIFS(GL_BS!$G:$G,GL_BS!$R:$R,'Global TARF'!$A$389,GL_BS!$S:$S,'Global TARF'!$A399,GL_BS!$A:$A,'Global TARF'!K$8)</f>
        <v>0</v>
      </c>
      <c r="L399" s="184">
        <f>SUMIFS(GL_BS!$G:$G,GL_BS!$R:$R,'Global TARF'!$A$389,GL_BS!$S:$S,'Global TARF'!$A399,GL_BS!$A:$A,'Global TARF'!L$8)</f>
        <v>0</v>
      </c>
      <c r="M399" s="536">
        <f>SUMIFS(GL_BS!$G:$G,GL_BS!$R:$R,'Global TARF'!$A$389,GL_BS!$S:$S,'Global TARF'!$A399,GL_BS!$A:$A,'Global TARF'!M$8)</f>
        <v>0</v>
      </c>
      <c r="N399" s="555">
        <f>SUMIFS(GL_BS!$G:$G,GL_BS!$R:$R,'Global TARF'!$A$389,GL_BS!$S:$S,'Global TARF'!$A399,GL_BS!$A:$A,'Global TARF'!N$8)</f>
        <v>0</v>
      </c>
      <c r="O399" s="18">
        <f>SUMIFS(GL_BS!$G:$G,GL_BS!$R:$R,'Global TARF'!$A$389,GL_BS!$S:$S,'Global TARF'!$A399,GL_BS!$A:$A,'Global TARF'!O$8)</f>
        <v>0</v>
      </c>
      <c r="P399" s="545">
        <f>SUMIFS(GL_PL!$G:$G,GL_PL!$Q:$Q,'Global TARF'!$A$389,GL_PL!$R:$R,'Global TARF'!$A399,GL_PL!$A:$A,'Global TARF'!P$8)</f>
        <v>0</v>
      </c>
      <c r="Q399" s="184">
        <f>SUMIFS(GL_PL!$G:$G,GL_PL!$Q:$Q,'Global TARF'!$A$389,GL_PL!$R:$R,'Global TARF'!$A399,GL_PL!$A:$A,'Global TARF'!Q$8)</f>
        <v>0</v>
      </c>
      <c r="R399" s="184">
        <f>SUMIFS(GL_PL!$G:$G,GL_PL!$Q:$Q,'Global TARF'!$A$389,GL_PL!$R:$R,'Global TARF'!$A399,GL_PL!$A:$A,'Global TARF'!R$8)</f>
        <v>0</v>
      </c>
      <c r="S399" s="536">
        <f>SUMIFS(GL_PL!$G:$G,GL_PL!$Q:$Q,'Global TARF'!$A$389,GL_PL!$R:$R,'Global TARF'!$A399,GL_PL!$A:$A,'Global TARF'!S$8)</f>
        <v>0</v>
      </c>
      <c r="T399"/>
      <c r="Z399" s="582">
        <f t="shared" si="171"/>
        <v>0</v>
      </c>
    </row>
    <row r="400" spans="1:26" x14ac:dyDescent="0.2">
      <c r="A400" s="534" t="s">
        <v>4586</v>
      </c>
      <c r="B400" s="184">
        <f>SUMIFS(GL_BS!$G:$G,GL_BS!$R:$R,'Global TARF'!$A$389,GL_BS!$S:$S,'Global TARF'!$A400,GL_BS!$A:$A,'Global TARF'!B$38)</f>
        <v>0</v>
      </c>
      <c r="C400" s="184">
        <f>SUMIFS(GL_BS!$G:$G,GL_BS!$R:$R,'Global TARF'!$A$389,GL_BS!$S:$S,'Global TARF'!$A400,GL_BS!$A:$A,'Global TARF'!C$8)</f>
        <v>0</v>
      </c>
      <c r="D400" s="184">
        <f>SUMIFS(GL_BS!$G:$G,GL_BS!$R:$R,'Global TARF'!$A$389,GL_BS!$S:$S,'Global TARF'!$A400,GL_BS!$A:$A,'Global TARF'!D$8)</f>
        <v>0</v>
      </c>
      <c r="E400" s="184">
        <f>SUMIFS(GL_BS!$G:$G,GL_BS!$R:$R,'Global TARF'!$A$389,GL_BS!$S:$S,'Global TARF'!$A400,GL_BS!$A:$A,'Global TARF'!E$8)</f>
        <v>0</v>
      </c>
      <c r="F400" s="184">
        <f>SUMIFS(GL_BS!$G:$G,GL_BS!$R:$R,'Global TARF'!$A$389,GL_BS!$S:$S,'Global TARF'!$A400,GL_BS!$A:$A,'Global TARF'!F$8)</f>
        <v>0</v>
      </c>
      <c r="G400" s="536">
        <f>SUMIFS(GL_BS!$G:$G,GL_BS!$R:$R,'Global TARF'!$A$389,GL_BS!$S:$S,'Global TARF'!$A400,GL_BS!$A:$A,'Global TARF'!G$8)</f>
        <v>0</v>
      </c>
      <c r="H400" s="545">
        <f>SUMIFS(GL_BS!$G:$G,GL_BS!$R:$R,'Global TARF'!$A$389,GL_BS!$S:$S,'Global TARF'!$A400,GL_BS!$A:$A,'Global TARF'!H$8)</f>
        <v>0</v>
      </c>
      <c r="I400" s="184">
        <f>SUMIFS(GL_BS!$G:$G,GL_BS!$R:$R,'Global TARF'!$A$389,GL_BS!$S:$S,'Global TARF'!$A400,GL_BS!$A:$A,'Global TARF'!I$8)</f>
        <v>0</v>
      </c>
      <c r="J400" s="184">
        <f>SUMIFS(GL_BS!$G:$G,GL_BS!$R:$R,'Global TARF'!$A$389,GL_BS!$S:$S,'Global TARF'!$A400,GL_BS!$A:$A,'Global TARF'!J$8)</f>
        <v>0</v>
      </c>
      <c r="K400" s="184">
        <f>SUMIFS(GL_BS!$G:$G,GL_BS!$R:$R,'Global TARF'!$A$389,GL_BS!$S:$S,'Global TARF'!$A400,GL_BS!$A:$A,'Global TARF'!K$8)</f>
        <v>0</v>
      </c>
      <c r="L400" s="184">
        <f>SUMIFS(GL_BS!$G:$G,GL_BS!$R:$R,'Global TARF'!$A$389,GL_BS!$S:$S,'Global TARF'!$A400,GL_BS!$A:$A,'Global TARF'!L$8)</f>
        <v>0</v>
      </c>
      <c r="M400" s="536">
        <f>SUMIFS(GL_BS!$G:$G,GL_BS!$R:$R,'Global TARF'!$A$389,GL_BS!$S:$S,'Global TARF'!$A400,GL_BS!$A:$A,'Global TARF'!M$8)</f>
        <v>0</v>
      </c>
      <c r="N400" s="555">
        <f>SUMIFS(GL_BS!$G:$G,GL_BS!$R:$R,'Global TARF'!$A$389,GL_BS!$S:$S,'Global TARF'!$A400,GL_BS!$A:$A,'Global TARF'!N$8)</f>
        <v>0</v>
      </c>
      <c r="O400" s="18">
        <f>SUMIFS(GL_BS!$G:$G,GL_BS!$R:$R,'Global TARF'!$A$389,GL_BS!$S:$S,'Global TARF'!$A400,GL_BS!$A:$A,'Global TARF'!O$8)</f>
        <v>0</v>
      </c>
      <c r="P400" s="545">
        <f>SUMIFS(GL_PL!$G:$G,GL_PL!$Q:$Q,'Global TARF'!$A$389,GL_PL!$R:$R,'Global TARF'!$A400,GL_PL!$A:$A,'Global TARF'!P$8)</f>
        <v>0</v>
      </c>
      <c r="Q400" s="184">
        <f>SUMIFS(GL_PL!$G:$G,GL_PL!$Q:$Q,'Global TARF'!$A$389,GL_PL!$R:$R,'Global TARF'!$A400,GL_PL!$A:$A,'Global TARF'!Q$8)</f>
        <v>0</v>
      </c>
      <c r="R400" s="184">
        <f>SUMIFS(GL_PL!$G:$G,GL_PL!$Q:$Q,'Global TARF'!$A$389,GL_PL!$R:$R,'Global TARF'!$A400,GL_PL!$A:$A,'Global TARF'!R$8)</f>
        <v>0</v>
      </c>
      <c r="S400" s="536">
        <f>SUMIFS(GL_PL!$G:$G,GL_PL!$Q:$Q,'Global TARF'!$A$389,GL_PL!$R:$R,'Global TARF'!$A400,GL_PL!$A:$A,'Global TARF'!S$8)</f>
        <v>0</v>
      </c>
      <c r="T400"/>
      <c r="Z400" s="582">
        <f t="shared" si="171"/>
        <v>0</v>
      </c>
    </row>
    <row r="401" spans="1:26" x14ac:dyDescent="0.2">
      <c r="A401" s="534" t="s">
        <v>779</v>
      </c>
      <c r="B401" s="184">
        <f>SUMIFS(GL_BS!$G:$G,GL_BS!$R:$R,'Global TARF'!$A$389,GL_BS!$S:$S,'Global TARF'!$A401,GL_BS!$A:$A,'Global TARF'!B$38)</f>
        <v>0</v>
      </c>
      <c r="C401" s="184">
        <f>SUMIFS(GL_BS!$G:$G,GL_BS!$R:$R,'Global TARF'!$A$389,GL_BS!$S:$S,'Global TARF'!$A401,GL_BS!$A:$A,'Global TARF'!C$8)</f>
        <v>0</v>
      </c>
      <c r="D401" s="184">
        <f>SUMIFS(GL_BS!$G:$G,GL_BS!$R:$R,'Global TARF'!$A$389,GL_BS!$S:$S,'Global TARF'!$A401,GL_BS!$A:$A,'Global TARF'!D$8)</f>
        <v>0</v>
      </c>
      <c r="E401" s="184">
        <f>SUMIFS(GL_BS!$G:$G,GL_BS!$R:$R,'Global TARF'!$A$389,GL_BS!$S:$S,'Global TARF'!$A401,GL_BS!$A:$A,'Global TARF'!E$8)</f>
        <v>0</v>
      </c>
      <c r="F401" s="184">
        <f>SUMIFS(GL_BS!$G:$G,GL_BS!$R:$R,'Global TARF'!$A$389,GL_BS!$S:$S,'Global TARF'!$A401,GL_BS!$A:$A,'Global TARF'!F$8)</f>
        <v>0</v>
      </c>
      <c r="G401" s="536">
        <f>SUMIFS(GL_BS!$G:$G,GL_BS!$R:$R,'Global TARF'!$A$389,GL_BS!$S:$S,'Global TARF'!$A401,GL_BS!$A:$A,'Global TARF'!G$8)</f>
        <v>0</v>
      </c>
      <c r="H401" s="545">
        <f>SUMIFS(GL_BS!$G:$G,GL_BS!$R:$R,'Global TARF'!$A$389,GL_BS!$S:$S,'Global TARF'!$A401,GL_BS!$A:$A,'Global TARF'!H$8)</f>
        <v>0</v>
      </c>
      <c r="I401" s="184">
        <f>SUMIFS(GL_BS!$G:$G,GL_BS!$R:$R,'Global TARF'!$A$389,GL_BS!$S:$S,'Global TARF'!$A401,GL_BS!$A:$A,'Global TARF'!I$8)</f>
        <v>0</v>
      </c>
      <c r="J401" s="184">
        <f>SUMIFS(GL_BS!$G:$G,GL_BS!$R:$R,'Global TARF'!$A$389,GL_BS!$S:$S,'Global TARF'!$A401,GL_BS!$A:$A,'Global TARF'!J$8)</f>
        <v>0</v>
      </c>
      <c r="K401" s="184">
        <f>SUMIFS(GL_BS!$G:$G,GL_BS!$R:$R,'Global TARF'!$A$389,GL_BS!$S:$S,'Global TARF'!$A401,GL_BS!$A:$A,'Global TARF'!K$8)</f>
        <v>0</v>
      </c>
      <c r="L401" s="184">
        <f>SUMIFS(GL_BS!$G:$G,GL_BS!$R:$R,'Global TARF'!$A$389,GL_BS!$S:$S,'Global TARF'!$A401,GL_BS!$A:$A,'Global TARF'!L$8)</f>
        <v>0</v>
      </c>
      <c r="M401" s="536">
        <f>SUMIFS(GL_BS!$G:$G,GL_BS!$R:$R,'Global TARF'!$A$389,GL_BS!$S:$S,'Global TARF'!$A401,GL_BS!$A:$A,'Global TARF'!M$8)</f>
        <v>0</v>
      </c>
      <c r="N401" s="555">
        <f>SUMIFS(GL_BS!$G:$G,GL_BS!$R:$R,'Global TARF'!$A$389,GL_BS!$S:$S,'Global TARF'!$A401,GL_BS!$A:$A,'Global TARF'!N$8)</f>
        <v>0</v>
      </c>
      <c r="O401" s="18">
        <f>SUMIFS(GL_BS!$G:$G,GL_BS!$R:$R,'Global TARF'!$A$389,GL_BS!$S:$S,'Global TARF'!$A401,GL_BS!$A:$A,'Global TARF'!O$8)</f>
        <v>0</v>
      </c>
      <c r="P401" s="545">
        <f>SUMIFS(GL_PL!$G:$G,GL_PL!$Q:$Q,'Global TARF'!$A$389,GL_PL!$R:$R,'Global TARF'!$A401,GL_PL!$A:$A,'Global TARF'!P$8)</f>
        <v>0</v>
      </c>
      <c r="Q401" s="184">
        <f>SUMIFS(GL_PL!$G:$G,GL_PL!$Q:$Q,'Global TARF'!$A$389,GL_PL!$R:$R,'Global TARF'!$A401,GL_PL!$A:$A,'Global TARF'!Q$8)</f>
        <v>0</v>
      </c>
      <c r="R401" s="184">
        <f>SUMIFS(GL_PL!$G:$G,GL_PL!$Q:$Q,'Global TARF'!$A$389,GL_PL!$R:$R,'Global TARF'!$A401,GL_PL!$A:$A,'Global TARF'!R$8)</f>
        <v>0</v>
      </c>
      <c r="S401" s="536">
        <f>SUMIFS(GL_PL!$G:$G,GL_PL!$Q:$Q,'Global TARF'!$A$389,GL_PL!$R:$R,'Global TARF'!$A401,GL_PL!$A:$A,'Global TARF'!S$8)</f>
        <v>0</v>
      </c>
      <c r="T401"/>
      <c r="Z401" s="582">
        <f t="shared" si="171"/>
        <v>0</v>
      </c>
    </row>
    <row r="402" spans="1:26" x14ac:dyDescent="0.2">
      <c r="A402" s="534" t="s">
        <v>4267</v>
      </c>
      <c r="B402" s="184">
        <f>SUMIFS(GL_BS!$G:$G,GL_BS!$R:$R,'Global TARF'!$A$389,GL_BS!$S:$S,'Global TARF'!$A402,GL_BS!$A:$A,'Global TARF'!B$38)</f>
        <v>0</v>
      </c>
      <c r="C402" s="184">
        <f>SUMIFS(GL_BS!$G:$G,GL_BS!$R:$R,'Global TARF'!$A$389,GL_BS!$S:$S,'Global TARF'!$A402,GL_BS!$A:$A,'Global TARF'!C$8)</f>
        <v>0</v>
      </c>
      <c r="D402" s="184">
        <f>SUMIFS(GL_BS!$G:$G,GL_BS!$R:$R,'Global TARF'!$A$389,GL_BS!$S:$S,'Global TARF'!$A402,GL_BS!$A:$A,'Global TARF'!D$8)</f>
        <v>0</v>
      </c>
      <c r="E402" s="184">
        <f>SUMIFS(GL_BS!$G:$G,GL_BS!$R:$R,'Global TARF'!$A$389,GL_BS!$S:$S,'Global TARF'!$A402,GL_BS!$A:$A,'Global TARF'!E$8)</f>
        <v>0</v>
      </c>
      <c r="F402" s="184">
        <f>SUMIFS(GL_BS!$G:$G,GL_BS!$R:$R,'Global TARF'!$A$389,GL_BS!$S:$S,'Global TARF'!$A402,GL_BS!$A:$A,'Global TARF'!F$8)</f>
        <v>0</v>
      </c>
      <c r="G402" s="536">
        <f>SUMIFS(GL_BS!$G:$G,GL_BS!$R:$R,'Global TARF'!$A$389,GL_BS!$S:$S,'Global TARF'!$A402,GL_BS!$A:$A,'Global TARF'!G$8)</f>
        <v>0</v>
      </c>
      <c r="H402" s="545">
        <f>SUMIFS(GL_BS!$G:$G,GL_BS!$R:$R,'Global TARF'!$A$389,GL_BS!$S:$S,'Global TARF'!$A402,GL_BS!$A:$A,'Global TARF'!H$8)</f>
        <v>0</v>
      </c>
      <c r="I402" s="184">
        <f>SUMIFS(GL_BS!$G:$G,GL_BS!$R:$R,'Global TARF'!$A$389,GL_BS!$S:$S,'Global TARF'!$A402,GL_BS!$A:$A,'Global TARF'!I$8)</f>
        <v>0</v>
      </c>
      <c r="J402" s="184">
        <f>SUMIFS(GL_BS!$G:$G,GL_BS!$R:$R,'Global TARF'!$A$389,GL_BS!$S:$S,'Global TARF'!$A402,GL_BS!$A:$A,'Global TARF'!J$8)</f>
        <v>0</v>
      </c>
      <c r="K402" s="184">
        <f>SUMIFS(GL_BS!$G:$G,GL_BS!$R:$R,'Global TARF'!$A$389,GL_BS!$S:$S,'Global TARF'!$A402,GL_BS!$A:$A,'Global TARF'!K$8)</f>
        <v>0</v>
      </c>
      <c r="L402" s="184">
        <f>SUMIFS(GL_BS!$G:$G,GL_BS!$R:$R,'Global TARF'!$A$389,GL_BS!$S:$S,'Global TARF'!$A402,GL_BS!$A:$A,'Global TARF'!L$8)</f>
        <v>0</v>
      </c>
      <c r="M402" s="536">
        <f>SUMIFS(GL_BS!$G:$G,GL_BS!$R:$R,'Global TARF'!$A$389,GL_BS!$S:$S,'Global TARF'!$A402,GL_BS!$A:$A,'Global TARF'!M$8)</f>
        <v>0</v>
      </c>
      <c r="N402" s="555">
        <f>SUMIFS(GL_BS!$G:$G,GL_BS!$R:$R,'Global TARF'!$A$389,GL_BS!$S:$S,'Global TARF'!$A402,GL_BS!$A:$A,'Global TARF'!N$8)</f>
        <v>0</v>
      </c>
      <c r="O402" s="18">
        <f>SUMIFS(GL_BS!$G:$G,GL_BS!$R:$R,'Global TARF'!$A$389,GL_BS!$S:$S,'Global TARF'!$A402,GL_BS!$A:$A,'Global TARF'!O$8)</f>
        <v>0</v>
      </c>
      <c r="P402" s="545">
        <f>SUMIFS(GL_PL!$G:$G,GL_PL!$Q:$Q,'Global TARF'!$A$389,GL_PL!$R:$R,'Global TARF'!$A402,GL_PL!$A:$A,'Global TARF'!P$8)</f>
        <v>0</v>
      </c>
      <c r="Q402" s="184">
        <f>SUMIFS(GL_PL!$G:$G,GL_PL!$Q:$Q,'Global TARF'!$A$389,GL_PL!$R:$R,'Global TARF'!$A402,GL_PL!$A:$A,'Global TARF'!Q$8)</f>
        <v>0</v>
      </c>
      <c r="R402" s="184">
        <f>SUMIFS(GL_PL!$G:$G,GL_PL!$Q:$Q,'Global TARF'!$A$389,GL_PL!$R:$R,'Global TARF'!$A402,GL_PL!$A:$A,'Global TARF'!R$8)</f>
        <v>0</v>
      </c>
      <c r="S402" s="536">
        <f>SUMIFS(GL_PL!$G:$G,GL_PL!$Q:$Q,'Global TARF'!$A$389,GL_PL!$R:$R,'Global TARF'!$A402,GL_PL!$A:$A,'Global TARF'!S$8)</f>
        <v>0</v>
      </c>
      <c r="T402"/>
      <c r="Z402" s="582">
        <f t="shared" si="171"/>
        <v>0</v>
      </c>
    </row>
    <row r="403" spans="1:26" x14ac:dyDescent="0.2">
      <c r="A403" s="534" t="s">
        <v>4275</v>
      </c>
      <c r="B403" s="184">
        <f>SUMIFS(GL_BS!$G:$G,GL_BS!$R:$R,'Global TARF'!$A$389,GL_BS!$S:$S,'Global TARF'!$A403,GL_BS!$A:$A,'Global TARF'!B$38)</f>
        <v>0</v>
      </c>
      <c r="C403" s="184">
        <f>SUMIFS(GL_BS!$G:$G,GL_BS!$R:$R,'Global TARF'!$A$389,GL_BS!$S:$S,'Global TARF'!$A403,GL_BS!$A:$A,'Global TARF'!C$8)</f>
        <v>0</v>
      </c>
      <c r="D403" s="184">
        <f>SUMIFS(GL_BS!$G:$G,GL_BS!$R:$R,'Global TARF'!$A$389,GL_BS!$S:$S,'Global TARF'!$A403,GL_BS!$A:$A,'Global TARF'!D$8)</f>
        <v>0</v>
      </c>
      <c r="E403" s="184">
        <f>SUMIFS(GL_BS!$G:$G,GL_BS!$R:$R,'Global TARF'!$A$389,GL_BS!$S:$S,'Global TARF'!$A403,GL_BS!$A:$A,'Global TARF'!E$8)</f>
        <v>0</v>
      </c>
      <c r="F403" s="184">
        <f>SUMIFS(GL_BS!$G:$G,GL_BS!$R:$R,'Global TARF'!$A$389,GL_BS!$S:$S,'Global TARF'!$A403,GL_BS!$A:$A,'Global TARF'!F$8)</f>
        <v>0</v>
      </c>
      <c r="G403" s="536">
        <f>SUMIFS(GL_BS!$G:$G,GL_BS!$R:$R,'Global TARF'!$A$389,GL_BS!$S:$S,'Global TARF'!$A403,GL_BS!$A:$A,'Global TARF'!G$8)</f>
        <v>0</v>
      </c>
      <c r="H403" s="545">
        <f>SUMIFS(GL_BS!$G:$G,GL_BS!$R:$R,'Global TARF'!$A$389,GL_BS!$S:$S,'Global TARF'!$A403,GL_BS!$A:$A,'Global TARF'!H$8)</f>
        <v>0</v>
      </c>
      <c r="I403" s="184">
        <f>SUMIFS(GL_BS!$G:$G,GL_BS!$R:$R,'Global TARF'!$A$389,GL_BS!$S:$S,'Global TARF'!$A403,GL_BS!$A:$A,'Global TARF'!I$8)</f>
        <v>0</v>
      </c>
      <c r="J403" s="184">
        <f>SUMIFS(GL_BS!$G:$G,GL_BS!$R:$R,'Global TARF'!$A$389,GL_BS!$S:$S,'Global TARF'!$A403,GL_BS!$A:$A,'Global TARF'!J$8)</f>
        <v>0</v>
      </c>
      <c r="K403" s="184">
        <f>SUMIFS(GL_BS!$G:$G,GL_BS!$R:$R,'Global TARF'!$A$389,GL_BS!$S:$S,'Global TARF'!$A403,GL_BS!$A:$A,'Global TARF'!K$8)</f>
        <v>0</v>
      </c>
      <c r="L403" s="184">
        <f>SUMIFS(GL_BS!$G:$G,GL_BS!$R:$R,'Global TARF'!$A$389,GL_BS!$S:$S,'Global TARF'!$A403,GL_BS!$A:$A,'Global TARF'!L$8)</f>
        <v>0</v>
      </c>
      <c r="M403" s="536">
        <f>SUMIFS(GL_BS!$G:$G,GL_BS!$R:$R,'Global TARF'!$A$389,GL_BS!$S:$S,'Global TARF'!$A403,GL_BS!$A:$A,'Global TARF'!M$8)</f>
        <v>0</v>
      </c>
      <c r="N403" s="555">
        <f>SUMIFS(GL_BS!$G:$G,GL_BS!$R:$R,'Global TARF'!$A$389,GL_BS!$S:$S,'Global TARF'!$A403,GL_BS!$A:$A,'Global TARF'!N$8)</f>
        <v>0</v>
      </c>
      <c r="O403" s="18">
        <f>SUMIFS(GL_BS!$G:$G,GL_BS!$R:$R,'Global TARF'!$A$389,GL_BS!$S:$S,'Global TARF'!$A403,GL_BS!$A:$A,'Global TARF'!O$8)</f>
        <v>0</v>
      </c>
      <c r="P403" s="545">
        <f>SUMIFS(GL_PL!$G:$G,GL_PL!$Q:$Q,'Global TARF'!$A$389,GL_PL!$R:$R,'Global TARF'!$A403,GL_PL!$A:$A,'Global TARF'!P$8)</f>
        <v>0</v>
      </c>
      <c r="Q403" s="184">
        <f>SUMIFS(GL_PL!$G:$G,GL_PL!$Q:$Q,'Global TARF'!$A$389,GL_PL!$R:$R,'Global TARF'!$A403,GL_PL!$A:$A,'Global TARF'!Q$8)</f>
        <v>0</v>
      </c>
      <c r="R403" s="184">
        <f>SUMIFS(GL_PL!$G:$G,GL_PL!$Q:$Q,'Global TARF'!$A$389,GL_PL!$R:$R,'Global TARF'!$A403,GL_PL!$A:$A,'Global TARF'!R$8)</f>
        <v>0</v>
      </c>
      <c r="S403" s="536">
        <f>SUMIFS(GL_PL!$G:$G,GL_PL!$Q:$Q,'Global TARF'!$A$389,GL_PL!$R:$R,'Global TARF'!$A403,GL_PL!$A:$A,'Global TARF'!S$8)</f>
        <v>0</v>
      </c>
      <c r="T403"/>
      <c r="Z403" s="582">
        <f t="shared" si="171"/>
        <v>0</v>
      </c>
    </row>
    <row r="404" spans="1:26" x14ac:dyDescent="0.2">
      <c r="A404" s="534" t="s">
        <v>4481</v>
      </c>
      <c r="B404" s="184">
        <f>SUMIFS(GL_BS!$G:$G,GL_BS!$R:$R,'Global TARF'!$A$389,GL_BS!$S:$S,'Global TARF'!$A404,GL_BS!$A:$A,'Global TARF'!B$38)</f>
        <v>0</v>
      </c>
      <c r="C404" s="184">
        <f>SUMIFS(GL_BS!$G:$G,GL_BS!$R:$R,'Global TARF'!$A$389,GL_BS!$S:$S,'Global TARF'!$A404,GL_BS!$A:$A,'Global TARF'!C$8)</f>
        <v>0</v>
      </c>
      <c r="D404" s="184">
        <f>SUMIFS(GL_BS!$G:$G,GL_BS!$R:$R,'Global TARF'!$A$389,GL_BS!$S:$S,'Global TARF'!$A404,GL_BS!$A:$A,'Global TARF'!D$8)</f>
        <v>0</v>
      </c>
      <c r="E404" s="184">
        <f>SUMIFS(GL_BS!$G:$G,GL_BS!$R:$R,'Global TARF'!$A$389,GL_BS!$S:$S,'Global TARF'!$A404,GL_BS!$A:$A,'Global TARF'!E$8)</f>
        <v>0</v>
      </c>
      <c r="F404" s="184">
        <f>SUMIFS(GL_BS!$G:$G,GL_BS!$R:$R,'Global TARF'!$A$389,GL_BS!$S:$S,'Global TARF'!$A404,GL_BS!$A:$A,'Global TARF'!F$8)</f>
        <v>0</v>
      </c>
      <c r="G404" s="536">
        <f>SUMIFS(GL_BS!$G:$G,GL_BS!$R:$R,'Global TARF'!$A$389,GL_BS!$S:$S,'Global TARF'!$A404,GL_BS!$A:$A,'Global TARF'!G$8)</f>
        <v>0</v>
      </c>
      <c r="H404" s="545">
        <f>SUMIFS(GL_BS!$G:$G,GL_BS!$R:$R,'Global TARF'!$A$389,GL_BS!$S:$S,'Global TARF'!$A404,GL_BS!$A:$A,'Global TARF'!H$8)</f>
        <v>0</v>
      </c>
      <c r="I404" s="184">
        <f>SUMIFS(GL_BS!$G:$G,GL_BS!$R:$R,'Global TARF'!$A$389,GL_BS!$S:$S,'Global TARF'!$A404,GL_BS!$A:$A,'Global TARF'!I$8)</f>
        <v>0</v>
      </c>
      <c r="J404" s="184">
        <f>SUMIFS(GL_BS!$G:$G,GL_BS!$R:$R,'Global TARF'!$A$389,GL_BS!$S:$S,'Global TARF'!$A404,GL_BS!$A:$A,'Global TARF'!J$8)</f>
        <v>0</v>
      </c>
      <c r="K404" s="184">
        <f>SUMIFS(GL_BS!$G:$G,GL_BS!$R:$R,'Global TARF'!$A$389,GL_BS!$S:$S,'Global TARF'!$A404,GL_BS!$A:$A,'Global TARF'!K$8)</f>
        <v>0</v>
      </c>
      <c r="L404" s="184">
        <f>SUMIFS(GL_BS!$G:$G,GL_BS!$R:$R,'Global TARF'!$A$389,GL_BS!$S:$S,'Global TARF'!$A404,GL_BS!$A:$A,'Global TARF'!L$8)</f>
        <v>0</v>
      </c>
      <c r="M404" s="536">
        <f>SUMIFS(GL_BS!$G:$G,GL_BS!$R:$R,'Global TARF'!$A$389,GL_BS!$S:$S,'Global TARF'!$A404,GL_BS!$A:$A,'Global TARF'!M$8)</f>
        <v>0</v>
      </c>
      <c r="N404" s="555">
        <f>SUMIFS(GL_BS!$G:$G,GL_BS!$R:$R,'Global TARF'!$A$389,GL_BS!$S:$S,'Global TARF'!$A404,GL_BS!$A:$A,'Global TARF'!N$8)</f>
        <v>0</v>
      </c>
      <c r="O404" s="18">
        <f>SUMIFS(GL_BS!$G:$G,GL_BS!$R:$R,'Global TARF'!$A$389,GL_BS!$S:$S,'Global TARF'!$A404,GL_BS!$A:$A,'Global TARF'!O$8)</f>
        <v>0</v>
      </c>
      <c r="P404" s="545">
        <f>SUMIFS(GL_PL!$G:$G,GL_PL!$Q:$Q,'Global TARF'!$A$389,GL_PL!$R:$R,'Global TARF'!$A404,GL_PL!$A:$A,'Global TARF'!P$8)</f>
        <v>0</v>
      </c>
      <c r="Q404" s="184">
        <f>SUMIFS(GL_PL!$G:$G,GL_PL!$Q:$Q,'Global TARF'!$A$389,GL_PL!$R:$R,'Global TARF'!$A404,GL_PL!$A:$A,'Global TARF'!Q$8)</f>
        <v>0</v>
      </c>
      <c r="R404" s="184">
        <f>SUMIFS(GL_PL!$G:$G,GL_PL!$Q:$Q,'Global TARF'!$A$389,GL_PL!$R:$R,'Global TARF'!$A404,GL_PL!$A:$A,'Global TARF'!R$8)</f>
        <v>0</v>
      </c>
      <c r="S404" s="536">
        <f>SUMIFS(GL_PL!$G:$G,GL_PL!$Q:$Q,'Global TARF'!$A$389,GL_PL!$R:$R,'Global TARF'!$A404,GL_PL!$A:$A,'Global TARF'!S$8)</f>
        <v>0</v>
      </c>
      <c r="T404"/>
      <c r="Z404" s="582">
        <f t="shared" si="171"/>
        <v>0</v>
      </c>
    </row>
    <row r="405" spans="1:26" x14ac:dyDescent="0.2">
      <c r="A405" t="s">
        <v>4569</v>
      </c>
      <c r="B405" s="184">
        <f>SUMIFS(GL_BS!$G:$G,GL_BS!$R:$R,'Global TARF'!$A$389,GL_BS!$S:$S,'Global TARF'!$A405,GL_BS!$A:$A,'Global TARF'!B$38)</f>
        <v>0</v>
      </c>
      <c r="C405" s="184">
        <f>SUMIFS(GL_BS!$G:$G,GL_BS!$R:$R,'Global TARF'!$A$389,GL_BS!$S:$S,'Global TARF'!$A405,GL_BS!$A:$A,'Global TARF'!C$8)</f>
        <v>0</v>
      </c>
      <c r="D405" s="184">
        <f>SUMIFS(GL_BS!$G:$G,GL_BS!$R:$R,'Global TARF'!$A$389,GL_BS!$S:$S,'Global TARF'!$A405,GL_BS!$A:$A,'Global TARF'!D$8)</f>
        <v>0</v>
      </c>
      <c r="E405" s="184">
        <f>SUMIFS(GL_BS!$G:$G,GL_BS!$R:$R,'Global TARF'!$A$389,GL_BS!$S:$S,'Global TARF'!$A405,GL_BS!$A:$A,'Global TARF'!E$8)</f>
        <v>0</v>
      </c>
      <c r="F405" s="184">
        <f>SUMIFS(GL_BS!$G:$G,GL_BS!$R:$R,'Global TARF'!$A$389,GL_BS!$S:$S,'Global TARF'!$A405,GL_BS!$A:$A,'Global TARF'!F$8)</f>
        <v>0</v>
      </c>
      <c r="G405" s="536">
        <f>SUMIFS(GL_BS!$G:$G,GL_BS!$R:$R,'Global TARF'!$A$389,GL_BS!$S:$S,'Global TARF'!$A405,GL_BS!$A:$A,'Global TARF'!G$8)</f>
        <v>351377</v>
      </c>
      <c r="H405" s="545">
        <f>SUMIFS(GL_BS!$G:$G,GL_BS!$R:$R,'Global TARF'!$A$389,GL_BS!$S:$S,'Global TARF'!$A405,GL_BS!$A:$A,'Global TARF'!H$8)</f>
        <v>-1853047</v>
      </c>
      <c r="I405" s="184">
        <f>SUMIFS(GL_BS!$G:$G,GL_BS!$R:$R,'Global TARF'!$A$389,GL_BS!$S:$S,'Global TARF'!$A405,GL_BS!$A:$A,'Global TARF'!I$8)</f>
        <v>0</v>
      </c>
      <c r="J405" s="184">
        <f>SUMIFS(GL_BS!$G:$G,GL_BS!$R:$R,'Global TARF'!$A$389,GL_BS!$S:$S,'Global TARF'!$A405,GL_BS!$A:$A,'Global TARF'!J$8)</f>
        <v>0</v>
      </c>
      <c r="K405" s="184">
        <f>SUMIFS(GL_BS!$G:$G,GL_BS!$R:$R,'Global TARF'!$A$389,GL_BS!$S:$S,'Global TARF'!$A405,GL_BS!$A:$A,'Global TARF'!K$8)</f>
        <v>0</v>
      </c>
      <c r="L405" s="184">
        <f>SUMIFS(GL_BS!$G:$G,GL_BS!$R:$R,'Global TARF'!$A$389,GL_BS!$S:$S,'Global TARF'!$A405,GL_BS!$A:$A,'Global TARF'!L$8)</f>
        <v>0</v>
      </c>
      <c r="M405" s="536">
        <f>SUMIFS(GL_BS!$G:$G,GL_BS!$R:$R,'Global TARF'!$A$389,GL_BS!$S:$S,'Global TARF'!$A405,GL_BS!$A:$A,'Global TARF'!M$8)</f>
        <v>0</v>
      </c>
      <c r="N405" s="555">
        <f>SUMIFS(GL_BS!$G:$G,GL_BS!$R:$R,'Global TARF'!$A$389,GL_BS!$S:$S,'Global TARF'!$A405,GL_BS!$A:$A,'Global TARF'!N$8)</f>
        <v>0</v>
      </c>
      <c r="O405" s="18">
        <f>SUMIFS(GL_BS!$G:$G,GL_BS!$R:$R,'Global TARF'!$A$389,GL_BS!$S:$S,'Global TARF'!$A405,GL_BS!$A:$A,'Global TARF'!O$8)</f>
        <v>0</v>
      </c>
      <c r="P405" s="545">
        <f>SUMIFS(GL_PL!$G:$G,GL_PL!$Q:$Q,'Global TARF'!$A$389,GL_PL!$R:$R,'Global TARF'!$A405,GL_PL!$A:$A,'Global TARF'!P$8)</f>
        <v>0</v>
      </c>
      <c r="Q405" s="184">
        <f>SUMIFS(GL_PL!$G:$G,GL_PL!$Q:$Q,'Global TARF'!$A$389,GL_PL!$R:$R,'Global TARF'!$A405,GL_PL!$A:$A,'Global TARF'!Q$8)</f>
        <v>0</v>
      </c>
      <c r="R405" s="184">
        <f>SUMIFS(GL_PL!$G:$G,GL_PL!$Q:$Q,'Global TARF'!$A$389,GL_PL!$R:$R,'Global TARF'!$A405,GL_PL!$A:$A,'Global TARF'!R$8)</f>
        <v>1501670</v>
      </c>
      <c r="S405" s="536">
        <f>SUMIFS(GL_PL!$G:$G,GL_PL!$Q:$Q,'Global TARF'!$A$389,GL_PL!$R:$R,'Global TARF'!$A405,GL_PL!$A:$A,'Global TARF'!S$8)</f>
        <v>0</v>
      </c>
      <c r="T405"/>
      <c r="Z405" s="582">
        <f t="shared" si="171"/>
        <v>0</v>
      </c>
    </row>
    <row r="406" spans="1:26" x14ac:dyDescent="0.2">
      <c r="A406" t="s">
        <v>4587</v>
      </c>
      <c r="B406" s="184">
        <f>SUMIFS(GL_BS!$G:$G,GL_BS!$R:$R,'Global TARF'!$A$389,GL_BS!$S:$S,'Global TARF'!$A406,GL_BS!$A:$A,'Global TARF'!B$38)</f>
        <v>0</v>
      </c>
      <c r="C406" s="184">
        <f>SUMIFS(GL_BS!$G:$G,GL_BS!$R:$R,'Global TARF'!$A$389,GL_BS!$S:$S,'Global TARF'!$A406,GL_BS!$A:$A,'Global TARF'!C$8)</f>
        <v>0</v>
      </c>
      <c r="D406" s="184">
        <f>SUMIFS(GL_BS!$G:$G,GL_BS!$R:$R,'Global TARF'!$A$389,GL_BS!$S:$S,'Global TARF'!$A406,GL_BS!$A:$A,'Global TARF'!D$8)</f>
        <v>0</v>
      </c>
      <c r="E406" s="184">
        <f>SUMIFS(GL_BS!$G:$G,GL_BS!$R:$R,'Global TARF'!$A$389,GL_BS!$S:$S,'Global TARF'!$A406,GL_BS!$A:$A,'Global TARF'!E$8)</f>
        <v>0</v>
      </c>
      <c r="F406" s="184">
        <f>SUMIFS(GL_BS!$G:$G,GL_BS!$R:$R,'Global TARF'!$A$389,GL_BS!$S:$S,'Global TARF'!$A406,GL_BS!$A:$A,'Global TARF'!F$8)</f>
        <v>0</v>
      </c>
      <c r="G406" s="536">
        <f>SUMIFS(GL_BS!$G:$G,GL_BS!$R:$R,'Global TARF'!$A$389,GL_BS!$S:$S,'Global TARF'!$A406,GL_BS!$A:$A,'Global TARF'!G$8)</f>
        <v>0</v>
      </c>
      <c r="H406" s="545">
        <f>SUMIFS(GL_BS!$G:$G,GL_BS!$R:$R,'Global TARF'!$A$389,GL_BS!$S:$S,'Global TARF'!$A406,GL_BS!$A:$A,'Global TARF'!H$8)</f>
        <v>0</v>
      </c>
      <c r="I406" s="184">
        <f>SUMIFS(GL_BS!$G:$G,GL_BS!$R:$R,'Global TARF'!$A$389,GL_BS!$S:$S,'Global TARF'!$A406,GL_BS!$A:$A,'Global TARF'!I$8)</f>
        <v>0</v>
      </c>
      <c r="J406" s="184">
        <f>SUMIFS(GL_BS!$G:$G,GL_BS!$R:$R,'Global TARF'!$A$389,GL_BS!$S:$S,'Global TARF'!$A406,GL_BS!$A:$A,'Global TARF'!J$8)</f>
        <v>0</v>
      </c>
      <c r="K406" s="184">
        <f>SUMIFS(GL_BS!$G:$G,GL_BS!$R:$R,'Global TARF'!$A$389,GL_BS!$S:$S,'Global TARF'!$A406,GL_BS!$A:$A,'Global TARF'!K$8)</f>
        <v>0</v>
      </c>
      <c r="L406" s="184">
        <f>SUMIFS(GL_BS!$G:$G,GL_BS!$R:$R,'Global TARF'!$A$389,GL_BS!$S:$S,'Global TARF'!$A406,GL_BS!$A:$A,'Global TARF'!L$8)</f>
        <v>0</v>
      </c>
      <c r="M406" s="536">
        <f>SUMIFS(GL_BS!$G:$G,GL_BS!$R:$R,'Global TARF'!$A$389,GL_BS!$S:$S,'Global TARF'!$A406,GL_BS!$A:$A,'Global TARF'!M$8)</f>
        <v>0</v>
      </c>
      <c r="N406" s="555"/>
      <c r="O406" s="18"/>
      <c r="P406" s="545">
        <f>SUMIFS(GL_PL!$G:$G,GL_PL!$Q:$Q,'Global TARF'!$A$389,GL_PL!$R:$R,'Global TARF'!$A406,GL_PL!$A:$A,'Global TARF'!P$8)</f>
        <v>0</v>
      </c>
      <c r="Q406" s="184">
        <f>SUMIFS(GL_PL!$G:$G,GL_PL!$Q:$Q,'Global TARF'!$A$389,GL_PL!$R:$R,'Global TARF'!$A406,GL_PL!$A:$A,'Global TARF'!Q$8)</f>
        <v>0</v>
      </c>
      <c r="R406" s="184">
        <f>SUMIFS(GL_PL!$G:$G,GL_PL!$Q:$Q,'Global TARF'!$A$389,GL_PL!$R:$R,'Global TARF'!$A406,GL_PL!$A:$A,'Global TARF'!R$8)</f>
        <v>0</v>
      </c>
      <c r="S406" s="536">
        <f>SUMIFS(GL_PL!$G:$G,GL_PL!$Q:$Q,'Global TARF'!$A$389,GL_PL!$R:$R,'Global TARF'!$A406,GL_PL!$A:$A,'Global TARF'!S$8)</f>
        <v>0</v>
      </c>
      <c r="T406"/>
      <c r="Z406" s="582">
        <f t="shared" si="171"/>
        <v>0</v>
      </c>
    </row>
    <row r="407" spans="1:26" x14ac:dyDescent="0.2">
      <c r="A407" t="s">
        <v>4369</v>
      </c>
      <c r="B407" s="184">
        <f>SUMIFS(GL_BS!$G:$G,GL_BS!$R:$R,'Global TARF'!$A$389,GL_BS!$S:$S,'Global TARF'!$A407,GL_BS!$A:$A,'Global TARF'!B$38)</f>
        <v>0</v>
      </c>
      <c r="C407" s="184">
        <f>SUMIFS(GL_BS!$G:$G,GL_BS!$R:$R,'Global TARF'!$A$389,GL_BS!$S:$S,'Global TARF'!$A407,GL_BS!$A:$A,'Global TARF'!C$8)</f>
        <v>0</v>
      </c>
      <c r="D407" s="184">
        <f>SUMIFS(GL_BS!$G:$G,GL_BS!$R:$R,'Global TARF'!$A$389,GL_BS!$S:$S,'Global TARF'!$A407,GL_BS!$A:$A,'Global TARF'!D$8)</f>
        <v>0</v>
      </c>
      <c r="E407" s="184">
        <f>SUMIFS(GL_BS!$G:$G,GL_BS!$R:$R,'Global TARF'!$A$389,GL_BS!$S:$S,'Global TARF'!$A407,GL_BS!$A:$A,'Global TARF'!E$8)</f>
        <v>0</v>
      </c>
      <c r="F407" s="184">
        <f>SUMIFS(GL_BS!$G:$G,GL_BS!$R:$R,'Global TARF'!$A$389,GL_BS!$S:$S,'Global TARF'!$A407,GL_BS!$A:$A,'Global TARF'!F$8)</f>
        <v>0</v>
      </c>
      <c r="G407" s="536">
        <f>SUMIFS(GL_BS!$G:$G,GL_BS!$R:$R,'Global TARF'!$A$389,GL_BS!$S:$S,'Global TARF'!$A407,GL_BS!$A:$A,'Global TARF'!G$8)</f>
        <v>0</v>
      </c>
      <c r="H407" s="545">
        <f>SUMIFS(GL_BS!$G:$G,GL_BS!$R:$R,'Global TARF'!$A$389,GL_BS!$S:$S,'Global TARF'!$A407,GL_BS!$A:$A,'Global TARF'!H$8)</f>
        <v>0</v>
      </c>
      <c r="I407" s="184">
        <f>SUMIFS(GL_BS!$G:$G,GL_BS!$R:$R,'Global TARF'!$A$389,GL_BS!$S:$S,'Global TARF'!$A407,GL_BS!$A:$A,'Global TARF'!I$8)</f>
        <v>0</v>
      </c>
      <c r="J407" s="184">
        <f>SUMIFS(GL_BS!$G:$G,GL_BS!$R:$R,'Global TARF'!$A$389,GL_BS!$S:$S,'Global TARF'!$A407,GL_BS!$A:$A,'Global TARF'!J$8)</f>
        <v>0</v>
      </c>
      <c r="K407" s="184">
        <f>SUMIFS(GL_BS!$G:$G,GL_BS!$R:$R,'Global TARF'!$A$389,GL_BS!$S:$S,'Global TARF'!$A407,GL_BS!$A:$A,'Global TARF'!K$8)</f>
        <v>0</v>
      </c>
      <c r="L407" s="184">
        <f>SUMIFS(GL_BS!$G:$G,GL_BS!$R:$R,'Global TARF'!$A$389,GL_BS!$S:$S,'Global TARF'!$A407,GL_BS!$A:$A,'Global TARF'!L$8)</f>
        <v>0</v>
      </c>
      <c r="M407" s="536">
        <f>SUMIFS(GL_BS!$G:$G,GL_BS!$R:$R,'Global TARF'!$A$389,GL_BS!$S:$S,'Global TARF'!$A407,GL_BS!$A:$A,'Global TARF'!M$8)</f>
        <v>0</v>
      </c>
      <c r="N407" s="555"/>
      <c r="O407" s="18"/>
      <c r="P407" s="545">
        <f>SUMIFS(GL_PL!$G:$G,GL_PL!$Q:$Q,'Global TARF'!$A$389,GL_PL!$R:$R,'Global TARF'!$A407,GL_PL!$A:$A,'Global TARF'!P$8)</f>
        <v>0</v>
      </c>
      <c r="Q407" s="184">
        <f>SUMIFS(GL_PL!$G:$G,GL_PL!$Q:$Q,'Global TARF'!$A$389,GL_PL!$R:$R,'Global TARF'!$A407,GL_PL!$A:$A,'Global TARF'!Q$8)</f>
        <v>0</v>
      </c>
      <c r="R407" s="184">
        <f>SUMIFS(GL_PL!$G:$G,GL_PL!$Q:$Q,'Global TARF'!$A$389,GL_PL!$R:$R,'Global TARF'!$A407,GL_PL!$A:$A,'Global TARF'!R$8)</f>
        <v>0</v>
      </c>
      <c r="S407" s="536">
        <f>SUMIFS(GL_PL!$G:$G,GL_PL!$Q:$Q,'Global TARF'!$A$389,GL_PL!$R:$R,'Global TARF'!$A407,GL_PL!$A:$A,'Global TARF'!S$8)</f>
        <v>0</v>
      </c>
      <c r="T407"/>
      <c r="Z407" s="582">
        <f t="shared" si="171"/>
        <v>0</v>
      </c>
    </row>
    <row r="408" spans="1:26" x14ac:dyDescent="0.2">
      <c r="A408" s="534" t="s">
        <v>799</v>
      </c>
      <c r="B408" s="184">
        <f>SUMIFS(GL_BS!$G:$G,GL_BS!$R:$R,'Global TARF'!$A$389,GL_BS!$S:$S,'Global TARF'!$A408,GL_BS!$A:$A,'Global TARF'!B$38)</f>
        <v>0</v>
      </c>
      <c r="C408" s="184">
        <f>SUMIFS(GL_BS!$G:$G,GL_BS!$R:$R,'Global TARF'!$A$389,GL_BS!$S:$S,'Global TARF'!$A408,GL_BS!$A:$A,'Global TARF'!C$8)</f>
        <v>0</v>
      </c>
      <c r="D408" s="184">
        <f>SUMIFS(GL_BS!$G:$G,GL_BS!$R:$R,'Global TARF'!$A$389,GL_BS!$S:$S,'Global TARF'!$A408,GL_BS!$A:$A,'Global TARF'!D$8)</f>
        <v>0</v>
      </c>
      <c r="E408" s="184">
        <f>SUMIFS(GL_BS!$G:$G,GL_BS!$R:$R,'Global TARF'!$A$389,GL_BS!$S:$S,'Global TARF'!$A408,GL_BS!$A:$A,'Global TARF'!E$8)</f>
        <v>0</v>
      </c>
      <c r="F408" s="184">
        <f>SUMIFS(GL_BS!$G:$G,GL_BS!$R:$R,'Global TARF'!$A$389,GL_BS!$S:$S,'Global TARF'!$A408,GL_BS!$A:$A,'Global TARF'!F$8)</f>
        <v>0</v>
      </c>
      <c r="G408" s="536">
        <f>SUMIFS(GL_BS!$G:$G,GL_BS!$R:$R,'Global TARF'!$A$389,GL_BS!$S:$S,'Global TARF'!$A408,GL_BS!$A:$A,'Global TARF'!G$8)</f>
        <v>0</v>
      </c>
      <c r="H408" s="545">
        <f>SUMIFS(GL_BS!$G:$G,GL_BS!$R:$R,'Global TARF'!$A$389,GL_BS!$S:$S,'Global TARF'!$A408,GL_BS!$A:$A,'Global TARF'!H$8)</f>
        <v>0</v>
      </c>
      <c r="I408" s="184">
        <f>SUMIFS(GL_BS!$G:$G,GL_BS!$R:$R,'Global TARF'!$A$389,GL_BS!$S:$S,'Global TARF'!$A408,GL_BS!$A:$A,'Global TARF'!I$8)</f>
        <v>0</v>
      </c>
      <c r="J408" s="184">
        <f>SUMIFS(GL_BS!$G:$G,GL_BS!$R:$R,'Global TARF'!$A$389,GL_BS!$S:$S,'Global TARF'!$A408,GL_BS!$A:$A,'Global TARF'!J$8)</f>
        <v>0</v>
      </c>
      <c r="K408" s="184">
        <f>SUMIFS(GL_BS!$G:$G,GL_BS!$R:$R,'Global TARF'!$A$389,GL_BS!$S:$S,'Global TARF'!$A408,GL_BS!$A:$A,'Global TARF'!K$8)</f>
        <v>0</v>
      </c>
      <c r="L408" s="184">
        <f>SUMIFS(GL_BS!$G:$G,GL_BS!$R:$R,'Global TARF'!$A$389,GL_BS!$S:$S,'Global TARF'!$A408,GL_BS!$A:$A,'Global TARF'!L$8)</f>
        <v>0</v>
      </c>
      <c r="M408" s="536">
        <f>SUMIFS(GL_BS!$G:$G,GL_BS!$R:$R,'Global TARF'!$A$389,GL_BS!$S:$S,'Global TARF'!$A408,GL_BS!$A:$A,'Global TARF'!M$8)</f>
        <v>0</v>
      </c>
      <c r="N408" s="555"/>
      <c r="O408" s="18"/>
      <c r="P408" s="545">
        <f>SUMIFS(GL_PL!$G:$G,GL_PL!$Q:$Q,'Global TARF'!$A$389,GL_PL!$R:$R,'Global TARF'!$A408,GL_PL!$A:$A,'Global TARF'!P$8)</f>
        <v>0</v>
      </c>
      <c r="Q408" s="184">
        <f>SUMIFS(GL_PL!$G:$G,GL_PL!$Q:$Q,'Global TARF'!$A$389,GL_PL!$R:$R,'Global TARF'!$A408,GL_PL!$A:$A,'Global TARF'!Q$8)</f>
        <v>0</v>
      </c>
      <c r="R408" s="184">
        <f>SUMIFS(GL_PL!$G:$G,GL_PL!$Q:$Q,'Global TARF'!$A$389,GL_PL!$R:$R,'Global TARF'!$A408,GL_PL!$A:$A,'Global TARF'!R$8)</f>
        <v>0</v>
      </c>
      <c r="S408" s="536">
        <f>SUMIFS(GL_PL!$G:$G,GL_PL!$Q:$Q,'Global TARF'!$A$389,GL_PL!$R:$R,'Global TARF'!$A408,GL_PL!$A:$A,'Global TARF'!S$8)</f>
        <v>0</v>
      </c>
      <c r="T408"/>
      <c r="Z408" s="582">
        <f t="shared" si="171"/>
        <v>0</v>
      </c>
    </row>
    <row r="409" spans="1:26" x14ac:dyDescent="0.2">
      <c r="A409" s="534" t="s">
        <v>3845</v>
      </c>
      <c r="B409" s="184">
        <f>SUMIFS(GL_BS!$G:$G,GL_BS!$R:$R,'Global TARF'!$A$389,GL_BS!$S:$S,'Global TARF'!$A409,GL_BS!$A:$A,'Global TARF'!B$38)</f>
        <v>0</v>
      </c>
      <c r="C409" s="184">
        <f>SUMIFS(GL_BS!$G:$G,GL_BS!$R:$R,'Global TARF'!$A$389,GL_BS!$S:$S,'Global TARF'!$A409,GL_BS!$A:$A,'Global TARF'!C$8)</f>
        <v>0</v>
      </c>
      <c r="D409" s="184">
        <f>SUMIFS(GL_BS!$G:$G,GL_BS!$R:$R,'Global TARF'!$A$389,GL_BS!$S:$S,'Global TARF'!$A409,GL_BS!$A:$A,'Global TARF'!D$8)</f>
        <v>0</v>
      </c>
      <c r="E409" s="184">
        <f>SUMIFS(GL_BS!$G:$G,GL_BS!$R:$R,'Global TARF'!$A$389,GL_BS!$S:$S,'Global TARF'!$A409,GL_BS!$A:$A,'Global TARF'!E$8)</f>
        <v>0</v>
      </c>
      <c r="F409" s="184">
        <f>SUMIFS(GL_BS!$G:$G,GL_BS!$R:$R,'Global TARF'!$A$389,GL_BS!$S:$S,'Global TARF'!$A409,GL_BS!$A:$A,'Global TARF'!F$8)</f>
        <v>0</v>
      </c>
      <c r="G409" s="536">
        <f>SUMIFS(GL_BS!$G:$G,GL_BS!$R:$R,'Global TARF'!$A$389,GL_BS!$S:$S,'Global TARF'!$A409,GL_BS!$A:$A,'Global TARF'!G$8)</f>
        <v>0</v>
      </c>
      <c r="H409" s="545">
        <f>SUMIFS(GL_BS!$G:$G,GL_BS!$R:$R,'Global TARF'!$A$389,GL_BS!$S:$S,'Global TARF'!$A409,GL_BS!$A:$A,'Global TARF'!H$8)</f>
        <v>0</v>
      </c>
      <c r="I409" s="184">
        <f>SUMIFS(GL_BS!$G:$G,GL_BS!$R:$R,'Global TARF'!$A$389,GL_BS!$S:$S,'Global TARF'!$A409,GL_BS!$A:$A,'Global TARF'!I$8)</f>
        <v>0</v>
      </c>
      <c r="J409" s="184">
        <f>SUMIFS(GL_BS!$G:$G,GL_BS!$R:$R,'Global TARF'!$A$389,GL_BS!$S:$S,'Global TARF'!$A409,GL_BS!$A:$A,'Global TARF'!J$8)</f>
        <v>0</v>
      </c>
      <c r="K409" s="184">
        <f>SUMIFS(GL_BS!$G:$G,GL_BS!$R:$R,'Global TARF'!$A$389,GL_BS!$S:$S,'Global TARF'!$A409,GL_BS!$A:$A,'Global TARF'!K$8)</f>
        <v>0</v>
      </c>
      <c r="L409" s="184">
        <f>SUMIFS(GL_BS!$G:$G,GL_BS!$R:$R,'Global TARF'!$A$389,GL_BS!$S:$S,'Global TARF'!$A409,GL_BS!$A:$A,'Global TARF'!L$8)</f>
        <v>0</v>
      </c>
      <c r="M409" s="536">
        <f>SUMIFS(GL_BS!$G:$G,GL_BS!$R:$R,'Global TARF'!$A$389,GL_BS!$S:$S,'Global TARF'!$A409,GL_BS!$A:$A,'Global TARF'!M$8)</f>
        <v>0</v>
      </c>
      <c r="N409" s="555">
        <f>SUMIFS(GL_BS!$G:$G,GL_BS!$R:$R,'Global TARF'!$A$389,GL_BS!$S:$S,'Global TARF'!$A409,GL_BS!$A:$A,'Global TARF'!N$8)</f>
        <v>0</v>
      </c>
      <c r="O409" s="18">
        <f>SUMIFS(GL_BS!$G:$G,GL_BS!$R:$R,'Global TARF'!$A$389,GL_BS!$S:$S,'Global TARF'!$A409,GL_BS!$A:$A,'Global TARF'!O$8)</f>
        <v>0</v>
      </c>
      <c r="P409" s="545">
        <f>SUMIFS(GL_PL!$G:$G,GL_PL!$Q:$Q,'Global TARF'!$A$389,GL_PL!$R:$R,'Global TARF'!$A409,GL_PL!$A:$A,'Global TARF'!P$8)</f>
        <v>0</v>
      </c>
      <c r="Q409" s="184">
        <f>SUMIFS(GL_PL!$G:$G,GL_PL!$Q:$Q,'Global TARF'!$A$389,GL_PL!$R:$R,'Global TARF'!$A409,GL_PL!$A:$A,'Global TARF'!Q$8)</f>
        <v>0</v>
      </c>
      <c r="R409" s="184">
        <f>SUMIFS(GL_PL!$G:$G,GL_PL!$Q:$Q,'Global TARF'!$A$389,GL_PL!$R:$R,'Global TARF'!$A409,GL_PL!$A:$A,'Global TARF'!R$8)</f>
        <v>0</v>
      </c>
      <c r="S409" s="536">
        <f>SUMIFS(GL_PL!$G:$G,GL_PL!$Q:$Q,'Global TARF'!$A$389,GL_PL!$R:$R,'Global TARF'!$A409,GL_PL!$A:$A,'Global TARF'!S$8)</f>
        <v>0</v>
      </c>
      <c r="T409"/>
      <c r="Z409" s="582">
        <f t="shared" si="171"/>
        <v>0</v>
      </c>
    </row>
    <row r="410" spans="1:26" x14ac:dyDescent="0.2">
      <c r="A410" s="534" t="s">
        <v>792</v>
      </c>
      <c r="B410" s="184">
        <f>SUMIFS(GL_BS!$G:$G,GL_BS!$R:$R,'Global TARF'!$A$389,GL_BS!$S:$S,'Global TARF'!$A410,GL_BS!$A:$A,'Global TARF'!B$38)</f>
        <v>0</v>
      </c>
      <c r="C410" s="184">
        <f>SUMIFS(GL_BS!$G:$G,GL_BS!$R:$R,'Global TARF'!$A$389,GL_BS!$S:$S,'Global TARF'!$A410,GL_BS!$A:$A,'Global TARF'!C$8)</f>
        <v>0</v>
      </c>
      <c r="D410" s="184">
        <f>SUMIFS(GL_BS!$G:$G,GL_BS!$R:$R,'Global TARF'!$A$389,GL_BS!$S:$S,'Global TARF'!$A410,GL_BS!$A:$A,'Global TARF'!D$8)</f>
        <v>0</v>
      </c>
      <c r="E410" s="184">
        <f>SUMIFS(GL_BS!$G:$G,GL_BS!$R:$R,'Global TARF'!$A$389,GL_BS!$S:$S,'Global TARF'!$A410,GL_BS!$A:$A,'Global TARF'!E$8)</f>
        <v>0</v>
      </c>
      <c r="F410" s="184">
        <f>SUMIFS(GL_BS!$G:$G,GL_BS!$R:$R,'Global TARF'!$A$389,GL_BS!$S:$S,'Global TARF'!$A410,GL_BS!$A:$A,'Global TARF'!F$8)</f>
        <v>0</v>
      </c>
      <c r="G410" s="536">
        <f>SUMIFS(GL_BS!$G:$G,GL_BS!$R:$R,'Global TARF'!$A$389,GL_BS!$S:$S,'Global TARF'!$A410,GL_BS!$A:$A,'Global TARF'!G$8)</f>
        <v>0</v>
      </c>
      <c r="H410" s="545">
        <f>SUMIFS(GL_BS!$G:$G,GL_BS!$R:$R,'Global TARF'!$A$389,GL_BS!$S:$S,'Global TARF'!$A410,GL_BS!$A:$A,'Global TARF'!H$8)</f>
        <v>0</v>
      </c>
      <c r="I410" s="184">
        <f>SUMIFS(GL_BS!$G:$G,GL_BS!$R:$R,'Global TARF'!$A$389,GL_BS!$S:$S,'Global TARF'!$A410,GL_BS!$A:$A,'Global TARF'!I$8)</f>
        <v>0</v>
      </c>
      <c r="J410" s="184">
        <f>SUMIFS(GL_BS!$G:$G,GL_BS!$R:$R,'Global TARF'!$A$389,GL_BS!$S:$S,'Global TARF'!$A410,GL_BS!$A:$A,'Global TARF'!J$8)</f>
        <v>0</v>
      </c>
      <c r="K410" s="184">
        <f>SUMIFS(GL_BS!$G:$G,GL_BS!$R:$R,'Global TARF'!$A$389,GL_BS!$S:$S,'Global TARF'!$A410,GL_BS!$A:$A,'Global TARF'!K$8)</f>
        <v>0</v>
      </c>
      <c r="L410" s="184">
        <f>SUMIFS(GL_BS!$G:$G,GL_BS!$R:$R,'Global TARF'!$A$389,GL_BS!$S:$S,'Global TARF'!$A410,GL_BS!$A:$A,'Global TARF'!L$8)</f>
        <v>0</v>
      </c>
      <c r="M410" s="536">
        <f>SUMIFS(GL_BS!$G:$G,GL_BS!$R:$R,'Global TARF'!$A$389,GL_BS!$S:$S,'Global TARF'!$A410,GL_BS!$A:$A,'Global TARF'!M$8)</f>
        <v>0</v>
      </c>
      <c r="N410" s="555">
        <f>SUMIFS(GL_BS!$G:$G,GL_BS!$R:$R,'Global TARF'!$A$389,GL_BS!$S:$S,'Global TARF'!$A410,GL_BS!$A:$A,'Global TARF'!N$8)</f>
        <v>0</v>
      </c>
      <c r="O410" s="18">
        <f>SUMIFS(GL_BS!$G:$G,GL_BS!$R:$R,'Global TARF'!$A$389,GL_BS!$S:$S,'Global TARF'!$A410,GL_BS!$A:$A,'Global TARF'!O$8)</f>
        <v>0</v>
      </c>
      <c r="P410" s="545">
        <f>SUMIFS(GL_PL!$G:$G,GL_PL!$Q:$Q,'Global TARF'!$A$389,GL_PL!$R:$R,'Global TARF'!$A410,GL_PL!$A:$A,'Global TARF'!P$8)</f>
        <v>0</v>
      </c>
      <c r="Q410" s="184">
        <f>SUMIFS(GL_PL!$G:$G,GL_PL!$Q:$Q,'Global TARF'!$A$389,GL_PL!$R:$R,'Global TARF'!$A410,GL_PL!$A:$A,'Global TARF'!Q$8)</f>
        <v>0</v>
      </c>
      <c r="R410" s="184">
        <f>SUMIFS(GL_PL!$G:$G,GL_PL!$Q:$Q,'Global TARF'!$A$389,GL_PL!$R:$R,'Global TARF'!$A410,GL_PL!$A:$A,'Global TARF'!R$8)</f>
        <v>0</v>
      </c>
      <c r="S410" s="536">
        <f>SUMIFS(GL_PL!$G:$G,GL_PL!$Q:$Q,'Global TARF'!$A$389,GL_PL!$R:$R,'Global TARF'!$A410,GL_PL!$A:$A,'Global TARF'!S$8)</f>
        <v>0</v>
      </c>
      <c r="T410"/>
      <c r="V410" s="26">
        <f>-SUM(Q410,B410)</f>
        <v>0</v>
      </c>
      <c r="Z410" s="582">
        <f t="shared" si="171"/>
        <v>0</v>
      </c>
    </row>
    <row r="411" spans="1:26" x14ac:dyDescent="0.2">
      <c r="A411" s="534" t="s">
        <v>791</v>
      </c>
      <c r="B411" s="184">
        <f>SUMIFS(GL_BS!$G:$G,GL_BS!$R:$R,'Global TARF'!$A$389,GL_BS!$S:$S,'Global TARF'!$A411,GL_BS!$A:$A,'Global TARF'!B$38)</f>
        <v>0</v>
      </c>
      <c r="C411" s="184">
        <f>SUMIFS(GL_BS!$G:$G,GL_BS!$R:$R,'Global TARF'!$A$389,GL_BS!$S:$S,'Global TARF'!$A411,GL_BS!$A:$A,'Global TARF'!C$8)</f>
        <v>0</v>
      </c>
      <c r="D411" s="184">
        <f>SUMIFS(GL_BS!$G:$G,GL_BS!$R:$R,'Global TARF'!$A$389,GL_BS!$S:$S,'Global TARF'!$A411,GL_BS!$A:$A,'Global TARF'!D$8)</f>
        <v>0</v>
      </c>
      <c r="E411" s="184">
        <f>SUMIFS(GL_BS!$G:$G,GL_BS!$R:$R,'Global TARF'!$A$389,GL_BS!$S:$S,'Global TARF'!$A411,GL_BS!$A:$A,'Global TARF'!E$8)</f>
        <v>0</v>
      </c>
      <c r="F411" s="184">
        <f>SUMIFS(GL_BS!$G:$G,GL_BS!$R:$R,'Global TARF'!$A$389,GL_BS!$S:$S,'Global TARF'!$A411,GL_BS!$A:$A,'Global TARF'!F$8)</f>
        <v>0</v>
      </c>
      <c r="G411" s="536">
        <f>SUMIFS(GL_BS!$G:$G,GL_BS!$R:$R,'Global TARF'!$A$389,GL_BS!$S:$S,'Global TARF'!$A411,GL_BS!$A:$A,'Global TARF'!G$8)</f>
        <v>0</v>
      </c>
      <c r="H411" s="545">
        <f>SUMIFS(GL_BS!$G:$G,GL_BS!$R:$R,'Global TARF'!$A$389,GL_BS!$S:$S,'Global TARF'!$A411,GL_BS!$A:$A,'Global TARF'!H$8)</f>
        <v>0</v>
      </c>
      <c r="I411" s="184">
        <f>SUMIFS(GL_BS!$G:$G,GL_BS!$R:$R,'Global TARF'!$A$389,GL_BS!$S:$S,'Global TARF'!$A411,GL_BS!$A:$A,'Global TARF'!I$8)</f>
        <v>0</v>
      </c>
      <c r="J411" s="184">
        <f>SUMIFS(GL_BS!$G:$G,GL_BS!$R:$R,'Global TARF'!$A$389,GL_BS!$S:$S,'Global TARF'!$A411,GL_BS!$A:$A,'Global TARF'!J$8)</f>
        <v>0</v>
      </c>
      <c r="K411" s="184">
        <f>SUMIFS(GL_BS!$G:$G,GL_BS!$R:$R,'Global TARF'!$A$389,GL_BS!$S:$S,'Global TARF'!$A411,GL_BS!$A:$A,'Global TARF'!K$8)</f>
        <v>0</v>
      </c>
      <c r="L411" s="184">
        <f>SUMIFS(GL_BS!$G:$G,GL_BS!$R:$R,'Global TARF'!$A$389,GL_BS!$S:$S,'Global TARF'!$A411,GL_BS!$A:$A,'Global TARF'!L$8)</f>
        <v>0</v>
      </c>
      <c r="M411" s="536">
        <f>SUMIFS(GL_BS!$G:$G,GL_BS!$R:$R,'Global TARF'!$A$389,GL_BS!$S:$S,'Global TARF'!$A411,GL_BS!$A:$A,'Global TARF'!M$8)</f>
        <v>0</v>
      </c>
      <c r="N411" s="555">
        <f>SUMIFS(GL_BS!$G:$G,GL_BS!$R:$R,'Global TARF'!$A$389,GL_BS!$S:$S,'Global TARF'!$A411,GL_BS!$A:$A,'Global TARF'!N$8)</f>
        <v>0</v>
      </c>
      <c r="O411" s="18">
        <f>SUMIFS(GL_BS!$G:$G,GL_BS!$R:$R,'Global TARF'!$A$389,GL_BS!$S:$S,'Global TARF'!$A411,GL_BS!$A:$A,'Global TARF'!O$8)</f>
        <v>0</v>
      </c>
      <c r="P411" s="545">
        <f>SUMIFS(GL_PL!$G:$G,GL_PL!$Q:$Q,'Global TARF'!$A$389,GL_PL!$R:$R,'Global TARF'!$A411,GL_PL!$A:$A,'Global TARF'!P$8)</f>
        <v>0</v>
      </c>
      <c r="Q411" s="184">
        <f>SUMIFS(GL_PL!$G:$G,GL_PL!$Q:$Q,'Global TARF'!$A$389,GL_PL!$R:$R,'Global TARF'!$A411,GL_PL!$A:$A,'Global TARF'!Q$8)</f>
        <v>0</v>
      </c>
      <c r="R411" s="184">
        <f>SUMIFS(GL_PL!$G:$G,GL_PL!$Q:$Q,'Global TARF'!$A$389,GL_PL!$R:$R,'Global TARF'!$A411,GL_PL!$A:$A,'Global TARF'!R$8)</f>
        <v>0</v>
      </c>
      <c r="S411" s="536">
        <f>SUMIFS(GL_PL!$G:$G,GL_PL!$Q:$Q,'Global TARF'!$A$389,GL_PL!$R:$R,'Global TARF'!$A411,GL_PL!$A:$A,'Global TARF'!S$8)</f>
        <v>0</v>
      </c>
      <c r="T411" s="26">
        <f>-SUM(P411:R411)</f>
        <v>0</v>
      </c>
      <c r="U411" s="26"/>
      <c r="Z411" s="582">
        <f t="shared" si="171"/>
        <v>0</v>
      </c>
    </row>
    <row r="412" spans="1:26" x14ac:dyDescent="0.2">
      <c r="A412" s="534" t="s">
        <v>243</v>
      </c>
      <c r="B412" s="184">
        <f>SUMIFS(GL_BS!$G:$G,GL_BS!$R:$R,'Global TARF'!$A$389,GL_BS!$S:$S,'Global TARF'!$A412,GL_BS!$A:$A,'Global TARF'!B$38)</f>
        <v>0</v>
      </c>
      <c r="C412" s="184">
        <f>SUMIFS(GL_BS!$G:$G,GL_BS!$R:$R,'Global TARF'!$A$389,GL_BS!$S:$S,'Global TARF'!$A412,GL_BS!$A:$A,'Global TARF'!C$8)</f>
        <v>0</v>
      </c>
      <c r="D412" s="184">
        <f>SUMIFS(GL_BS!$G:$G,GL_BS!$R:$R,'Global TARF'!$A$389,GL_BS!$S:$S,'Global TARF'!$A412,GL_BS!$A:$A,'Global TARF'!D$8)</f>
        <v>0</v>
      </c>
      <c r="E412" s="184">
        <f>SUMIFS(GL_BS!$G:$G,GL_BS!$R:$R,'Global TARF'!$A$389,GL_BS!$S:$S,'Global TARF'!$A412,GL_BS!$A:$A,'Global TARF'!E$8)</f>
        <v>0</v>
      </c>
      <c r="F412" s="184">
        <f>SUMIFS(GL_BS!$G:$G,GL_BS!$R:$R,'Global TARF'!$A$389,GL_BS!$S:$S,'Global TARF'!$A412,GL_BS!$A:$A,'Global TARF'!F$8)</f>
        <v>0</v>
      </c>
      <c r="G412" s="536">
        <f>SUMIFS(GL_BS!$G:$G,GL_BS!$R:$R,'Global TARF'!$A$389,GL_BS!$S:$S,'Global TARF'!$A412,GL_BS!$A:$A,'Global TARF'!G$8)</f>
        <v>0</v>
      </c>
      <c r="H412" s="545">
        <f>SUMIFS(GL_BS!$G:$G,GL_BS!$R:$R,'Global TARF'!$A$389,GL_BS!$S:$S,'Global TARF'!$A412,GL_BS!$A:$A,'Global TARF'!H$8)</f>
        <v>0</v>
      </c>
      <c r="I412" s="184">
        <f>SUMIFS(GL_BS!$G:$G,GL_BS!$R:$R,'Global TARF'!$A$389,GL_BS!$S:$S,'Global TARF'!$A412,GL_BS!$A:$A,'Global TARF'!I$8)</f>
        <v>0</v>
      </c>
      <c r="J412" s="184">
        <f>SUMIFS(GL_BS!$G:$G,GL_BS!$R:$R,'Global TARF'!$A$389,GL_BS!$S:$S,'Global TARF'!$A412,GL_BS!$A:$A,'Global TARF'!J$8)</f>
        <v>0</v>
      </c>
      <c r="K412" s="184">
        <f>SUMIFS(GL_BS!$G:$G,GL_BS!$R:$R,'Global TARF'!$A$389,GL_BS!$S:$S,'Global TARF'!$A412,GL_BS!$A:$A,'Global TARF'!K$8)</f>
        <v>0</v>
      </c>
      <c r="L412" s="184">
        <f>SUMIFS(GL_BS!$G:$G,GL_BS!$R:$R,'Global TARF'!$A$389,GL_BS!$S:$S,'Global TARF'!$A412,GL_BS!$A:$A,'Global TARF'!L$8)</f>
        <v>0</v>
      </c>
      <c r="M412" s="536">
        <f>SUMIFS(GL_BS!$G:$G,GL_BS!$R:$R,'Global TARF'!$A$389,GL_BS!$S:$S,'Global TARF'!$A412,GL_BS!$A:$A,'Global TARF'!M$8)</f>
        <v>0</v>
      </c>
      <c r="N412" s="555">
        <f>SUMIFS(GL_BS!$G:$G,GL_BS!$R:$R,'Global TARF'!$A$389,GL_BS!$S:$S,'Global TARF'!$A412,GL_BS!$A:$A,'Global TARF'!N$8)</f>
        <v>0</v>
      </c>
      <c r="O412" s="18">
        <f>SUMIFS(GL_BS!$G:$G,GL_BS!$R:$R,'Global TARF'!$A$389,GL_BS!$S:$S,'Global TARF'!$A412,GL_BS!$A:$A,'Global TARF'!O$8)</f>
        <v>0</v>
      </c>
      <c r="P412" s="545">
        <f>SUMIFS(GL_PL!$G:$G,GL_PL!$Q:$Q,'Global TARF'!$A$389,GL_PL!$R:$R,'Global TARF'!$A412,GL_PL!$A:$A,'Global TARF'!P$8)</f>
        <v>0</v>
      </c>
      <c r="Q412" s="184">
        <f>SUMIFS(GL_PL!$G:$G,GL_PL!$Q:$Q,'Global TARF'!$A$389,GL_PL!$R:$R,'Global TARF'!$A412,GL_PL!$A:$A,'Global TARF'!Q$8)</f>
        <v>0</v>
      </c>
      <c r="R412" s="184">
        <f>SUMIFS(GL_PL!$G:$G,GL_PL!$Q:$Q,'Global TARF'!$A$389,GL_PL!$R:$R,'Global TARF'!$A412,GL_PL!$A:$A,'Global TARF'!R$8)</f>
        <v>0</v>
      </c>
      <c r="S412" s="536">
        <f>SUMIFS(GL_PL!$G:$G,GL_PL!$Q:$Q,'Global TARF'!$A$389,GL_PL!$R:$R,'Global TARF'!$A412,GL_PL!$A:$A,'Global TARF'!S$8)</f>
        <v>0</v>
      </c>
      <c r="T412"/>
      <c r="Z412" s="582">
        <f t="shared" si="171"/>
        <v>0</v>
      </c>
    </row>
    <row r="413" spans="1:26" x14ac:dyDescent="0.2">
      <c r="A413" s="534" t="s">
        <v>795</v>
      </c>
      <c r="B413" s="184">
        <f>SUMIFS(GL_BS!$G:$G,GL_BS!$R:$R,'Global TARF'!$A$389,GL_BS!$S:$S,'Global TARF'!$A413,GL_BS!$A:$A,'Global TARF'!B$38)</f>
        <v>0</v>
      </c>
      <c r="C413" s="184">
        <f>SUMIFS(GL_BS!$G:$G,GL_BS!$R:$R,'Global TARF'!$A$389,GL_BS!$S:$S,'Global TARF'!$A413,GL_BS!$A:$A,'Global TARF'!C$8)</f>
        <v>0</v>
      </c>
      <c r="D413" s="184">
        <f>SUMIFS(GL_BS!$G:$G,GL_BS!$R:$R,'Global TARF'!$A$389,GL_BS!$S:$S,'Global TARF'!$A413,GL_BS!$A:$A,'Global TARF'!D$8)</f>
        <v>0</v>
      </c>
      <c r="E413" s="184">
        <f>SUMIFS(GL_BS!$G:$G,GL_BS!$R:$R,'Global TARF'!$A$389,GL_BS!$S:$S,'Global TARF'!$A413,GL_BS!$A:$A,'Global TARF'!E$8)</f>
        <v>0</v>
      </c>
      <c r="F413" s="184">
        <f>SUMIFS(GL_BS!$G:$G,GL_BS!$R:$R,'Global TARF'!$A$389,GL_BS!$S:$S,'Global TARF'!$A413,GL_BS!$A:$A,'Global TARF'!F$8)</f>
        <v>0</v>
      </c>
      <c r="G413" s="536">
        <f>SUMIFS(GL_BS!$G:$G,GL_BS!$R:$R,'Global TARF'!$A$389,GL_BS!$S:$S,'Global TARF'!$A413,GL_BS!$A:$A,'Global TARF'!G$8)</f>
        <v>0</v>
      </c>
      <c r="H413" s="545">
        <f>SUMIFS(GL_BS!$G:$G,GL_BS!$R:$R,'Global TARF'!$A$389,GL_BS!$S:$S,'Global TARF'!$A413,GL_BS!$A:$A,'Global TARF'!H$8)</f>
        <v>0</v>
      </c>
      <c r="I413" s="184">
        <f>SUMIFS(GL_BS!$G:$G,GL_BS!$R:$R,'Global TARF'!$A$389,GL_BS!$S:$S,'Global TARF'!$A413,GL_BS!$A:$A,'Global TARF'!I$8)</f>
        <v>0</v>
      </c>
      <c r="J413" s="184">
        <f>SUMIFS(GL_BS!$G:$G,GL_BS!$R:$R,'Global TARF'!$A$389,GL_BS!$S:$S,'Global TARF'!$A413,GL_BS!$A:$A,'Global TARF'!J$8)</f>
        <v>0</v>
      </c>
      <c r="K413" s="184">
        <f>SUMIFS(GL_BS!$G:$G,GL_BS!$R:$R,'Global TARF'!$A$389,GL_BS!$S:$S,'Global TARF'!$A413,GL_BS!$A:$A,'Global TARF'!K$8)</f>
        <v>0</v>
      </c>
      <c r="L413" s="184">
        <f>SUMIFS(GL_BS!$G:$G,GL_BS!$R:$R,'Global TARF'!$A$389,GL_BS!$S:$S,'Global TARF'!$A413,GL_BS!$A:$A,'Global TARF'!L$8)</f>
        <v>0</v>
      </c>
      <c r="M413" s="536">
        <f>SUMIFS(GL_BS!$G:$G,GL_BS!$R:$R,'Global TARF'!$A$389,GL_BS!$S:$S,'Global TARF'!$A413,GL_BS!$A:$A,'Global TARF'!M$8)</f>
        <v>0</v>
      </c>
      <c r="N413" s="555">
        <f>SUMIFS(GL_BS!$G:$G,GL_BS!$R:$R,'Global TARF'!$A$389,GL_BS!$S:$S,'Global TARF'!$A413,GL_BS!$A:$A,'Global TARF'!N$8)</f>
        <v>0</v>
      </c>
      <c r="O413" s="18">
        <f>SUMIFS(GL_BS!$G:$G,GL_BS!$R:$R,'Global TARF'!$A$389,GL_BS!$S:$S,'Global TARF'!$A413,GL_BS!$A:$A,'Global TARF'!O$8)</f>
        <v>0</v>
      </c>
      <c r="P413" s="545">
        <f>SUMIFS(GL_PL!$G:$G,GL_PL!$Q:$Q,'Global TARF'!$A$389,GL_PL!$R:$R,'Global TARF'!$A413,GL_PL!$A:$A,'Global TARF'!P$8)</f>
        <v>0</v>
      </c>
      <c r="Q413" s="184">
        <f>SUMIFS(GL_PL!$G:$G,GL_PL!$Q:$Q,'Global TARF'!$A$389,GL_PL!$R:$R,'Global TARF'!$A413,GL_PL!$A:$A,'Global TARF'!Q$8)</f>
        <v>0</v>
      </c>
      <c r="R413" s="184">
        <f>SUMIFS(GL_PL!$G:$G,GL_PL!$Q:$Q,'Global TARF'!$A$389,GL_PL!$R:$R,'Global TARF'!$A413,GL_PL!$A:$A,'Global TARF'!R$8)</f>
        <v>0</v>
      </c>
      <c r="S413" s="536">
        <f>SUMIFS(GL_PL!$G:$G,GL_PL!$Q:$Q,'Global TARF'!$A$389,GL_PL!$R:$R,'Global TARF'!$A413,GL_PL!$A:$A,'Global TARF'!S$8)</f>
        <v>0</v>
      </c>
      <c r="T413" s="26">
        <f>-SUM(P413:R413)</f>
        <v>0</v>
      </c>
      <c r="U413" s="26"/>
      <c r="Z413" s="582">
        <f t="shared" si="171"/>
        <v>0</v>
      </c>
    </row>
    <row r="414" spans="1:26" ht="10.5" thickBot="1" x14ac:dyDescent="0.25">
      <c r="A414" s="534" t="s">
        <v>793</v>
      </c>
      <c r="B414" s="184">
        <f>SUMIFS(GL_BS!$G:$G,GL_BS!$R:$R,'Global TARF'!$A$389,GL_BS!$S:$S,'Global TARF'!$A414,GL_BS!$A:$A,'Global TARF'!B$38)</f>
        <v>0</v>
      </c>
      <c r="C414" s="184">
        <f>SUMIFS(GL_BS!$G:$G,GL_BS!$R:$R,'Global TARF'!$A$389,GL_BS!$S:$S,'Global TARF'!$A414,GL_BS!$A:$A,'Global TARF'!C$8)</f>
        <v>0</v>
      </c>
      <c r="D414" s="184">
        <f>SUMIFS(GL_BS!$G:$G,GL_BS!$R:$R,'Global TARF'!$A$389,GL_BS!$S:$S,'Global TARF'!$A414,GL_BS!$A:$A,'Global TARF'!D$8)</f>
        <v>0</v>
      </c>
      <c r="E414" s="184">
        <f>SUMIFS(GL_BS!$G:$G,GL_BS!$R:$R,'Global TARF'!$A$389,GL_BS!$S:$S,'Global TARF'!$A414,GL_BS!$A:$A,'Global TARF'!E$8)</f>
        <v>0</v>
      </c>
      <c r="F414" s="184">
        <f>SUMIFS(GL_BS!$G:$G,GL_BS!$R:$R,'Global TARF'!$A$389,GL_BS!$S:$S,'Global TARF'!$A414,GL_BS!$A:$A,'Global TARF'!F$8)</f>
        <v>0</v>
      </c>
      <c r="G414" s="536">
        <f>SUMIFS(GL_BS!$G:$G,GL_BS!$R:$R,'Global TARF'!$A$389,GL_BS!$S:$S,'Global TARF'!$A414,GL_BS!$A:$A,'Global TARF'!G$8)</f>
        <v>0</v>
      </c>
      <c r="H414" s="545">
        <f>SUMIFS(GL_BS!$G:$G,GL_BS!$R:$R,'Global TARF'!$A$389,GL_BS!$S:$S,'Global TARF'!$A414,GL_BS!$A:$A,'Global TARF'!H$8)</f>
        <v>0</v>
      </c>
      <c r="I414" s="184">
        <f>SUMIFS(GL_BS!$G:$G,GL_BS!$R:$R,'Global TARF'!$A$389,GL_BS!$S:$S,'Global TARF'!$A414,GL_BS!$A:$A,'Global TARF'!I$8)</f>
        <v>0</v>
      </c>
      <c r="J414" s="184">
        <f>SUMIFS(GL_BS!$G:$G,GL_BS!$R:$R,'Global TARF'!$A$389,GL_BS!$S:$S,'Global TARF'!$A414,GL_BS!$A:$A,'Global TARF'!J$8)</f>
        <v>0</v>
      </c>
      <c r="K414" s="184">
        <f>SUMIFS(GL_BS!$G:$G,GL_BS!$R:$R,'Global TARF'!$A$389,GL_BS!$S:$S,'Global TARF'!$A414,GL_BS!$A:$A,'Global TARF'!K$8)</f>
        <v>0</v>
      </c>
      <c r="L414" s="184">
        <f>SUMIFS(GL_BS!$G:$G,GL_BS!$R:$R,'Global TARF'!$A$389,GL_BS!$S:$S,'Global TARF'!$A414,GL_BS!$A:$A,'Global TARF'!L$8)</f>
        <v>0</v>
      </c>
      <c r="M414" s="536">
        <f>SUMIFS(GL_BS!$G:$G,GL_BS!$R:$R,'Global TARF'!$A$389,GL_BS!$S:$S,'Global TARF'!$A414,GL_BS!$A:$A,'Global TARF'!M$8)</f>
        <v>0</v>
      </c>
      <c r="N414" s="555">
        <f>SUMIFS(GL_BS!$G:$G,GL_BS!$R:$R,'Global TARF'!$A$389,GL_BS!$S:$S,'Global TARF'!$A414,GL_BS!$A:$A,'Global TARF'!N$8)</f>
        <v>0</v>
      </c>
      <c r="O414" s="18">
        <f>SUMIFS(GL_BS!$G:$G,GL_BS!$R:$R,'Global TARF'!$A$389,GL_BS!$S:$S,'Global TARF'!$A414,GL_BS!$A:$A,'Global TARF'!O$8)</f>
        <v>0</v>
      </c>
      <c r="P414" s="545">
        <f>SUMIFS(GL_PL!$G:$G,GL_PL!$Q:$Q,'Global TARF'!$A$389,GL_PL!$R:$R,'Global TARF'!$A414,GL_PL!$A:$A,'Global TARF'!P$8)</f>
        <v>0</v>
      </c>
      <c r="Q414" s="184">
        <f>SUMIFS(GL_PL!$G:$G,GL_PL!$Q:$Q,'Global TARF'!$A$389,GL_PL!$R:$R,'Global TARF'!$A414,GL_PL!$A:$A,'Global TARF'!Q$8)</f>
        <v>0</v>
      </c>
      <c r="R414" s="184">
        <f>SUMIFS(GL_PL!$G:$G,GL_PL!$Q:$Q,'Global TARF'!$A$389,GL_PL!$R:$R,'Global TARF'!$A414,GL_PL!$A:$A,'Global TARF'!R$8)</f>
        <v>0</v>
      </c>
      <c r="S414" s="536">
        <f>SUMIFS(GL_PL!$G:$G,GL_PL!$Q:$Q,'Global TARF'!$A$389,GL_PL!$R:$R,'Global TARF'!$A414,GL_PL!$A:$A,'Global TARF'!S$8)</f>
        <v>0</v>
      </c>
      <c r="T414"/>
      <c r="Z414" s="582">
        <f t="shared" si="171"/>
        <v>0</v>
      </c>
    </row>
    <row r="415" spans="1:26" s="23" customFormat="1" ht="10.5" thickBot="1" x14ac:dyDescent="0.25">
      <c r="A415" s="563" t="str">
        <f>$A$34</f>
        <v>Balance as of 06/31/2024</v>
      </c>
      <c r="B415" s="564">
        <f>SUM(B391:B414)</f>
        <v>0</v>
      </c>
      <c r="C415" s="564">
        <f>SUM(C391:C414)</f>
        <v>0</v>
      </c>
      <c r="D415" s="564">
        <f>SUM(D391:D414)</f>
        <v>0</v>
      </c>
      <c r="E415" s="564">
        <f t="shared" ref="E415:T415" si="172">SUM(E391:E414)</f>
        <v>0</v>
      </c>
      <c r="F415" s="564"/>
      <c r="G415" s="566">
        <f t="shared" si="172"/>
        <v>351377</v>
      </c>
      <c r="H415" s="565">
        <f t="shared" si="172"/>
        <v>-1853047</v>
      </c>
      <c r="I415" s="565">
        <f t="shared" si="172"/>
        <v>0</v>
      </c>
      <c r="J415" s="565">
        <f t="shared" si="172"/>
        <v>0</v>
      </c>
      <c r="K415" s="565">
        <f t="shared" si="172"/>
        <v>0</v>
      </c>
      <c r="L415" s="564">
        <f t="shared" si="172"/>
        <v>0</v>
      </c>
      <c r="M415" s="566">
        <f t="shared" si="172"/>
        <v>0</v>
      </c>
      <c r="N415" s="567">
        <f t="shared" si="172"/>
        <v>0</v>
      </c>
      <c r="O415" s="564">
        <f t="shared" si="172"/>
        <v>0</v>
      </c>
      <c r="P415" s="565">
        <f t="shared" si="172"/>
        <v>0</v>
      </c>
      <c r="Q415" s="564">
        <f t="shared" si="172"/>
        <v>0</v>
      </c>
      <c r="R415" s="564">
        <f t="shared" si="172"/>
        <v>1501670</v>
      </c>
      <c r="S415" s="564">
        <f t="shared" si="172"/>
        <v>0</v>
      </c>
      <c r="T415" s="564">
        <f t="shared" si="172"/>
        <v>0</v>
      </c>
      <c r="U415" s="564"/>
      <c r="V415" s="564"/>
      <c r="W415" s="566"/>
      <c r="X415" s="27"/>
      <c r="Z415" s="584"/>
    </row>
    <row r="416" spans="1:26" x14ac:dyDescent="0.2">
      <c r="A416" s="534"/>
      <c r="B416" s="186">
        <f>IFERROR(INDEX('BS_Q2 24'!$A$9:$O$279,MATCH('Global TARF'!B$8,'BS_Q2 24'!$A$9:$A$279,0),MATCH($A$389,'BS_Q2 24'!$A$8:$O$8)),0)</f>
        <v>0</v>
      </c>
      <c r="C416" s="186">
        <f>IFERROR(INDEX('BS_Q2 24'!$A$9:$O$279,MATCH('Global TARF'!C$8,'BS_Q2 24'!$A$9:$A$279,0),MATCH($A$389,'BS_Q2 24'!$A$8:$O$8)),0)</f>
        <v>0</v>
      </c>
      <c r="D416" s="186">
        <f>IFERROR(INDEX('BS_Q2 24'!$A$9:$O$279,MATCH('Global TARF'!D$8,'BS_Q2 24'!$A$9:$A$279,0),MATCH($A$389,'BS_Q2 24'!$A$8:$O$8)),0)</f>
        <v>0</v>
      </c>
      <c r="E416" s="186">
        <f>IFERROR(INDEX('BS_Q2 24'!$A$9:$O$279,MATCH('Global TARF'!E$8,'BS_Q2 24'!$A$9:$A$279,0),MATCH($A$389,'BS_Q2 24'!$A$8:$O$8)),0)</f>
        <v>0</v>
      </c>
      <c r="F416" s="186">
        <f>IFERROR(INDEX('BS_Q2 24'!$A$9:$O$279,MATCH('Global TARF'!F$8,'BS_Q2 24'!$A$9:$A$279,0),MATCH($A$389,'BS_Q2 24'!$A$8:$O$8)),0)</f>
        <v>0</v>
      </c>
      <c r="G416" s="186">
        <f>IFERROR(INDEX('BS_Q2 24'!$A$9:$O$279,MATCH('Global TARF'!G$8,'BS_Q2 24'!$A$9:$A$279,0),MATCH($A$389,'BS_Q2 24'!$A$8:$O$8)),0)</f>
        <v>351377</v>
      </c>
      <c r="H416" s="186">
        <f>-IFERROR(INDEX('BS_Q2 24'!$A$9:$O$279,MATCH('Global TARF'!H$8,'BS_Q2 24'!$A$9:$A$279,0),MATCH($A$389,'BS_Q2 24'!$A$8:$O$8)),0)</f>
        <v>-1853047</v>
      </c>
      <c r="I416" s="186">
        <f>-IFERROR(INDEX('BS_Q2 24'!$A$9:$O$279,MATCH('Global TARF'!I$8,'BS_Q2 24'!$A$9:$A$279,0),MATCH($A$389,'BS_Q2 24'!$A$8:$O$8)),0)</f>
        <v>0</v>
      </c>
      <c r="J416" s="186">
        <f>-IFERROR(INDEX('BS_Q2 24'!$A$9:$O$279,MATCH('Global TARF'!J$8,'BS_Q2 24'!$A$9:$A$279,0),MATCH($A$389,'BS_Q2 24'!$A$8:$O$8)),0)</f>
        <v>0</v>
      </c>
      <c r="K416" s="186">
        <f>-IFERROR(INDEX('BS_Q2 24'!$A$9:$O$279,MATCH('Global TARF'!K$8,'BS_Q2 24'!$A$9:$A$279,0),MATCH($A$389,'BS_Q2 24'!$A$8:$O$8)),0)</f>
        <v>0</v>
      </c>
      <c r="L416" s="186">
        <f>-IFERROR(INDEX('BS_Q2 24'!$A$9:$O$279,MATCH('Global TARF'!L$8,'BS_Q2 24'!$A$9:$A$279,0),MATCH($A$389,'BS_Q2 24'!$A$8:$O$8)),0)</f>
        <v>0</v>
      </c>
      <c r="M416" s="186">
        <f>-IFERROR(INDEX('BS_Q2 24'!$A$9:$O$279,MATCH('Global TARF'!M$8,'BS_Q2 24'!$A$9:$A$279,0),MATCH($A$389,'BS_Q2 24'!$A$8:$O$8)),0)</f>
        <v>0</v>
      </c>
      <c r="N416" s="554" t="e">
        <f>INDEX('BS_Q2 24'!$A$9:$O$118,MATCH('Global TARF'!N$8,'BS_Q2 24'!$A$9:$A$118,0),MATCH($A$389,'BS_Q2 24'!$A$8:$O$8))</f>
        <v>#N/A</v>
      </c>
      <c r="O416" s="24" t="e">
        <f>INDEX('BS_Q2 24'!$A$9:$O$118,MATCH('Global TARF'!O$8,'BS_Q2 24'!$A$9:$A$118,0),MATCH($A$389,'BS_Q2 24'!$A$8:$O$8))</f>
        <v>#N/A</v>
      </c>
      <c r="P416" s="546">
        <f>-IFERROR(INDEX('IS_Q2 24'!$A$7:$O$700,MATCH('Global TARF'!P$8,'IS_Q2 24'!$A$7:$A$700,0),MATCH($A$389,'IS_Q2 24'!$A$8:$O$8)),0)</f>
        <v>0</v>
      </c>
      <c r="Q416" s="546">
        <f>-IFERROR(INDEX('IS_Q2 24'!$A$7:$O$700,MATCH('Global TARF'!Q$8,'IS_Q2 24'!$A$7:$A$700,0),MATCH($A$389,'IS_Q2 24'!$A$8:$O$8)),0)</f>
        <v>0</v>
      </c>
      <c r="R416" s="546">
        <f>-IFERROR(INDEX('IS_Q2 24'!$A$7:$O$700,MATCH('Global TARF'!R$8,'IS_Q2 24'!$A$7:$A$700,0),MATCH($A$389,'IS_Q2 24'!$A$8:$O$8)),0)</f>
        <v>1501670</v>
      </c>
      <c r="S416" s="546">
        <f>-IFERROR(INDEX('IS_Q2 24'!$A$7:$O$700,MATCH('Global TARF'!S$8,'IS_Q2 24'!$A$7:$A$700,0),MATCH($A$389,'IS_Q2 24'!$A$8:$O$8)),0)</f>
        <v>0</v>
      </c>
      <c r="T416"/>
    </row>
    <row r="417" spans="1:22" x14ac:dyDescent="0.2">
      <c r="A417" s="534"/>
      <c r="B417" t="b">
        <f t="shared" ref="B417:V417" si="173">ROUND(B415,0)=ROUND(B416,0)</f>
        <v>1</v>
      </c>
      <c r="C417" t="b">
        <f t="shared" si="173"/>
        <v>1</v>
      </c>
      <c r="D417" t="b">
        <f t="shared" ref="D417" si="174">ROUND(D415,0)=ROUND(D416,0)</f>
        <v>1</v>
      </c>
      <c r="E417" t="b">
        <f t="shared" si="173"/>
        <v>1</v>
      </c>
      <c r="F417" t="b">
        <f t="shared" si="173"/>
        <v>1</v>
      </c>
      <c r="G417" s="535" t="b">
        <f t="shared" si="173"/>
        <v>1</v>
      </c>
      <c r="H417" s="534" t="b">
        <f t="shared" si="173"/>
        <v>1</v>
      </c>
      <c r="I417" s="534" t="b">
        <f t="shared" si="173"/>
        <v>1</v>
      </c>
      <c r="J417" s="534" t="b">
        <f t="shared" si="173"/>
        <v>1</v>
      </c>
      <c r="K417" s="534" t="b">
        <f t="shared" si="173"/>
        <v>1</v>
      </c>
      <c r="L417" t="b">
        <f t="shared" si="173"/>
        <v>1</v>
      </c>
      <c r="M417" s="535" t="b">
        <f t="shared" si="173"/>
        <v>1</v>
      </c>
      <c r="N417" s="552" t="e">
        <f t="shared" si="173"/>
        <v>#N/A</v>
      </c>
      <c r="O417" t="e">
        <f t="shared" si="173"/>
        <v>#N/A</v>
      </c>
      <c r="P417" s="534" t="b">
        <f t="shared" si="173"/>
        <v>1</v>
      </c>
      <c r="Q417" t="b">
        <f t="shared" si="173"/>
        <v>1</v>
      </c>
      <c r="R417" t="b">
        <f t="shared" si="173"/>
        <v>1</v>
      </c>
      <c r="S417" t="b">
        <f t="shared" si="173"/>
        <v>1</v>
      </c>
      <c r="T417" t="b">
        <f t="shared" si="173"/>
        <v>1</v>
      </c>
      <c r="V417" t="b">
        <f t="shared" si="173"/>
        <v>1</v>
      </c>
    </row>
    <row r="418" spans="1:22" ht="10.5" thickBot="1" x14ac:dyDescent="0.25">
      <c r="A418" s="542"/>
      <c r="B418" s="543"/>
      <c r="C418" s="543"/>
      <c r="D418" s="543"/>
      <c r="E418" s="543"/>
      <c r="F418" s="543"/>
      <c r="G418" s="544"/>
      <c r="H418" s="542"/>
      <c r="I418" s="543"/>
      <c r="J418" s="543"/>
      <c r="K418" s="543"/>
      <c r="L418" s="543"/>
      <c r="M418" s="544"/>
      <c r="N418" s="557"/>
      <c r="P418" s="542"/>
      <c r="Q418" s="543"/>
      <c r="R418" s="543"/>
      <c r="S418" s="544"/>
      <c r="T418"/>
    </row>
  </sheetData>
  <mergeCells count="4">
    <mergeCell ref="B7:G7"/>
    <mergeCell ref="H7:M7"/>
    <mergeCell ref="P7:S7"/>
    <mergeCell ref="B1:Z6"/>
  </mergeCells>
  <pageMargins left="0.7" right="0.7" top="0.75" bottom="0.75" header="0.3" footer="0.3"/>
  <pageSetup orientation="portrait" r:id="rId1"/>
  <ignoredErrors>
    <ignoredError sqref="F12:F15" formula="1"/>
  </ignoredErrors>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4493D-D9C2-4481-B3D5-2FD3569CD263}">
  <sheetPr codeName="Sheet11"/>
  <dimension ref="A1"/>
  <sheetViews>
    <sheetView workbookViewId="0">
      <selection activeCell="J42" sqref="J41:J42"/>
    </sheetView>
  </sheetViews>
  <sheetFormatPr defaultRowHeight="10" x14ac:dyDescent="0.2"/>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2"/>
  <dimension ref="A1:T179"/>
  <sheetViews>
    <sheetView zoomScale="90" zoomScaleNormal="90" workbookViewId="0">
      <selection sqref="A1:S1"/>
    </sheetView>
  </sheetViews>
  <sheetFormatPr defaultColWidth="9.33203125" defaultRowHeight="10" x14ac:dyDescent="0.2"/>
  <cols>
    <col min="1" max="1" width="46.109375" customWidth="1"/>
    <col min="2" max="2" width="21.44140625" customWidth="1"/>
    <col min="3" max="3" width="13.44140625" customWidth="1"/>
    <col min="4" max="4" width="21.6640625" customWidth="1"/>
    <col min="5" max="5" width="36.33203125" customWidth="1"/>
    <col min="6" max="6" width="45.88671875" customWidth="1"/>
    <col min="7" max="7" width="23.44140625" customWidth="1"/>
    <col min="8" max="8" width="17.44140625" customWidth="1"/>
    <col min="9" max="9" width="9.33203125" customWidth="1"/>
    <col min="10" max="10" width="18.6640625" customWidth="1"/>
    <col min="11" max="11" width="19.6640625" style="18" customWidth="1"/>
    <col min="12" max="14" width="28.33203125" customWidth="1"/>
    <col min="15" max="15" width="28.33203125" hidden="1" customWidth="1"/>
    <col min="16" max="17" width="28.33203125" customWidth="1"/>
    <col min="18" max="18" width="11.44140625" customWidth="1"/>
    <col min="19" max="19" width="23.6640625" customWidth="1"/>
  </cols>
  <sheetData>
    <row r="1" spans="1:20" ht="15.75" customHeight="1" x14ac:dyDescent="0.35">
      <c r="A1" s="815" t="s">
        <v>0</v>
      </c>
      <c r="B1" s="816"/>
      <c r="C1" s="816"/>
      <c r="D1" s="816"/>
      <c r="E1" s="816"/>
      <c r="F1" s="816"/>
      <c r="G1" s="816"/>
      <c r="H1" s="816"/>
      <c r="I1" s="816"/>
      <c r="J1" s="816"/>
      <c r="K1" s="816"/>
      <c r="L1" s="816"/>
      <c r="M1" s="816"/>
      <c r="N1" s="816"/>
      <c r="O1" s="816"/>
      <c r="P1" s="816"/>
      <c r="Q1" s="816"/>
      <c r="R1" s="816"/>
      <c r="S1" s="817"/>
    </row>
    <row r="2" spans="1:20" ht="15.75" customHeight="1" x14ac:dyDescent="0.35">
      <c r="A2" s="818" t="s">
        <v>1</v>
      </c>
      <c r="B2" s="819"/>
      <c r="C2" s="819"/>
      <c r="D2" s="819"/>
      <c r="E2" s="819"/>
      <c r="F2" s="819"/>
      <c r="G2" s="819"/>
      <c r="H2" s="819"/>
      <c r="I2" s="819"/>
      <c r="J2" s="819"/>
      <c r="K2" s="819"/>
      <c r="L2" s="819"/>
      <c r="M2" s="819"/>
      <c r="N2" s="819"/>
      <c r="O2" s="819"/>
      <c r="P2" s="819"/>
      <c r="Q2" s="819"/>
      <c r="R2" s="819"/>
      <c r="S2" s="820"/>
    </row>
    <row r="3" spans="1:20" ht="18" customHeight="1" thickBot="1" x14ac:dyDescent="0.45">
      <c r="A3" s="821" t="s">
        <v>4748</v>
      </c>
      <c r="B3" s="822"/>
      <c r="C3" s="822"/>
      <c r="D3" s="822"/>
      <c r="E3" s="822"/>
      <c r="F3" s="822"/>
      <c r="G3" s="822"/>
      <c r="H3" s="822"/>
      <c r="I3" s="822"/>
      <c r="J3" s="822"/>
      <c r="K3" s="822"/>
      <c r="L3" s="822"/>
      <c r="M3" s="822"/>
      <c r="N3" s="822"/>
      <c r="O3" s="822"/>
      <c r="P3" s="822"/>
      <c r="Q3" s="822"/>
      <c r="R3" s="822"/>
      <c r="S3" s="823"/>
    </row>
    <row r="4" spans="1:20" ht="18" customHeight="1" thickBot="1" x14ac:dyDescent="0.45">
      <c r="A4" s="678" t="s">
        <v>4</v>
      </c>
      <c r="B4" s="679"/>
      <c r="C4" s="679"/>
      <c r="D4" s="679"/>
      <c r="E4" s="679"/>
      <c r="F4" s="679"/>
      <c r="G4" s="679"/>
      <c r="H4" s="679"/>
      <c r="I4" s="679"/>
      <c r="J4" s="679"/>
      <c r="K4" s="680"/>
      <c r="L4" s="679"/>
      <c r="M4" s="679"/>
      <c r="N4" s="679"/>
      <c r="O4" s="681"/>
      <c r="P4" s="681"/>
      <c r="Q4" s="681"/>
      <c r="R4" s="682"/>
      <c r="S4" s="683"/>
    </row>
    <row r="5" spans="1:20" ht="11.25" customHeight="1" thickBot="1" x14ac:dyDescent="0.25">
      <c r="A5" s="638" t="s">
        <v>5</v>
      </c>
      <c r="B5" s="639" t="s">
        <v>6</v>
      </c>
      <c r="C5" s="639" t="s">
        <v>7</v>
      </c>
      <c r="D5" s="639" t="s">
        <v>8</v>
      </c>
      <c r="E5" s="639" t="s">
        <v>9</v>
      </c>
      <c r="F5" s="639" t="s">
        <v>10</v>
      </c>
      <c r="G5" s="641" t="s">
        <v>11</v>
      </c>
      <c r="H5" s="641" t="s">
        <v>12</v>
      </c>
      <c r="I5" s="639" t="s">
        <v>13</v>
      </c>
      <c r="J5" s="639" t="s">
        <v>14</v>
      </c>
      <c r="K5" s="641" t="s">
        <v>15</v>
      </c>
      <c r="L5" s="639" t="s">
        <v>16</v>
      </c>
      <c r="M5" s="639" t="s">
        <v>17</v>
      </c>
      <c r="N5" s="639" t="s">
        <v>18</v>
      </c>
      <c r="O5" s="639" t="s">
        <v>3778</v>
      </c>
      <c r="P5" s="639" t="s">
        <v>3777</v>
      </c>
      <c r="Q5" s="639" t="s">
        <v>3776</v>
      </c>
      <c r="R5" s="639" t="s">
        <v>4265</v>
      </c>
      <c r="S5" s="684" t="s">
        <v>10</v>
      </c>
    </row>
    <row r="6" spans="1:20" ht="11.25" customHeight="1" x14ac:dyDescent="0.25">
      <c r="A6" s="608" t="s">
        <v>342</v>
      </c>
      <c r="B6" s="620"/>
      <c r="C6" s="616"/>
      <c r="D6" s="620"/>
      <c r="E6" s="620"/>
      <c r="F6" s="620"/>
      <c r="G6" s="610">
        <v>0</v>
      </c>
      <c r="H6" s="610">
        <v>-171799.06995421555</v>
      </c>
      <c r="I6" s="620"/>
      <c r="J6" s="620"/>
      <c r="K6" s="613">
        <v>0</v>
      </c>
      <c r="L6" s="620"/>
      <c r="M6" s="620"/>
      <c r="N6" s="620"/>
      <c r="O6" s="620"/>
      <c r="P6" s="620"/>
      <c r="Q6" s="4"/>
      <c r="R6" s="4"/>
      <c r="S6" s="4"/>
    </row>
    <row r="7" spans="1:20" ht="11.25" customHeight="1" x14ac:dyDescent="0.25">
      <c r="A7" s="685" t="s">
        <v>342</v>
      </c>
      <c r="B7" s="686" t="s">
        <v>21</v>
      </c>
      <c r="C7" s="687">
        <v>45322</v>
      </c>
      <c r="D7" s="686" t="s">
        <v>4414</v>
      </c>
      <c r="E7" s="686" t="s">
        <v>4372</v>
      </c>
      <c r="F7" s="686" t="s">
        <v>4372</v>
      </c>
      <c r="G7" s="688">
        <v>171799.06995421555</v>
      </c>
      <c r="H7" s="688">
        <f t="shared" ref="H7:H12" si="0">H6+G7</f>
        <v>0</v>
      </c>
      <c r="I7" s="686"/>
      <c r="J7" s="686" t="s">
        <v>68</v>
      </c>
      <c r="K7" s="689">
        <v>171799.07</v>
      </c>
      <c r="L7" s="686" t="s">
        <v>4410</v>
      </c>
      <c r="M7" s="686" t="s">
        <v>27</v>
      </c>
      <c r="N7" s="686" t="s">
        <v>80</v>
      </c>
      <c r="O7" s="686" t="s">
        <v>4245</v>
      </c>
      <c r="P7" s="686" t="s">
        <v>4270</v>
      </c>
      <c r="Q7" s="663"/>
      <c r="R7" s="149" t="str">
        <f>LEFT(M7,3)</f>
        <v>201</v>
      </c>
      <c r="S7" s="149" t="s">
        <v>792</v>
      </c>
    </row>
    <row r="8" spans="1:20" ht="11.25" customHeight="1" x14ac:dyDescent="0.25">
      <c r="A8" s="685" t="s">
        <v>342</v>
      </c>
      <c r="B8" s="686" t="s">
        <v>21</v>
      </c>
      <c r="C8" s="687">
        <v>45322</v>
      </c>
      <c r="D8" s="686" t="s">
        <v>4415</v>
      </c>
      <c r="E8" s="686" t="s">
        <v>4416</v>
      </c>
      <c r="F8" s="686" t="s">
        <v>4416</v>
      </c>
      <c r="G8" s="688">
        <v>-130021.32996534932</v>
      </c>
      <c r="H8" s="688">
        <f t="shared" si="0"/>
        <v>-130021.32996534932</v>
      </c>
      <c r="I8" s="686"/>
      <c r="J8" s="686" t="s">
        <v>68</v>
      </c>
      <c r="K8" s="689">
        <v>-130021.33</v>
      </c>
      <c r="L8" s="686" t="s">
        <v>4410</v>
      </c>
      <c r="M8" s="686" t="s">
        <v>27</v>
      </c>
      <c r="N8" s="686" t="s">
        <v>80</v>
      </c>
      <c r="O8" s="686" t="s">
        <v>4245</v>
      </c>
      <c r="P8" s="686" t="s">
        <v>4270</v>
      </c>
      <c r="Q8" s="663"/>
      <c r="R8" s="149" t="str">
        <f t="shared" ref="R8:R106" si="1">LEFT(M8,3)</f>
        <v>201</v>
      </c>
      <c r="S8" s="149" t="s">
        <v>792</v>
      </c>
      <c r="T8" s="4"/>
    </row>
    <row r="9" spans="1:20" ht="11.25" customHeight="1" x14ac:dyDescent="0.25">
      <c r="A9" s="685" t="s">
        <v>342</v>
      </c>
      <c r="B9" s="686" t="s">
        <v>21</v>
      </c>
      <c r="C9" s="687">
        <v>45351</v>
      </c>
      <c r="D9" s="686" t="s">
        <v>4425</v>
      </c>
      <c r="E9" s="686" t="s">
        <v>4416</v>
      </c>
      <c r="F9" s="686" t="s">
        <v>4416</v>
      </c>
      <c r="G9" s="688">
        <v>130021.32996534932</v>
      </c>
      <c r="H9" s="688">
        <f t="shared" si="0"/>
        <v>0</v>
      </c>
      <c r="I9" s="686"/>
      <c r="J9" s="686" t="s">
        <v>68</v>
      </c>
      <c r="K9" s="689">
        <v>130021.33</v>
      </c>
      <c r="L9" s="686" t="s">
        <v>4418</v>
      </c>
      <c r="M9" s="686" t="s">
        <v>27</v>
      </c>
      <c r="N9" s="686" t="s">
        <v>80</v>
      </c>
      <c r="O9" s="686" t="s">
        <v>4245</v>
      </c>
      <c r="P9" s="686" t="s">
        <v>4270</v>
      </c>
      <c r="Q9" s="663"/>
      <c r="R9" s="149" t="str">
        <f t="shared" si="1"/>
        <v>201</v>
      </c>
      <c r="S9" s="149" t="s">
        <v>792</v>
      </c>
      <c r="T9" s="4"/>
    </row>
    <row r="10" spans="1:20" ht="11.25" customHeight="1" x14ac:dyDescent="0.25">
      <c r="A10" s="685" t="s">
        <v>342</v>
      </c>
      <c r="B10" s="686" t="s">
        <v>21</v>
      </c>
      <c r="C10" s="687">
        <v>45351</v>
      </c>
      <c r="D10" s="686" t="s">
        <v>4426</v>
      </c>
      <c r="E10" s="686" t="s">
        <v>4427</v>
      </c>
      <c r="F10" s="686" t="s">
        <v>4427</v>
      </c>
      <c r="G10" s="688">
        <v>-109958.66997069602</v>
      </c>
      <c r="H10" s="688">
        <f t="shared" si="0"/>
        <v>-109958.66997069602</v>
      </c>
      <c r="I10" s="686"/>
      <c r="J10" s="686" t="s">
        <v>68</v>
      </c>
      <c r="K10" s="689">
        <v>-109958.67</v>
      </c>
      <c r="L10" s="686" t="s">
        <v>4418</v>
      </c>
      <c r="M10" s="686" t="s">
        <v>27</v>
      </c>
      <c r="N10" s="686" t="s">
        <v>80</v>
      </c>
      <c r="O10" s="686" t="s">
        <v>4245</v>
      </c>
      <c r="P10" s="686" t="s">
        <v>4270</v>
      </c>
      <c r="Q10" s="663"/>
      <c r="R10" s="149" t="str">
        <f t="shared" si="1"/>
        <v>201</v>
      </c>
      <c r="S10" s="149" t="s">
        <v>792</v>
      </c>
      <c r="T10" s="4"/>
    </row>
    <row r="11" spans="1:20" ht="11.25" customHeight="1" x14ac:dyDescent="0.25">
      <c r="A11" s="685" t="s">
        <v>342</v>
      </c>
      <c r="B11" s="686" t="s">
        <v>21</v>
      </c>
      <c r="C11" s="687">
        <v>45382</v>
      </c>
      <c r="D11" s="686" t="s">
        <v>4433</v>
      </c>
      <c r="E11" s="686" t="s">
        <v>4427</v>
      </c>
      <c r="F11" s="686" t="s">
        <v>4427</v>
      </c>
      <c r="G11" s="688">
        <v>109958.66997069602</v>
      </c>
      <c r="H11" s="688">
        <f t="shared" si="0"/>
        <v>0</v>
      </c>
      <c r="I11" s="686"/>
      <c r="J11" s="686" t="s">
        <v>68</v>
      </c>
      <c r="K11" s="689">
        <v>109958.67</v>
      </c>
      <c r="L11" s="686" t="s">
        <v>4429</v>
      </c>
      <c r="M11" s="686" t="s">
        <v>27</v>
      </c>
      <c r="N11" s="686" t="s">
        <v>80</v>
      </c>
      <c r="O11" s="686" t="s">
        <v>4245</v>
      </c>
      <c r="P11" s="686" t="s">
        <v>4270</v>
      </c>
      <c r="Q11" s="663"/>
      <c r="R11" s="149" t="str">
        <f t="shared" si="1"/>
        <v>201</v>
      </c>
      <c r="S11" s="149" t="s">
        <v>792</v>
      </c>
      <c r="T11" s="4"/>
    </row>
    <row r="12" spans="1:20" ht="10.5" x14ac:dyDescent="0.25">
      <c r="A12" s="685" t="s">
        <v>342</v>
      </c>
      <c r="B12" s="686" t="s">
        <v>21</v>
      </c>
      <c r="C12" s="687">
        <v>45382</v>
      </c>
      <c r="D12" s="686" t="s">
        <v>4434</v>
      </c>
      <c r="E12" s="686" t="s">
        <v>4435</v>
      </c>
      <c r="F12" s="686" t="s">
        <v>4435</v>
      </c>
      <c r="G12" s="688">
        <v>-126501.28996628741</v>
      </c>
      <c r="H12" s="688">
        <f t="shared" si="0"/>
        <v>-126501.28996628741</v>
      </c>
      <c r="I12" s="686"/>
      <c r="J12" s="686" t="s">
        <v>68</v>
      </c>
      <c r="K12" s="689">
        <v>-126501.29</v>
      </c>
      <c r="L12" s="686" t="s">
        <v>4429</v>
      </c>
      <c r="M12" s="686" t="s">
        <v>27</v>
      </c>
      <c r="N12" s="686" t="s">
        <v>80</v>
      </c>
      <c r="O12" s="686" t="s">
        <v>4245</v>
      </c>
      <c r="P12" s="686" t="s">
        <v>4270</v>
      </c>
      <c r="Q12" s="663"/>
      <c r="R12" s="149" t="str">
        <f t="shared" si="1"/>
        <v>201</v>
      </c>
      <c r="S12" s="149" t="s">
        <v>792</v>
      </c>
      <c r="T12" s="4"/>
    </row>
    <row r="13" spans="1:20" ht="10.5" x14ac:dyDescent="0.25">
      <c r="A13" s="685" t="s">
        <v>342</v>
      </c>
      <c r="B13" s="686" t="s">
        <v>21</v>
      </c>
      <c r="C13" s="687">
        <v>45383</v>
      </c>
      <c r="D13" s="686" t="s">
        <v>4615</v>
      </c>
      <c r="E13" s="686" t="s">
        <v>4435</v>
      </c>
      <c r="F13" s="686" t="s">
        <v>4435</v>
      </c>
      <c r="G13" s="688">
        <v>126501.29006203623</v>
      </c>
      <c r="H13" s="688">
        <v>0</v>
      </c>
      <c r="I13" s="686"/>
      <c r="J13" s="686" t="s">
        <v>68</v>
      </c>
      <c r="K13" s="689">
        <v>126501.29</v>
      </c>
      <c r="L13" s="686" t="s">
        <v>4616</v>
      </c>
      <c r="M13" s="686" t="s">
        <v>27</v>
      </c>
      <c r="N13" s="686" t="s">
        <v>80</v>
      </c>
      <c r="O13" s="686" t="s">
        <v>4245</v>
      </c>
      <c r="P13" s="686" t="s">
        <v>4270</v>
      </c>
      <c r="Q13" s="663"/>
      <c r="R13" s="149" t="str">
        <f t="shared" si="1"/>
        <v>201</v>
      </c>
      <c r="S13" s="149" t="s">
        <v>792</v>
      </c>
      <c r="T13" s="4"/>
    </row>
    <row r="14" spans="1:20" ht="10.5" x14ac:dyDescent="0.25">
      <c r="A14" s="685" t="s">
        <v>342</v>
      </c>
      <c r="B14" s="686" t="s">
        <v>21</v>
      </c>
      <c r="C14" s="687">
        <v>45412</v>
      </c>
      <c r="D14" s="686" t="s">
        <v>4620</v>
      </c>
      <c r="E14" s="686" t="s">
        <v>4621</v>
      </c>
      <c r="F14" s="686" t="s">
        <v>4621</v>
      </c>
      <c r="G14" s="688">
        <v>-114846.31005632062</v>
      </c>
      <c r="H14" s="688">
        <v>-114846.31005632062</v>
      </c>
      <c r="I14" s="686"/>
      <c r="J14" s="686" t="s">
        <v>68</v>
      </c>
      <c r="K14" s="689">
        <v>-114846.31</v>
      </c>
      <c r="L14" s="686" t="s">
        <v>4616</v>
      </c>
      <c r="M14" s="686" t="s">
        <v>27</v>
      </c>
      <c r="N14" s="686" t="s">
        <v>80</v>
      </c>
      <c r="O14" s="686" t="s">
        <v>4245</v>
      </c>
      <c r="P14" s="686" t="s">
        <v>4270</v>
      </c>
      <c r="Q14" s="663"/>
      <c r="R14" s="149" t="str">
        <f t="shared" si="1"/>
        <v>201</v>
      </c>
      <c r="S14" s="149" t="s">
        <v>792</v>
      </c>
      <c r="T14" s="4"/>
    </row>
    <row r="15" spans="1:20" ht="10.5" x14ac:dyDescent="0.25">
      <c r="A15" s="685" t="s">
        <v>342</v>
      </c>
      <c r="B15" s="686" t="s">
        <v>21</v>
      </c>
      <c r="C15" s="687">
        <v>45413</v>
      </c>
      <c r="D15" s="686" t="s">
        <v>4622</v>
      </c>
      <c r="E15" s="686" t="s">
        <v>4621</v>
      </c>
      <c r="F15" s="686" t="s">
        <v>4621</v>
      </c>
      <c r="G15" s="688">
        <v>114846.31005632062</v>
      </c>
      <c r="H15" s="688">
        <v>0</v>
      </c>
      <c r="I15" s="686"/>
      <c r="J15" s="686" t="s">
        <v>68</v>
      </c>
      <c r="K15" s="689">
        <v>114846.31</v>
      </c>
      <c r="L15" s="686" t="s">
        <v>4595</v>
      </c>
      <c r="M15" s="686" t="s">
        <v>27</v>
      </c>
      <c r="N15" s="686" t="s">
        <v>80</v>
      </c>
      <c r="O15" s="686" t="s">
        <v>4245</v>
      </c>
      <c r="P15" s="686" t="s">
        <v>4270</v>
      </c>
      <c r="Q15" s="663"/>
      <c r="R15" s="149" t="str">
        <f t="shared" si="1"/>
        <v>201</v>
      </c>
      <c r="S15" s="149" t="s">
        <v>792</v>
      </c>
      <c r="T15" s="4"/>
    </row>
    <row r="16" spans="1:20" ht="10.5" x14ac:dyDescent="0.25">
      <c r="A16" s="685" t="s">
        <v>342</v>
      </c>
      <c r="B16" s="686" t="s">
        <v>21</v>
      </c>
      <c r="C16" s="687">
        <v>45443</v>
      </c>
      <c r="D16" s="686" t="s">
        <v>4629</v>
      </c>
      <c r="E16" s="686" t="s">
        <v>4630</v>
      </c>
      <c r="F16" s="686" t="s">
        <v>4630</v>
      </c>
      <c r="G16" s="688">
        <v>-55736.560027333209</v>
      </c>
      <c r="H16" s="688">
        <v>-55736.560027333209</v>
      </c>
      <c r="I16" s="686"/>
      <c r="J16" s="686" t="s">
        <v>68</v>
      </c>
      <c r="K16" s="689">
        <v>-55736.56</v>
      </c>
      <c r="L16" s="686" t="s">
        <v>4595</v>
      </c>
      <c r="M16" s="686" t="s">
        <v>27</v>
      </c>
      <c r="N16" s="686" t="s">
        <v>80</v>
      </c>
      <c r="O16" s="686" t="s">
        <v>4245</v>
      </c>
      <c r="P16" s="686" t="s">
        <v>4270</v>
      </c>
      <c r="Q16" s="663"/>
      <c r="R16" s="149" t="str">
        <f t="shared" si="1"/>
        <v>201</v>
      </c>
      <c r="S16" s="149" t="s">
        <v>792</v>
      </c>
      <c r="T16" s="4"/>
    </row>
    <row r="17" spans="1:20" ht="10.5" x14ac:dyDescent="0.25">
      <c r="A17" s="685" t="s">
        <v>342</v>
      </c>
      <c r="B17" s="686" t="s">
        <v>21</v>
      </c>
      <c r="C17" s="687">
        <v>45444</v>
      </c>
      <c r="D17" s="686" t="s">
        <v>4631</v>
      </c>
      <c r="E17" s="686" t="s">
        <v>4630</v>
      </c>
      <c r="F17" s="686" t="s">
        <v>4630</v>
      </c>
      <c r="G17" s="688">
        <v>55736.560027333209</v>
      </c>
      <c r="H17" s="688">
        <v>0</v>
      </c>
      <c r="I17" s="686"/>
      <c r="J17" s="686" t="s">
        <v>68</v>
      </c>
      <c r="K17" s="689">
        <v>55736.56</v>
      </c>
      <c r="L17" s="686" t="s">
        <v>4610</v>
      </c>
      <c r="M17" s="686" t="s">
        <v>27</v>
      </c>
      <c r="N17" s="686" t="s">
        <v>80</v>
      </c>
      <c r="O17" s="686" t="s">
        <v>4245</v>
      </c>
      <c r="P17" s="686" t="s">
        <v>4270</v>
      </c>
      <c r="Q17" s="663"/>
      <c r="R17" s="149" t="str">
        <f t="shared" si="1"/>
        <v>201</v>
      </c>
      <c r="S17" s="149" t="s">
        <v>792</v>
      </c>
      <c r="T17" s="4"/>
    </row>
    <row r="18" spans="1:20" ht="10.5" x14ac:dyDescent="0.25">
      <c r="A18" s="685" t="s">
        <v>342</v>
      </c>
      <c r="B18" s="686" t="s">
        <v>21</v>
      </c>
      <c r="C18" s="687">
        <v>45473</v>
      </c>
      <c r="D18" s="686" t="s">
        <v>4635</v>
      </c>
      <c r="E18" s="686" t="s">
        <v>4636</v>
      </c>
      <c r="F18" s="686" t="s">
        <v>4636</v>
      </c>
      <c r="G18" s="688">
        <v>-84991.760041679954</v>
      </c>
      <c r="H18" s="688">
        <v>-84991.760041679954</v>
      </c>
      <c r="I18" s="686"/>
      <c r="J18" s="686" t="s">
        <v>68</v>
      </c>
      <c r="K18" s="689">
        <v>-84991.76</v>
      </c>
      <c r="L18" s="686" t="s">
        <v>4610</v>
      </c>
      <c r="M18" s="686" t="s">
        <v>27</v>
      </c>
      <c r="N18" s="686" t="s">
        <v>80</v>
      </c>
      <c r="O18" s="686" t="s">
        <v>4245</v>
      </c>
      <c r="P18" s="686" t="s">
        <v>4270</v>
      </c>
      <c r="Q18" s="663"/>
      <c r="R18" s="149" t="str">
        <f t="shared" si="1"/>
        <v>201</v>
      </c>
      <c r="S18" s="149" t="s">
        <v>792</v>
      </c>
      <c r="T18" s="4"/>
    </row>
    <row r="19" spans="1:20" ht="11.25" customHeight="1" x14ac:dyDescent="0.25">
      <c r="A19" s="702" t="s">
        <v>4271</v>
      </c>
      <c r="B19" s="690"/>
      <c r="C19" s="691"/>
      <c r="D19" s="690"/>
      <c r="E19" s="690"/>
      <c r="F19" s="690"/>
      <c r="G19" s="692">
        <f>SUM(G6:G18)</f>
        <v>86807.310008284403</v>
      </c>
      <c r="H19" s="692">
        <f>H18</f>
        <v>-84991.760041679954</v>
      </c>
      <c r="I19" s="690"/>
      <c r="J19" s="690"/>
      <c r="K19" s="693"/>
      <c r="L19" s="690"/>
      <c r="M19" s="690"/>
      <c r="N19" s="690"/>
      <c r="O19" s="690"/>
      <c r="P19" s="690"/>
      <c r="Q19" s="663"/>
      <c r="R19" s="149" t="str">
        <f t="shared" si="1"/>
        <v/>
      </c>
      <c r="S19" s="149"/>
      <c r="T19" s="4"/>
    </row>
    <row r="20" spans="1:20" ht="11.25" customHeight="1" x14ac:dyDescent="0.25">
      <c r="A20" s="608" t="s">
        <v>220</v>
      </c>
      <c r="B20" s="620"/>
      <c r="C20" s="616"/>
      <c r="D20" s="620"/>
      <c r="E20" s="620"/>
      <c r="F20" s="620"/>
      <c r="G20" s="610">
        <v>0</v>
      </c>
      <c r="H20" s="610">
        <v>118120.76868472609</v>
      </c>
      <c r="I20" s="620"/>
      <c r="J20" s="620"/>
      <c r="K20" s="613">
        <v>0</v>
      </c>
      <c r="L20" s="620"/>
      <c r="M20" s="620"/>
      <c r="N20" s="620"/>
      <c r="O20" s="620"/>
      <c r="P20" s="620"/>
      <c r="Q20" s="528"/>
      <c r="R20" t="str">
        <f t="shared" si="1"/>
        <v/>
      </c>
      <c r="T20" s="528"/>
    </row>
    <row r="21" spans="1:20" ht="11.25" customHeight="1" x14ac:dyDescent="0.25">
      <c r="A21" s="685" t="s">
        <v>220</v>
      </c>
      <c r="B21" s="686" t="s">
        <v>241</v>
      </c>
      <c r="C21" s="687">
        <v>45292</v>
      </c>
      <c r="D21" s="686" t="s">
        <v>4436</v>
      </c>
      <c r="E21" s="686"/>
      <c r="F21" s="686"/>
      <c r="G21" s="688">
        <v>-181.76643693</v>
      </c>
      <c r="H21" s="688">
        <v>117813.41945249615</v>
      </c>
      <c r="I21" s="686"/>
      <c r="J21" s="686" t="s">
        <v>68</v>
      </c>
      <c r="K21" s="694">
        <v>0</v>
      </c>
      <c r="L21" s="686" t="s">
        <v>4410</v>
      </c>
      <c r="M21" s="686" t="s">
        <v>193</v>
      </c>
      <c r="N21" s="686"/>
      <c r="O21" s="686" t="s">
        <v>4245</v>
      </c>
      <c r="P21" s="686" t="s">
        <v>4247</v>
      </c>
      <c r="Q21" s="650"/>
      <c r="R21" s="149" t="str">
        <f t="shared" si="1"/>
        <v>208</v>
      </c>
      <c r="S21" s="149" t="s">
        <v>243</v>
      </c>
      <c r="T21" s="528"/>
    </row>
    <row r="22" spans="1:20" ht="11.25" customHeight="1" x14ac:dyDescent="0.25">
      <c r="A22" s="685" t="s">
        <v>220</v>
      </c>
      <c r="B22" s="686" t="s">
        <v>241</v>
      </c>
      <c r="C22" s="687">
        <v>45322</v>
      </c>
      <c r="D22" s="686" t="s">
        <v>4437</v>
      </c>
      <c r="E22" s="686"/>
      <c r="F22" s="686"/>
      <c r="G22" s="688">
        <v>150.38554897079999</v>
      </c>
      <c r="H22" s="688">
        <v>117963.80500146694</v>
      </c>
      <c r="I22" s="686"/>
      <c r="J22" s="686" t="s">
        <v>68</v>
      </c>
      <c r="K22" s="694">
        <v>0</v>
      </c>
      <c r="L22" s="686" t="s">
        <v>4410</v>
      </c>
      <c r="M22" s="686" t="s">
        <v>193</v>
      </c>
      <c r="N22" s="686"/>
      <c r="O22" s="686" t="s">
        <v>4245</v>
      </c>
      <c r="P22" s="686" t="s">
        <v>4247</v>
      </c>
      <c r="Q22" s="650"/>
      <c r="R22" s="149" t="str">
        <f t="shared" si="1"/>
        <v>208</v>
      </c>
      <c r="S22" s="149" t="s">
        <v>243</v>
      </c>
      <c r="T22" s="528"/>
    </row>
    <row r="23" spans="1:20" ht="11.25" customHeight="1" x14ac:dyDescent="0.25">
      <c r="A23" s="685" t="s">
        <v>220</v>
      </c>
      <c r="B23" s="686" t="s">
        <v>241</v>
      </c>
      <c r="C23" s="687">
        <v>45323</v>
      </c>
      <c r="D23" s="686" t="s">
        <v>4438</v>
      </c>
      <c r="E23" s="686"/>
      <c r="F23" s="686"/>
      <c r="G23" s="688">
        <v>-150.38554897079999</v>
      </c>
      <c r="H23" s="688">
        <v>117813.41945249615</v>
      </c>
      <c r="I23" s="686"/>
      <c r="J23" s="686" t="s">
        <v>68</v>
      </c>
      <c r="K23" s="694">
        <v>0</v>
      </c>
      <c r="L23" s="686" t="s">
        <v>4418</v>
      </c>
      <c r="M23" s="686" t="s">
        <v>193</v>
      </c>
      <c r="N23" s="686"/>
      <c r="O23" s="686" t="s">
        <v>4245</v>
      </c>
      <c r="P23" s="686" t="s">
        <v>4247</v>
      </c>
      <c r="Q23" s="650"/>
      <c r="R23" s="149" t="str">
        <f t="shared" si="1"/>
        <v>208</v>
      </c>
      <c r="S23" s="149" t="s">
        <v>243</v>
      </c>
      <c r="T23" s="528"/>
    </row>
    <row r="24" spans="1:20" ht="11.25" customHeight="1" x14ac:dyDescent="0.25">
      <c r="A24" s="685" t="s">
        <v>220</v>
      </c>
      <c r="B24" s="686" t="s">
        <v>241</v>
      </c>
      <c r="C24" s="687">
        <v>45351</v>
      </c>
      <c r="D24" s="686" t="s">
        <v>4439</v>
      </c>
      <c r="E24" s="686"/>
      <c r="F24" s="686"/>
      <c r="G24" s="688">
        <v>164.16435774959999</v>
      </c>
      <c r="H24" s="688">
        <v>117977.58381024575</v>
      </c>
      <c r="I24" s="686"/>
      <c r="J24" s="686" t="s">
        <v>68</v>
      </c>
      <c r="K24" s="694">
        <v>0</v>
      </c>
      <c r="L24" s="686" t="s">
        <v>4418</v>
      </c>
      <c r="M24" s="686" t="s">
        <v>193</v>
      </c>
      <c r="N24" s="686"/>
      <c r="O24" s="686" t="s">
        <v>4245</v>
      </c>
      <c r="P24" s="686" t="s">
        <v>4247</v>
      </c>
      <c r="Q24" s="650"/>
      <c r="R24" s="149" t="str">
        <f t="shared" si="1"/>
        <v>208</v>
      </c>
      <c r="S24" s="149" t="s">
        <v>243</v>
      </c>
      <c r="T24" s="528"/>
    </row>
    <row r="25" spans="1:20" ht="11.25" customHeight="1" x14ac:dyDescent="0.25">
      <c r="A25" s="685" t="s">
        <v>220</v>
      </c>
      <c r="B25" s="686" t="s">
        <v>241</v>
      </c>
      <c r="C25" s="687">
        <v>45352</v>
      </c>
      <c r="D25" s="686" t="s">
        <v>4440</v>
      </c>
      <c r="E25" s="686"/>
      <c r="F25" s="686"/>
      <c r="G25" s="688">
        <v>-164.16435774959999</v>
      </c>
      <c r="H25" s="688">
        <v>117813.41945249615</v>
      </c>
      <c r="I25" s="686"/>
      <c r="J25" s="686" t="s">
        <v>68</v>
      </c>
      <c r="K25" s="694">
        <v>0</v>
      </c>
      <c r="L25" s="686" t="s">
        <v>4429</v>
      </c>
      <c r="M25" s="686" t="s">
        <v>193</v>
      </c>
      <c r="N25" s="686"/>
      <c r="O25" s="686" t="s">
        <v>4245</v>
      </c>
      <c r="P25" s="686" t="s">
        <v>4247</v>
      </c>
      <c r="Q25" s="650"/>
      <c r="R25" s="149" t="str">
        <f t="shared" si="1"/>
        <v>208</v>
      </c>
      <c r="S25" s="149" t="s">
        <v>243</v>
      </c>
      <c r="T25" s="528"/>
    </row>
    <row r="26" spans="1:20" ht="11.25" customHeight="1" x14ac:dyDescent="0.25">
      <c r="A26" s="685" t="s">
        <v>220</v>
      </c>
      <c r="B26" s="686" t="s">
        <v>241</v>
      </c>
      <c r="C26" s="687">
        <v>45382</v>
      </c>
      <c r="D26" s="686" t="s">
        <v>4441</v>
      </c>
      <c r="E26" s="686"/>
      <c r="F26" s="686"/>
      <c r="G26" s="688">
        <v>72.706574771999996</v>
      </c>
      <c r="H26" s="688">
        <v>117886.12602726815</v>
      </c>
      <c r="I26" s="686"/>
      <c r="J26" s="686" t="s">
        <v>68</v>
      </c>
      <c r="K26" s="694">
        <v>0</v>
      </c>
      <c r="L26" s="686" t="s">
        <v>4429</v>
      </c>
      <c r="M26" s="686" t="s">
        <v>193</v>
      </c>
      <c r="N26" s="686"/>
      <c r="O26" s="686" t="s">
        <v>4245</v>
      </c>
      <c r="P26" s="686" t="s">
        <v>4247</v>
      </c>
      <c r="Q26" s="672"/>
      <c r="R26" s="149" t="str">
        <f t="shared" si="1"/>
        <v>208</v>
      </c>
      <c r="S26" s="149" t="s">
        <v>243</v>
      </c>
      <c r="T26" s="10"/>
    </row>
    <row r="27" spans="1:20" ht="10.5" x14ac:dyDescent="0.25">
      <c r="A27" s="685" t="s">
        <v>220</v>
      </c>
      <c r="B27" s="686" t="s">
        <v>21</v>
      </c>
      <c r="C27" s="687">
        <v>45382</v>
      </c>
      <c r="D27" s="686" t="s">
        <v>4442</v>
      </c>
      <c r="E27" s="686" t="s">
        <v>4443</v>
      </c>
      <c r="F27" s="686" t="s">
        <v>4443</v>
      </c>
      <c r="G27" s="688">
        <v>176721.00874272001</v>
      </c>
      <c r="H27" s="688">
        <v>294607.13476998813</v>
      </c>
      <c r="I27" s="686"/>
      <c r="J27" s="686" t="s">
        <v>68</v>
      </c>
      <c r="K27" s="694">
        <v>164552</v>
      </c>
      <c r="L27" s="686" t="s">
        <v>4429</v>
      </c>
      <c r="M27" s="686" t="s">
        <v>61</v>
      </c>
      <c r="N27" s="686" t="s">
        <v>39</v>
      </c>
      <c r="O27" s="686" t="s">
        <v>4245</v>
      </c>
      <c r="P27" s="686" t="s">
        <v>4247</v>
      </c>
      <c r="Q27" s="663"/>
      <c r="R27" s="149" t="str">
        <f t="shared" si="1"/>
        <v>101</v>
      </c>
      <c r="S27" s="149" t="s">
        <v>4369</v>
      </c>
      <c r="T27" s="4"/>
    </row>
    <row r="28" spans="1:20" ht="10.5" x14ac:dyDescent="0.25">
      <c r="A28" s="685" t="s">
        <v>220</v>
      </c>
      <c r="B28" s="686" t="s">
        <v>21</v>
      </c>
      <c r="C28" s="687">
        <v>45382</v>
      </c>
      <c r="D28" s="686" t="s">
        <v>4570</v>
      </c>
      <c r="E28" s="686" t="s">
        <v>4571</v>
      </c>
      <c r="F28" s="686" t="s">
        <v>4571</v>
      </c>
      <c r="G28" s="688">
        <v>-176721.00874272001</v>
      </c>
      <c r="H28" s="688">
        <v>117886.12602726812</v>
      </c>
      <c r="I28" s="686"/>
      <c r="J28" s="686" t="s">
        <v>68</v>
      </c>
      <c r="K28" s="694">
        <v>-164552</v>
      </c>
      <c r="L28" s="695">
        <v>45352</v>
      </c>
      <c r="M28" s="686" t="s">
        <v>61</v>
      </c>
      <c r="N28" s="686" t="s">
        <v>39</v>
      </c>
      <c r="O28" s="686" t="s">
        <v>4245</v>
      </c>
      <c r="P28" s="686" t="s">
        <v>4247</v>
      </c>
      <c r="Q28" s="663"/>
      <c r="R28" s="149" t="str">
        <f t="shared" si="1"/>
        <v>101</v>
      </c>
      <c r="S28" s="149" t="s">
        <v>4369</v>
      </c>
      <c r="T28" s="4"/>
    </row>
    <row r="29" spans="1:20" ht="10.5" x14ac:dyDescent="0.25">
      <c r="A29" s="685" t="s">
        <v>220</v>
      </c>
      <c r="B29" s="686" t="s">
        <v>21</v>
      </c>
      <c r="C29" s="687">
        <v>45382</v>
      </c>
      <c r="D29" s="686" t="s">
        <v>4572</v>
      </c>
      <c r="E29" s="686" t="s">
        <v>4556</v>
      </c>
      <c r="F29" s="686" t="s">
        <v>4556</v>
      </c>
      <c r="G29" s="688">
        <v>7695.1288136196863</v>
      </c>
      <c r="H29" s="688">
        <v>125581.25484088781</v>
      </c>
      <c r="I29" s="686"/>
      <c r="J29" s="686" t="s">
        <v>68</v>
      </c>
      <c r="K29" s="694">
        <v>641472</v>
      </c>
      <c r="L29" s="695">
        <v>45352</v>
      </c>
      <c r="M29" s="686" t="s">
        <v>204</v>
      </c>
      <c r="N29" s="686" t="s">
        <v>118</v>
      </c>
      <c r="O29" s="686" t="s">
        <v>4245</v>
      </c>
      <c r="P29" s="686" t="s">
        <v>4247</v>
      </c>
      <c r="Q29" s="663"/>
      <c r="R29" s="149" t="str">
        <f t="shared" si="1"/>
        <v>207</v>
      </c>
      <c r="S29" s="149" t="s">
        <v>3845</v>
      </c>
      <c r="T29" s="4"/>
    </row>
    <row r="30" spans="1:20" ht="10.5" x14ac:dyDescent="0.25">
      <c r="A30" s="685" t="s">
        <v>220</v>
      </c>
      <c r="B30" s="686" t="s">
        <v>21</v>
      </c>
      <c r="C30" s="687">
        <v>45382</v>
      </c>
      <c r="D30" s="686" t="s">
        <v>4573</v>
      </c>
      <c r="E30" s="686" t="s">
        <v>4556</v>
      </c>
      <c r="F30" s="686" t="s">
        <v>4556</v>
      </c>
      <c r="G30" s="688">
        <v>19993.771086119999</v>
      </c>
      <c r="H30" s="688">
        <v>145575.02592700781</v>
      </c>
      <c r="I30" s="686"/>
      <c r="J30" s="686" t="s">
        <v>68</v>
      </c>
      <c r="K30" s="694">
        <v>18617</v>
      </c>
      <c r="L30" s="695">
        <v>45352</v>
      </c>
      <c r="M30" s="686" t="s">
        <v>193</v>
      </c>
      <c r="N30" s="686" t="s">
        <v>118</v>
      </c>
      <c r="O30" s="686" t="s">
        <v>4245</v>
      </c>
      <c r="P30" s="686" t="s">
        <v>4247</v>
      </c>
      <c r="Q30" s="663"/>
      <c r="R30" s="149" t="str">
        <f t="shared" si="1"/>
        <v>208</v>
      </c>
      <c r="S30" s="149" t="s">
        <v>3845</v>
      </c>
      <c r="T30" s="4"/>
    </row>
    <row r="31" spans="1:20" ht="10.5" x14ac:dyDescent="0.25">
      <c r="A31" s="685" t="s">
        <v>220</v>
      </c>
      <c r="B31" s="686" t="s">
        <v>241</v>
      </c>
      <c r="C31" s="687">
        <v>45383</v>
      </c>
      <c r="D31" s="686" t="s">
        <v>4647</v>
      </c>
      <c r="E31" s="686"/>
      <c r="F31" s="686"/>
      <c r="G31" s="688">
        <v>-72.706574771999996</v>
      </c>
      <c r="H31" s="688">
        <v>145502.31935223582</v>
      </c>
      <c r="I31" s="686"/>
      <c r="J31" s="686" t="s">
        <v>68</v>
      </c>
      <c r="K31" s="694">
        <v>0</v>
      </c>
      <c r="L31" s="695" t="s">
        <v>4616</v>
      </c>
      <c r="M31" s="686" t="s">
        <v>193</v>
      </c>
      <c r="N31" s="686"/>
      <c r="O31" s="686" t="s">
        <v>4245</v>
      </c>
      <c r="P31" s="686" t="s">
        <v>4247</v>
      </c>
      <c r="Q31" s="663"/>
      <c r="R31" s="149" t="str">
        <f t="shared" si="1"/>
        <v>208</v>
      </c>
      <c r="S31" s="149" t="s">
        <v>243</v>
      </c>
      <c r="T31" s="4"/>
    </row>
    <row r="32" spans="1:20" ht="10.5" x14ac:dyDescent="0.25">
      <c r="A32" s="685" t="s">
        <v>220</v>
      </c>
      <c r="B32" s="686" t="s">
        <v>21</v>
      </c>
      <c r="C32" s="687">
        <v>45397</v>
      </c>
      <c r="D32" s="686" t="s">
        <v>4648</v>
      </c>
      <c r="E32" s="686" t="s">
        <v>4649</v>
      </c>
      <c r="F32" s="686" t="s">
        <v>4650</v>
      </c>
      <c r="G32" s="688">
        <v>150000.00007355999</v>
      </c>
      <c r="H32" s="688">
        <v>295502.31942579581</v>
      </c>
      <c r="I32" s="686"/>
      <c r="J32" s="686" t="s">
        <v>68</v>
      </c>
      <c r="K32" s="694">
        <v>150000</v>
      </c>
      <c r="L32" s="695" t="s">
        <v>4616</v>
      </c>
      <c r="M32" s="686" t="s">
        <v>27</v>
      </c>
      <c r="N32" s="686" t="s">
        <v>4357</v>
      </c>
      <c r="O32" s="686" t="s">
        <v>4692</v>
      </c>
      <c r="P32" s="686" t="s">
        <v>4247</v>
      </c>
      <c r="Q32" s="663"/>
      <c r="R32" s="149" t="str">
        <f t="shared" si="1"/>
        <v>201</v>
      </c>
      <c r="S32" s="149" t="s">
        <v>4481</v>
      </c>
      <c r="T32" s="4"/>
    </row>
    <row r="33" spans="1:20" ht="10.5" x14ac:dyDescent="0.25">
      <c r="A33" s="685" t="s">
        <v>220</v>
      </c>
      <c r="B33" s="686" t="s">
        <v>21</v>
      </c>
      <c r="C33" s="687">
        <v>45397</v>
      </c>
      <c r="D33" s="686" t="s">
        <v>4651</v>
      </c>
      <c r="E33" s="686" t="s">
        <v>4652</v>
      </c>
      <c r="F33" s="686" t="s">
        <v>4653</v>
      </c>
      <c r="G33" s="688">
        <v>4000.0000019616</v>
      </c>
      <c r="H33" s="688">
        <v>299502.31942775741</v>
      </c>
      <c r="I33" s="686"/>
      <c r="J33" s="686" t="s">
        <v>68</v>
      </c>
      <c r="K33" s="694">
        <v>4000</v>
      </c>
      <c r="L33" s="695" t="s">
        <v>4616</v>
      </c>
      <c r="M33" s="686" t="s">
        <v>27</v>
      </c>
      <c r="N33" s="686" t="s">
        <v>4357</v>
      </c>
      <c r="O33" s="686" t="s">
        <v>4692</v>
      </c>
      <c r="P33" s="686" t="s">
        <v>4247</v>
      </c>
      <c r="Q33" s="663"/>
      <c r="R33" s="149" t="str">
        <f t="shared" si="1"/>
        <v>201</v>
      </c>
      <c r="S33" s="149" t="s">
        <v>4275</v>
      </c>
      <c r="T33" s="4"/>
    </row>
    <row r="34" spans="1:20" ht="10.5" x14ac:dyDescent="0.25">
      <c r="A34" s="685" t="s">
        <v>220</v>
      </c>
      <c r="B34" s="686" t="s">
        <v>21</v>
      </c>
      <c r="C34" s="687">
        <v>45397</v>
      </c>
      <c r="D34" s="686" t="s">
        <v>4654</v>
      </c>
      <c r="E34" s="686" t="s">
        <v>4655</v>
      </c>
      <c r="F34" s="686" t="s">
        <v>4655</v>
      </c>
      <c r="G34" s="688">
        <v>5000.0000024520004</v>
      </c>
      <c r="H34" s="688">
        <v>304502.31943020941</v>
      </c>
      <c r="I34" s="686"/>
      <c r="J34" s="686" t="s">
        <v>68</v>
      </c>
      <c r="K34" s="694">
        <v>5000</v>
      </c>
      <c r="L34" s="695" t="s">
        <v>4616</v>
      </c>
      <c r="M34" s="686" t="s">
        <v>27</v>
      </c>
      <c r="N34" s="686" t="s">
        <v>4357</v>
      </c>
      <c r="O34" s="686" t="s">
        <v>4692</v>
      </c>
      <c r="P34" s="686" t="s">
        <v>4247</v>
      </c>
      <c r="Q34" s="663"/>
      <c r="R34" s="149" t="str">
        <f t="shared" si="1"/>
        <v>201</v>
      </c>
      <c r="S34" s="149" t="s">
        <v>4275</v>
      </c>
      <c r="T34" s="4"/>
    </row>
    <row r="35" spans="1:20" ht="10.5" x14ac:dyDescent="0.25">
      <c r="A35" s="685" t="s">
        <v>220</v>
      </c>
      <c r="B35" s="686" t="s">
        <v>21</v>
      </c>
      <c r="C35" s="687">
        <v>45398</v>
      </c>
      <c r="D35" s="686" t="s">
        <v>4656</v>
      </c>
      <c r="E35" s="686" t="s">
        <v>4657</v>
      </c>
      <c r="F35" s="686" t="s">
        <v>4658</v>
      </c>
      <c r="G35" s="688">
        <v>500.0000002452</v>
      </c>
      <c r="H35" s="688">
        <v>305002.31943045463</v>
      </c>
      <c r="I35" s="686"/>
      <c r="J35" s="686" t="s">
        <v>68</v>
      </c>
      <c r="K35" s="694">
        <v>500</v>
      </c>
      <c r="L35" s="695" t="s">
        <v>4616</v>
      </c>
      <c r="M35" s="686" t="s">
        <v>27</v>
      </c>
      <c r="N35" s="686" t="s">
        <v>4357</v>
      </c>
      <c r="O35" s="686" t="s">
        <v>4692</v>
      </c>
      <c r="P35" s="686" t="s">
        <v>4247</v>
      </c>
      <c r="Q35" s="663"/>
      <c r="R35" s="149" t="str">
        <f t="shared" si="1"/>
        <v>201</v>
      </c>
      <c r="S35" s="149" t="s">
        <v>4275</v>
      </c>
      <c r="T35" s="4"/>
    </row>
    <row r="36" spans="1:20" ht="10.5" x14ac:dyDescent="0.25">
      <c r="A36" s="685" t="s">
        <v>220</v>
      </c>
      <c r="B36" s="686" t="s">
        <v>21</v>
      </c>
      <c r="C36" s="687">
        <v>45398</v>
      </c>
      <c r="D36" s="686" t="s">
        <v>4656</v>
      </c>
      <c r="E36" s="686" t="s">
        <v>4657</v>
      </c>
      <c r="F36" s="686" t="s">
        <v>4659</v>
      </c>
      <c r="G36" s="688">
        <v>3000.0000014712</v>
      </c>
      <c r="H36" s="688">
        <v>308002.31943192583</v>
      </c>
      <c r="I36" s="686"/>
      <c r="J36" s="686" t="s">
        <v>68</v>
      </c>
      <c r="K36" s="694">
        <v>3000</v>
      </c>
      <c r="L36" s="695" t="s">
        <v>4616</v>
      </c>
      <c r="M36" s="686" t="s">
        <v>27</v>
      </c>
      <c r="N36" s="686" t="s">
        <v>4357</v>
      </c>
      <c r="O36" s="686" t="s">
        <v>4692</v>
      </c>
      <c r="P36" s="686" t="s">
        <v>4247</v>
      </c>
      <c r="Q36" s="663"/>
      <c r="R36" s="149" t="str">
        <f t="shared" si="1"/>
        <v>201</v>
      </c>
      <c r="S36" s="149" t="s">
        <v>4275</v>
      </c>
      <c r="T36" s="4"/>
    </row>
    <row r="37" spans="1:20" ht="10.5" x14ac:dyDescent="0.25">
      <c r="A37" s="685" t="s">
        <v>220</v>
      </c>
      <c r="B37" s="686" t="s">
        <v>21</v>
      </c>
      <c r="C37" s="687">
        <v>45398</v>
      </c>
      <c r="D37" s="686" t="s">
        <v>4656</v>
      </c>
      <c r="E37" s="686" t="s">
        <v>4657</v>
      </c>
      <c r="F37" s="686" t="s">
        <v>4660</v>
      </c>
      <c r="G37" s="688">
        <v>1001.0000004908904</v>
      </c>
      <c r="H37" s="688">
        <v>309003.3194324167</v>
      </c>
      <c r="I37" s="686"/>
      <c r="J37" s="686" t="s">
        <v>68</v>
      </c>
      <c r="K37" s="694">
        <v>1001</v>
      </c>
      <c r="L37" s="695" t="s">
        <v>4616</v>
      </c>
      <c r="M37" s="686" t="s">
        <v>27</v>
      </c>
      <c r="N37" s="686" t="s">
        <v>4357</v>
      </c>
      <c r="O37" s="686" t="s">
        <v>4692</v>
      </c>
      <c r="P37" s="686" t="s">
        <v>4247</v>
      </c>
      <c r="Q37" s="663"/>
      <c r="R37" s="149" t="str">
        <f t="shared" si="1"/>
        <v>201</v>
      </c>
      <c r="S37" s="149" t="s">
        <v>4275</v>
      </c>
      <c r="T37" s="4"/>
    </row>
    <row r="38" spans="1:20" ht="10.5" x14ac:dyDescent="0.25">
      <c r="A38" s="685" t="s">
        <v>220</v>
      </c>
      <c r="B38" s="686" t="s">
        <v>21</v>
      </c>
      <c r="C38" s="687">
        <v>45398</v>
      </c>
      <c r="D38" s="686" t="s">
        <v>4656</v>
      </c>
      <c r="E38" s="686" t="s">
        <v>4657</v>
      </c>
      <c r="F38" s="686" t="s">
        <v>4661</v>
      </c>
      <c r="G38" s="688">
        <v>1000.0000004904</v>
      </c>
      <c r="H38" s="688">
        <v>310003.3194329071</v>
      </c>
      <c r="I38" s="686"/>
      <c r="J38" s="686" t="s">
        <v>68</v>
      </c>
      <c r="K38" s="694">
        <v>1000</v>
      </c>
      <c r="L38" s="695" t="s">
        <v>4616</v>
      </c>
      <c r="M38" s="686" t="s">
        <v>27</v>
      </c>
      <c r="N38" s="686" t="s">
        <v>4357</v>
      </c>
      <c r="O38" s="686" t="s">
        <v>4692</v>
      </c>
      <c r="P38" s="686" t="s">
        <v>4247</v>
      </c>
      <c r="Q38" s="663"/>
      <c r="R38" s="149" t="str">
        <f t="shared" si="1"/>
        <v>201</v>
      </c>
      <c r="S38" s="149" t="s">
        <v>4275</v>
      </c>
      <c r="T38" s="4"/>
    </row>
    <row r="39" spans="1:20" ht="10.5" x14ac:dyDescent="0.25">
      <c r="A39" s="685" t="s">
        <v>220</v>
      </c>
      <c r="B39" s="686" t="s">
        <v>21</v>
      </c>
      <c r="C39" s="687">
        <v>45398</v>
      </c>
      <c r="D39" s="686" t="s">
        <v>4656</v>
      </c>
      <c r="E39" s="686" t="s">
        <v>4657</v>
      </c>
      <c r="F39" s="686" t="s">
        <v>4662</v>
      </c>
      <c r="G39" s="688">
        <v>25000.000012259999</v>
      </c>
      <c r="H39" s="688">
        <v>335003.31944516709</v>
      </c>
      <c r="I39" s="686"/>
      <c r="J39" s="686" t="s">
        <v>68</v>
      </c>
      <c r="K39" s="694">
        <v>25000</v>
      </c>
      <c r="L39" s="695" t="s">
        <v>4616</v>
      </c>
      <c r="M39" s="686" t="s">
        <v>27</v>
      </c>
      <c r="N39" s="686" t="s">
        <v>4357</v>
      </c>
      <c r="O39" s="686" t="s">
        <v>4692</v>
      </c>
      <c r="P39" s="686" t="s">
        <v>4247</v>
      </c>
      <c r="Q39" s="663"/>
      <c r="R39" s="149" t="str">
        <f t="shared" si="1"/>
        <v>201</v>
      </c>
      <c r="S39" s="149" t="s">
        <v>4275</v>
      </c>
      <c r="T39" s="4"/>
    </row>
    <row r="40" spans="1:20" ht="10.5" x14ac:dyDescent="0.25">
      <c r="A40" s="685" t="s">
        <v>220</v>
      </c>
      <c r="B40" s="686" t="s">
        <v>21</v>
      </c>
      <c r="C40" s="687">
        <v>45398</v>
      </c>
      <c r="D40" s="686" t="s">
        <v>4656</v>
      </c>
      <c r="E40" s="686" t="s">
        <v>4657</v>
      </c>
      <c r="F40" s="686" t="s">
        <v>4663</v>
      </c>
      <c r="G40" s="688">
        <v>10000.000004904001</v>
      </c>
      <c r="H40" s="688">
        <v>345003.31945007108</v>
      </c>
      <c r="I40" s="686"/>
      <c r="J40" s="686" t="s">
        <v>68</v>
      </c>
      <c r="K40" s="694">
        <v>10000</v>
      </c>
      <c r="L40" s="695" t="s">
        <v>4616</v>
      </c>
      <c r="M40" s="686" t="s">
        <v>27</v>
      </c>
      <c r="N40" s="686" t="s">
        <v>4357</v>
      </c>
      <c r="O40" s="686" t="s">
        <v>4692</v>
      </c>
      <c r="P40" s="686" t="s">
        <v>4247</v>
      </c>
      <c r="Q40" s="663"/>
      <c r="R40" s="149" t="str">
        <f t="shared" si="1"/>
        <v>201</v>
      </c>
      <c r="S40" s="149" t="s">
        <v>4275</v>
      </c>
      <c r="T40" s="4"/>
    </row>
    <row r="41" spans="1:20" ht="10.5" x14ac:dyDescent="0.25">
      <c r="A41" s="685" t="s">
        <v>220</v>
      </c>
      <c r="B41" s="686" t="s">
        <v>21</v>
      </c>
      <c r="C41" s="687">
        <v>45398</v>
      </c>
      <c r="D41" s="686" t="s">
        <v>4656</v>
      </c>
      <c r="E41" s="686" t="s">
        <v>4657</v>
      </c>
      <c r="F41" s="686" t="s">
        <v>4664</v>
      </c>
      <c r="G41" s="688">
        <v>2000.0000009808</v>
      </c>
      <c r="H41" s="688">
        <v>347003.31945105188</v>
      </c>
      <c r="I41" s="686"/>
      <c r="J41" s="686" t="s">
        <v>68</v>
      </c>
      <c r="K41" s="694">
        <v>2000</v>
      </c>
      <c r="L41" s="695" t="s">
        <v>4616</v>
      </c>
      <c r="M41" s="686" t="s">
        <v>27</v>
      </c>
      <c r="N41" s="686" t="s">
        <v>4357</v>
      </c>
      <c r="O41" s="686" t="s">
        <v>4692</v>
      </c>
      <c r="P41" s="686" t="s">
        <v>4247</v>
      </c>
      <c r="Q41" s="663"/>
      <c r="R41" s="149" t="str">
        <f t="shared" si="1"/>
        <v>201</v>
      </c>
      <c r="S41" s="149" t="s">
        <v>4275</v>
      </c>
      <c r="T41" s="4"/>
    </row>
    <row r="42" spans="1:20" ht="10.5" x14ac:dyDescent="0.25">
      <c r="A42" s="685" t="s">
        <v>220</v>
      </c>
      <c r="B42" s="686" t="s">
        <v>21</v>
      </c>
      <c r="C42" s="687">
        <v>45399</v>
      </c>
      <c r="D42" s="686" t="s">
        <v>4665</v>
      </c>
      <c r="E42" s="686" t="s">
        <v>4666</v>
      </c>
      <c r="F42" s="686" t="s">
        <v>4667</v>
      </c>
      <c r="G42" s="688">
        <v>27000.000013240799</v>
      </c>
      <c r="H42" s="688">
        <v>374003.31946429267</v>
      </c>
      <c r="I42" s="686"/>
      <c r="J42" s="686" t="s">
        <v>68</v>
      </c>
      <c r="K42" s="694">
        <v>27000</v>
      </c>
      <c r="L42" s="695" t="s">
        <v>4616</v>
      </c>
      <c r="M42" s="686" t="s">
        <v>27</v>
      </c>
      <c r="N42" s="686" t="s">
        <v>4357</v>
      </c>
      <c r="O42" s="686" t="s">
        <v>4692</v>
      </c>
      <c r="P42" s="686" t="s">
        <v>4247</v>
      </c>
      <c r="Q42" s="663"/>
      <c r="R42" s="149" t="str">
        <f t="shared" si="1"/>
        <v>201</v>
      </c>
      <c r="S42" s="149" t="s">
        <v>4275</v>
      </c>
      <c r="T42" s="4"/>
    </row>
    <row r="43" spans="1:20" ht="10.5" x14ac:dyDescent="0.25">
      <c r="A43" s="685" t="s">
        <v>220</v>
      </c>
      <c r="B43" s="686" t="s">
        <v>21</v>
      </c>
      <c r="C43" s="687">
        <v>45399</v>
      </c>
      <c r="D43" s="686" t="s">
        <v>4668</v>
      </c>
      <c r="E43" s="686" t="s">
        <v>4669</v>
      </c>
      <c r="F43" s="686" t="s">
        <v>4670</v>
      </c>
      <c r="G43" s="688">
        <v>6000.0000029424</v>
      </c>
      <c r="H43" s="688">
        <v>380003.31946723507</v>
      </c>
      <c r="I43" s="686"/>
      <c r="J43" s="686" t="s">
        <v>68</v>
      </c>
      <c r="K43" s="694">
        <v>6000</v>
      </c>
      <c r="L43" s="695" t="s">
        <v>4616</v>
      </c>
      <c r="M43" s="686" t="s">
        <v>27</v>
      </c>
      <c r="N43" s="686" t="s">
        <v>4357</v>
      </c>
      <c r="O43" s="686" t="s">
        <v>4692</v>
      </c>
      <c r="P43" s="686" t="s">
        <v>4247</v>
      </c>
      <c r="Q43" s="663"/>
      <c r="R43" s="149" t="str">
        <f t="shared" si="1"/>
        <v>201</v>
      </c>
      <c r="S43" s="149" t="s">
        <v>4275</v>
      </c>
      <c r="T43" s="4"/>
    </row>
    <row r="44" spans="1:20" ht="10.5" x14ac:dyDescent="0.25">
      <c r="A44" s="685" t="s">
        <v>220</v>
      </c>
      <c r="B44" s="686" t="s">
        <v>21</v>
      </c>
      <c r="C44" s="687">
        <v>45408</v>
      </c>
      <c r="D44" s="686" t="s">
        <v>4671</v>
      </c>
      <c r="E44" s="686" t="s">
        <v>4672</v>
      </c>
      <c r="F44" s="686" t="s">
        <v>4672</v>
      </c>
      <c r="G44" s="688">
        <v>-5000.0000024520004</v>
      </c>
      <c r="H44" s="688">
        <v>375003.31946478307</v>
      </c>
      <c r="I44" s="686"/>
      <c r="J44" s="686" t="s">
        <v>68</v>
      </c>
      <c r="K44" s="694">
        <v>-5000</v>
      </c>
      <c r="L44" s="695" t="s">
        <v>4616</v>
      </c>
      <c r="M44" s="686" t="s">
        <v>27</v>
      </c>
      <c r="N44" s="686" t="s">
        <v>118</v>
      </c>
      <c r="O44" s="686" t="s">
        <v>4245</v>
      </c>
      <c r="P44" s="686" t="s">
        <v>4247</v>
      </c>
      <c r="Q44" s="663"/>
      <c r="R44" s="149" t="str">
        <f t="shared" si="1"/>
        <v>201</v>
      </c>
      <c r="S44" s="149" t="s">
        <v>4586</v>
      </c>
      <c r="T44" s="4"/>
    </row>
    <row r="45" spans="1:20" ht="10.5" x14ac:dyDescent="0.25">
      <c r="A45" s="685" t="s">
        <v>220</v>
      </c>
      <c r="B45" s="686" t="s">
        <v>241</v>
      </c>
      <c r="C45" s="687">
        <v>45412</v>
      </c>
      <c r="D45" s="686" t="s">
        <v>4673</v>
      </c>
      <c r="E45" s="686"/>
      <c r="F45" s="686"/>
      <c r="G45" s="688">
        <v>9.1822926779999996</v>
      </c>
      <c r="H45" s="688">
        <v>375012.50175746105</v>
      </c>
      <c r="I45" s="686"/>
      <c r="J45" s="686" t="s">
        <v>68</v>
      </c>
      <c r="K45" s="694">
        <v>0</v>
      </c>
      <c r="L45" s="695" t="s">
        <v>4616</v>
      </c>
      <c r="M45" s="686" t="s">
        <v>193</v>
      </c>
      <c r="N45" s="686"/>
      <c r="O45" s="686" t="s">
        <v>4245</v>
      </c>
      <c r="P45" s="686" t="s">
        <v>4247</v>
      </c>
      <c r="Q45" s="663"/>
      <c r="R45" s="149" t="str">
        <f t="shared" si="1"/>
        <v>208</v>
      </c>
      <c r="S45" s="149" t="s">
        <v>243</v>
      </c>
      <c r="T45" s="4"/>
    </row>
    <row r="46" spans="1:20" ht="10.5" x14ac:dyDescent="0.25">
      <c r="A46" s="685" t="s">
        <v>220</v>
      </c>
      <c r="B46" s="686" t="s">
        <v>241</v>
      </c>
      <c r="C46" s="687">
        <v>45413</v>
      </c>
      <c r="D46" s="686" t="s">
        <v>4674</v>
      </c>
      <c r="E46" s="686"/>
      <c r="F46" s="686"/>
      <c r="G46" s="688">
        <v>-9.1822926779999996</v>
      </c>
      <c r="H46" s="688">
        <v>375003.31946478307</v>
      </c>
      <c r="I46" s="686"/>
      <c r="J46" s="686" t="s">
        <v>68</v>
      </c>
      <c r="K46" s="694">
        <v>0</v>
      </c>
      <c r="L46" s="695" t="s">
        <v>4595</v>
      </c>
      <c r="M46" s="686" t="s">
        <v>193</v>
      </c>
      <c r="N46" s="686"/>
      <c r="O46" s="686" t="s">
        <v>4245</v>
      </c>
      <c r="P46" s="686" t="s">
        <v>4247</v>
      </c>
      <c r="Q46" s="663"/>
      <c r="R46" s="149" t="str">
        <f t="shared" si="1"/>
        <v>208</v>
      </c>
      <c r="S46" s="149" t="s">
        <v>243</v>
      </c>
      <c r="T46" s="4"/>
    </row>
    <row r="47" spans="1:20" ht="10.5" x14ac:dyDescent="0.25">
      <c r="A47" s="685" t="s">
        <v>220</v>
      </c>
      <c r="B47" s="686" t="s">
        <v>241</v>
      </c>
      <c r="C47" s="687">
        <v>45443</v>
      </c>
      <c r="D47" s="686" t="s">
        <v>4675</v>
      </c>
      <c r="E47" s="686"/>
      <c r="F47" s="686"/>
      <c r="G47" s="688">
        <v>91.457782977600004</v>
      </c>
      <c r="H47" s="688">
        <v>375094.77724776068</v>
      </c>
      <c r="I47" s="686"/>
      <c r="J47" s="686" t="s">
        <v>68</v>
      </c>
      <c r="K47" s="694">
        <v>0</v>
      </c>
      <c r="L47" s="695" t="s">
        <v>4595</v>
      </c>
      <c r="M47" s="686" t="s">
        <v>193</v>
      </c>
      <c r="N47" s="686"/>
      <c r="O47" s="686" t="s">
        <v>4245</v>
      </c>
      <c r="P47" s="686" t="s">
        <v>4247</v>
      </c>
      <c r="Q47" s="663"/>
      <c r="R47" s="149" t="str">
        <f t="shared" si="1"/>
        <v>208</v>
      </c>
      <c r="S47" s="149" t="s">
        <v>243</v>
      </c>
      <c r="T47" s="4"/>
    </row>
    <row r="48" spans="1:20" ht="10.5" x14ac:dyDescent="0.25">
      <c r="A48" s="685" t="s">
        <v>220</v>
      </c>
      <c r="B48" s="686" t="s">
        <v>241</v>
      </c>
      <c r="C48" s="687">
        <v>45444</v>
      </c>
      <c r="D48" s="686" t="s">
        <v>4676</v>
      </c>
      <c r="E48" s="686"/>
      <c r="F48" s="686"/>
      <c r="G48" s="688">
        <v>-91.457782977600004</v>
      </c>
      <c r="H48" s="688">
        <v>375003.31946478307</v>
      </c>
      <c r="I48" s="686"/>
      <c r="J48" s="686" t="s">
        <v>68</v>
      </c>
      <c r="K48" s="694">
        <v>0</v>
      </c>
      <c r="L48" s="695" t="s">
        <v>4610</v>
      </c>
      <c r="M48" s="686" t="s">
        <v>193</v>
      </c>
      <c r="N48" s="686"/>
      <c r="O48" s="686" t="s">
        <v>4245</v>
      </c>
      <c r="P48" s="686" t="s">
        <v>4247</v>
      </c>
      <c r="Q48" s="663"/>
      <c r="R48" s="149" t="str">
        <f t="shared" si="1"/>
        <v>208</v>
      </c>
      <c r="S48" s="149" t="s">
        <v>243</v>
      </c>
      <c r="T48" s="4"/>
    </row>
    <row r="49" spans="1:20" ht="10.5" x14ac:dyDescent="0.25">
      <c r="A49" s="685" t="s">
        <v>220</v>
      </c>
      <c r="B49" s="686" t="s">
        <v>21</v>
      </c>
      <c r="C49" s="687">
        <v>45455</v>
      </c>
      <c r="D49" s="686" t="s">
        <v>4677</v>
      </c>
      <c r="E49" s="686" t="s">
        <v>4678</v>
      </c>
      <c r="F49" s="686" t="s">
        <v>4679</v>
      </c>
      <c r="G49" s="688">
        <v>29000.000014221601</v>
      </c>
      <c r="H49" s="688">
        <v>404003.31947900465</v>
      </c>
      <c r="I49" s="686"/>
      <c r="J49" s="686" t="s">
        <v>68</v>
      </c>
      <c r="K49" s="694">
        <v>29000</v>
      </c>
      <c r="L49" s="695" t="s">
        <v>4610</v>
      </c>
      <c r="M49" s="686" t="s">
        <v>27</v>
      </c>
      <c r="N49" s="686" t="s">
        <v>4357</v>
      </c>
      <c r="O49" s="686" t="s">
        <v>4692</v>
      </c>
      <c r="P49" s="686" t="s">
        <v>4247</v>
      </c>
      <c r="Q49" s="663"/>
      <c r="R49" s="149" t="str">
        <f t="shared" si="1"/>
        <v>201</v>
      </c>
      <c r="S49" s="149" t="s">
        <v>4481</v>
      </c>
      <c r="T49" s="4"/>
    </row>
    <row r="50" spans="1:20" ht="10.5" x14ac:dyDescent="0.25">
      <c r="A50" s="685" t="s">
        <v>220</v>
      </c>
      <c r="B50" s="686" t="s">
        <v>21</v>
      </c>
      <c r="C50" s="687">
        <v>45455</v>
      </c>
      <c r="D50" s="686" t="s">
        <v>4677</v>
      </c>
      <c r="E50" s="686" t="s">
        <v>4678</v>
      </c>
      <c r="F50" s="686" t="s">
        <v>4680</v>
      </c>
      <c r="G50" s="688">
        <v>1000.0000004904</v>
      </c>
      <c r="H50" s="688">
        <v>405003.31947949505</v>
      </c>
      <c r="I50" s="686"/>
      <c r="J50" s="686" t="s">
        <v>68</v>
      </c>
      <c r="K50" s="694">
        <v>1000</v>
      </c>
      <c r="L50" s="695" t="s">
        <v>4610</v>
      </c>
      <c r="M50" s="686" t="s">
        <v>27</v>
      </c>
      <c r="N50" s="686" t="s">
        <v>4357</v>
      </c>
      <c r="O50" s="686" t="s">
        <v>4692</v>
      </c>
      <c r="P50" s="686" t="s">
        <v>4247</v>
      </c>
      <c r="Q50" s="663"/>
      <c r="R50" s="149" t="str">
        <f t="shared" si="1"/>
        <v>201</v>
      </c>
      <c r="S50" s="149" t="s">
        <v>4481</v>
      </c>
      <c r="T50" s="4"/>
    </row>
    <row r="51" spans="1:20" ht="10.5" x14ac:dyDescent="0.25">
      <c r="A51" s="685" t="s">
        <v>220</v>
      </c>
      <c r="B51" s="686" t="s">
        <v>21</v>
      </c>
      <c r="C51" s="687">
        <v>45455</v>
      </c>
      <c r="D51" s="686" t="s">
        <v>4677</v>
      </c>
      <c r="E51" s="686" t="s">
        <v>4678</v>
      </c>
      <c r="F51" s="686" t="s">
        <v>4681</v>
      </c>
      <c r="G51" s="688">
        <v>36800.000018046718</v>
      </c>
      <c r="H51" s="688">
        <v>441803.31949754176</v>
      </c>
      <c r="I51" s="686"/>
      <c r="J51" s="686" t="s">
        <v>68</v>
      </c>
      <c r="K51" s="694">
        <v>36800</v>
      </c>
      <c r="L51" s="695" t="s">
        <v>4610</v>
      </c>
      <c r="M51" s="686" t="s">
        <v>27</v>
      </c>
      <c r="N51" s="686" t="s">
        <v>4357</v>
      </c>
      <c r="O51" s="686" t="s">
        <v>4692</v>
      </c>
      <c r="P51" s="686" t="s">
        <v>4247</v>
      </c>
      <c r="Q51" s="663"/>
      <c r="R51" s="149" t="str">
        <f t="shared" si="1"/>
        <v>201</v>
      </c>
      <c r="S51" s="149" t="s">
        <v>4481</v>
      </c>
      <c r="T51" s="4"/>
    </row>
    <row r="52" spans="1:20" ht="10.5" x14ac:dyDescent="0.25">
      <c r="A52" s="685" t="s">
        <v>220</v>
      </c>
      <c r="B52" s="686" t="s">
        <v>21</v>
      </c>
      <c r="C52" s="687">
        <v>45455</v>
      </c>
      <c r="D52" s="686" t="s">
        <v>4677</v>
      </c>
      <c r="E52" s="686" t="s">
        <v>4678</v>
      </c>
      <c r="F52" s="686" t="s">
        <v>4682</v>
      </c>
      <c r="G52" s="688">
        <v>600.00000029423995</v>
      </c>
      <c r="H52" s="688">
        <v>442403.319497836</v>
      </c>
      <c r="I52" s="686"/>
      <c r="J52" s="686" t="s">
        <v>68</v>
      </c>
      <c r="K52" s="694">
        <v>600</v>
      </c>
      <c r="L52" s="695" t="s">
        <v>4610</v>
      </c>
      <c r="M52" s="686" t="s">
        <v>27</v>
      </c>
      <c r="N52" s="686" t="s">
        <v>4357</v>
      </c>
      <c r="O52" s="686" t="s">
        <v>4692</v>
      </c>
      <c r="P52" s="686" t="s">
        <v>4247</v>
      </c>
      <c r="Q52" s="663"/>
      <c r="R52" s="149" t="str">
        <f t="shared" si="1"/>
        <v>201</v>
      </c>
      <c r="S52" s="149" t="s">
        <v>4481</v>
      </c>
      <c r="T52" s="4"/>
    </row>
    <row r="53" spans="1:20" ht="10.5" x14ac:dyDescent="0.25">
      <c r="A53" s="685" t="s">
        <v>220</v>
      </c>
      <c r="B53" s="686" t="s">
        <v>21</v>
      </c>
      <c r="C53" s="687">
        <v>45455</v>
      </c>
      <c r="D53" s="686" t="s">
        <v>4677</v>
      </c>
      <c r="E53" s="686" t="s">
        <v>4678</v>
      </c>
      <c r="F53" s="686" t="s">
        <v>4683</v>
      </c>
      <c r="G53" s="688">
        <v>1700.0000008336799</v>
      </c>
      <c r="H53" s="688">
        <v>444103.31949866971</v>
      </c>
      <c r="I53" s="686"/>
      <c r="J53" s="686" t="s">
        <v>68</v>
      </c>
      <c r="K53" s="694">
        <v>1700</v>
      </c>
      <c r="L53" s="695" t="s">
        <v>4610</v>
      </c>
      <c r="M53" s="686" t="s">
        <v>27</v>
      </c>
      <c r="N53" s="686" t="s">
        <v>4357</v>
      </c>
      <c r="O53" s="686" t="s">
        <v>4692</v>
      </c>
      <c r="P53" s="686" t="s">
        <v>4247</v>
      </c>
      <c r="Q53" s="663"/>
      <c r="R53" s="149" t="str">
        <f t="shared" si="1"/>
        <v>201</v>
      </c>
      <c r="S53" s="149" t="s">
        <v>4481</v>
      </c>
      <c r="T53" s="4"/>
    </row>
    <row r="54" spans="1:20" ht="10.5" x14ac:dyDescent="0.25">
      <c r="A54" s="685" t="s">
        <v>220</v>
      </c>
      <c r="B54" s="686" t="s">
        <v>21</v>
      </c>
      <c r="C54" s="687">
        <v>45455</v>
      </c>
      <c r="D54" s="686" t="s">
        <v>4677</v>
      </c>
      <c r="E54" s="686" t="s">
        <v>4678</v>
      </c>
      <c r="F54" s="686" t="s">
        <v>4684</v>
      </c>
      <c r="G54" s="688">
        <v>600000.00029423996</v>
      </c>
      <c r="H54" s="688">
        <v>1044103.3197929097</v>
      </c>
      <c r="I54" s="686"/>
      <c r="J54" s="686" t="s">
        <v>68</v>
      </c>
      <c r="K54" s="694">
        <v>600000</v>
      </c>
      <c r="L54" s="695" t="s">
        <v>4610</v>
      </c>
      <c r="M54" s="686" t="s">
        <v>27</v>
      </c>
      <c r="N54" s="686" t="s">
        <v>4357</v>
      </c>
      <c r="O54" s="686" t="s">
        <v>4692</v>
      </c>
      <c r="P54" s="686" t="s">
        <v>4247</v>
      </c>
      <c r="Q54" s="663"/>
      <c r="R54" s="149" t="str">
        <f t="shared" si="1"/>
        <v>201</v>
      </c>
      <c r="S54" s="149" t="s">
        <v>4481</v>
      </c>
      <c r="T54" s="4"/>
    </row>
    <row r="55" spans="1:20" ht="10.5" x14ac:dyDescent="0.25">
      <c r="A55" s="685" t="s">
        <v>220</v>
      </c>
      <c r="B55" s="686" t="s">
        <v>21</v>
      </c>
      <c r="C55" s="687">
        <v>45456</v>
      </c>
      <c r="D55" s="686" t="s">
        <v>4685</v>
      </c>
      <c r="E55" s="686" t="s">
        <v>4678</v>
      </c>
      <c r="F55" s="686" t="s">
        <v>4686</v>
      </c>
      <c r="G55" s="688">
        <v>1800.0000008827201</v>
      </c>
      <c r="H55" s="688">
        <v>1045903.3197937924</v>
      </c>
      <c r="I55" s="686"/>
      <c r="J55" s="686" t="s">
        <v>68</v>
      </c>
      <c r="K55" s="694">
        <v>1800</v>
      </c>
      <c r="L55" s="695" t="s">
        <v>4610</v>
      </c>
      <c r="M55" s="686" t="s">
        <v>27</v>
      </c>
      <c r="N55" s="686" t="s">
        <v>4357</v>
      </c>
      <c r="O55" s="686" t="s">
        <v>4692</v>
      </c>
      <c r="P55" s="686" t="s">
        <v>4247</v>
      </c>
      <c r="Q55" s="663"/>
      <c r="R55" s="149" t="str">
        <f t="shared" si="1"/>
        <v>201</v>
      </c>
      <c r="S55" s="149" t="s">
        <v>4481</v>
      </c>
      <c r="T55" s="4"/>
    </row>
    <row r="56" spans="1:20" ht="10.5" x14ac:dyDescent="0.25">
      <c r="A56" s="685" t="s">
        <v>220</v>
      </c>
      <c r="B56" s="686" t="s">
        <v>1977</v>
      </c>
      <c r="C56" s="687">
        <v>45464</v>
      </c>
      <c r="D56" s="686" t="s">
        <v>4687</v>
      </c>
      <c r="E56" s="686" t="s">
        <v>4688</v>
      </c>
      <c r="F56" s="686" t="s">
        <v>4688</v>
      </c>
      <c r="G56" s="688">
        <v>-322.18570799999998</v>
      </c>
      <c r="H56" s="688">
        <v>1045581.1340857925</v>
      </c>
      <c r="I56" s="686"/>
      <c r="J56" s="686" t="s">
        <v>68</v>
      </c>
      <c r="K56" s="694">
        <v>-300</v>
      </c>
      <c r="L56" s="695" t="s">
        <v>4610</v>
      </c>
      <c r="M56" s="686" t="s">
        <v>61</v>
      </c>
      <c r="N56" s="686"/>
      <c r="O56" s="686" t="s">
        <v>4245</v>
      </c>
      <c r="P56" s="686" t="s">
        <v>4247</v>
      </c>
      <c r="Q56" s="663"/>
      <c r="R56" s="149" t="str">
        <f t="shared" si="1"/>
        <v>101</v>
      </c>
      <c r="S56" s="149" t="s">
        <v>791</v>
      </c>
      <c r="T56" s="4"/>
    </row>
    <row r="57" spans="1:20" ht="10.5" x14ac:dyDescent="0.25">
      <c r="A57" s="685" t="s">
        <v>220</v>
      </c>
      <c r="B57" s="686" t="s">
        <v>241</v>
      </c>
      <c r="C57" s="687">
        <v>45473</v>
      </c>
      <c r="D57" s="686" t="s">
        <v>4689</v>
      </c>
      <c r="E57" s="686"/>
      <c r="F57" s="686"/>
      <c r="G57" s="688">
        <v>123.987799962</v>
      </c>
      <c r="H57" s="688">
        <v>1045705.1218857545</v>
      </c>
      <c r="I57" s="686"/>
      <c r="J57" s="686" t="s">
        <v>68</v>
      </c>
      <c r="K57" s="694">
        <v>0</v>
      </c>
      <c r="L57" s="695" t="s">
        <v>4610</v>
      </c>
      <c r="M57" s="686" t="s">
        <v>193</v>
      </c>
      <c r="N57" s="686"/>
      <c r="O57" s="686" t="s">
        <v>4245</v>
      </c>
      <c r="P57" s="686" t="s">
        <v>4247</v>
      </c>
      <c r="Q57" s="663"/>
      <c r="R57" s="149" t="str">
        <f t="shared" si="1"/>
        <v>208</v>
      </c>
      <c r="S57" s="149" t="s">
        <v>243</v>
      </c>
      <c r="T57" s="4"/>
    </row>
    <row r="58" spans="1:20" ht="10.5" x14ac:dyDescent="0.25">
      <c r="A58" s="685" t="s">
        <v>220</v>
      </c>
      <c r="B58" s="686" t="s">
        <v>21</v>
      </c>
      <c r="C58" s="687">
        <v>45473</v>
      </c>
      <c r="D58" s="686" t="s">
        <v>4690</v>
      </c>
      <c r="E58" s="686" t="s">
        <v>4691</v>
      </c>
      <c r="F58" s="686" t="s">
        <v>4691</v>
      </c>
      <c r="G58" s="688">
        <v>158454.15305148001</v>
      </c>
      <c r="H58" s="688">
        <v>1204159.2749372346</v>
      </c>
      <c r="I58" s="686"/>
      <c r="J58" s="686" t="s">
        <v>68</v>
      </c>
      <c r="K58" s="694">
        <v>147543</v>
      </c>
      <c r="L58" s="695" t="s">
        <v>4610</v>
      </c>
      <c r="M58" s="686" t="s">
        <v>61</v>
      </c>
      <c r="N58" s="686" t="s">
        <v>39</v>
      </c>
      <c r="O58" s="686" t="s">
        <v>4245</v>
      </c>
      <c r="P58" s="686" t="s">
        <v>4247</v>
      </c>
      <c r="Q58" s="663"/>
      <c r="R58" s="149" t="str">
        <f t="shared" si="1"/>
        <v>101</v>
      </c>
      <c r="S58" s="149" t="s">
        <v>4369</v>
      </c>
      <c r="T58" s="4"/>
    </row>
    <row r="59" spans="1:20" ht="10.5" x14ac:dyDescent="0.25">
      <c r="A59" s="685" t="s">
        <v>220</v>
      </c>
      <c r="B59" s="686" t="s">
        <v>21</v>
      </c>
      <c r="C59" s="687">
        <v>45473</v>
      </c>
      <c r="D59" s="686" t="s">
        <v>4752</v>
      </c>
      <c r="E59" s="686" t="s">
        <v>4753</v>
      </c>
      <c r="F59" s="686" t="s">
        <v>4753</v>
      </c>
      <c r="G59" s="688">
        <v>-158454.15</v>
      </c>
      <c r="H59" s="688">
        <v>1045705.12</v>
      </c>
      <c r="I59" s="686"/>
      <c r="J59" s="686" t="s">
        <v>68</v>
      </c>
      <c r="K59" s="694">
        <v>-147543</v>
      </c>
      <c r="L59" s="695">
        <v>45444</v>
      </c>
      <c r="M59" s="686" t="s">
        <v>61</v>
      </c>
      <c r="N59" s="686" t="s">
        <v>118</v>
      </c>
      <c r="O59" s="686" t="s">
        <v>4245</v>
      </c>
      <c r="P59" s="686" t="s">
        <v>4247</v>
      </c>
      <c r="Q59" s="663"/>
      <c r="R59" s="149" t="str">
        <f t="shared" si="1"/>
        <v>101</v>
      </c>
      <c r="S59" s="699" t="s">
        <v>3845</v>
      </c>
      <c r="T59" s="4"/>
    </row>
    <row r="60" spans="1:20" ht="11.25" customHeight="1" x14ac:dyDescent="0.25">
      <c r="A60" s="702" t="s">
        <v>237</v>
      </c>
      <c r="B60" s="690"/>
      <c r="C60" s="691"/>
      <c r="D60" s="690"/>
      <c r="E60" s="690"/>
      <c r="F60" s="690"/>
      <c r="G60" s="692">
        <f>SUM(G20:G59)</f>
        <v>927709.93904780841</v>
      </c>
      <c r="H60" s="692">
        <f>H58</f>
        <v>1204159.2749372346</v>
      </c>
      <c r="I60" s="690"/>
      <c r="J60" s="690"/>
      <c r="K60" s="693"/>
      <c r="L60" s="690"/>
      <c r="M60" s="690"/>
      <c r="N60" s="690"/>
      <c r="O60" s="690"/>
      <c r="P60" s="690"/>
      <c r="Q60" s="663"/>
      <c r="R60" s="149" t="str">
        <f t="shared" si="1"/>
        <v/>
      </c>
      <c r="S60" s="149"/>
      <c r="T60" s="4"/>
    </row>
    <row r="61" spans="1:20" ht="11.25" customHeight="1" x14ac:dyDescent="0.25">
      <c r="A61" s="629" t="s">
        <v>240</v>
      </c>
      <c r="B61" s="624"/>
      <c r="C61" s="623"/>
      <c r="D61" s="624"/>
      <c r="E61" s="624"/>
      <c r="F61" s="624"/>
      <c r="G61" s="625">
        <v>0</v>
      </c>
      <c r="H61" s="625">
        <v>-441694.12185314816</v>
      </c>
      <c r="I61" s="624"/>
      <c r="J61" s="624"/>
      <c r="K61" s="618">
        <v>0</v>
      </c>
      <c r="L61" s="624"/>
      <c r="M61" s="624"/>
      <c r="N61" s="624"/>
      <c r="O61" s="624"/>
      <c r="P61" s="624"/>
      <c r="Q61" s="4"/>
      <c r="R61" t="str">
        <f t="shared" si="1"/>
        <v/>
      </c>
      <c r="T61" s="4"/>
    </row>
    <row r="62" spans="1:20" ht="11.25" customHeight="1" x14ac:dyDescent="0.25">
      <c r="A62" s="651" t="s">
        <v>240</v>
      </c>
      <c r="B62" s="655" t="s">
        <v>241</v>
      </c>
      <c r="C62" s="656">
        <v>45292</v>
      </c>
      <c r="D62" s="655" t="s">
        <v>4436</v>
      </c>
      <c r="E62" s="655"/>
      <c r="F62" s="655"/>
      <c r="G62" s="657">
        <v>-1420.7637956148001</v>
      </c>
      <c r="H62" s="657">
        <v>-441154.23295610194</v>
      </c>
      <c r="I62" s="655"/>
      <c r="J62" s="655" t="s">
        <v>68</v>
      </c>
      <c r="K62" s="696">
        <v>0</v>
      </c>
      <c r="L62" s="655" t="s">
        <v>4410</v>
      </c>
      <c r="M62" s="655" t="s">
        <v>193</v>
      </c>
      <c r="N62" s="655"/>
      <c r="O62" s="655" t="s">
        <v>4245</v>
      </c>
      <c r="P62" s="655" t="s">
        <v>1167</v>
      </c>
      <c r="Q62" s="650"/>
      <c r="R62" s="149" t="str">
        <f t="shared" si="1"/>
        <v>208</v>
      </c>
      <c r="S62" s="149" t="s">
        <v>243</v>
      </c>
      <c r="T62" s="528"/>
    </row>
    <row r="63" spans="1:20" ht="11.25" customHeight="1" x14ac:dyDescent="0.25">
      <c r="A63" s="651" t="s">
        <v>240</v>
      </c>
      <c r="B63" s="655" t="s">
        <v>241</v>
      </c>
      <c r="C63" s="656">
        <v>45292</v>
      </c>
      <c r="D63" s="655" t="s">
        <v>4444</v>
      </c>
      <c r="E63" s="655"/>
      <c r="F63" s="655"/>
      <c r="G63" s="657">
        <v>927.3793419072</v>
      </c>
      <c r="H63" s="657">
        <v>-440226.85361419473</v>
      </c>
      <c r="I63" s="655"/>
      <c r="J63" s="655" t="s">
        <v>68</v>
      </c>
      <c r="K63" s="696">
        <v>0</v>
      </c>
      <c r="L63" s="655" t="s">
        <v>4410</v>
      </c>
      <c r="M63" s="655" t="s">
        <v>201</v>
      </c>
      <c r="N63" s="655"/>
      <c r="O63" s="655" t="s">
        <v>4245</v>
      </c>
      <c r="P63" s="655" t="s">
        <v>1167</v>
      </c>
      <c r="Q63" s="650"/>
      <c r="R63" s="149" t="str">
        <f t="shared" si="1"/>
        <v>203</v>
      </c>
      <c r="S63" s="149" t="s">
        <v>243</v>
      </c>
      <c r="T63" s="528"/>
    </row>
    <row r="64" spans="1:20" ht="11.25" customHeight="1" x14ac:dyDescent="0.25">
      <c r="A64" s="651" t="s">
        <v>240</v>
      </c>
      <c r="B64" s="655" t="s">
        <v>241</v>
      </c>
      <c r="C64" s="656">
        <v>45292</v>
      </c>
      <c r="D64" s="655" t="s">
        <v>4445</v>
      </c>
      <c r="E64" s="655"/>
      <c r="F64" s="655"/>
      <c r="G64" s="657">
        <v>-377.61238929960001</v>
      </c>
      <c r="H64" s="657">
        <v>-440604.46600349434</v>
      </c>
      <c r="I64" s="655"/>
      <c r="J64" s="655" t="s">
        <v>68</v>
      </c>
      <c r="K64" s="696">
        <v>0</v>
      </c>
      <c r="L64" s="655" t="s">
        <v>4410</v>
      </c>
      <c r="M64" s="655" t="s">
        <v>197</v>
      </c>
      <c r="N64" s="655"/>
      <c r="O64" s="655" t="s">
        <v>4245</v>
      </c>
      <c r="P64" s="655" t="s">
        <v>1167</v>
      </c>
      <c r="Q64" s="650"/>
      <c r="R64" s="149" t="str">
        <f t="shared" si="1"/>
        <v>206</v>
      </c>
      <c r="S64" s="149" t="s">
        <v>243</v>
      </c>
      <c r="T64" s="528"/>
    </row>
    <row r="65" spans="1:19" ht="10.5" x14ac:dyDescent="0.25">
      <c r="A65" s="651" t="s">
        <v>240</v>
      </c>
      <c r="B65" s="655" t="s">
        <v>241</v>
      </c>
      <c r="C65" s="656">
        <v>45292</v>
      </c>
      <c r="D65" s="655" t="s">
        <v>4446</v>
      </c>
      <c r="E65" s="655"/>
      <c r="F65" s="655"/>
      <c r="G65" s="657">
        <v>1.07395236E-2</v>
      </c>
      <c r="H65" s="657">
        <v>-440604.45526397071</v>
      </c>
      <c r="I65" s="655"/>
      <c r="J65" s="655" t="s">
        <v>68</v>
      </c>
      <c r="K65" s="696">
        <v>0</v>
      </c>
      <c r="L65" s="655" t="s">
        <v>4410</v>
      </c>
      <c r="M65" s="655" t="s">
        <v>197</v>
      </c>
      <c r="N65" s="655"/>
      <c r="O65" s="655" t="s">
        <v>4245</v>
      </c>
      <c r="P65" s="655" t="s">
        <v>1167</v>
      </c>
      <c r="Q65" s="149"/>
      <c r="R65" s="149" t="str">
        <f t="shared" si="1"/>
        <v>206</v>
      </c>
      <c r="S65" s="149" t="s">
        <v>243</v>
      </c>
    </row>
    <row r="66" spans="1:19" ht="10.5" x14ac:dyDescent="0.25">
      <c r="A66" s="651" t="s">
        <v>240</v>
      </c>
      <c r="B66" s="655" t="s">
        <v>241</v>
      </c>
      <c r="C66" s="656">
        <v>45292</v>
      </c>
      <c r="D66" s="655" t="s">
        <v>4447</v>
      </c>
      <c r="E66" s="655"/>
      <c r="F66" s="655"/>
      <c r="G66" s="657">
        <v>-1.07395236E-2</v>
      </c>
      <c r="H66" s="657">
        <v>-440604.46600349434</v>
      </c>
      <c r="I66" s="655"/>
      <c r="J66" s="655" t="s">
        <v>68</v>
      </c>
      <c r="K66" s="696">
        <v>0</v>
      </c>
      <c r="L66" s="655" t="s">
        <v>4410</v>
      </c>
      <c r="M66" s="655" t="s">
        <v>193</v>
      </c>
      <c r="N66" s="655"/>
      <c r="O66" s="655" t="s">
        <v>4245</v>
      </c>
      <c r="P66" s="655" t="s">
        <v>1167</v>
      </c>
      <c r="Q66" s="149"/>
      <c r="R66" s="149" t="str">
        <f t="shared" si="1"/>
        <v>208</v>
      </c>
      <c r="S66" s="149" t="s">
        <v>243</v>
      </c>
    </row>
    <row r="67" spans="1:19" ht="10.5" x14ac:dyDescent="0.25">
      <c r="A67" s="651" t="s">
        <v>240</v>
      </c>
      <c r="B67" s="655" t="s">
        <v>249</v>
      </c>
      <c r="C67" s="656">
        <v>45313</v>
      </c>
      <c r="D67" s="655" t="s">
        <v>4448</v>
      </c>
      <c r="E67" s="655" t="s">
        <v>4449</v>
      </c>
      <c r="F67" s="655" t="s">
        <v>4449</v>
      </c>
      <c r="G67" s="657">
        <v>99784.801475143206</v>
      </c>
      <c r="H67" s="657">
        <v>-340819.66452835116</v>
      </c>
      <c r="I67" s="655" t="s">
        <v>4373</v>
      </c>
      <c r="J67" s="655" t="s">
        <v>68</v>
      </c>
      <c r="K67" s="697">
        <v>-1058724</v>
      </c>
      <c r="L67" s="655" t="s">
        <v>4410</v>
      </c>
      <c r="M67" s="655" t="s">
        <v>193</v>
      </c>
      <c r="N67" s="655"/>
      <c r="O67" s="655" t="s">
        <v>4245</v>
      </c>
      <c r="P67" s="655" t="s">
        <v>1167</v>
      </c>
      <c r="Q67" s="149"/>
      <c r="R67" s="149" t="str">
        <f t="shared" si="1"/>
        <v>208</v>
      </c>
      <c r="S67" s="663" t="s">
        <v>4481</v>
      </c>
    </row>
    <row r="68" spans="1:19" ht="10.5" x14ac:dyDescent="0.25">
      <c r="A68" s="651" t="s">
        <v>240</v>
      </c>
      <c r="B68" s="655" t="s">
        <v>241</v>
      </c>
      <c r="C68" s="656">
        <v>45322</v>
      </c>
      <c r="D68" s="655" t="s">
        <v>4450</v>
      </c>
      <c r="E68" s="655"/>
      <c r="F68" s="655"/>
      <c r="G68" s="657">
        <v>-1149.2471599595999</v>
      </c>
      <c r="H68" s="657">
        <v>-341968.91168831073</v>
      </c>
      <c r="I68" s="655"/>
      <c r="J68" s="655" t="s">
        <v>68</v>
      </c>
      <c r="K68" s="696">
        <v>0</v>
      </c>
      <c r="L68" s="655" t="s">
        <v>4410</v>
      </c>
      <c r="M68" s="655" t="s">
        <v>201</v>
      </c>
      <c r="N68" s="655"/>
      <c r="O68" s="655" t="s">
        <v>4245</v>
      </c>
      <c r="P68" s="655" t="s">
        <v>1167</v>
      </c>
      <c r="Q68" s="149"/>
      <c r="R68" s="149" t="str">
        <f t="shared" si="1"/>
        <v>203</v>
      </c>
      <c r="S68" s="149" t="s">
        <v>243</v>
      </c>
    </row>
    <row r="69" spans="1:19" ht="10.5" x14ac:dyDescent="0.25">
      <c r="A69" s="651" t="s">
        <v>240</v>
      </c>
      <c r="B69" s="655" t="s">
        <v>241</v>
      </c>
      <c r="C69" s="656">
        <v>45322</v>
      </c>
      <c r="D69" s="655" t="s">
        <v>4437</v>
      </c>
      <c r="E69" s="655"/>
      <c r="F69" s="655"/>
      <c r="G69" s="657">
        <v>2057.1235270092002</v>
      </c>
      <c r="H69" s="657">
        <v>-339911.78816130152</v>
      </c>
      <c r="I69" s="655"/>
      <c r="J69" s="655" t="s">
        <v>68</v>
      </c>
      <c r="K69" s="696">
        <v>0</v>
      </c>
      <c r="L69" s="655" t="s">
        <v>4410</v>
      </c>
      <c r="M69" s="655" t="s">
        <v>193</v>
      </c>
      <c r="N69" s="655"/>
      <c r="O69" s="655" t="s">
        <v>4245</v>
      </c>
      <c r="P69" s="655" t="s">
        <v>1167</v>
      </c>
      <c r="Q69" s="663"/>
      <c r="R69" s="149" t="str">
        <f t="shared" si="1"/>
        <v>208</v>
      </c>
      <c r="S69" s="149" t="s">
        <v>243</v>
      </c>
    </row>
    <row r="70" spans="1:19" ht="10.5" x14ac:dyDescent="0.25">
      <c r="A70" s="651" t="s">
        <v>240</v>
      </c>
      <c r="B70" s="655" t="s">
        <v>241</v>
      </c>
      <c r="C70" s="656">
        <v>45322</v>
      </c>
      <c r="D70" s="655" t="s">
        <v>4451</v>
      </c>
      <c r="E70" s="655"/>
      <c r="F70" s="655"/>
      <c r="G70" s="657">
        <v>717.1746464844</v>
      </c>
      <c r="H70" s="657">
        <v>-339194.61351481715</v>
      </c>
      <c r="I70" s="655"/>
      <c r="J70" s="655" t="s">
        <v>68</v>
      </c>
      <c r="K70" s="696">
        <v>0</v>
      </c>
      <c r="L70" s="655" t="s">
        <v>4410</v>
      </c>
      <c r="M70" s="655" t="s">
        <v>197</v>
      </c>
      <c r="N70" s="655"/>
      <c r="O70" s="655" t="s">
        <v>4245</v>
      </c>
      <c r="P70" s="655" t="s">
        <v>1167</v>
      </c>
      <c r="Q70" s="663"/>
      <c r="R70" s="149" t="str">
        <f t="shared" si="1"/>
        <v>206</v>
      </c>
      <c r="S70" s="149" t="s">
        <v>243</v>
      </c>
    </row>
    <row r="71" spans="1:19" ht="10.5" x14ac:dyDescent="0.25">
      <c r="A71" s="651" t="s">
        <v>240</v>
      </c>
      <c r="B71" s="655" t="s">
        <v>241</v>
      </c>
      <c r="C71" s="656">
        <v>45323</v>
      </c>
      <c r="D71" s="655" t="s">
        <v>4452</v>
      </c>
      <c r="E71" s="655"/>
      <c r="F71" s="655"/>
      <c r="G71" s="657">
        <v>1149.2471599595999</v>
      </c>
      <c r="H71" s="657">
        <v>-338045.36635485757</v>
      </c>
      <c r="I71" s="655"/>
      <c r="J71" s="655" t="s">
        <v>68</v>
      </c>
      <c r="K71" s="696">
        <v>0</v>
      </c>
      <c r="L71" s="655" t="s">
        <v>4418</v>
      </c>
      <c r="M71" s="655" t="s">
        <v>201</v>
      </c>
      <c r="N71" s="655"/>
      <c r="O71" s="655" t="s">
        <v>4245</v>
      </c>
      <c r="P71" s="655" t="s">
        <v>1167</v>
      </c>
      <c r="Q71" s="663"/>
      <c r="R71" s="149" t="str">
        <f t="shared" si="1"/>
        <v>203</v>
      </c>
      <c r="S71" s="149" t="s">
        <v>243</v>
      </c>
    </row>
    <row r="72" spans="1:19" ht="10.5" x14ac:dyDescent="0.25">
      <c r="A72" s="651" t="s">
        <v>240</v>
      </c>
      <c r="B72" s="655" t="s">
        <v>241</v>
      </c>
      <c r="C72" s="656">
        <v>45323</v>
      </c>
      <c r="D72" s="655" t="s">
        <v>4438</v>
      </c>
      <c r="E72" s="655"/>
      <c r="F72" s="655"/>
      <c r="G72" s="657">
        <v>-2057.1235270092002</v>
      </c>
      <c r="H72" s="657">
        <v>-340102.48988186679</v>
      </c>
      <c r="I72" s="655"/>
      <c r="J72" s="655" t="s">
        <v>68</v>
      </c>
      <c r="K72" s="696">
        <v>0</v>
      </c>
      <c r="L72" s="655" t="s">
        <v>4418</v>
      </c>
      <c r="M72" s="655" t="s">
        <v>193</v>
      </c>
      <c r="N72" s="655"/>
      <c r="O72" s="655" t="s">
        <v>4245</v>
      </c>
      <c r="P72" s="655" t="s">
        <v>1167</v>
      </c>
      <c r="Q72" s="663"/>
      <c r="R72" s="149" t="str">
        <f t="shared" si="1"/>
        <v>208</v>
      </c>
      <c r="S72" s="149" t="s">
        <v>243</v>
      </c>
    </row>
    <row r="73" spans="1:19" ht="10.5" x14ac:dyDescent="0.25">
      <c r="A73" s="651" t="s">
        <v>240</v>
      </c>
      <c r="B73" s="655" t="s">
        <v>241</v>
      </c>
      <c r="C73" s="656">
        <v>45323</v>
      </c>
      <c r="D73" s="655" t="s">
        <v>4453</v>
      </c>
      <c r="E73" s="655"/>
      <c r="F73" s="655"/>
      <c r="G73" s="657">
        <v>-717.1746464844</v>
      </c>
      <c r="H73" s="657">
        <v>-340819.66452835116</v>
      </c>
      <c r="I73" s="655"/>
      <c r="J73" s="655" t="s">
        <v>68</v>
      </c>
      <c r="K73" s="696">
        <v>0</v>
      </c>
      <c r="L73" s="655" t="s">
        <v>4418</v>
      </c>
      <c r="M73" s="655" t="s">
        <v>197</v>
      </c>
      <c r="N73" s="655"/>
      <c r="O73" s="655" t="s">
        <v>4245</v>
      </c>
      <c r="P73" s="655" t="s">
        <v>1167</v>
      </c>
      <c r="Q73" s="663"/>
      <c r="R73" s="149" t="str">
        <f t="shared" si="1"/>
        <v>206</v>
      </c>
      <c r="S73" s="149" t="s">
        <v>243</v>
      </c>
    </row>
    <row r="74" spans="1:19" ht="10.5" x14ac:dyDescent="0.25">
      <c r="A74" s="651" t="s">
        <v>240</v>
      </c>
      <c r="B74" s="655" t="s">
        <v>249</v>
      </c>
      <c r="C74" s="656">
        <v>45337</v>
      </c>
      <c r="D74" s="655" t="s">
        <v>4454</v>
      </c>
      <c r="E74" s="655" t="s">
        <v>4455</v>
      </c>
      <c r="F74" s="655" t="s">
        <v>4455</v>
      </c>
      <c r="G74" s="657">
        <v>11432.2228722</v>
      </c>
      <c r="H74" s="657">
        <v>-329387.44165615115</v>
      </c>
      <c r="I74" s="655" t="s">
        <v>4373</v>
      </c>
      <c r="J74" s="655" t="s">
        <v>68</v>
      </c>
      <c r="K74" s="696">
        <v>-10645</v>
      </c>
      <c r="L74" s="655" t="s">
        <v>4418</v>
      </c>
      <c r="M74" s="655" t="s">
        <v>38</v>
      </c>
      <c r="N74" s="655"/>
      <c r="O74" s="655" t="s">
        <v>4245</v>
      </c>
      <c r="P74" s="655" t="s">
        <v>1167</v>
      </c>
      <c r="Q74" s="663"/>
      <c r="R74" s="149" t="str">
        <f t="shared" si="1"/>
        <v>204</v>
      </c>
      <c r="S74" s="663" t="s">
        <v>4481</v>
      </c>
    </row>
    <row r="75" spans="1:19" ht="10.5" x14ac:dyDescent="0.25">
      <c r="A75" s="651" t="s">
        <v>240</v>
      </c>
      <c r="B75" s="655" t="s">
        <v>241</v>
      </c>
      <c r="C75" s="656">
        <v>45351</v>
      </c>
      <c r="D75" s="655" t="s">
        <v>4439</v>
      </c>
      <c r="E75" s="655"/>
      <c r="F75" s="655"/>
      <c r="G75" s="657">
        <v>2731.1789862395999</v>
      </c>
      <c r="H75" s="657">
        <v>-326656.26266991155</v>
      </c>
      <c r="I75" s="655"/>
      <c r="J75" s="655" t="s">
        <v>68</v>
      </c>
      <c r="K75" s="696">
        <v>0</v>
      </c>
      <c r="L75" s="655" t="s">
        <v>4418</v>
      </c>
      <c r="M75" s="655" t="s">
        <v>193</v>
      </c>
      <c r="N75" s="655"/>
      <c r="O75" s="655" t="s">
        <v>4245</v>
      </c>
      <c r="P75" s="655" t="s">
        <v>1167</v>
      </c>
      <c r="Q75" s="663"/>
      <c r="R75" s="149" t="str">
        <f t="shared" si="1"/>
        <v>208</v>
      </c>
      <c r="S75" s="149" t="s">
        <v>243</v>
      </c>
    </row>
    <row r="76" spans="1:19" ht="10.5" x14ac:dyDescent="0.25">
      <c r="A76" s="651" t="s">
        <v>240</v>
      </c>
      <c r="B76" s="655" t="s">
        <v>241</v>
      </c>
      <c r="C76" s="656">
        <v>45351</v>
      </c>
      <c r="D76" s="655" t="s">
        <v>4456</v>
      </c>
      <c r="E76" s="655"/>
      <c r="F76" s="655"/>
      <c r="G76" s="657">
        <v>934.27411605839995</v>
      </c>
      <c r="H76" s="657">
        <v>-325721.98855385312</v>
      </c>
      <c r="I76" s="655"/>
      <c r="J76" s="655" t="s">
        <v>68</v>
      </c>
      <c r="K76" s="696">
        <v>0</v>
      </c>
      <c r="L76" s="655" t="s">
        <v>4418</v>
      </c>
      <c r="M76" s="655" t="s">
        <v>197</v>
      </c>
      <c r="N76" s="655"/>
      <c r="O76" s="655" t="s">
        <v>4245</v>
      </c>
      <c r="P76" s="655" t="s">
        <v>1167</v>
      </c>
      <c r="Q76" s="663"/>
      <c r="R76" s="149" t="str">
        <f t="shared" si="1"/>
        <v>206</v>
      </c>
      <c r="S76" s="149" t="s">
        <v>243</v>
      </c>
    </row>
    <row r="77" spans="1:19" ht="10.5" x14ac:dyDescent="0.25">
      <c r="A77" s="651" t="s">
        <v>240</v>
      </c>
      <c r="B77" s="655" t="s">
        <v>241</v>
      </c>
      <c r="C77" s="656">
        <v>45351</v>
      </c>
      <c r="D77" s="655" t="s">
        <v>4457</v>
      </c>
      <c r="E77" s="655"/>
      <c r="F77" s="655"/>
      <c r="G77" s="657">
        <v>-1037.5346354723999</v>
      </c>
      <c r="H77" s="657">
        <v>-326759.52318932553</v>
      </c>
      <c r="I77" s="655"/>
      <c r="J77" s="655" t="s">
        <v>68</v>
      </c>
      <c r="K77" s="696">
        <v>0</v>
      </c>
      <c r="L77" s="655" t="s">
        <v>4418</v>
      </c>
      <c r="M77" s="655" t="s">
        <v>201</v>
      </c>
      <c r="N77" s="655"/>
      <c r="O77" s="655" t="s">
        <v>4245</v>
      </c>
      <c r="P77" s="655" t="s">
        <v>1167</v>
      </c>
      <c r="Q77" s="663"/>
      <c r="R77" s="149" t="str">
        <f t="shared" si="1"/>
        <v>203</v>
      </c>
      <c r="S77" s="149" t="s">
        <v>243</v>
      </c>
    </row>
    <row r="78" spans="1:19" ht="10.5" x14ac:dyDescent="0.25">
      <c r="A78" s="651" t="s">
        <v>240</v>
      </c>
      <c r="B78" s="655" t="s">
        <v>241</v>
      </c>
      <c r="C78" s="656">
        <v>45352</v>
      </c>
      <c r="D78" s="655" t="s">
        <v>4440</v>
      </c>
      <c r="E78" s="655"/>
      <c r="F78" s="655"/>
      <c r="G78" s="657">
        <v>-2731.1789862395999</v>
      </c>
      <c r="H78" s="657">
        <v>-329490.70217556512</v>
      </c>
      <c r="I78" s="655"/>
      <c r="J78" s="655" t="s">
        <v>68</v>
      </c>
      <c r="K78" s="696">
        <v>0</v>
      </c>
      <c r="L78" s="655" t="s">
        <v>4429</v>
      </c>
      <c r="M78" s="655" t="s">
        <v>193</v>
      </c>
      <c r="N78" s="655"/>
      <c r="O78" s="655" t="s">
        <v>4245</v>
      </c>
      <c r="P78" s="655" t="s">
        <v>1167</v>
      </c>
      <c r="Q78" s="663"/>
      <c r="R78" s="149" t="str">
        <f t="shared" si="1"/>
        <v>208</v>
      </c>
      <c r="S78" s="149" t="s">
        <v>243</v>
      </c>
    </row>
    <row r="79" spans="1:19" ht="10.5" x14ac:dyDescent="0.25">
      <c r="A79" s="651" t="s">
        <v>240</v>
      </c>
      <c r="B79" s="655" t="s">
        <v>241</v>
      </c>
      <c r="C79" s="656">
        <v>45352</v>
      </c>
      <c r="D79" s="655" t="s">
        <v>4458</v>
      </c>
      <c r="E79" s="655"/>
      <c r="F79" s="655"/>
      <c r="G79" s="657">
        <v>-934.27411605839995</v>
      </c>
      <c r="H79" s="657">
        <v>-330424.97629162355</v>
      </c>
      <c r="I79" s="655"/>
      <c r="J79" s="655" t="s">
        <v>68</v>
      </c>
      <c r="K79" s="696">
        <v>0</v>
      </c>
      <c r="L79" s="655" t="s">
        <v>4429</v>
      </c>
      <c r="M79" s="655" t="s">
        <v>197</v>
      </c>
      <c r="N79" s="655"/>
      <c r="O79" s="655" t="s">
        <v>4245</v>
      </c>
      <c r="P79" s="655" t="s">
        <v>1167</v>
      </c>
      <c r="Q79" s="663"/>
      <c r="R79" s="149" t="str">
        <f t="shared" si="1"/>
        <v>206</v>
      </c>
      <c r="S79" s="149" t="s">
        <v>243</v>
      </c>
    </row>
    <row r="80" spans="1:19" ht="10.5" x14ac:dyDescent="0.25">
      <c r="A80" s="651" t="s">
        <v>240</v>
      </c>
      <c r="B80" s="655" t="s">
        <v>241</v>
      </c>
      <c r="C80" s="656">
        <v>45352</v>
      </c>
      <c r="D80" s="655" t="s">
        <v>4459</v>
      </c>
      <c r="E80" s="655"/>
      <c r="F80" s="655"/>
      <c r="G80" s="657">
        <v>1037.5346354723999</v>
      </c>
      <c r="H80" s="657">
        <v>-329387.44165615115</v>
      </c>
      <c r="I80" s="655"/>
      <c r="J80" s="655" t="s">
        <v>68</v>
      </c>
      <c r="K80" s="696">
        <v>0</v>
      </c>
      <c r="L80" s="655" t="s">
        <v>4429</v>
      </c>
      <c r="M80" s="655" t="s">
        <v>201</v>
      </c>
      <c r="N80" s="655"/>
      <c r="O80" s="655" t="s">
        <v>4245</v>
      </c>
      <c r="P80" s="655" t="s">
        <v>1167</v>
      </c>
      <c r="Q80" s="663"/>
      <c r="R80" s="149" t="str">
        <f t="shared" si="1"/>
        <v>203</v>
      </c>
      <c r="S80" s="149" t="s">
        <v>243</v>
      </c>
    </row>
    <row r="81" spans="1:19" ht="10.5" x14ac:dyDescent="0.25">
      <c r="A81" s="651" t="s">
        <v>240</v>
      </c>
      <c r="B81" s="655" t="s">
        <v>21</v>
      </c>
      <c r="C81" s="656">
        <v>45357</v>
      </c>
      <c r="D81" s="655" t="s">
        <v>4460</v>
      </c>
      <c r="E81" s="655" t="s">
        <v>4461</v>
      </c>
      <c r="F81" s="655" t="s">
        <v>4461</v>
      </c>
      <c r="G81" s="657">
        <v>150.00000007355999</v>
      </c>
      <c r="H81" s="657">
        <v>-329237.44165607757</v>
      </c>
      <c r="I81" s="655"/>
      <c r="J81" s="655" t="s">
        <v>37</v>
      </c>
      <c r="K81" s="659">
        <v>-150</v>
      </c>
      <c r="L81" s="655" t="s">
        <v>4429</v>
      </c>
      <c r="M81" s="655" t="s">
        <v>27</v>
      </c>
      <c r="N81" s="655" t="s">
        <v>4357</v>
      </c>
      <c r="O81" s="655" t="s">
        <v>4245</v>
      </c>
      <c r="P81" s="655" t="s">
        <v>1167</v>
      </c>
      <c r="Q81" s="663"/>
      <c r="R81" s="149" t="str">
        <f t="shared" si="1"/>
        <v>201</v>
      </c>
      <c r="S81" s="149" t="s">
        <v>782</v>
      </c>
    </row>
    <row r="82" spans="1:19" ht="10.5" x14ac:dyDescent="0.25">
      <c r="A82" s="651" t="s">
        <v>240</v>
      </c>
      <c r="B82" s="655" t="s">
        <v>21</v>
      </c>
      <c r="C82" s="656">
        <v>45357</v>
      </c>
      <c r="D82" s="655" t="s">
        <v>4460</v>
      </c>
      <c r="E82" s="655" t="s">
        <v>4461</v>
      </c>
      <c r="F82" s="655" t="s">
        <v>4462</v>
      </c>
      <c r="G82" s="657">
        <v>5.0000000024520004</v>
      </c>
      <c r="H82" s="657">
        <v>-329232.44165607513</v>
      </c>
      <c r="I82" s="655"/>
      <c r="J82" s="655" t="s">
        <v>37</v>
      </c>
      <c r="K82" s="659">
        <v>-5</v>
      </c>
      <c r="L82" s="655" t="s">
        <v>4429</v>
      </c>
      <c r="M82" s="655" t="s">
        <v>27</v>
      </c>
      <c r="N82" s="655" t="s">
        <v>4357</v>
      </c>
      <c r="O82" s="655" t="s">
        <v>4245</v>
      </c>
      <c r="P82" s="655" t="s">
        <v>1167</v>
      </c>
      <c r="Q82" s="663"/>
      <c r="R82" s="149" t="str">
        <f t="shared" si="1"/>
        <v>201</v>
      </c>
      <c r="S82" s="149" t="s">
        <v>795</v>
      </c>
    </row>
    <row r="83" spans="1:19" ht="10.5" x14ac:dyDescent="0.25">
      <c r="A83" s="651" t="s">
        <v>240</v>
      </c>
      <c r="B83" s="655" t="s">
        <v>21</v>
      </c>
      <c r="C83" s="656">
        <v>45357</v>
      </c>
      <c r="D83" s="655" t="s">
        <v>4460</v>
      </c>
      <c r="E83" s="655" t="s">
        <v>4461</v>
      </c>
      <c r="F83" s="655" t="s">
        <v>4463</v>
      </c>
      <c r="G83" s="657">
        <v>4.2900000021038158</v>
      </c>
      <c r="H83" s="657">
        <v>-329228.15165607299</v>
      </c>
      <c r="I83" s="655"/>
      <c r="J83" s="655" t="s">
        <v>37</v>
      </c>
      <c r="K83" s="659">
        <v>-4.29</v>
      </c>
      <c r="L83" s="655" t="s">
        <v>4429</v>
      </c>
      <c r="M83" s="655" t="s">
        <v>27</v>
      </c>
      <c r="N83" s="655" t="s">
        <v>4357</v>
      </c>
      <c r="O83" s="655" t="s">
        <v>4245</v>
      </c>
      <c r="P83" s="655" t="s">
        <v>1167</v>
      </c>
      <c r="Q83" s="663"/>
      <c r="R83" s="149" t="str">
        <f t="shared" si="1"/>
        <v>201</v>
      </c>
      <c r="S83" s="149" t="s">
        <v>795</v>
      </c>
    </row>
    <row r="84" spans="1:19" ht="10.5" x14ac:dyDescent="0.25">
      <c r="A84" s="651" t="s">
        <v>240</v>
      </c>
      <c r="B84" s="655" t="s">
        <v>21</v>
      </c>
      <c r="C84" s="656">
        <v>45357</v>
      </c>
      <c r="D84" s="655" t="s">
        <v>4460</v>
      </c>
      <c r="E84" s="655" t="s">
        <v>4461</v>
      </c>
      <c r="F84" s="655" t="s">
        <v>4464</v>
      </c>
      <c r="G84" s="657">
        <v>-50.000000024519998</v>
      </c>
      <c r="H84" s="657">
        <v>-329278.1516560975</v>
      </c>
      <c r="I84" s="655"/>
      <c r="J84" s="655" t="s">
        <v>37</v>
      </c>
      <c r="K84" s="659">
        <v>50</v>
      </c>
      <c r="L84" s="655" t="s">
        <v>4429</v>
      </c>
      <c r="M84" s="655" t="s">
        <v>27</v>
      </c>
      <c r="N84" s="655" t="s">
        <v>4357</v>
      </c>
      <c r="O84" s="655" t="s">
        <v>4245</v>
      </c>
      <c r="P84" s="655" t="s">
        <v>1167</v>
      </c>
      <c r="Q84" s="663"/>
      <c r="R84" s="149" t="str">
        <f t="shared" si="1"/>
        <v>201</v>
      </c>
      <c r="S84" s="149" t="s">
        <v>782</v>
      </c>
    </row>
    <row r="85" spans="1:19" ht="10.5" x14ac:dyDescent="0.25">
      <c r="A85" s="651" t="s">
        <v>240</v>
      </c>
      <c r="B85" s="655" t="s">
        <v>21</v>
      </c>
      <c r="C85" s="656">
        <v>45358</v>
      </c>
      <c r="D85" s="655" t="s">
        <v>4465</v>
      </c>
      <c r="E85" s="655" t="s">
        <v>4466</v>
      </c>
      <c r="F85" s="655" t="s">
        <v>4466</v>
      </c>
      <c r="G85" s="657">
        <v>-57.000000027952801</v>
      </c>
      <c r="H85" s="657">
        <v>-329335.15165612544</v>
      </c>
      <c r="I85" s="655"/>
      <c r="J85" s="655" t="s">
        <v>68</v>
      </c>
      <c r="K85" s="659">
        <v>57</v>
      </c>
      <c r="L85" s="655" t="s">
        <v>4429</v>
      </c>
      <c r="M85" s="655" t="s">
        <v>27</v>
      </c>
      <c r="N85" s="655" t="s">
        <v>118</v>
      </c>
      <c r="O85" s="655" t="s">
        <v>4245</v>
      </c>
      <c r="P85" s="655" t="s">
        <v>1167</v>
      </c>
      <c r="Q85" s="663"/>
      <c r="R85" s="149" t="str">
        <f t="shared" si="1"/>
        <v>201</v>
      </c>
      <c r="S85" s="149" t="s">
        <v>782</v>
      </c>
    </row>
    <row r="86" spans="1:19" ht="10.5" x14ac:dyDescent="0.25">
      <c r="A86" s="651" t="s">
        <v>240</v>
      </c>
      <c r="B86" s="655" t="s">
        <v>21</v>
      </c>
      <c r="C86" s="656">
        <v>45364</v>
      </c>
      <c r="D86" s="655" t="s">
        <v>4467</v>
      </c>
      <c r="E86" s="655" t="s">
        <v>4468</v>
      </c>
      <c r="F86" s="655" t="s">
        <v>4469</v>
      </c>
      <c r="G86" s="657">
        <v>54857.755036889997</v>
      </c>
      <c r="H86" s="657">
        <v>-274477.39661923546</v>
      </c>
      <c r="I86" s="655"/>
      <c r="J86" s="655" t="s">
        <v>68</v>
      </c>
      <c r="K86" s="659">
        <v>-75000</v>
      </c>
      <c r="L86" s="655" t="s">
        <v>4429</v>
      </c>
      <c r="M86" s="655" t="s">
        <v>212</v>
      </c>
      <c r="N86" s="655" t="s">
        <v>4357</v>
      </c>
      <c r="O86" s="655" t="s">
        <v>4245</v>
      </c>
      <c r="P86" s="655" t="s">
        <v>1167</v>
      </c>
      <c r="Q86" s="663"/>
      <c r="R86" s="149" t="str">
        <f t="shared" si="1"/>
        <v>202</v>
      </c>
      <c r="S86" s="149" t="s">
        <v>4275</v>
      </c>
    </row>
    <row r="87" spans="1:19" ht="10.5" x14ac:dyDescent="0.25">
      <c r="A87" s="651" t="s">
        <v>240</v>
      </c>
      <c r="B87" s="655" t="s">
        <v>21</v>
      </c>
      <c r="C87" s="656">
        <v>45364</v>
      </c>
      <c r="D87" s="655" t="s">
        <v>4467</v>
      </c>
      <c r="E87" s="655" t="s">
        <v>4468</v>
      </c>
      <c r="F87" s="655" t="s">
        <v>4470</v>
      </c>
      <c r="G87" s="657">
        <v>40229.020360385999</v>
      </c>
      <c r="H87" s="657">
        <v>-234248.37625884946</v>
      </c>
      <c r="I87" s="655"/>
      <c r="J87" s="655" t="s">
        <v>68</v>
      </c>
      <c r="K87" s="659">
        <v>-55000</v>
      </c>
      <c r="L87" s="655" t="s">
        <v>4429</v>
      </c>
      <c r="M87" s="655" t="s">
        <v>212</v>
      </c>
      <c r="N87" s="655" t="s">
        <v>4357</v>
      </c>
      <c r="O87" s="655" t="s">
        <v>4245</v>
      </c>
      <c r="P87" s="655" t="s">
        <v>1167</v>
      </c>
      <c r="Q87" s="149"/>
      <c r="R87" s="149" t="str">
        <f t="shared" si="1"/>
        <v>202</v>
      </c>
      <c r="S87" s="149" t="s">
        <v>4275</v>
      </c>
    </row>
    <row r="88" spans="1:19" ht="10.5" x14ac:dyDescent="0.25">
      <c r="A88" s="651" t="s">
        <v>240</v>
      </c>
      <c r="B88" s="655" t="s">
        <v>249</v>
      </c>
      <c r="C88" s="656">
        <v>45365</v>
      </c>
      <c r="D88" s="655" t="s">
        <v>4471</v>
      </c>
      <c r="E88" s="655" t="s">
        <v>4472</v>
      </c>
      <c r="F88" s="655" t="s">
        <v>4472</v>
      </c>
      <c r="G88" s="657">
        <v>10550.679817017601</v>
      </c>
      <c r="H88" s="657">
        <v>-223697.69644183185</v>
      </c>
      <c r="I88" s="655" t="s">
        <v>4373</v>
      </c>
      <c r="J88" s="655" t="s">
        <v>68</v>
      </c>
      <c r="K88" s="696">
        <v>-9824.16</v>
      </c>
      <c r="L88" s="655" t="s">
        <v>4429</v>
      </c>
      <c r="M88" s="655" t="s">
        <v>38</v>
      </c>
      <c r="N88" s="655"/>
      <c r="O88" s="655" t="s">
        <v>4245</v>
      </c>
      <c r="P88" s="655" t="s">
        <v>1167</v>
      </c>
      <c r="Q88" s="149"/>
      <c r="R88" s="149" t="str">
        <f t="shared" si="1"/>
        <v>204</v>
      </c>
      <c r="S88" s="663" t="s">
        <v>4481</v>
      </c>
    </row>
    <row r="89" spans="1:19" ht="10.5" x14ac:dyDescent="0.25">
      <c r="A89" s="651" t="s">
        <v>240</v>
      </c>
      <c r="B89" s="655" t="s">
        <v>21</v>
      </c>
      <c r="C89" s="656">
        <v>45371</v>
      </c>
      <c r="D89" s="655" t="s">
        <v>4473</v>
      </c>
      <c r="E89" s="655" t="s">
        <v>4474</v>
      </c>
      <c r="F89" s="655" t="s">
        <v>4475</v>
      </c>
      <c r="G89" s="657">
        <v>13264.7507421624</v>
      </c>
      <c r="H89" s="657">
        <v>-210432.94569966945</v>
      </c>
      <c r="I89" s="655"/>
      <c r="J89" s="655" t="s">
        <v>68</v>
      </c>
      <c r="K89" s="659">
        <v>-20475</v>
      </c>
      <c r="L89" s="655" t="s">
        <v>4429</v>
      </c>
      <c r="M89" s="655" t="s">
        <v>197</v>
      </c>
      <c r="N89" s="655" t="s">
        <v>223</v>
      </c>
      <c r="O89" s="655" t="s">
        <v>4273</v>
      </c>
      <c r="P89" s="655" t="s">
        <v>1167</v>
      </c>
      <c r="Q89" s="149"/>
      <c r="R89" s="149" t="str">
        <f t="shared" si="1"/>
        <v>206</v>
      </c>
      <c r="S89" s="149" t="s">
        <v>4275</v>
      </c>
    </row>
    <row r="90" spans="1:19" ht="10.5" x14ac:dyDescent="0.25">
      <c r="A90" s="651" t="s">
        <v>240</v>
      </c>
      <c r="B90" s="655" t="s">
        <v>21</v>
      </c>
      <c r="C90" s="656">
        <v>45378</v>
      </c>
      <c r="D90" s="655" t="s">
        <v>4476</v>
      </c>
      <c r="E90" s="655" t="s">
        <v>4693</v>
      </c>
      <c r="F90" s="655" t="s">
        <v>4477</v>
      </c>
      <c r="G90" s="657">
        <v>71976.287167200004</v>
      </c>
      <c r="H90" s="657">
        <v>-138456.65853246945</v>
      </c>
      <c r="I90" s="655"/>
      <c r="J90" s="655" t="s">
        <v>68</v>
      </c>
      <c r="K90" s="698">
        <v>-6000000</v>
      </c>
      <c r="L90" s="655" t="s">
        <v>4429</v>
      </c>
      <c r="M90" s="655" t="s">
        <v>204</v>
      </c>
      <c r="N90" s="655" t="s">
        <v>223</v>
      </c>
      <c r="O90" s="655" t="s">
        <v>4272</v>
      </c>
      <c r="P90" s="655" t="s">
        <v>1167</v>
      </c>
      <c r="Q90" s="149"/>
      <c r="R90" s="149" t="str">
        <f t="shared" si="1"/>
        <v>207</v>
      </c>
      <c r="S90" s="149" t="s">
        <v>4481</v>
      </c>
    </row>
    <row r="91" spans="1:19" ht="10.5" x14ac:dyDescent="0.25">
      <c r="A91" s="651" t="s">
        <v>240</v>
      </c>
      <c r="B91" s="655" t="s">
        <v>241</v>
      </c>
      <c r="C91" s="656">
        <v>45382</v>
      </c>
      <c r="D91" s="655" t="s">
        <v>4478</v>
      </c>
      <c r="E91" s="655"/>
      <c r="F91" s="655"/>
      <c r="G91" s="657">
        <v>844.35208495560005</v>
      </c>
      <c r="H91" s="657">
        <v>-137612.30644751384</v>
      </c>
      <c r="I91" s="655"/>
      <c r="J91" s="655" t="s">
        <v>68</v>
      </c>
      <c r="K91" s="696">
        <v>0</v>
      </c>
      <c r="L91" s="655" t="s">
        <v>4429</v>
      </c>
      <c r="M91" s="655" t="s">
        <v>197</v>
      </c>
      <c r="N91" s="655"/>
      <c r="O91" s="655" t="s">
        <v>4245</v>
      </c>
      <c r="P91" s="655" t="s">
        <v>1167</v>
      </c>
      <c r="Q91" s="149"/>
      <c r="R91" s="149" t="str">
        <f t="shared" si="1"/>
        <v>206</v>
      </c>
      <c r="S91" s="149" t="s">
        <v>243</v>
      </c>
    </row>
    <row r="92" spans="1:19" ht="10.5" x14ac:dyDescent="0.25">
      <c r="A92" s="651" t="s">
        <v>240</v>
      </c>
      <c r="B92" s="655" t="s">
        <v>241</v>
      </c>
      <c r="C92" s="656">
        <v>45382</v>
      </c>
      <c r="D92" s="655" t="s">
        <v>4479</v>
      </c>
      <c r="E92" s="655"/>
      <c r="F92" s="655"/>
      <c r="G92" s="657">
        <v>-982.72010701800002</v>
      </c>
      <c r="H92" s="657">
        <v>-138595.02655453183</v>
      </c>
      <c r="I92" s="655"/>
      <c r="J92" s="655" t="s">
        <v>68</v>
      </c>
      <c r="K92" s="696">
        <v>0</v>
      </c>
      <c r="L92" s="655" t="s">
        <v>4429</v>
      </c>
      <c r="M92" s="655" t="s">
        <v>201</v>
      </c>
      <c r="N92" s="655"/>
      <c r="O92" s="655" t="s">
        <v>4245</v>
      </c>
      <c r="P92" s="655" t="s">
        <v>1167</v>
      </c>
      <c r="Q92" s="149"/>
      <c r="R92" s="149" t="str">
        <f t="shared" si="1"/>
        <v>203</v>
      </c>
      <c r="S92" s="149" t="s">
        <v>243</v>
      </c>
    </row>
    <row r="93" spans="1:19" ht="10.5" x14ac:dyDescent="0.25">
      <c r="A93" s="651" t="s">
        <v>240</v>
      </c>
      <c r="B93" s="655" t="s">
        <v>241</v>
      </c>
      <c r="C93" s="656">
        <v>45382</v>
      </c>
      <c r="D93" s="655" t="s">
        <v>4480</v>
      </c>
      <c r="E93" s="655"/>
      <c r="F93" s="655"/>
      <c r="G93" s="657">
        <v>-1743.8194050264001</v>
      </c>
      <c r="H93" s="657">
        <v>-140338.84595955824</v>
      </c>
      <c r="I93" s="655"/>
      <c r="J93" s="655" t="s">
        <v>68</v>
      </c>
      <c r="K93" s="696">
        <v>0</v>
      </c>
      <c r="L93" s="655" t="s">
        <v>4429</v>
      </c>
      <c r="M93" s="655" t="s">
        <v>193</v>
      </c>
      <c r="N93" s="655"/>
      <c r="O93" s="655" t="s">
        <v>4245</v>
      </c>
      <c r="P93" s="655" t="s">
        <v>1167</v>
      </c>
      <c r="Q93" s="149"/>
      <c r="R93" s="149" t="str">
        <f t="shared" si="1"/>
        <v>208</v>
      </c>
      <c r="S93" s="149" t="s">
        <v>243</v>
      </c>
    </row>
    <row r="94" spans="1:19" ht="10.5" x14ac:dyDescent="0.25">
      <c r="A94" s="651" t="s">
        <v>240</v>
      </c>
      <c r="B94" s="655" t="s">
        <v>21</v>
      </c>
      <c r="C94" s="656">
        <v>45382</v>
      </c>
      <c r="D94" s="655" t="s">
        <v>4551</v>
      </c>
      <c r="E94" s="655" t="s">
        <v>4552</v>
      </c>
      <c r="F94" s="655" t="s">
        <v>4552</v>
      </c>
      <c r="G94" s="657">
        <v>-50182.571925720003</v>
      </c>
      <c r="H94" s="657">
        <v>-190521.41788527824</v>
      </c>
      <c r="I94" s="655"/>
      <c r="J94" s="655" t="s">
        <v>68</v>
      </c>
      <c r="K94" s="696">
        <v>46727</v>
      </c>
      <c r="L94" s="655" t="s">
        <v>4429</v>
      </c>
      <c r="M94" s="655" t="s">
        <v>61</v>
      </c>
      <c r="N94" s="655" t="s">
        <v>39</v>
      </c>
      <c r="O94" s="655" t="s">
        <v>4245</v>
      </c>
      <c r="P94" s="655" t="s">
        <v>1167</v>
      </c>
      <c r="Q94" s="149"/>
      <c r="R94" s="149" t="str">
        <f t="shared" si="1"/>
        <v>101</v>
      </c>
      <c r="S94" s="149" t="s">
        <v>799</v>
      </c>
    </row>
    <row r="95" spans="1:19" ht="10.5" x14ac:dyDescent="0.25">
      <c r="A95" s="651" t="s">
        <v>240</v>
      </c>
      <c r="B95" s="655" t="s">
        <v>21</v>
      </c>
      <c r="C95" s="656">
        <v>45382</v>
      </c>
      <c r="D95" s="655" t="s">
        <v>4574</v>
      </c>
      <c r="E95" s="655" t="s">
        <v>4575</v>
      </c>
      <c r="F95" s="655" t="s">
        <v>4575</v>
      </c>
      <c r="G95" s="657">
        <v>-803829.71450808004</v>
      </c>
      <c r="H95" s="657">
        <v>-994351.13239335828</v>
      </c>
      <c r="I95" s="655"/>
      <c r="J95" s="655" t="s">
        <v>68</v>
      </c>
      <c r="K95" s="696">
        <v>748478</v>
      </c>
      <c r="L95" s="655" t="s">
        <v>4429</v>
      </c>
      <c r="M95" s="655" t="s">
        <v>61</v>
      </c>
      <c r="N95" s="655" t="s">
        <v>118</v>
      </c>
      <c r="O95" s="655" t="s">
        <v>4245</v>
      </c>
      <c r="P95" s="655" t="s">
        <v>1167</v>
      </c>
      <c r="Q95" s="149"/>
      <c r="R95" s="149" t="str">
        <f t="shared" si="1"/>
        <v>101</v>
      </c>
      <c r="S95" s="149" t="s">
        <v>4569</v>
      </c>
    </row>
    <row r="96" spans="1:19" ht="10.5" x14ac:dyDescent="0.25">
      <c r="A96" s="651" t="s">
        <v>240</v>
      </c>
      <c r="B96" s="655" t="s">
        <v>21</v>
      </c>
      <c r="C96" s="656">
        <v>45382</v>
      </c>
      <c r="D96" s="655" t="s">
        <v>4576</v>
      </c>
      <c r="E96" s="655" t="s">
        <v>4577</v>
      </c>
      <c r="F96" s="655" t="s">
        <v>4577</v>
      </c>
      <c r="G96" s="657">
        <v>-67674.452854460396</v>
      </c>
      <c r="H96" s="657">
        <v>-1062025.5852478186</v>
      </c>
      <c r="I96" s="655"/>
      <c r="J96" s="655" t="s">
        <v>68</v>
      </c>
      <c r="K96" s="696">
        <v>725805</v>
      </c>
      <c r="L96" s="655" t="s">
        <v>4429</v>
      </c>
      <c r="M96" s="655" t="s">
        <v>193</v>
      </c>
      <c r="N96" s="655" t="s">
        <v>39</v>
      </c>
      <c r="O96" s="655" t="s">
        <v>4245</v>
      </c>
      <c r="P96" s="655" t="s">
        <v>1167</v>
      </c>
      <c r="Q96" s="149"/>
      <c r="R96" s="149" t="str">
        <f t="shared" si="1"/>
        <v>208</v>
      </c>
      <c r="S96" s="699" t="s">
        <v>4481</v>
      </c>
    </row>
    <row r="97" spans="1:19" ht="10.5" x14ac:dyDescent="0.25">
      <c r="A97" s="651" t="s">
        <v>240</v>
      </c>
      <c r="B97" s="655" t="s">
        <v>21</v>
      </c>
      <c r="C97" s="656">
        <v>45382</v>
      </c>
      <c r="D97" s="655" t="s">
        <v>4557</v>
      </c>
      <c r="E97" s="655" t="s">
        <v>4558</v>
      </c>
      <c r="F97" s="655" t="s">
        <v>4558</v>
      </c>
      <c r="G97" s="657">
        <v>-17042.775787188028</v>
      </c>
      <c r="H97" s="657">
        <v>-1079068.3610350066</v>
      </c>
      <c r="I97" s="655"/>
      <c r="J97" s="655" t="s">
        <v>68</v>
      </c>
      <c r="K97" s="696">
        <v>23300.41</v>
      </c>
      <c r="L97" s="655" t="s">
        <v>4429</v>
      </c>
      <c r="M97" s="655" t="s">
        <v>212</v>
      </c>
      <c r="N97" s="655" t="s">
        <v>118</v>
      </c>
      <c r="O97" s="655" t="s">
        <v>4245</v>
      </c>
      <c r="P97" s="655" t="s">
        <v>1167</v>
      </c>
      <c r="Q97" s="149"/>
      <c r="R97" s="149" t="str">
        <f t="shared" si="1"/>
        <v>202</v>
      </c>
      <c r="S97" s="149" t="s">
        <v>4569</v>
      </c>
    </row>
    <row r="98" spans="1:19" ht="10.5" x14ac:dyDescent="0.25">
      <c r="A98" s="651" t="s">
        <v>240</v>
      </c>
      <c r="B98" s="655" t="s">
        <v>21</v>
      </c>
      <c r="C98" s="656">
        <v>45382</v>
      </c>
      <c r="D98" s="655" t="s">
        <v>4560</v>
      </c>
      <c r="E98" s="655" t="s">
        <v>4561</v>
      </c>
      <c r="F98" s="655" t="s">
        <v>4561</v>
      </c>
      <c r="G98" s="657">
        <v>-2540.7085090965552</v>
      </c>
      <c r="H98" s="657">
        <v>-1081609.0695441032</v>
      </c>
      <c r="I98" s="655"/>
      <c r="J98" s="655" t="s">
        <v>68</v>
      </c>
      <c r="K98" s="696">
        <v>9332</v>
      </c>
      <c r="L98" s="655" t="s">
        <v>4429</v>
      </c>
      <c r="M98" s="655" t="s">
        <v>308</v>
      </c>
      <c r="N98" s="655" t="s">
        <v>118</v>
      </c>
      <c r="O98" s="655" t="s">
        <v>4245</v>
      </c>
      <c r="P98" s="655" t="s">
        <v>1167</v>
      </c>
      <c r="Q98" s="149"/>
      <c r="R98" s="149" t="str">
        <f t="shared" si="1"/>
        <v>209</v>
      </c>
      <c r="S98" s="149" t="s">
        <v>4569</v>
      </c>
    </row>
    <row r="99" spans="1:19" ht="10.5" x14ac:dyDescent="0.25">
      <c r="A99" s="651" t="s">
        <v>240</v>
      </c>
      <c r="B99" s="655" t="s">
        <v>21</v>
      </c>
      <c r="C99" s="656">
        <v>45382</v>
      </c>
      <c r="D99" s="655" t="s">
        <v>4562</v>
      </c>
      <c r="E99" s="655" t="s">
        <v>4561</v>
      </c>
      <c r="F99" s="655" t="s">
        <v>4561</v>
      </c>
      <c r="G99" s="657">
        <v>-29773.18127628</v>
      </c>
      <c r="H99" s="657">
        <v>-1111382.2508203832</v>
      </c>
      <c r="I99" s="655"/>
      <c r="J99" s="655" t="s">
        <v>68</v>
      </c>
      <c r="K99" s="696">
        <v>27723</v>
      </c>
      <c r="L99" s="655" t="s">
        <v>4429</v>
      </c>
      <c r="M99" s="655" t="s">
        <v>38</v>
      </c>
      <c r="N99" s="655" t="s">
        <v>118</v>
      </c>
      <c r="O99" s="655" t="s">
        <v>4245</v>
      </c>
      <c r="P99" s="655" t="s">
        <v>1167</v>
      </c>
      <c r="Q99" s="149"/>
      <c r="R99" s="149" t="str">
        <f t="shared" si="1"/>
        <v>204</v>
      </c>
      <c r="S99" s="149" t="s">
        <v>4569</v>
      </c>
    </row>
    <row r="100" spans="1:19" ht="10.5" x14ac:dyDescent="0.25">
      <c r="A100" s="651" t="s">
        <v>240</v>
      </c>
      <c r="B100" s="655" t="s">
        <v>21</v>
      </c>
      <c r="C100" s="656">
        <v>45382</v>
      </c>
      <c r="D100" s="655" t="s">
        <v>4563</v>
      </c>
      <c r="E100" s="655" t="s">
        <v>4561</v>
      </c>
      <c r="F100" s="655" t="s">
        <v>4561</v>
      </c>
      <c r="G100" s="657">
        <v>-31870.170441129056</v>
      </c>
      <c r="H100" s="657">
        <v>-1143252.4212615122</v>
      </c>
      <c r="I100" s="655"/>
      <c r="J100" s="655" t="s">
        <v>68</v>
      </c>
      <c r="K100" s="696">
        <v>25193</v>
      </c>
      <c r="L100" s="655" t="s">
        <v>4429</v>
      </c>
      <c r="M100" s="655" t="s">
        <v>186</v>
      </c>
      <c r="N100" s="655" t="s">
        <v>118</v>
      </c>
      <c r="O100" s="655" t="s">
        <v>4245</v>
      </c>
      <c r="P100" s="655" t="s">
        <v>1167</v>
      </c>
      <c r="Q100" s="149"/>
      <c r="R100" s="149" t="str">
        <f t="shared" si="1"/>
        <v>205</v>
      </c>
      <c r="S100" s="149" t="s">
        <v>4569</v>
      </c>
    </row>
    <row r="101" spans="1:19" ht="10.5" x14ac:dyDescent="0.25">
      <c r="A101" s="651" t="s">
        <v>240</v>
      </c>
      <c r="B101" s="655" t="s">
        <v>21</v>
      </c>
      <c r="C101" s="656">
        <v>45382</v>
      </c>
      <c r="D101" s="655" t="s">
        <v>4564</v>
      </c>
      <c r="E101" s="655" t="s">
        <v>4561</v>
      </c>
      <c r="F101" s="655" t="s">
        <v>4561</v>
      </c>
      <c r="G101" s="657">
        <v>-3319.5867447599999</v>
      </c>
      <c r="H101" s="657">
        <v>-1146572.0080062721</v>
      </c>
      <c r="I101" s="655"/>
      <c r="J101" s="655" t="s">
        <v>68</v>
      </c>
      <c r="K101" s="696">
        <v>3091</v>
      </c>
      <c r="L101" s="655" t="s">
        <v>4429</v>
      </c>
      <c r="M101" s="655" t="s">
        <v>193</v>
      </c>
      <c r="N101" s="655" t="s">
        <v>118</v>
      </c>
      <c r="O101" s="655" t="s">
        <v>4245</v>
      </c>
      <c r="P101" s="655" t="s">
        <v>1167</v>
      </c>
      <c r="Q101" s="149"/>
      <c r="R101" s="149" t="str">
        <f t="shared" si="1"/>
        <v>208</v>
      </c>
      <c r="S101" s="149" t="s">
        <v>4569</v>
      </c>
    </row>
    <row r="102" spans="1:19" ht="10.5" x14ac:dyDescent="0.25">
      <c r="A102" s="651" t="s">
        <v>240</v>
      </c>
      <c r="B102" s="655" t="s">
        <v>21</v>
      </c>
      <c r="C102" s="656">
        <v>45382</v>
      </c>
      <c r="D102" s="655" t="s">
        <v>4565</v>
      </c>
      <c r="E102" s="655" t="s">
        <v>4561</v>
      </c>
      <c r="F102" s="655" t="s">
        <v>4561</v>
      </c>
      <c r="G102" s="657">
        <v>-5644.6936041600002</v>
      </c>
      <c r="H102" s="657">
        <v>-1152216.7016104322</v>
      </c>
      <c r="I102" s="655"/>
      <c r="J102" s="655" t="s">
        <v>25</v>
      </c>
      <c r="K102" s="696">
        <v>5256</v>
      </c>
      <c r="L102" s="655" t="s">
        <v>4429</v>
      </c>
      <c r="M102" s="655" t="s">
        <v>4194</v>
      </c>
      <c r="N102" s="655" t="s">
        <v>118</v>
      </c>
      <c r="O102" s="655" t="s">
        <v>4245</v>
      </c>
      <c r="P102" s="655" t="s">
        <v>1167</v>
      </c>
      <c r="Q102" s="149"/>
      <c r="R102" s="149" t="str">
        <f t="shared" si="1"/>
        <v>210</v>
      </c>
      <c r="S102" s="149" t="s">
        <v>4569</v>
      </c>
    </row>
    <row r="103" spans="1:19" ht="10.5" x14ac:dyDescent="0.25">
      <c r="A103" s="651" t="s">
        <v>240</v>
      </c>
      <c r="B103" s="655" t="s">
        <v>21</v>
      </c>
      <c r="C103" s="656">
        <v>45382</v>
      </c>
      <c r="D103" s="655" t="s">
        <v>4566</v>
      </c>
      <c r="E103" s="655" t="s">
        <v>4561</v>
      </c>
      <c r="F103" s="655" t="s">
        <v>4561</v>
      </c>
      <c r="G103" s="657">
        <v>-5185.6971050195998</v>
      </c>
      <c r="H103" s="657">
        <v>-1157402.3987154518</v>
      </c>
      <c r="I103" s="655"/>
      <c r="J103" s="655" t="s">
        <v>68</v>
      </c>
      <c r="K103" s="696">
        <v>7992</v>
      </c>
      <c r="L103" s="655" t="s">
        <v>4429</v>
      </c>
      <c r="M103" s="655" t="s">
        <v>197</v>
      </c>
      <c r="N103" s="655" t="s">
        <v>118</v>
      </c>
      <c r="O103" s="655" t="s">
        <v>4245</v>
      </c>
      <c r="P103" s="655" t="s">
        <v>1167</v>
      </c>
      <c r="Q103" s="149"/>
      <c r="R103" s="149" t="str">
        <f t="shared" si="1"/>
        <v>206</v>
      </c>
      <c r="S103" s="149" t="s">
        <v>4569</v>
      </c>
    </row>
    <row r="104" spans="1:19" ht="10.5" x14ac:dyDescent="0.25">
      <c r="A104" s="651" t="s">
        <v>240</v>
      </c>
      <c r="B104" s="655" t="s">
        <v>21</v>
      </c>
      <c r="C104" s="656">
        <v>45382</v>
      </c>
      <c r="D104" s="655" t="s">
        <v>4567</v>
      </c>
      <c r="E104" s="655" t="s">
        <v>4561</v>
      </c>
      <c r="F104" s="655" t="s">
        <v>4561</v>
      </c>
      <c r="G104" s="657">
        <v>-61024.153624874372</v>
      </c>
      <c r="H104" s="657">
        <v>-1218426.5523403261</v>
      </c>
      <c r="I104" s="655"/>
      <c r="J104" s="655" t="s">
        <v>68</v>
      </c>
      <c r="K104" s="696">
        <v>5087021.5199999996</v>
      </c>
      <c r="L104" s="655" t="s">
        <v>4429</v>
      </c>
      <c r="M104" s="655" t="s">
        <v>204</v>
      </c>
      <c r="N104" s="655" t="s">
        <v>118</v>
      </c>
      <c r="O104" s="655" t="s">
        <v>4245</v>
      </c>
      <c r="P104" s="655" t="s">
        <v>1167</v>
      </c>
      <c r="Q104" s="149"/>
      <c r="R104" s="149" t="str">
        <f t="shared" si="1"/>
        <v>207</v>
      </c>
      <c r="S104" s="149" t="s">
        <v>4569</v>
      </c>
    </row>
    <row r="105" spans="1:19" ht="10.5" x14ac:dyDescent="0.25">
      <c r="A105" s="651" t="s">
        <v>240</v>
      </c>
      <c r="B105" s="655" t="s">
        <v>21</v>
      </c>
      <c r="C105" s="656">
        <v>45382</v>
      </c>
      <c r="D105" s="655" t="s">
        <v>4568</v>
      </c>
      <c r="E105" s="655" t="s">
        <v>4561</v>
      </c>
      <c r="F105" s="655" t="s">
        <v>4561</v>
      </c>
      <c r="G105" s="657">
        <v>-4994.2113992315999</v>
      </c>
      <c r="H105" s="657">
        <v>-1223420.7637395577</v>
      </c>
      <c r="I105" s="655"/>
      <c r="J105" s="655" t="s">
        <v>68</v>
      </c>
      <c r="K105" s="696">
        <v>6772.75</v>
      </c>
      <c r="L105" s="655" t="s">
        <v>4429</v>
      </c>
      <c r="M105" s="655" t="s">
        <v>201</v>
      </c>
      <c r="N105" s="655" t="s">
        <v>118</v>
      </c>
      <c r="O105" s="655" t="s">
        <v>4245</v>
      </c>
      <c r="P105" s="655" t="s">
        <v>1167</v>
      </c>
      <c r="Q105" s="149"/>
      <c r="R105" s="149" t="str">
        <f t="shared" si="1"/>
        <v>203</v>
      </c>
      <c r="S105" s="149" t="s">
        <v>4569</v>
      </c>
    </row>
    <row r="106" spans="1:19" ht="10.5" x14ac:dyDescent="0.25">
      <c r="A106" s="651" t="s">
        <v>240</v>
      </c>
      <c r="B106" s="655" t="s">
        <v>21</v>
      </c>
      <c r="C106" s="656">
        <v>45382</v>
      </c>
      <c r="D106" s="655" t="s">
        <v>4553</v>
      </c>
      <c r="E106" s="655" t="s">
        <v>4554</v>
      </c>
      <c r="F106" s="655" t="s">
        <v>4554</v>
      </c>
      <c r="G106" s="657">
        <v>-1032690</v>
      </c>
      <c r="H106" s="657">
        <v>-2256110.7637395579</v>
      </c>
      <c r="I106" s="655"/>
      <c r="J106" s="655" t="s">
        <v>68</v>
      </c>
      <c r="K106" s="696">
        <v>1032690</v>
      </c>
      <c r="L106" s="655" t="s">
        <v>4429</v>
      </c>
      <c r="M106" s="655" t="s">
        <v>117</v>
      </c>
      <c r="N106" s="655" t="s">
        <v>118</v>
      </c>
      <c r="O106" s="655" t="s">
        <v>4245</v>
      </c>
      <c r="P106" s="655" t="s">
        <v>1167</v>
      </c>
      <c r="Q106" s="149"/>
      <c r="R106" s="149" t="str">
        <f t="shared" si="1"/>
        <v>300</v>
      </c>
      <c r="S106" s="149" t="s">
        <v>4569</v>
      </c>
    </row>
    <row r="107" spans="1:19" ht="10.5" x14ac:dyDescent="0.25">
      <c r="A107" s="651" t="s">
        <v>240</v>
      </c>
      <c r="B107" s="655" t="s">
        <v>21</v>
      </c>
      <c r="C107" s="656">
        <v>45382</v>
      </c>
      <c r="D107" s="655" t="s">
        <v>4553</v>
      </c>
      <c r="E107" s="655" t="s">
        <v>4554</v>
      </c>
      <c r="F107" s="655" t="s">
        <v>4578</v>
      </c>
      <c r="G107" s="657">
        <v>-117461</v>
      </c>
      <c r="H107" s="657">
        <v>-2373571.7637395579</v>
      </c>
      <c r="I107" s="655"/>
      <c r="J107" s="655" t="s">
        <v>68</v>
      </c>
      <c r="K107" s="696">
        <v>117461</v>
      </c>
      <c r="L107" s="655" t="s">
        <v>4429</v>
      </c>
      <c r="M107" s="655" t="s">
        <v>117</v>
      </c>
      <c r="N107" s="655" t="s">
        <v>118</v>
      </c>
      <c r="O107" s="655" t="s">
        <v>4245</v>
      </c>
      <c r="P107" s="655" t="s">
        <v>1167</v>
      </c>
      <c r="Q107" s="149"/>
      <c r="R107" s="149" t="str">
        <f t="shared" ref="R107:R152" si="2">LEFT(M107,3)</f>
        <v>300</v>
      </c>
      <c r="S107" s="149" t="s">
        <v>4569</v>
      </c>
    </row>
    <row r="108" spans="1:19" ht="10.5" x14ac:dyDescent="0.25">
      <c r="A108" s="651" t="s">
        <v>240</v>
      </c>
      <c r="B108" s="655" t="s">
        <v>21</v>
      </c>
      <c r="C108" s="656">
        <v>45382</v>
      </c>
      <c r="D108" s="655" t="s">
        <v>4572</v>
      </c>
      <c r="E108" s="655" t="s">
        <v>4556</v>
      </c>
      <c r="F108" s="655" t="s">
        <v>4556</v>
      </c>
      <c r="G108" s="657">
        <v>-7695.1288136196863</v>
      </c>
      <c r="H108" s="657">
        <v>-2381266.8925531777</v>
      </c>
      <c r="I108" s="655"/>
      <c r="J108" s="655" t="s">
        <v>68</v>
      </c>
      <c r="K108" s="696">
        <v>641472</v>
      </c>
      <c r="L108" s="655" t="s">
        <v>4429</v>
      </c>
      <c r="M108" s="655" t="s">
        <v>204</v>
      </c>
      <c r="N108" s="655" t="s">
        <v>118</v>
      </c>
      <c r="O108" s="655" t="s">
        <v>4245</v>
      </c>
      <c r="P108" s="655" t="s">
        <v>1167</v>
      </c>
      <c r="Q108" s="149"/>
      <c r="R108" s="149" t="str">
        <f t="shared" si="2"/>
        <v>207</v>
      </c>
      <c r="S108" s="699" t="s">
        <v>3845</v>
      </c>
    </row>
    <row r="109" spans="1:19" ht="10.5" x14ac:dyDescent="0.25">
      <c r="A109" s="651" t="s">
        <v>240</v>
      </c>
      <c r="B109" s="655" t="s">
        <v>21</v>
      </c>
      <c r="C109" s="656">
        <v>45382</v>
      </c>
      <c r="D109" s="655" t="s">
        <v>4573</v>
      </c>
      <c r="E109" s="655" t="s">
        <v>4556</v>
      </c>
      <c r="F109" s="655" t="s">
        <v>4556</v>
      </c>
      <c r="G109" s="657">
        <v>-19993.771086119999</v>
      </c>
      <c r="H109" s="657">
        <v>-2401260.6636392977</v>
      </c>
      <c r="I109" s="655"/>
      <c r="J109" s="655" t="s">
        <v>68</v>
      </c>
      <c r="K109" s="696">
        <v>18617</v>
      </c>
      <c r="L109" s="655" t="s">
        <v>4429</v>
      </c>
      <c r="M109" s="655" t="s">
        <v>193</v>
      </c>
      <c r="N109" s="655" t="s">
        <v>118</v>
      </c>
      <c r="O109" s="655" t="s">
        <v>4245</v>
      </c>
      <c r="P109" s="655" t="s">
        <v>1167</v>
      </c>
      <c r="Q109" s="149"/>
      <c r="R109" s="149" t="str">
        <f t="shared" si="2"/>
        <v>208</v>
      </c>
      <c r="S109" s="699" t="s">
        <v>3845</v>
      </c>
    </row>
    <row r="110" spans="1:19" ht="10.5" x14ac:dyDescent="0.25">
      <c r="A110" s="651" t="s">
        <v>240</v>
      </c>
      <c r="B110" s="655" t="s">
        <v>241</v>
      </c>
      <c r="C110" s="656">
        <v>45383</v>
      </c>
      <c r="D110" s="655" t="s">
        <v>4694</v>
      </c>
      <c r="E110" s="655"/>
      <c r="F110" s="655"/>
      <c r="G110" s="657">
        <v>-844.35208495560005</v>
      </c>
      <c r="H110" s="657">
        <v>-2402105.0157242534</v>
      </c>
      <c r="I110" s="655"/>
      <c r="J110" s="655" t="s">
        <v>68</v>
      </c>
      <c r="K110" s="696">
        <v>0</v>
      </c>
      <c r="L110" s="655" t="s">
        <v>4616</v>
      </c>
      <c r="M110" s="655" t="s">
        <v>197</v>
      </c>
      <c r="N110" s="655"/>
      <c r="O110" s="655" t="s">
        <v>4245</v>
      </c>
      <c r="P110" s="655" t="s">
        <v>1167</v>
      </c>
      <c r="Q110" s="149"/>
      <c r="R110" s="149" t="str">
        <f t="shared" si="2"/>
        <v>206</v>
      </c>
      <c r="S110" s="699" t="s">
        <v>243</v>
      </c>
    </row>
    <row r="111" spans="1:19" ht="10.5" x14ac:dyDescent="0.25">
      <c r="A111" s="651" t="s">
        <v>240</v>
      </c>
      <c r="B111" s="655" t="s">
        <v>241</v>
      </c>
      <c r="C111" s="656">
        <v>45383</v>
      </c>
      <c r="D111" s="655" t="s">
        <v>4695</v>
      </c>
      <c r="E111" s="655"/>
      <c r="F111" s="655"/>
      <c r="G111" s="657">
        <v>982.72010701800002</v>
      </c>
      <c r="H111" s="657">
        <v>-2401122.2956172354</v>
      </c>
      <c r="I111" s="655"/>
      <c r="J111" s="655" t="s">
        <v>68</v>
      </c>
      <c r="K111" s="696">
        <v>0</v>
      </c>
      <c r="L111" s="655" t="s">
        <v>4616</v>
      </c>
      <c r="M111" s="655" t="s">
        <v>201</v>
      </c>
      <c r="N111" s="655"/>
      <c r="O111" s="655" t="s">
        <v>4245</v>
      </c>
      <c r="P111" s="655" t="s">
        <v>1167</v>
      </c>
      <c r="Q111" s="149"/>
      <c r="R111" s="149" t="str">
        <f t="shared" si="2"/>
        <v>203</v>
      </c>
      <c r="S111" s="699" t="s">
        <v>243</v>
      </c>
    </row>
    <row r="112" spans="1:19" ht="10.5" x14ac:dyDescent="0.25">
      <c r="A112" s="651" t="s">
        <v>240</v>
      </c>
      <c r="B112" s="655" t="s">
        <v>241</v>
      </c>
      <c r="C112" s="656">
        <v>45383</v>
      </c>
      <c r="D112" s="655" t="s">
        <v>4696</v>
      </c>
      <c r="E112" s="655"/>
      <c r="F112" s="655"/>
      <c r="G112" s="657">
        <v>1743.8194050264001</v>
      </c>
      <c r="H112" s="657">
        <v>-2399378.4762122091</v>
      </c>
      <c r="I112" s="655"/>
      <c r="J112" s="655" t="s">
        <v>68</v>
      </c>
      <c r="K112" s="696">
        <v>0</v>
      </c>
      <c r="L112" s="655" t="s">
        <v>4616</v>
      </c>
      <c r="M112" s="655" t="s">
        <v>193</v>
      </c>
      <c r="N112" s="655"/>
      <c r="O112" s="655" t="s">
        <v>4245</v>
      </c>
      <c r="P112" s="655" t="s">
        <v>1167</v>
      </c>
      <c r="Q112" s="149"/>
      <c r="R112" s="149" t="str">
        <f t="shared" si="2"/>
        <v>208</v>
      </c>
      <c r="S112" s="699" t="s">
        <v>243</v>
      </c>
    </row>
    <row r="113" spans="1:19" ht="10.5" x14ac:dyDescent="0.25">
      <c r="A113" s="651" t="s">
        <v>240</v>
      </c>
      <c r="B113" s="655" t="s">
        <v>21</v>
      </c>
      <c r="C113" s="656">
        <v>45386</v>
      </c>
      <c r="D113" s="655" t="s">
        <v>4697</v>
      </c>
      <c r="E113" s="655" t="s">
        <v>4698</v>
      </c>
      <c r="F113" s="655" t="s">
        <v>4698</v>
      </c>
      <c r="G113" s="657">
        <v>199.80000009798192</v>
      </c>
      <c r="H113" s="657">
        <v>-2399178.676212111</v>
      </c>
      <c r="I113" s="655"/>
      <c r="J113" s="655" t="s">
        <v>37</v>
      </c>
      <c r="K113" s="696">
        <v>-199.8</v>
      </c>
      <c r="L113" s="655" t="s">
        <v>4616</v>
      </c>
      <c r="M113" s="655" t="s">
        <v>27</v>
      </c>
      <c r="N113" s="655" t="s">
        <v>4357</v>
      </c>
      <c r="O113" s="655" t="s">
        <v>4245</v>
      </c>
      <c r="P113" s="655" t="s">
        <v>1167</v>
      </c>
      <c r="Q113" s="149"/>
      <c r="R113" s="149" t="str">
        <f t="shared" si="2"/>
        <v>201</v>
      </c>
      <c r="S113" s="699" t="s">
        <v>782</v>
      </c>
    </row>
    <row r="114" spans="1:19" ht="10.5" x14ac:dyDescent="0.25">
      <c r="A114" s="651" t="s">
        <v>240</v>
      </c>
      <c r="B114" s="655" t="s">
        <v>21</v>
      </c>
      <c r="C114" s="656">
        <v>45386</v>
      </c>
      <c r="D114" s="655" t="s">
        <v>4697</v>
      </c>
      <c r="E114" s="655" t="s">
        <v>4698</v>
      </c>
      <c r="F114" s="655" t="s">
        <v>4699</v>
      </c>
      <c r="G114" s="657">
        <v>15.770000007733609</v>
      </c>
      <c r="H114" s="657">
        <v>-2399162.9062121031</v>
      </c>
      <c r="I114" s="655"/>
      <c r="J114" s="655" t="s">
        <v>37</v>
      </c>
      <c r="K114" s="696">
        <v>-15.77</v>
      </c>
      <c r="L114" s="655" t="s">
        <v>4616</v>
      </c>
      <c r="M114" s="655" t="s">
        <v>27</v>
      </c>
      <c r="N114" s="655" t="s">
        <v>4357</v>
      </c>
      <c r="O114" s="655" t="s">
        <v>4245</v>
      </c>
      <c r="P114" s="655" t="s">
        <v>1167</v>
      </c>
      <c r="Q114" s="149"/>
      <c r="R114" s="149" t="str">
        <f t="shared" si="2"/>
        <v>201</v>
      </c>
      <c r="S114" s="699" t="s">
        <v>795</v>
      </c>
    </row>
    <row r="115" spans="1:19" ht="10.5" x14ac:dyDescent="0.25">
      <c r="A115" s="651" t="s">
        <v>240</v>
      </c>
      <c r="B115" s="655" t="s">
        <v>21</v>
      </c>
      <c r="C115" s="656">
        <v>45386</v>
      </c>
      <c r="D115" s="655" t="s">
        <v>4697</v>
      </c>
      <c r="E115" s="655" t="s">
        <v>4698</v>
      </c>
      <c r="F115" s="655" t="s">
        <v>4700</v>
      </c>
      <c r="G115" s="657">
        <v>21.990000010783895</v>
      </c>
      <c r="H115" s="657">
        <v>-2399140.9162120922</v>
      </c>
      <c r="I115" s="655"/>
      <c r="J115" s="655" t="s">
        <v>37</v>
      </c>
      <c r="K115" s="696">
        <v>-21.99</v>
      </c>
      <c r="L115" s="655" t="s">
        <v>4616</v>
      </c>
      <c r="M115" s="655" t="s">
        <v>27</v>
      </c>
      <c r="N115" s="655" t="s">
        <v>4357</v>
      </c>
      <c r="O115" s="655" t="s">
        <v>4245</v>
      </c>
      <c r="P115" s="655" t="s">
        <v>1167</v>
      </c>
      <c r="Q115" s="149"/>
      <c r="R115" s="149" t="str">
        <f t="shared" si="2"/>
        <v>201</v>
      </c>
      <c r="S115" s="699" t="s">
        <v>795</v>
      </c>
    </row>
    <row r="116" spans="1:19" ht="10.5" x14ac:dyDescent="0.25">
      <c r="A116" s="651" t="s">
        <v>240</v>
      </c>
      <c r="B116" s="655" t="s">
        <v>21</v>
      </c>
      <c r="C116" s="656">
        <v>45386</v>
      </c>
      <c r="D116" s="655" t="s">
        <v>4697</v>
      </c>
      <c r="E116" s="655" t="s">
        <v>4698</v>
      </c>
      <c r="F116" s="655" t="s">
        <v>4701</v>
      </c>
      <c r="G116" s="657">
        <v>509.80000025000589</v>
      </c>
      <c r="H116" s="657">
        <v>-2398631.1162118423</v>
      </c>
      <c r="I116" s="655"/>
      <c r="J116" s="655" t="s">
        <v>37</v>
      </c>
      <c r="K116" s="696">
        <v>-509.8</v>
      </c>
      <c r="L116" s="655" t="s">
        <v>4616</v>
      </c>
      <c r="M116" s="655" t="s">
        <v>27</v>
      </c>
      <c r="N116" s="655" t="s">
        <v>4357</v>
      </c>
      <c r="O116" s="655" t="s">
        <v>4245</v>
      </c>
      <c r="P116" s="655" t="s">
        <v>1167</v>
      </c>
      <c r="Q116" s="149"/>
      <c r="R116" s="149" t="str">
        <f t="shared" si="2"/>
        <v>201</v>
      </c>
      <c r="S116" s="699" t="s">
        <v>795</v>
      </c>
    </row>
    <row r="117" spans="1:19" ht="10.5" x14ac:dyDescent="0.25">
      <c r="A117" s="651" t="s">
        <v>240</v>
      </c>
      <c r="B117" s="655" t="s">
        <v>241</v>
      </c>
      <c r="C117" s="656">
        <v>45412</v>
      </c>
      <c r="D117" s="655" t="s">
        <v>4702</v>
      </c>
      <c r="E117" s="655"/>
      <c r="F117" s="655"/>
      <c r="G117" s="657">
        <v>775.60839439200004</v>
      </c>
      <c r="H117" s="657">
        <v>-2397855.5078174504</v>
      </c>
      <c r="I117" s="655"/>
      <c r="J117" s="655" t="s">
        <v>68</v>
      </c>
      <c r="K117" s="696">
        <v>0</v>
      </c>
      <c r="L117" s="655" t="s">
        <v>4616</v>
      </c>
      <c r="M117" s="655" t="s">
        <v>197</v>
      </c>
      <c r="N117" s="655"/>
      <c r="O117" s="655" t="s">
        <v>4245</v>
      </c>
      <c r="P117" s="655" t="s">
        <v>1167</v>
      </c>
      <c r="Q117" s="149"/>
      <c r="R117" s="149" t="str">
        <f t="shared" si="2"/>
        <v>206</v>
      </c>
      <c r="S117" s="699" t="s">
        <v>243</v>
      </c>
    </row>
    <row r="118" spans="1:19" ht="10.5" x14ac:dyDescent="0.25">
      <c r="A118" s="651" t="s">
        <v>240</v>
      </c>
      <c r="B118" s="655" t="s">
        <v>241</v>
      </c>
      <c r="C118" s="656">
        <v>45412</v>
      </c>
      <c r="D118" s="655" t="s">
        <v>4703</v>
      </c>
      <c r="E118" s="655"/>
      <c r="F118" s="655"/>
      <c r="G118" s="657">
        <v>-973.86000004799996</v>
      </c>
      <c r="H118" s="657">
        <v>-2398829.3678174983</v>
      </c>
      <c r="I118" s="655"/>
      <c r="J118" s="655" t="s">
        <v>68</v>
      </c>
      <c r="K118" s="696">
        <v>0</v>
      </c>
      <c r="L118" s="655" t="s">
        <v>4616</v>
      </c>
      <c r="M118" s="655" t="s">
        <v>201</v>
      </c>
      <c r="N118" s="655"/>
      <c r="O118" s="655" t="s">
        <v>4245</v>
      </c>
      <c r="P118" s="655" t="s">
        <v>1167</v>
      </c>
      <c r="Q118" s="149"/>
      <c r="R118" s="149" t="str">
        <f t="shared" si="2"/>
        <v>203</v>
      </c>
      <c r="S118" s="699" t="s">
        <v>243</v>
      </c>
    </row>
    <row r="119" spans="1:19" ht="10.5" x14ac:dyDescent="0.25">
      <c r="A119" s="651" t="s">
        <v>240</v>
      </c>
      <c r="B119" s="655" t="s">
        <v>241</v>
      </c>
      <c r="C119" s="656">
        <v>45412</v>
      </c>
      <c r="D119" s="655" t="s">
        <v>4704</v>
      </c>
      <c r="E119" s="655"/>
      <c r="F119" s="655"/>
      <c r="G119" s="657">
        <v>-3558.0471267744001</v>
      </c>
      <c r="H119" s="657">
        <v>-2402387.4149442725</v>
      </c>
      <c r="I119" s="655"/>
      <c r="J119" s="655" t="s">
        <v>68</v>
      </c>
      <c r="K119" s="696">
        <v>0</v>
      </c>
      <c r="L119" s="655" t="s">
        <v>4616</v>
      </c>
      <c r="M119" s="655" t="s">
        <v>193</v>
      </c>
      <c r="N119" s="655"/>
      <c r="O119" s="655" t="s">
        <v>4245</v>
      </c>
      <c r="P119" s="655" t="s">
        <v>1167</v>
      </c>
      <c r="Q119" s="149"/>
      <c r="R119" s="149" t="str">
        <f t="shared" si="2"/>
        <v>208</v>
      </c>
      <c r="S119" s="699" t="s">
        <v>243</v>
      </c>
    </row>
    <row r="120" spans="1:19" ht="10.5" x14ac:dyDescent="0.25">
      <c r="A120" s="651" t="s">
        <v>240</v>
      </c>
      <c r="B120" s="655" t="s">
        <v>241</v>
      </c>
      <c r="C120" s="656">
        <v>45413</v>
      </c>
      <c r="D120" s="655" t="s">
        <v>4705</v>
      </c>
      <c r="E120" s="655"/>
      <c r="F120" s="655"/>
      <c r="G120" s="657">
        <v>-775.60839439200004</v>
      </c>
      <c r="H120" s="657">
        <v>-2403163.0233386643</v>
      </c>
      <c r="I120" s="655"/>
      <c r="J120" s="655" t="s">
        <v>68</v>
      </c>
      <c r="K120" s="696">
        <v>0</v>
      </c>
      <c r="L120" s="655" t="s">
        <v>4595</v>
      </c>
      <c r="M120" s="655" t="s">
        <v>197</v>
      </c>
      <c r="N120" s="655"/>
      <c r="O120" s="655" t="s">
        <v>4245</v>
      </c>
      <c r="P120" s="655" t="s">
        <v>1167</v>
      </c>
      <c r="Q120" s="149"/>
      <c r="R120" s="149" t="str">
        <f t="shared" si="2"/>
        <v>206</v>
      </c>
      <c r="S120" s="699" t="s">
        <v>243</v>
      </c>
    </row>
    <row r="121" spans="1:19" ht="10.5" x14ac:dyDescent="0.25">
      <c r="A121" s="651" t="s">
        <v>240</v>
      </c>
      <c r="B121" s="655" t="s">
        <v>241</v>
      </c>
      <c r="C121" s="656">
        <v>45413</v>
      </c>
      <c r="D121" s="655" t="s">
        <v>4706</v>
      </c>
      <c r="E121" s="655"/>
      <c r="F121" s="655"/>
      <c r="G121" s="657">
        <v>973.86000004799996</v>
      </c>
      <c r="H121" s="657">
        <v>-2402189.1633386165</v>
      </c>
      <c r="I121" s="655"/>
      <c r="J121" s="655" t="s">
        <v>68</v>
      </c>
      <c r="K121" s="696">
        <v>0</v>
      </c>
      <c r="L121" s="655" t="s">
        <v>4595</v>
      </c>
      <c r="M121" s="655" t="s">
        <v>201</v>
      </c>
      <c r="N121" s="655"/>
      <c r="O121" s="655" t="s">
        <v>4245</v>
      </c>
      <c r="P121" s="655" t="s">
        <v>1167</v>
      </c>
      <c r="Q121" s="149"/>
      <c r="R121" s="149" t="str">
        <f t="shared" si="2"/>
        <v>203</v>
      </c>
      <c r="S121" s="699" t="s">
        <v>243</v>
      </c>
    </row>
    <row r="122" spans="1:19" ht="10.5" x14ac:dyDescent="0.25">
      <c r="A122" s="651" t="s">
        <v>240</v>
      </c>
      <c r="B122" s="655" t="s">
        <v>241</v>
      </c>
      <c r="C122" s="656">
        <v>45413</v>
      </c>
      <c r="D122" s="655" t="s">
        <v>4707</v>
      </c>
      <c r="E122" s="655"/>
      <c r="F122" s="655"/>
      <c r="G122" s="657">
        <v>3558.0471267744001</v>
      </c>
      <c r="H122" s="657">
        <v>-2398631.1162118423</v>
      </c>
      <c r="I122" s="655"/>
      <c r="J122" s="655" t="s">
        <v>68</v>
      </c>
      <c r="K122" s="696">
        <v>0</v>
      </c>
      <c r="L122" s="655" t="s">
        <v>4595</v>
      </c>
      <c r="M122" s="655" t="s">
        <v>193</v>
      </c>
      <c r="N122" s="655"/>
      <c r="O122" s="655" t="s">
        <v>4245</v>
      </c>
      <c r="P122" s="655" t="s">
        <v>1167</v>
      </c>
      <c r="Q122" s="149"/>
      <c r="R122" s="149" t="str">
        <f t="shared" si="2"/>
        <v>208</v>
      </c>
      <c r="S122" s="699" t="s">
        <v>243</v>
      </c>
    </row>
    <row r="123" spans="1:19" ht="10.5" x14ac:dyDescent="0.25">
      <c r="A123" s="651" t="s">
        <v>240</v>
      </c>
      <c r="B123" s="655" t="s">
        <v>21</v>
      </c>
      <c r="C123" s="656">
        <v>45418</v>
      </c>
      <c r="D123" s="655" t="s">
        <v>4708</v>
      </c>
      <c r="E123" s="655" t="s">
        <v>4709</v>
      </c>
      <c r="F123" s="655" t="s">
        <v>4709</v>
      </c>
      <c r="G123" s="657">
        <v>11963.9474251596</v>
      </c>
      <c r="H123" s="657">
        <v>-2386667.1687866827</v>
      </c>
      <c r="I123" s="655"/>
      <c r="J123" s="655" t="s">
        <v>68</v>
      </c>
      <c r="K123" s="696">
        <v>-16204.97</v>
      </c>
      <c r="L123" s="655" t="s">
        <v>4595</v>
      </c>
      <c r="M123" s="655" t="s">
        <v>201</v>
      </c>
      <c r="N123" s="655" t="s">
        <v>223</v>
      </c>
      <c r="O123" s="655" t="s">
        <v>4646</v>
      </c>
      <c r="P123" s="655" t="s">
        <v>1167</v>
      </c>
      <c r="Q123" s="149"/>
      <c r="R123" s="149" t="str">
        <f t="shared" si="2"/>
        <v>203</v>
      </c>
      <c r="S123" s="699" t="s">
        <v>4275</v>
      </c>
    </row>
    <row r="124" spans="1:19" ht="10.5" x14ac:dyDescent="0.25">
      <c r="A124" s="651" t="s">
        <v>240</v>
      </c>
      <c r="B124" s="655" t="s">
        <v>249</v>
      </c>
      <c r="C124" s="656">
        <v>45427</v>
      </c>
      <c r="D124" s="655" t="s">
        <v>4710</v>
      </c>
      <c r="E124" s="655" t="s">
        <v>4711</v>
      </c>
      <c r="F124" s="655" t="s">
        <v>4711</v>
      </c>
      <c r="G124" s="657">
        <v>11432.2228722</v>
      </c>
      <c r="H124" s="657">
        <v>-2375234.9459144827</v>
      </c>
      <c r="I124" s="655" t="s">
        <v>4373</v>
      </c>
      <c r="J124" s="655" t="s">
        <v>68</v>
      </c>
      <c r="K124" s="696">
        <v>-10645</v>
      </c>
      <c r="L124" s="655" t="s">
        <v>4595</v>
      </c>
      <c r="M124" s="655" t="s">
        <v>38</v>
      </c>
      <c r="N124" s="655"/>
      <c r="O124" s="655" t="s">
        <v>4245</v>
      </c>
      <c r="P124" s="655" t="s">
        <v>1167</v>
      </c>
      <c r="Q124" s="149"/>
      <c r="R124" s="149" t="str">
        <f t="shared" si="2"/>
        <v>204</v>
      </c>
      <c r="S124" s="699" t="s">
        <v>4275</v>
      </c>
    </row>
    <row r="125" spans="1:19" ht="10.5" x14ac:dyDescent="0.25">
      <c r="A125" s="651" t="s">
        <v>240</v>
      </c>
      <c r="B125" s="655" t="s">
        <v>249</v>
      </c>
      <c r="C125" s="656">
        <v>45429</v>
      </c>
      <c r="D125" s="655" t="s">
        <v>4712</v>
      </c>
      <c r="E125" s="655" t="s">
        <v>4713</v>
      </c>
      <c r="F125" s="655" t="s">
        <v>4713</v>
      </c>
      <c r="G125" s="657">
        <v>14664.819475800001</v>
      </c>
      <c r="H125" s="657">
        <v>-2360570.1264386829</v>
      </c>
      <c r="I125" s="655" t="s">
        <v>4373</v>
      </c>
      <c r="J125" s="655" t="s">
        <v>68</v>
      </c>
      <c r="K125" s="696">
        <v>-13655</v>
      </c>
      <c r="L125" s="655" t="s">
        <v>4595</v>
      </c>
      <c r="M125" s="655" t="s">
        <v>61</v>
      </c>
      <c r="N125" s="655"/>
      <c r="O125" s="655" t="s">
        <v>4245</v>
      </c>
      <c r="P125" s="655" t="s">
        <v>1167</v>
      </c>
      <c r="Q125" s="149"/>
      <c r="R125" s="149" t="str">
        <f t="shared" si="2"/>
        <v>101</v>
      </c>
      <c r="S125" s="699" t="s">
        <v>4275</v>
      </c>
    </row>
    <row r="126" spans="1:19" ht="10.5" x14ac:dyDescent="0.25">
      <c r="A126" s="651" t="s">
        <v>240</v>
      </c>
      <c r="B126" s="655" t="s">
        <v>21</v>
      </c>
      <c r="C126" s="656">
        <v>45436</v>
      </c>
      <c r="D126" s="655" t="s">
        <v>4714</v>
      </c>
      <c r="E126" s="655" t="s">
        <v>4715</v>
      </c>
      <c r="F126" s="655" t="s">
        <v>4475</v>
      </c>
      <c r="G126" s="657">
        <v>3941.9636164272001</v>
      </c>
      <c r="H126" s="657">
        <v>-2356628.1628222559</v>
      </c>
      <c r="I126" s="655"/>
      <c r="J126" s="655" t="s">
        <v>68</v>
      </c>
      <c r="K126" s="696">
        <v>-6014</v>
      </c>
      <c r="L126" s="655" t="s">
        <v>4595</v>
      </c>
      <c r="M126" s="655" t="s">
        <v>197</v>
      </c>
      <c r="N126" s="655" t="s">
        <v>223</v>
      </c>
      <c r="O126" s="655" t="s">
        <v>4273</v>
      </c>
      <c r="P126" s="655" t="s">
        <v>1167</v>
      </c>
      <c r="Q126" s="149"/>
      <c r="R126" s="149" t="str">
        <f t="shared" si="2"/>
        <v>206</v>
      </c>
      <c r="S126" s="699" t="s">
        <v>4481</v>
      </c>
    </row>
    <row r="127" spans="1:19" ht="10.5" x14ac:dyDescent="0.25">
      <c r="A127" s="651" t="s">
        <v>240</v>
      </c>
      <c r="B127" s="655" t="s">
        <v>241</v>
      </c>
      <c r="C127" s="656">
        <v>45443</v>
      </c>
      <c r="D127" s="655" t="s">
        <v>4716</v>
      </c>
      <c r="E127" s="655"/>
      <c r="F127" s="655"/>
      <c r="G127" s="657">
        <v>-1208.3038002359999</v>
      </c>
      <c r="H127" s="657">
        <v>-2357836.4666224918</v>
      </c>
      <c r="I127" s="655"/>
      <c r="J127" s="655" t="s">
        <v>68</v>
      </c>
      <c r="K127" s="696">
        <v>0</v>
      </c>
      <c r="L127" s="655" t="s">
        <v>4595</v>
      </c>
      <c r="M127" s="655" t="s">
        <v>193</v>
      </c>
      <c r="N127" s="655"/>
      <c r="O127" s="655" t="s">
        <v>4245</v>
      </c>
      <c r="P127" s="655" t="s">
        <v>1167</v>
      </c>
      <c r="Q127" s="149"/>
      <c r="R127" s="149" t="str">
        <f t="shared" si="2"/>
        <v>208</v>
      </c>
      <c r="S127" s="699" t="s">
        <v>243</v>
      </c>
    </row>
    <row r="128" spans="1:19" ht="10.5" x14ac:dyDescent="0.25">
      <c r="A128" s="651" t="s">
        <v>240</v>
      </c>
      <c r="B128" s="655" t="s">
        <v>241</v>
      </c>
      <c r="C128" s="656">
        <v>45443</v>
      </c>
      <c r="D128" s="655" t="s">
        <v>4717</v>
      </c>
      <c r="E128" s="655"/>
      <c r="F128" s="655"/>
      <c r="G128" s="657">
        <v>639.93599275320003</v>
      </c>
      <c r="H128" s="657">
        <v>-2357196.5306297387</v>
      </c>
      <c r="I128" s="655"/>
      <c r="J128" s="655" t="s">
        <v>68</v>
      </c>
      <c r="K128" s="696">
        <v>0</v>
      </c>
      <c r="L128" s="655" t="s">
        <v>4595</v>
      </c>
      <c r="M128" s="655" t="s">
        <v>197</v>
      </c>
      <c r="N128" s="655"/>
      <c r="O128" s="655" t="s">
        <v>4245</v>
      </c>
      <c r="P128" s="655" t="s">
        <v>1167</v>
      </c>
      <c r="Q128" s="149"/>
      <c r="R128" s="149" t="str">
        <f t="shared" si="2"/>
        <v>206</v>
      </c>
      <c r="S128" s="699" t="s">
        <v>243</v>
      </c>
    </row>
    <row r="129" spans="1:19" ht="10.5" x14ac:dyDescent="0.25">
      <c r="A129" s="651" t="s">
        <v>240</v>
      </c>
      <c r="B129" s="655" t="s">
        <v>241</v>
      </c>
      <c r="C129" s="656">
        <v>45443</v>
      </c>
      <c r="D129" s="655" t="s">
        <v>4718</v>
      </c>
      <c r="E129" s="655"/>
      <c r="F129" s="655"/>
      <c r="G129" s="657">
        <v>-623.45082402720004</v>
      </c>
      <c r="H129" s="657">
        <v>-2357819.9814537661</v>
      </c>
      <c r="I129" s="655"/>
      <c r="J129" s="655" t="s">
        <v>68</v>
      </c>
      <c r="K129" s="696">
        <v>0</v>
      </c>
      <c r="L129" s="655" t="s">
        <v>4595</v>
      </c>
      <c r="M129" s="655" t="s">
        <v>201</v>
      </c>
      <c r="N129" s="655"/>
      <c r="O129" s="655" t="s">
        <v>4245</v>
      </c>
      <c r="P129" s="655" t="s">
        <v>1167</v>
      </c>
      <c r="Q129" s="149"/>
      <c r="R129" s="149" t="str">
        <f t="shared" si="2"/>
        <v>203</v>
      </c>
      <c r="S129" s="699" t="s">
        <v>243</v>
      </c>
    </row>
    <row r="130" spans="1:19" ht="10.5" x14ac:dyDescent="0.25">
      <c r="A130" s="651" t="s">
        <v>240</v>
      </c>
      <c r="B130" s="655" t="s">
        <v>241</v>
      </c>
      <c r="C130" s="656">
        <v>45443</v>
      </c>
      <c r="D130" s="655" t="s">
        <v>4719</v>
      </c>
      <c r="E130" s="655"/>
      <c r="F130" s="655"/>
      <c r="G130" s="657">
        <v>-120.4330176504</v>
      </c>
      <c r="H130" s="657">
        <v>-2357940.4144714167</v>
      </c>
      <c r="I130" s="655"/>
      <c r="J130" s="655" t="s">
        <v>68</v>
      </c>
      <c r="K130" s="696">
        <v>0</v>
      </c>
      <c r="L130" s="655" t="s">
        <v>4595</v>
      </c>
      <c r="M130" s="655" t="s">
        <v>201</v>
      </c>
      <c r="N130" s="655"/>
      <c r="O130" s="655" t="s">
        <v>4245</v>
      </c>
      <c r="P130" s="655" t="s">
        <v>1167</v>
      </c>
      <c r="Q130" s="149"/>
      <c r="R130" s="149" t="str">
        <f t="shared" si="2"/>
        <v>203</v>
      </c>
      <c r="S130" s="699" t="s">
        <v>243</v>
      </c>
    </row>
    <row r="131" spans="1:19" ht="10.5" x14ac:dyDescent="0.25">
      <c r="A131" s="651" t="s">
        <v>240</v>
      </c>
      <c r="B131" s="655" t="s">
        <v>241</v>
      </c>
      <c r="C131" s="656">
        <v>45444</v>
      </c>
      <c r="D131" s="655" t="s">
        <v>4720</v>
      </c>
      <c r="E131" s="655"/>
      <c r="F131" s="655"/>
      <c r="G131" s="657">
        <v>1208.3038002359999</v>
      </c>
      <c r="H131" s="657">
        <v>-2356732.1106711808</v>
      </c>
      <c r="I131" s="655"/>
      <c r="J131" s="655" t="s">
        <v>68</v>
      </c>
      <c r="K131" s="696">
        <v>0</v>
      </c>
      <c r="L131" s="655" t="s">
        <v>4610</v>
      </c>
      <c r="M131" s="655" t="s">
        <v>193</v>
      </c>
      <c r="N131" s="655"/>
      <c r="O131" s="655" t="s">
        <v>4245</v>
      </c>
      <c r="P131" s="655" t="s">
        <v>1167</v>
      </c>
      <c r="Q131" s="149"/>
      <c r="R131" s="149" t="str">
        <f t="shared" si="2"/>
        <v>208</v>
      </c>
      <c r="S131" s="699" t="s">
        <v>243</v>
      </c>
    </row>
    <row r="132" spans="1:19" ht="10.5" x14ac:dyDescent="0.25">
      <c r="A132" s="651" t="s">
        <v>240</v>
      </c>
      <c r="B132" s="655" t="s">
        <v>241</v>
      </c>
      <c r="C132" s="656">
        <v>45444</v>
      </c>
      <c r="D132" s="655" t="s">
        <v>4721</v>
      </c>
      <c r="E132" s="655"/>
      <c r="F132" s="655"/>
      <c r="G132" s="657">
        <v>-639.93599275320003</v>
      </c>
      <c r="H132" s="657">
        <v>-2357372.0466639339</v>
      </c>
      <c r="I132" s="655"/>
      <c r="J132" s="655" t="s">
        <v>68</v>
      </c>
      <c r="K132" s="696">
        <v>0</v>
      </c>
      <c r="L132" s="655" t="s">
        <v>4610</v>
      </c>
      <c r="M132" s="655" t="s">
        <v>197</v>
      </c>
      <c r="N132" s="655"/>
      <c r="O132" s="655" t="s">
        <v>4245</v>
      </c>
      <c r="P132" s="655" t="s">
        <v>1167</v>
      </c>
      <c r="Q132" s="149"/>
      <c r="R132" s="149" t="str">
        <f t="shared" si="2"/>
        <v>206</v>
      </c>
      <c r="S132" s="699" t="s">
        <v>243</v>
      </c>
    </row>
    <row r="133" spans="1:19" ht="10.5" x14ac:dyDescent="0.25">
      <c r="A133" s="651" t="s">
        <v>240</v>
      </c>
      <c r="B133" s="655" t="s">
        <v>241</v>
      </c>
      <c r="C133" s="656">
        <v>45444</v>
      </c>
      <c r="D133" s="655" t="s">
        <v>4722</v>
      </c>
      <c r="E133" s="655"/>
      <c r="F133" s="655"/>
      <c r="G133" s="657">
        <v>623.45082402720004</v>
      </c>
      <c r="H133" s="657">
        <v>-2356748.5958399065</v>
      </c>
      <c r="I133" s="655"/>
      <c r="J133" s="655" t="s">
        <v>68</v>
      </c>
      <c r="K133" s="696">
        <v>0</v>
      </c>
      <c r="L133" s="655" t="s">
        <v>4610</v>
      </c>
      <c r="M133" s="655" t="s">
        <v>201</v>
      </c>
      <c r="N133" s="655"/>
      <c r="O133" s="655" t="s">
        <v>4245</v>
      </c>
      <c r="P133" s="655" t="s">
        <v>1167</v>
      </c>
      <c r="Q133" s="149"/>
      <c r="R133" s="149" t="str">
        <f t="shared" si="2"/>
        <v>203</v>
      </c>
      <c r="S133" s="699" t="s">
        <v>243</v>
      </c>
    </row>
    <row r="134" spans="1:19" ht="10.5" x14ac:dyDescent="0.25">
      <c r="A134" s="651" t="s">
        <v>240</v>
      </c>
      <c r="B134" s="655" t="s">
        <v>241</v>
      </c>
      <c r="C134" s="656">
        <v>45444</v>
      </c>
      <c r="D134" s="655" t="s">
        <v>4723</v>
      </c>
      <c r="E134" s="655"/>
      <c r="F134" s="655"/>
      <c r="G134" s="657">
        <v>120.4330176504</v>
      </c>
      <c r="H134" s="657">
        <v>-2356628.1628222559</v>
      </c>
      <c r="I134" s="655"/>
      <c r="J134" s="655" t="s">
        <v>68</v>
      </c>
      <c r="K134" s="696">
        <v>0</v>
      </c>
      <c r="L134" s="655" t="s">
        <v>4610</v>
      </c>
      <c r="M134" s="655" t="s">
        <v>201</v>
      </c>
      <c r="N134" s="655"/>
      <c r="O134" s="655" t="s">
        <v>4245</v>
      </c>
      <c r="P134" s="655" t="s">
        <v>1167</v>
      </c>
      <c r="Q134" s="149"/>
      <c r="R134" s="149" t="str">
        <f t="shared" si="2"/>
        <v>203</v>
      </c>
      <c r="S134" s="699" t="s">
        <v>243</v>
      </c>
    </row>
    <row r="135" spans="1:19" ht="10.5" x14ac:dyDescent="0.25">
      <c r="A135" s="651" t="s">
        <v>240</v>
      </c>
      <c r="B135" s="655" t="s">
        <v>21</v>
      </c>
      <c r="C135" s="656">
        <v>45448</v>
      </c>
      <c r="D135" s="655" t="s">
        <v>4724</v>
      </c>
      <c r="E135" s="655" t="s">
        <v>4725</v>
      </c>
      <c r="F135" s="655" t="s">
        <v>4725</v>
      </c>
      <c r="G135" s="657">
        <v>5918.7769859556001</v>
      </c>
      <c r="H135" s="657">
        <v>-2350709.3858363004</v>
      </c>
      <c r="I135" s="655"/>
      <c r="J135" s="655" t="s">
        <v>68</v>
      </c>
      <c r="K135" s="696">
        <v>-8080</v>
      </c>
      <c r="L135" s="655" t="s">
        <v>4610</v>
      </c>
      <c r="M135" s="655" t="s">
        <v>201</v>
      </c>
      <c r="N135" s="655" t="s">
        <v>223</v>
      </c>
      <c r="O135" s="655" t="s">
        <v>4646</v>
      </c>
      <c r="P135" s="655" t="s">
        <v>1167</v>
      </c>
      <c r="Q135" s="149"/>
      <c r="R135" s="149" t="str">
        <f t="shared" si="2"/>
        <v>203</v>
      </c>
      <c r="S135" s="699" t="s">
        <v>4481</v>
      </c>
    </row>
    <row r="136" spans="1:19" ht="10.5" x14ac:dyDescent="0.25">
      <c r="A136" s="651" t="s">
        <v>240</v>
      </c>
      <c r="B136" s="655" t="s">
        <v>21</v>
      </c>
      <c r="C136" s="656">
        <v>45457</v>
      </c>
      <c r="D136" s="655" t="s">
        <v>4726</v>
      </c>
      <c r="E136" s="655" t="s">
        <v>4727</v>
      </c>
      <c r="F136" s="655" t="s">
        <v>4727</v>
      </c>
      <c r="G136" s="657">
        <v>41986.167514200002</v>
      </c>
      <c r="H136" s="657">
        <v>-2308723.2183221006</v>
      </c>
      <c r="I136" s="655"/>
      <c r="J136" s="655" t="s">
        <v>68</v>
      </c>
      <c r="K136" s="696">
        <v>-3500000</v>
      </c>
      <c r="L136" s="655" t="s">
        <v>4610</v>
      </c>
      <c r="M136" s="655" t="s">
        <v>204</v>
      </c>
      <c r="N136" s="655" t="s">
        <v>223</v>
      </c>
      <c r="O136" s="655" t="s">
        <v>4272</v>
      </c>
      <c r="P136" s="655" t="s">
        <v>1167</v>
      </c>
      <c r="Q136" s="149"/>
      <c r="R136" s="149" t="str">
        <f t="shared" si="2"/>
        <v>207</v>
      </c>
      <c r="S136" s="699" t="s">
        <v>4481</v>
      </c>
    </row>
    <row r="137" spans="1:19" ht="10.5" x14ac:dyDescent="0.25">
      <c r="A137" s="651" t="s">
        <v>240</v>
      </c>
      <c r="B137" s="655" t="s">
        <v>241</v>
      </c>
      <c r="C137" s="656">
        <v>45473</v>
      </c>
      <c r="D137" s="655" t="s">
        <v>4728</v>
      </c>
      <c r="E137" s="655"/>
      <c r="F137" s="655"/>
      <c r="G137" s="657">
        <v>-279.32426931240002</v>
      </c>
      <c r="H137" s="657">
        <v>-2309002.542591413</v>
      </c>
      <c r="I137" s="655"/>
      <c r="J137" s="655" t="s">
        <v>68</v>
      </c>
      <c r="K137" s="696">
        <v>0</v>
      </c>
      <c r="L137" s="655" t="s">
        <v>4610</v>
      </c>
      <c r="M137" s="655" t="s">
        <v>193</v>
      </c>
      <c r="N137" s="655"/>
      <c r="O137" s="655" t="s">
        <v>4245</v>
      </c>
      <c r="P137" s="655" t="s">
        <v>1167</v>
      </c>
      <c r="Q137" s="149"/>
      <c r="R137" s="149" t="str">
        <f t="shared" si="2"/>
        <v>208</v>
      </c>
      <c r="S137" s="699" t="s">
        <v>243</v>
      </c>
    </row>
    <row r="138" spans="1:19" ht="10.5" x14ac:dyDescent="0.25">
      <c r="A138" s="651" t="s">
        <v>240</v>
      </c>
      <c r="B138" s="655" t="s">
        <v>241</v>
      </c>
      <c r="C138" s="656">
        <v>45473</v>
      </c>
      <c r="D138" s="655" t="s">
        <v>4729</v>
      </c>
      <c r="E138" s="655"/>
      <c r="F138" s="655"/>
      <c r="G138" s="657">
        <v>503.0070668532</v>
      </c>
      <c r="H138" s="657">
        <v>-2308499.5355245597</v>
      </c>
      <c r="I138" s="655"/>
      <c r="J138" s="655" t="s">
        <v>68</v>
      </c>
      <c r="K138" s="696">
        <v>0</v>
      </c>
      <c r="L138" s="655" t="s">
        <v>4610</v>
      </c>
      <c r="M138" s="655" t="s">
        <v>197</v>
      </c>
      <c r="N138" s="655"/>
      <c r="O138" s="655" t="s">
        <v>4245</v>
      </c>
      <c r="P138" s="655" t="s">
        <v>1167</v>
      </c>
      <c r="Q138" s="149"/>
      <c r="R138" s="149" t="str">
        <f t="shared" si="2"/>
        <v>206</v>
      </c>
      <c r="S138" s="699" t="s">
        <v>243</v>
      </c>
    </row>
    <row r="139" spans="1:19" ht="10.5" x14ac:dyDescent="0.25">
      <c r="A139" s="651" t="s">
        <v>240</v>
      </c>
      <c r="B139" s="655" t="s">
        <v>241</v>
      </c>
      <c r="C139" s="656">
        <v>45473</v>
      </c>
      <c r="D139" s="655" t="s">
        <v>4730</v>
      </c>
      <c r="E139" s="655"/>
      <c r="F139" s="655"/>
      <c r="G139" s="657">
        <v>-968.29692682320001</v>
      </c>
      <c r="H139" s="657">
        <v>-2309467.8324513827</v>
      </c>
      <c r="I139" s="655"/>
      <c r="J139" s="655" t="s">
        <v>68</v>
      </c>
      <c r="K139" s="696">
        <v>0</v>
      </c>
      <c r="L139" s="655" t="s">
        <v>4610</v>
      </c>
      <c r="M139" s="655" t="s">
        <v>201</v>
      </c>
      <c r="N139" s="655"/>
      <c r="O139" s="655" t="s">
        <v>4245</v>
      </c>
      <c r="P139" s="655" t="s">
        <v>1167</v>
      </c>
      <c r="Q139" s="149"/>
      <c r="R139" s="149" t="str">
        <f t="shared" si="2"/>
        <v>203</v>
      </c>
      <c r="S139" s="699" t="s">
        <v>243</v>
      </c>
    </row>
    <row r="140" spans="1:19" ht="10.5" x14ac:dyDescent="0.25">
      <c r="A140" s="651" t="s">
        <v>240</v>
      </c>
      <c r="B140" s="655" t="s">
        <v>21</v>
      </c>
      <c r="C140" s="656">
        <v>45473</v>
      </c>
      <c r="D140" s="655" t="s">
        <v>4731</v>
      </c>
      <c r="E140" s="655" t="s">
        <v>4732</v>
      </c>
      <c r="F140" s="655" t="s">
        <v>4732</v>
      </c>
      <c r="G140" s="657">
        <v>105396.86620500406</v>
      </c>
      <c r="H140" s="657">
        <v>-2204070.9662463786</v>
      </c>
      <c r="I140" s="655"/>
      <c r="J140" s="655" t="s">
        <v>68</v>
      </c>
      <c r="K140" s="696">
        <v>-83315</v>
      </c>
      <c r="L140" s="655" t="s">
        <v>4610</v>
      </c>
      <c r="M140" s="655" t="s">
        <v>186</v>
      </c>
      <c r="N140" s="655" t="s">
        <v>4356</v>
      </c>
      <c r="O140" s="655" t="s">
        <v>4733</v>
      </c>
      <c r="P140" s="655" t="s">
        <v>1167</v>
      </c>
      <c r="Q140" s="149"/>
      <c r="R140" s="149" t="str">
        <f t="shared" si="2"/>
        <v>205</v>
      </c>
      <c r="S140" s="699" t="s">
        <v>4275</v>
      </c>
    </row>
    <row r="141" spans="1:19" ht="10.5" x14ac:dyDescent="0.25">
      <c r="A141" s="651" t="s">
        <v>240</v>
      </c>
      <c r="B141" s="655" t="s">
        <v>21</v>
      </c>
      <c r="C141" s="656">
        <v>45473</v>
      </c>
      <c r="D141" s="655" t="s">
        <v>4637</v>
      </c>
      <c r="E141" s="655" t="s">
        <v>4638</v>
      </c>
      <c r="F141" s="655" t="s">
        <v>4638</v>
      </c>
      <c r="G141" s="657">
        <v>-19196.9447407113</v>
      </c>
      <c r="H141" s="657">
        <v>-2223267.9109870899</v>
      </c>
      <c r="I141" s="655"/>
      <c r="J141" s="655" t="s">
        <v>68</v>
      </c>
      <c r="K141" s="696">
        <v>26245.53</v>
      </c>
      <c r="L141" s="655" t="s">
        <v>4610</v>
      </c>
      <c r="M141" s="655" t="s">
        <v>212</v>
      </c>
      <c r="N141" s="655" t="s">
        <v>4357</v>
      </c>
      <c r="O141" s="655" t="s">
        <v>4525</v>
      </c>
      <c r="P141" s="655" t="s">
        <v>1167</v>
      </c>
      <c r="Q141" s="149"/>
      <c r="R141" s="149" t="str">
        <f t="shared" si="2"/>
        <v>202</v>
      </c>
      <c r="S141" s="699" t="s">
        <v>4569</v>
      </c>
    </row>
    <row r="142" spans="1:19" ht="10.5" x14ac:dyDescent="0.25">
      <c r="A142" s="651" t="s">
        <v>240</v>
      </c>
      <c r="B142" s="655" t="s">
        <v>21</v>
      </c>
      <c r="C142" s="656">
        <v>45473</v>
      </c>
      <c r="D142" s="655" t="s">
        <v>4639</v>
      </c>
      <c r="E142" s="655" t="s">
        <v>4640</v>
      </c>
      <c r="F142" s="655" t="s">
        <v>4640</v>
      </c>
      <c r="G142" s="657">
        <v>-26243.269392340026</v>
      </c>
      <c r="H142" s="657">
        <v>-2249511.1803794298</v>
      </c>
      <c r="I142" s="655"/>
      <c r="J142" s="655" t="s">
        <v>68</v>
      </c>
      <c r="K142" s="696">
        <v>20745</v>
      </c>
      <c r="L142" s="655" t="s">
        <v>4610</v>
      </c>
      <c r="M142" s="655" t="s">
        <v>186</v>
      </c>
      <c r="N142" s="655" t="s">
        <v>4357</v>
      </c>
      <c r="O142" s="655" t="s">
        <v>4245</v>
      </c>
      <c r="P142" s="655" t="s">
        <v>1167</v>
      </c>
      <c r="Q142" s="149"/>
      <c r="R142" s="149" t="str">
        <f t="shared" si="2"/>
        <v>205</v>
      </c>
      <c r="S142" s="699" t="s">
        <v>4569</v>
      </c>
    </row>
    <row r="143" spans="1:19" ht="10.5" x14ac:dyDescent="0.25">
      <c r="A143" s="651" t="s">
        <v>240</v>
      </c>
      <c r="B143" s="655" t="s">
        <v>21</v>
      </c>
      <c r="C143" s="656">
        <v>45473</v>
      </c>
      <c r="D143" s="655" t="s">
        <v>4641</v>
      </c>
      <c r="E143" s="655" t="s">
        <v>4640</v>
      </c>
      <c r="F143" s="655" t="s">
        <v>4640</v>
      </c>
      <c r="G143" s="657">
        <v>-31615.535810336401</v>
      </c>
      <c r="H143" s="657">
        <v>-2281126.7161897663</v>
      </c>
      <c r="I143" s="655"/>
      <c r="J143" s="655" t="s">
        <v>68</v>
      </c>
      <c r="K143" s="696">
        <v>29438.49</v>
      </c>
      <c r="L143" s="655" t="s">
        <v>4610</v>
      </c>
      <c r="M143" s="655" t="s">
        <v>38</v>
      </c>
      <c r="N143" s="655" t="s">
        <v>4357</v>
      </c>
      <c r="O143" s="655" t="s">
        <v>4245</v>
      </c>
      <c r="P143" s="655" t="s">
        <v>1167</v>
      </c>
      <c r="Q143" s="149"/>
      <c r="R143" s="149" t="str">
        <f t="shared" si="2"/>
        <v>204</v>
      </c>
      <c r="S143" s="699" t="s">
        <v>4569</v>
      </c>
    </row>
    <row r="144" spans="1:19" ht="10.5" x14ac:dyDescent="0.25">
      <c r="A144" s="651" t="s">
        <v>240</v>
      </c>
      <c r="B144" s="655" t="s">
        <v>21</v>
      </c>
      <c r="C144" s="656">
        <v>45473</v>
      </c>
      <c r="D144" s="655" t="s">
        <v>4642</v>
      </c>
      <c r="E144" s="655" t="s">
        <v>4640</v>
      </c>
      <c r="F144" s="655" t="s">
        <v>4640</v>
      </c>
      <c r="G144" s="657">
        <v>-5630.4422563427997</v>
      </c>
      <c r="H144" s="657">
        <v>-2286757.1584461089</v>
      </c>
      <c r="I144" s="655"/>
      <c r="J144" s="655" t="s">
        <v>25</v>
      </c>
      <c r="K144" s="696">
        <v>5242.7299999999996</v>
      </c>
      <c r="L144" s="655" t="s">
        <v>4610</v>
      </c>
      <c r="M144" s="655" t="s">
        <v>4194</v>
      </c>
      <c r="N144" s="655" t="s">
        <v>4357</v>
      </c>
      <c r="O144" s="655" t="s">
        <v>4245</v>
      </c>
      <c r="P144" s="655" t="s">
        <v>1167</v>
      </c>
      <c r="Q144" s="149"/>
      <c r="R144" s="149" t="str">
        <f t="shared" si="2"/>
        <v>210</v>
      </c>
      <c r="S144" s="699" t="s">
        <v>4569</v>
      </c>
    </row>
    <row r="145" spans="1:19" ht="10.5" x14ac:dyDescent="0.25">
      <c r="A145" s="651" t="s">
        <v>240</v>
      </c>
      <c r="B145" s="655" t="s">
        <v>21</v>
      </c>
      <c r="C145" s="656">
        <v>45473</v>
      </c>
      <c r="D145" s="655" t="s">
        <v>4643</v>
      </c>
      <c r="E145" s="655" t="s">
        <v>4640</v>
      </c>
      <c r="F145" s="655" t="s">
        <v>4640</v>
      </c>
      <c r="G145" s="657">
        <v>-13108.12552998</v>
      </c>
      <c r="H145" s="657">
        <v>-2299865.2839760887</v>
      </c>
      <c r="I145" s="655"/>
      <c r="J145" s="655" t="s">
        <v>68</v>
      </c>
      <c r="K145" s="696">
        <v>138447.15</v>
      </c>
      <c r="L145" s="655" t="s">
        <v>4610</v>
      </c>
      <c r="M145" s="655" t="s">
        <v>193</v>
      </c>
      <c r="N145" s="655" t="s">
        <v>4357</v>
      </c>
      <c r="O145" s="655" t="s">
        <v>4245</v>
      </c>
      <c r="P145" s="655" t="s">
        <v>1167</v>
      </c>
      <c r="Q145" s="149"/>
      <c r="R145" s="149" t="str">
        <f t="shared" si="2"/>
        <v>208</v>
      </c>
      <c r="S145" s="699" t="s">
        <v>4569</v>
      </c>
    </row>
    <row r="146" spans="1:19" ht="10.5" x14ac:dyDescent="0.25">
      <c r="A146" s="651" t="s">
        <v>240</v>
      </c>
      <c r="B146" s="655" t="s">
        <v>21</v>
      </c>
      <c r="C146" s="656">
        <v>45473</v>
      </c>
      <c r="D146" s="655" t="s">
        <v>4644</v>
      </c>
      <c r="E146" s="655" t="s">
        <v>4640</v>
      </c>
      <c r="F146" s="655" t="s">
        <v>4640</v>
      </c>
      <c r="G146" s="657">
        <v>-9122.6883220199998</v>
      </c>
      <c r="H146" s="657">
        <v>-2308987.972298109</v>
      </c>
      <c r="I146" s="655"/>
      <c r="J146" s="655" t="s">
        <v>68</v>
      </c>
      <c r="K146" s="696">
        <v>13664</v>
      </c>
      <c r="L146" s="655" t="s">
        <v>4610</v>
      </c>
      <c r="M146" s="655" t="s">
        <v>197</v>
      </c>
      <c r="N146" s="655" t="s">
        <v>4357</v>
      </c>
      <c r="O146" s="655" t="s">
        <v>4273</v>
      </c>
      <c r="P146" s="655" t="s">
        <v>1167</v>
      </c>
      <c r="Q146" s="149"/>
      <c r="R146" s="149" t="str">
        <f t="shared" si="2"/>
        <v>206</v>
      </c>
      <c r="S146" s="699" t="s">
        <v>4569</v>
      </c>
    </row>
    <row r="147" spans="1:19" ht="10.5" x14ac:dyDescent="0.25">
      <c r="A147" s="651" t="s">
        <v>240</v>
      </c>
      <c r="B147" s="655" t="s">
        <v>21</v>
      </c>
      <c r="C147" s="656">
        <v>45473</v>
      </c>
      <c r="D147" s="655" t="s">
        <v>4645</v>
      </c>
      <c r="E147" s="655" t="s">
        <v>4640</v>
      </c>
      <c r="F147" s="655" t="s">
        <v>4640</v>
      </c>
      <c r="G147" s="657">
        <v>-23006.4437254392</v>
      </c>
      <c r="H147" s="657">
        <v>-2331994.4160235482</v>
      </c>
      <c r="I147" s="655"/>
      <c r="J147" s="655" t="s">
        <v>68</v>
      </c>
      <c r="K147" s="696">
        <v>31185</v>
      </c>
      <c r="L147" s="655" t="s">
        <v>4610</v>
      </c>
      <c r="M147" s="655" t="s">
        <v>201</v>
      </c>
      <c r="N147" s="655" t="s">
        <v>4357</v>
      </c>
      <c r="O147" s="655" t="s">
        <v>4646</v>
      </c>
      <c r="P147" s="655" t="s">
        <v>1167</v>
      </c>
      <c r="Q147" s="149"/>
      <c r="R147" s="149" t="str">
        <f t="shared" si="2"/>
        <v>203</v>
      </c>
      <c r="S147" s="699" t="s">
        <v>4569</v>
      </c>
    </row>
    <row r="148" spans="1:19" ht="10.5" x14ac:dyDescent="0.25">
      <c r="A148" s="651" t="s">
        <v>240</v>
      </c>
      <c r="B148" s="655" t="s">
        <v>241</v>
      </c>
      <c r="C148" s="656">
        <v>45473</v>
      </c>
      <c r="D148" s="655" t="s">
        <v>4754</v>
      </c>
      <c r="E148" s="655"/>
      <c r="F148" s="655"/>
      <c r="G148" s="657">
        <v>-0.01</v>
      </c>
      <c r="H148" s="657">
        <v>-2331994.4300000002</v>
      </c>
      <c r="I148" s="655"/>
      <c r="J148" s="655" t="s">
        <v>68</v>
      </c>
      <c r="K148" s="696">
        <v>0</v>
      </c>
      <c r="L148" s="724">
        <v>45444</v>
      </c>
      <c r="M148" s="655" t="s">
        <v>201</v>
      </c>
      <c r="N148" s="655"/>
      <c r="O148" s="655" t="s">
        <v>4245</v>
      </c>
      <c r="P148" s="655" t="s">
        <v>1167</v>
      </c>
      <c r="Q148" s="149"/>
      <c r="R148" s="149" t="str">
        <f t="shared" si="2"/>
        <v>203</v>
      </c>
      <c r="S148" s="699" t="s">
        <v>243</v>
      </c>
    </row>
    <row r="149" spans="1:19" ht="10.5" x14ac:dyDescent="0.25">
      <c r="A149" s="651" t="s">
        <v>240</v>
      </c>
      <c r="B149" s="655" t="s">
        <v>21</v>
      </c>
      <c r="C149" s="656">
        <v>45473</v>
      </c>
      <c r="D149" s="655" t="s">
        <v>4755</v>
      </c>
      <c r="E149" s="655" t="s">
        <v>4756</v>
      </c>
      <c r="F149" s="655" t="s">
        <v>4756</v>
      </c>
      <c r="G149" s="657">
        <v>25491.33</v>
      </c>
      <c r="H149" s="657">
        <v>-2306503.09</v>
      </c>
      <c r="I149" s="655"/>
      <c r="J149" s="655" t="s">
        <v>68</v>
      </c>
      <c r="K149" s="696">
        <v>-23736</v>
      </c>
      <c r="L149" s="724">
        <v>45444</v>
      </c>
      <c r="M149" s="655" t="s">
        <v>38</v>
      </c>
      <c r="N149" s="655" t="s">
        <v>118</v>
      </c>
      <c r="O149" s="655" t="s">
        <v>4245</v>
      </c>
      <c r="P149" s="655" t="s">
        <v>1167</v>
      </c>
      <c r="Q149" s="149"/>
      <c r="R149" s="149" t="str">
        <f t="shared" si="2"/>
        <v>204</v>
      </c>
      <c r="S149" s="699" t="s">
        <v>3845</v>
      </c>
    </row>
    <row r="150" spans="1:19" ht="10.5" x14ac:dyDescent="0.25">
      <c r="A150" s="651" t="s">
        <v>240</v>
      </c>
      <c r="B150" s="655" t="s">
        <v>21</v>
      </c>
      <c r="C150" s="656">
        <v>45473</v>
      </c>
      <c r="D150" s="655" t="s">
        <v>4750</v>
      </c>
      <c r="E150" s="655" t="s">
        <v>4751</v>
      </c>
      <c r="F150" s="655" t="s">
        <v>4751</v>
      </c>
      <c r="G150" s="657">
        <v>-468980</v>
      </c>
      <c r="H150" s="657">
        <v>-2775483.09</v>
      </c>
      <c r="I150" s="655"/>
      <c r="J150" s="655" t="s">
        <v>68</v>
      </c>
      <c r="K150" s="696">
        <v>468980</v>
      </c>
      <c r="L150" s="724">
        <v>45444</v>
      </c>
      <c r="M150" s="655" t="s">
        <v>117</v>
      </c>
      <c r="N150" s="655" t="s">
        <v>118</v>
      </c>
      <c r="O150" s="655" t="s">
        <v>4245</v>
      </c>
      <c r="P150" s="655" t="s">
        <v>1167</v>
      </c>
      <c r="Q150" s="149"/>
      <c r="R150" s="149" t="str">
        <f t="shared" si="2"/>
        <v>300</v>
      </c>
      <c r="S150" s="699" t="s">
        <v>4569</v>
      </c>
    </row>
    <row r="151" spans="1:19" ht="10.5" x14ac:dyDescent="0.25">
      <c r="A151" s="651" t="s">
        <v>240</v>
      </c>
      <c r="B151" s="655" t="s">
        <v>21</v>
      </c>
      <c r="C151" s="656">
        <v>45473</v>
      </c>
      <c r="D151" s="655" t="s">
        <v>4757</v>
      </c>
      <c r="E151" s="655" t="s">
        <v>4758</v>
      </c>
      <c r="F151" s="655" t="s">
        <v>4758</v>
      </c>
      <c r="G151" s="657">
        <v>-233916</v>
      </c>
      <c r="H151" s="657">
        <v>-3009399.09</v>
      </c>
      <c r="I151" s="655"/>
      <c r="J151" s="655" t="s">
        <v>68</v>
      </c>
      <c r="K151" s="696">
        <v>233916</v>
      </c>
      <c r="L151" s="724">
        <v>45444</v>
      </c>
      <c r="M151" s="655" t="s">
        <v>117</v>
      </c>
      <c r="N151" s="655" t="s">
        <v>118</v>
      </c>
      <c r="O151" s="655" t="s">
        <v>4245</v>
      </c>
      <c r="P151" s="655" t="s">
        <v>1167</v>
      </c>
      <c r="Q151" s="149"/>
      <c r="R151" s="149" t="str">
        <f t="shared" si="2"/>
        <v>300</v>
      </c>
      <c r="S151" s="699" t="s">
        <v>4569</v>
      </c>
    </row>
    <row r="152" spans="1:19" ht="10.5" x14ac:dyDescent="0.25">
      <c r="A152" s="651" t="s">
        <v>240</v>
      </c>
      <c r="B152" s="655" t="s">
        <v>21</v>
      </c>
      <c r="C152" s="656">
        <v>45473</v>
      </c>
      <c r="D152" s="655" t="s">
        <v>4759</v>
      </c>
      <c r="E152" s="655" t="s">
        <v>4760</v>
      </c>
      <c r="F152" s="655" t="s">
        <v>4760</v>
      </c>
      <c r="G152" s="657">
        <v>231852.35</v>
      </c>
      <c r="H152" s="657">
        <v>-2777546.74</v>
      </c>
      <c r="I152" s="655"/>
      <c r="J152" s="655" t="s">
        <v>68</v>
      </c>
      <c r="K152" s="696">
        <v>-215887</v>
      </c>
      <c r="L152" s="724">
        <v>45444</v>
      </c>
      <c r="M152" s="655" t="s">
        <v>61</v>
      </c>
      <c r="N152" s="655" t="s">
        <v>118</v>
      </c>
      <c r="O152" s="655" t="s">
        <v>4245</v>
      </c>
      <c r="P152" s="655" t="s">
        <v>1167</v>
      </c>
      <c r="Q152" s="149"/>
      <c r="R152" s="149" t="str">
        <f t="shared" si="2"/>
        <v>101</v>
      </c>
      <c r="S152" s="699" t="s">
        <v>3845</v>
      </c>
    </row>
    <row r="153" spans="1:19" ht="10.5" x14ac:dyDescent="0.25">
      <c r="A153" s="661" t="s">
        <v>303</v>
      </c>
      <c r="B153" s="652"/>
      <c r="C153" s="653"/>
      <c r="D153" s="652"/>
      <c r="E153" s="652"/>
      <c r="F153" s="652"/>
      <c r="G153" s="654">
        <f>SUM(G61:G152)</f>
        <v>-2337813.2768630604</v>
      </c>
      <c r="H153" s="654">
        <f>H152</f>
        <v>-2777546.74</v>
      </c>
      <c r="I153" s="652"/>
      <c r="J153" s="652"/>
      <c r="K153" s="660"/>
      <c r="L153" s="652"/>
      <c r="M153" s="652"/>
      <c r="N153" s="652"/>
      <c r="O153" s="652"/>
      <c r="P153" s="652"/>
      <c r="Q153" s="149"/>
      <c r="R153" s="149"/>
      <c r="S153" s="149"/>
    </row>
    <row r="154" spans="1:19" ht="10.5" x14ac:dyDescent="0.25">
      <c r="A154" s="8" t="s">
        <v>427</v>
      </c>
      <c r="B154" s="4"/>
      <c r="C154" s="5"/>
      <c r="D154" s="4"/>
      <c r="E154" s="4"/>
      <c r="F154" s="4"/>
      <c r="G154" s="6">
        <v>0</v>
      </c>
      <c r="H154" s="6">
        <v>183398.65</v>
      </c>
      <c r="I154" s="4"/>
      <c r="J154" s="4"/>
      <c r="K154" s="7">
        <v>0</v>
      </c>
      <c r="L154" s="4"/>
      <c r="M154" s="4"/>
      <c r="N154" s="4"/>
      <c r="O154" s="4"/>
      <c r="P154" s="4"/>
    </row>
    <row r="155" spans="1:19" ht="10.5" x14ac:dyDescent="0.25">
      <c r="A155" s="662" t="s">
        <v>427</v>
      </c>
      <c r="B155" s="663" t="s">
        <v>21</v>
      </c>
      <c r="C155" s="664">
        <v>45382</v>
      </c>
      <c r="D155" s="663" t="s">
        <v>4570</v>
      </c>
      <c r="E155" s="663" t="s">
        <v>4571</v>
      </c>
      <c r="F155" s="663" t="s">
        <v>4571</v>
      </c>
      <c r="G155" s="665">
        <v>176721.01</v>
      </c>
      <c r="H155" s="665">
        <f>H154+G155</f>
        <v>360119.66000000003</v>
      </c>
      <c r="I155" s="663"/>
      <c r="J155" s="663" t="s">
        <v>68</v>
      </c>
      <c r="K155" s="668">
        <v>164552</v>
      </c>
      <c r="L155" s="663" t="s">
        <v>4429</v>
      </c>
      <c r="M155" s="663" t="s">
        <v>61</v>
      </c>
      <c r="N155" s="663" t="s">
        <v>39</v>
      </c>
      <c r="O155" s="663" t="s">
        <v>4245</v>
      </c>
      <c r="P155" s="663" t="s">
        <v>4579</v>
      </c>
      <c r="Q155" s="149"/>
      <c r="R155" s="149" t="str">
        <f t="shared" ref="R155:R156" si="3">LEFT(M155,3)</f>
        <v>101</v>
      </c>
      <c r="S155" s="149" t="s">
        <v>4369</v>
      </c>
    </row>
    <row r="156" spans="1:19" ht="10.5" x14ac:dyDescent="0.25">
      <c r="A156" s="662" t="s">
        <v>427</v>
      </c>
      <c r="B156" s="663" t="s">
        <v>21</v>
      </c>
      <c r="C156" s="664">
        <v>45473</v>
      </c>
      <c r="D156" s="663" t="s">
        <v>4752</v>
      </c>
      <c r="E156" s="663" t="s">
        <v>4753</v>
      </c>
      <c r="F156" s="663" t="s">
        <v>4753</v>
      </c>
      <c r="G156" s="665">
        <v>158454.15305148001</v>
      </c>
      <c r="H156" s="665">
        <v>518573.81299997523</v>
      </c>
      <c r="I156" s="663"/>
      <c r="J156" s="663" t="s">
        <v>68</v>
      </c>
      <c r="K156" s="668">
        <v>147543</v>
      </c>
      <c r="L156" s="663" t="s">
        <v>4610</v>
      </c>
      <c r="M156" s="663" t="s">
        <v>61</v>
      </c>
      <c r="N156" s="663" t="s">
        <v>118</v>
      </c>
      <c r="O156" s="663" t="s">
        <v>4245</v>
      </c>
      <c r="P156" s="663" t="s">
        <v>4579</v>
      </c>
      <c r="Q156" s="149"/>
      <c r="R156" s="149" t="str">
        <f t="shared" si="3"/>
        <v>101</v>
      </c>
      <c r="S156" s="699" t="s">
        <v>3845</v>
      </c>
    </row>
    <row r="157" spans="1:19" ht="10.5" x14ac:dyDescent="0.25">
      <c r="A157" s="677" t="s">
        <v>4580</v>
      </c>
      <c r="B157" s="149"/>
      <c r="C157" s="149"/>
      <c r="D157" s="149"/>
      <c r="E157" s="149"/>
      <c r="F157" s="149"/>
      <c r="G157" s="700">
        <f>SUM(G155:G156)</f>
        <v>335175.16305148002</v>
      </c>
      <c r="H157" s="700">
        <f>H156</f>
        <v>518573.81299997523</v>
      </c>
      <c r="I157" s="149"/>
      <c r="J157" s="149"/>
      <c r="K157" s="701"/>
      <c r="L157" s="149"/>
      <c r="M157" s="149"/>
      <c r="N157" s="149"/>
      <c r="O157" s="149"/>
      <c r="P157" s="149"/>
      <c r="Q157" s="149"/>
      <c r="R157" s="149"/>
      <c r="S157" s="149"/>
    </row>
    <row r="158" spans="1:19" ht="10.5" x14ac:dyDescent="0.25">
      <c r="A158" s="8" t="s">
        <v>415</v>
      </c>
      <c r="B158" s="4"/>
      <c r="C158" s="5"/>
      <c r="D158" s="4"/>
      <c r="E158" s="4"/>
      <c r="F158" s="4"/>
      <c r="G158" s="6">
        <v>0</v>
      </c>
      <c r="H158" s="6">
        <v>1093347.77</v>
      </c>
      <c r="I158" s="4"/>
      <c r="J158" s="4"/>
      <c r="K158" s="7">
        <v>0</v>
      </c>
      <c r="L158" s="4"/>
      <c r="M158" s="4"/>
      <c r="N158" s="4"/>
      <c r="O158" s="4"/>
      <c r="P158" s="4"/>
    </row>
    <row r="159" spans="1:19" ht="10.5" x14ac:dyDescent="0.25">
      <c r="A159" s="662" t="s">
        <v>415</v>
      </c>
      <c r="B159" s="663" t="s">
        <v>21</v>
      </c>
      <c r="C159" s="664">
        <v>45382</v>
      </c>
      <c r="D159" s="663" t="s">
        <v>4574</v>
      </c>
      <c r="E159" s="663" t="s">
        <v>4575</v>
      </c>
      <c r="F159" s="663" t="s">
        <v>4575</v>
      </c>
      <c r="G159" s="665">
        <v>2978.07</v>
      </c>
      <c r="H159" s="665">
        <f>H158+G159</f>
        <v>1096325.8400000001</v>
      </c>
      <c r="I159" s="663"/>
      <c r="J159" s="663" t="s">
        <v>68</v>
      </c>
      <c r="K159" s="668">
        <v>2773</v>
      </c>
      <c r="L159" s="663" t="s">
        <v>4429</v>
      </c>
      <c r="M159" s="663" t="s">
        <v>61</v>
      </c>
      <c r="N159" s="663" t="s">
        <v>118</v>
      </c>
      <c r="O159" s="663" t="s">
        <v>4245</v>
      </c>
      <c r="P159" s="663" t="s">
        <v>4581</v>
      </c>
      <c r="Q159" s="149"/>
      <c r="R159" s="149" t="str">
        <f t="shared" ref="R159:R162" si="4">LEFT(M159,3)</f>
        <v>101</v>
      </c>
      <c r="S159" s="149" t="s">
        <v>4569</v>
      </c>
    </row>
    <row r="160" spans="1:19" ht="10.5" x14ac:dyDescent="0.25">
      <c r="A160" s="662" t="s">
        <v>415</v>
      </c>
      <c r="B160" s="663" t="s">
        <v>21</v>
      </c>
      <c r="C160" s="664">
        <v>45382</v>
      </c>
      <c r="D160" s="663" t="s">
        <v>4555</v>
      </c>
      <c r="E160" s="663" t="s">
        <v>4556</v>
      </c>
      <c r="F160" s="663" t="s">
        <v>4556</v>
      </c>
      <c r="G160" s="665">
        <v>117461</v>
      </c>
      <c r="H160" s="665">
        <f>H159+G160</f>
        <v>1213786.8400000001</v>
      </c>
      <c r="I160" s="663"/>
      <c r="J160" s="663" t="s">
        <v>68</v>
      </c>
      <c r="K160" s="666">
        <v>117461</v>
      </c>
      <c r="L160" s="663" t="s">
        <v>4429</v>
      </c>
      <c r="M160" s="663" t="s">
        <v>117</v>
      </c>
      <c r="N160" s="663" t="s">
        <v>118</v>
      </c>
      <c r="O160" s="663" t="s">
        <v>4245</v>
      </c>
      <c r="P160" s="663" t="s">
        <v>4581</v>
      </c>
      <c r="Q160" s="149"/>
      <c r="R160" s="149" t="str">
        <f t="shared" si="4"/>
        <v>300</v>
      </c>
      <c r="S160" s="149" t="s">
        <v>4569</v>
      </c>
    </row>
    <row r="161" spans="1:19" ht="10.5" x14ac:dyDescent="0.25">
      <c r="A161" s="662" t="s">
        <v>415</v>
      </c>
      <c r="B161" s="663" t="s">
        <v>21</v>
      </c>
      <c r="C161" s="664">
        <v>45473</v>
      </c>
      <c r="D161" s="663" t="s">
        <v>4757</v>
      </c>
      <c r="E161" s="663" t="s">
        <v>4758</v>
      </c>
      <c r="F161" s="663" t="s">
        <v>4758</v>
      </c>
      <c r="G161" s="665">
        <v>233916</v>
      </c>
      <c r="H161" s="665">
        <v>1447702.8435393351</v>
      </c>
      <c r="I161" s="663"/>
      <c r="J161" s="663" t="s">
        <v>68</v>
      </c>
      <c r="K161" s="666">
        <v>233916</v>
      </c>
      <c r="L161" s="663" t="s">
        <v>4610</v>
      </c>
      <c r="M161" s="663" t="s">
        <v>117</v>
      </c>
      <c r="N161" s="663" t="s">
        <v>118</v>
      </c>
      <c r="O161" s="663" t="s">
        <v>4245</v>
      </c>
      <c r="P161" s="663" t="s">
        <v>4581</v>
      </c>
      <c r="Q161" s="149"/>
      <c r="R161" s="149" t="str">
        <f t="shared" si="4"/>
        <v>300</v>
      </c>
      <c r="S161" s="149" t="s">
        <v>4569</v>
      </c>
    </row>
    <row r="162" spans="1:19" ht="10.5" x14ac:dyDescent="0.25">
      <c r="A162" s="662" t="s">
        <v>415</v>
      </c>
      <c r="B162" s="663" t="s">
        <v>21</v>
      </c>
      <c r="C162" s="664">
        <v>45473</v>
      </c>
      <c r="D162" s="663" t="s">
        <v>4759</v>
      </c>
      <c r="E162" s="663" t="s">
        <v>4760</v>
      </c>
      <c r="F162" s="663" t="s">
        <v>4760</v>
      </c>
      <c r="G162" s="665">
        <v>2978.06989428</v>
      </c>
      <c r="H162" s="665">
        <v>1450680.9134336151</v>
      </c>
      <c r="I162" s="663"/>
      <c r="J162" s="663" t="s">
        <v>68</v>
      </c>
      <c r="K162" s="666">
        <v>2773</v>
      </c>
      <c r="L162" s="663" t="s">
        <v>4610</v>
      </c>
      <c r="M162" s="663" t="s">
        <v>61</v>
      </c>
      <c r="N162" s="663" t="s">
        <v>118</v>
      </c>
      <c r="O162" s="663" t="s">
        <v>4245</v>
      </c>
      <c r="P162" s="663" t="s">
        <v>4581</v>
      </c>
      <c r="Q162" s="149"/>
      <c r="R162" s="149" t="str">
        <f t="shared" si="4"/>
        <v>101</v>
      </c>
      <c r="S162" s="699" t="s">
        <v>3845</v>
      </c>
    </row>
    <row r="163" spans="1:19" ht="10.5" x14ac:dyDescent="0.25">
      <c r="A163" s="677" t="s">
        <v>4582</v>
      </c>
      <c r="B163" s="672"/>
      <c r="C163" s="673"/>
      <c r="D163" s="672"/>
      <c r="E163" s="672"/>
      <c r="F163" s="672"/>
      <c r="G163" s="674">
        <f>SUM(G158:G162)</f>
        <v>357333.13989428</v>
      </c>
      <c r="H163" s="674">
        <f>H162</f>
        <v>1450680.9134336151</v>
      </c>
      <c r="I163" s="672"/>
      <c r="J163" s="672"/>
      <c r="K163" s="675"/>
      <c r="L163" s="672"/>
      <c r="M163" s="672"/>
      <c r="N163" s="672"/>
      <c r="O163" s="672"/>
      <c r="P163" s="672"/>
      <c r="Q163" s="149"/>
      <c r="R163" s="149"/>
      <c r="S163" s="149"/>
    </row>
    <row r="164" spans="1:19" ht="10.5" x14ac:dyDescent="0.25">
      <c r="A164" s="8" t="s">
        <v>378</v>
      </c>
      <c r="B164" s="4"/>
      <c r="C164" s="5"/>
      <c r="D164" s="4"/>
      <c r="E164" s="4"/>
      <c r="F164" s="4"/>
      <c r="G164" s="6">
        <v>0</v>
      </c>
      <c r="H164" s="6">
        <v>-3.6922454255984997E-2</v>
      </c>
      <c r="I164" s="4"/>
      <c r="J164" s="4"/>
      <c r="K164" s="7">
        <v>0</v>
      </c>
      <c r="L164" s="4"/>
      <c r="M164" s="4"/>
      <c r="N164" s="4"/>
      <c r="O164" s="4"/>
      <c r="P164" s="4"/>
    </row>
    <row r="165" spans="1:19" ht="10.5" x14ac:dyDescent="0.25">
      <c r="A165" s="662" t="s">
        <v>378</v>
      </c>
      <c r="B165" s="663" t="s">
        <v>21</v>
      </c>
      <c r="C165" s="664">
        <v>45382</v>
      </c>
      <c r="D165" s="663" t="s">
        <v>4553</v>
      </c>
      <c r="E165" s="663" t="s">
        <v>4554</v>
      </c>
      <c r="F165" s="663" t="s">
        <v>4578</v>
      </c>
      <c r="G165" s="665">
        <v>117461</v>
      </c>
      <c r="H165" s="665">
        <v>117460.96307754575</v>
      </c>
      <c r="I165" s="663"/>
      <c r="J165" s="663" t="s">
        <v>68</v>
      </c>
      <c r="K165" s="666">
        <v>117461</v>
      </c>
      <c r="L165" s="663" t="s">
        <v>4429</v>
      </c>
      <c r="M165" s="663" t="s">
        <v>117</v>
      </c>
      <c r="N165" s="663" t="s">
        <v>118</v>
      </c>
      <c r="O165" s="663" t="s">
        <v>4245</v>
      </c>
      <c r="P165" s="663" t="s">
        <v>4583</v>
      </c>
      <c r="Q165" s="149"/>
      <c r="R165" s="149" t="str">
        <f t="shared" ref="R165:R166" si="5">LEFT(M165,3)</f>
        <v>300</v>
      </c>
      <c r="S165" s="149" t="s">
        <v>3845</v>
      </c>
    </row>
    <row r="166" spans="1:19" ht="10.5" x14ac:dyDescent="0.25">
      <c r="A166" s="662" t="s">
        <v>378</v>
      </c>
      <c r="B166" s="663" t="s">
        <v>21</v>
      </c>
      <c r="C166" s="664">
        <v>45382</v>
      </c>
      <c r="D166" s="663" t="s">
        <v>4555</v>
      </c>
      <c r="E166" s="663" t="s">
        <v>4556</v>
      </c>
      <c r="F166" s="663" t="s">
        <v>4556</v>
      </c>
      <c r="G166" s="665">
        <v>-117461</v>
      </c>
      <c r="H166" s="665">
        <v>-3.6922454251907766E-2</v>
      </c>
      <c r="I166" s="663"/>
      <c r="J166" s="663" t="s">
        <v>68</v>
      </c>
      <c r="K166" s="666">
        <v>-117461</v>
      </c>
      <c r="L166" s="663" t="s">
        <v>4429</v>
      </c>
      <c r="M166" s="663" t="s">
        <v>117</v>
      </c>
      <c r="N166" s="663" t="s">
        <v>118</v>
      </c>
      <c r="O166" s="663" t="s">
        <v>4245</v>
      </c>
      <c r="P166" s="663" t="s">
        <v>4583</v>
      </c>
      <c r="Q166" s="149"/>
      <c r="R166" s="149" t="str">
        <f t="shared" si="5"/>
        <v>300</v>
      </c>
      <c r="S166" s="149" t="s">
        <v>3845</v>
      </c>
    </row>
    <row r="167" spans="1:19" ht="10.5" x14ac:dyDescent="0.25">
      <c r="A167" s="677" t="s">
        <v>4584</v>
      </c>
      <c r="B167" s="672"/>
      <c r="C167" s="673"/>
      <c r="D167" s="672"/>
      <c r="E167" s="672"/>
      <c r="F167" s="672"/>
      <c r="G167" s="674">
        <v>0</v>
      </c>
      <c r="H167" s="674">
        <v>-3.6922454251907766E-2</v>
      </c>
      <c r="I167" s="672"/>
      <c r="J167" s="672"/>
      <c r="K167" s="675"/>
      <c r="L167" s="672"/>
      <c r="M167" s="672"/>
      <c r="N167" s="672"/>
      <c r="O167" s="672"/>
      <c r="P167" s="672"/>
      <c r="Q167" s="149"/>
      <c r="R167" s="149"/>
      <c r="S167" s="149"/>
    </row>
    <row r="168" spans="1:19" ht="10.5" x14ac:dyDescent="0.25">
      <c r="A168" s="8" t="s">
        <v>4397</v>
      </c>
      <c r="B168" s="4"/>
      <c r="C168" s="5"/>
      <c r="D168" s="4"/>
      <c r="E168" s="4"/>
      <c r="F168" s="4"/>
      <c r="G168" s="6">
        <v>0</v>
      </c>
      <c r="H168" s="6">
        <v>-94307.981664780003</v>
      </c>
      <c r="I168" s="4"/>
      <c r="J168" s="4"/>
      <c r="K168" s="7">
        <v>0</v>
      </c>
      <c r="L168" s="4"/>
      <c r="M168" s="4"/>
      <c r="N168" s="4"/>
      <c r="O168" s="4"/>
      <c r="P168" s="4"/>
    </row>
    <row r="169" spans="1:19" ht="10.5" x14ac:dyDescent="0.25">
      <c r="A169" s="662" t="s">
        <v>4397</v>
      </c>
      <c r="B169" s="663" t="s">
        <v>21</v>
      </c>
      <c r="C169" s="664">
        <v>45382</v>
      </c>
      <c r="D169" s="663" t="s">
        <v>4574</v>
      </c>
      <c r="E169" s="663" t="s">
        <v>4575</v>
      </c>
      <c r="F169" s="663" t="s">
        <v>4575</v>
      </c>
      <c r="G169" s="665">
        <v>-2992.8228366100002</v>
      </c>
      <c r="H169" s="665">
        <f>H168+G169</f>
        <v>-97300.804501389997</v>
      </c>
      <c r="I169" s="663"/>
      <c r="J169" s="663" t="s">
        <v>68</v>
      </c>
      <c r="K169" s="668">
        <v>2773</v>
      </c>
      <c r="L169" s="663" t="s">
        <v>4429</v>
      </c>
      <c r="M169" s="663" t="s">
        <v>61</v>
      </c>
      <c r="N169" s="663" t="s">
        <v>118</v>
      </c>
      <c r="O169" s="663" t="s">
        <v>4245</v>
      </c>
      <c r="P169" s="663" t="s">
        <v>4588</v>
      </c>
      <c r="Q169" s="149"/>
      <c r="R169" s="149" t="str">
        <f t="shared" ref="R169:R170" si="6">LEFT(M169,3)</f>
        <v>101</v>
      </c>
      <c r="S169" s="149" t="s">
        <v>4569</v>
      </c>
    </row>
    <row r="170" spans="1:19" ht="10.5" x14ac:dyDescent="0.25">
      <c r="A170" s="662" t="s">
        <v>4397</v>
      </c>
      <c r="B170" s="663" t="s">
        <v>21</v>
      </c>
      <c r="C170" s="664">
        <v>45473</v>
      </c>
      <c r="D170" s="663" t="s">
        <v>4759</v>
      </c>
      <c r="E170" s="663" t="s">
        <v>4760</v>
      </c>
      <c r="F170" s="663" t="s">
        <v>4760</v>
      </c>
      <c r="G170" s="665">
        <v>-2978.07</v>
      </c>
      <c r="H170" s="665">
        <v>-100278.87</v>
      </c>
      <c r="I170" s="663"/>
      <c r="J170" s="663" t="s">
        <v>68</v>
      </c>
      <c r="K170" s="668">
        <v>2773</v>
      </c>
      <c r="L170" s="725">
        <v>45444</v>
      </c>
      <c r="M170" s="663" t="s">
        <v>61</v>
      </c>
      <c r="N170" s="663" t="s">
        <v>118</v>
      </c>
      <c r="O170" s="663" t="s">
        <v>4245</v>
      </c>
      <c r="P170" s="663" t="s">
        <v>4588</v>
      </c>
      <c r="Q170" s="149"/>
      <c r="R170" s="149" t="str">
        <f t="shared" si="6"/>
        <v>101</v>
      </c>
      <c r="S170" s="699" t="s">
        <v>3845</v>
      </c>
    </row>
    <row r="171" spans="1:19" ht="10.5" x14ac:dyDescent="0.25">
      <c r="A171" s="677" t="s">
        <v>4589</v>
      </c>
      <c r="B171" s="672"/>
      <c r="C171" s="673"/>
      <c r="D171" s="672"/>
      <c r="E171" s="672"/>
      <c r="F171" s="672"/>
      <c r="G171" s="674">
        <f>SUM(G168:G170)</f>
        <v>-5970.8928366100008</v>
      </c>
      <c r="H171" s="674">
        <f>H170</f>
        <v>-100278.87</v>
      </c>
      <c r="I171" s="672"/>
      <c r="J171" s="672"/>
      <c r="K171" s="675"/>
      <c r="L171" s="672"/>
      <c r="M171" s="672"/>
      <c r="N171" s="672"/>
      <c r="O171" s="672"/>
      <c r="P171" s="672"/>
      <c r="Q171" s="149"/>
      <c r="R171" s="149"/>
      <c r="S171" s="149"/>
    </row>
    <row r="172" spans="1:19" ht="10.5" x14ac:dyDescent="0.25">
      <c r="A172" s="8" t="s">
        <v>4396</v>
      </c>
      <c r="B172" s="4"/>
      <c r="C172" s="5"/>
      <c r="D172" s="4"/>
      <c r="E172" s="4"/>
      <c r="F172" s="4"/>
      <c r="G172" s="6">
        <v>0</v>
      </c>
      <c r="H172" s="6">
        <v>-274376.52069698001</v>
      </c>
      <c r="I172" s="4"/>
      <c r="J172" s="4"/>
      <c r="K172" s="7">
        <v>0</v>
      </c>
      <c r="L172" s="4"/>
      <c r="M172" s="4"/>
      <c r="N172" s="4"/>
      <c r="O172" s="4"/>
      <c r="P172" s="4"/>
    </row>
    <row r="173" spans="1:19" ht="10.5" x14ac:dyDescent="0.25">
      <c r="A173" s="662" t="s">
        <v>4396</v>
      </c>
      <c r="B173" s="663" t="s">
        <v>21</v>
      </c>
      <c r="C173" s="664">
        <v>45382</v>
      </c>
      <c r="D173" s="663" t="s">
        <v>4574</v>
      </c>
      <c r="E173" s="663" t="s">
        <v>4575</v>
      </c>
      <c r="F173" s="663" t="s">
        <v>4575</v>
      </c>
      <c r="G173" s="665">
        <v>807811.77464845998</v>
      </c>
      <c r="H173" s="665">
        <f>H172+G173</f>
        <v>533435.25395147991</v>
      </c>
      <c r="I173" s="663"/>
      <c r="J173" s="663" t="s">
        <v>68</v>
      </c>
      <c r="K173" s="668">
        <v>-748478</v>
      </c>
      <c r="L173" s="663" t="s">
        <v>4429</v>
      </c>
      <c r="M173" s="663" t="s">
        <v>61</v>
      </c>
      <c r="N173" s="663" t="s">
        <v>118</v>
      </c>
      <c r="O173" s="663" t="s">
        <v>4245</v>
      </c>
      <c r="P173" s="663" t="s">
        <v>4590</v>
      </c>
      <c r="Q173" s="149"/>
      <c r="R173" s="149" t="str">
        <f t="shared" ref="R173:R174" si="7">LEFT(M173,3)</f>
        <v>101</v>
      </c>
      <c r="S173" s="149" t="s">
        <v>4569</v>
      </c>
    </row>
    <row r="174" spans="1:19" ht="10.5" x14ac:dyDescent="0.25">
      <c r="A174" s="662" t="s">
        <v>4396</v>
      </c>
      <c r="B174" s="663" t="s">
        <v>21</v>
      </c>
      <c r="C174" s="664">
        <v>45473</v>
      </c>
      <c r="D174" s="663" t="s">
        <v>4759</v>
      </c>
      <c r="E174" s="663" t="s">
        <v>4760</v>
      </c>
      <c r="F174" s="663" t="s">
        <v>4760</v>
      </c>
      <c r="G174" s="665">
        <v>-231852.35</v>
      </c>
      <c r="H174" s="665">
        <v>301582.90000000002</v>
      </c>
      <c r="I174" s="663"/>
      <c r="J174" s="663" t="s">
        <v>68</v>
      </c>
      <c r="K174" s="668">
        <v>215887</v>
      </c>
      <c r="L174" s="725">
        <v>45444</v>
      </c>
      <c r="M174" s="663" t="s">
        <v>61</v>
      </c>
      <c r="N174" s="663" t="s">
        <v>118</v>
      </c>
      <c r="O174" s="663" t="s">
        <v>4245</v>
      </c>
      <c r="P174" s="663" t="s">
        <v>4590</v>
      </c>
      <c r="Q174" s="149"/>
      <c r="R174" s="149" t="str">
        <f t="shared" si="7"/>
        <v>101</v>
      </c>
      <c r="S174" s="699" t="s">
        <v>3845</v>
      </c>
    </row>
    <row r="175" spans="1:19" ht="10.5" x14ac:dyDescent="0.25">
      <c r="A175" s="677" t="s">
        <v>4591</v>
      </c>
      <c r="B175" s="672"/>
      <c r="C175" s="673"/>
      <c r="D175" s="672"/>
      <c r="E175" s="672"/>
      <c r="F175" s="672"/>
      <c r="G175" s="674">
        <f>SUM(G172:G174)</f>
        <v>575959.42464846</v>
      </c>
      <c r="H175" s="674">
        <f>H174</f>
        <v>301582.90000000002</v>
      </c>
      <c r="I175" s="672"/>
      <c r="J175" s="672"/>
      <c r="K175" s="675"/>
      <c r="L175" s="672"/>
      <c r="M175" s="672"/>
      <c r="N175" s="672"/>
      <c r="O175" s="672"/>
      <c r="P175" s="672"/>
      <c r="Q175" s="149"/>
      <c r="R175" s="149"/>
      <c r="S175" s="149"/>
    </row>
    <row r="176" spans="1:19" ht="10.5" x14ac:dyDescent="0.25">
      <c r="A176" s="703" t="s">
        <v>467</v>
      </c>
      <c r="B176" s="706"/>
      <c r="C176" s="707"/>
      <c r="D176" s="706"/>
      <c r="E176" s="706"/>
      <c r="F176" s="706"/>
      <c r="G176" s="704">
        <v>0</v>
      </c>
      <c r="H176" s="704">
        <v>0</v>
      </c>
      <c r="I176" s="706"/>
      <c r="J176" s="706"/>
      <c r="K176" s="708">
        <v>0</v>
      </c>
      <c r="L176" s="706"/>
      <c r="M176" s="706"/>
      <c r="N176" s="706"/>
      <c r="O176" s="706"/>
      <c r="P176" s="706"/>
    </row>
    <row r="177" spans="1:19" ht="10.5" x14ac:dyDescent="0.25">
      <c r="A177" s="703" t="s">
        <v>467</v>
      </c>
      <c r="B177" s="709" t="s">
        <v>249</v>
      </c>
      <c r="C177" s="710">
        <v>45464</v>
      </c>
      <c r="D177" s="709" t="s">
        <v>4744</v>
      </c>
      <c r="E177" s="709" t="s">
        <v>4745</v>
      </c>
      <c r="F177" s="709" t="s">
        <v>4745</v>
      </c>
      <c r="G177" s="711">
        <v>25491.762797904001</v>
      </c>
      <c r="H177" s="711">
        <f>H176+G177</f>
        <v>25491.762797904001</v>
      </c>
      <c r="I177" s="709" t="s">
        <v>4373</v>
      </c>
      <c r="J177" s="709" t="s">
        <v>68</v>
      </c>
      <c r="K177" s="712">
        <v>-23736.400000000001</v>
      </c>
      <c r="L177" s="709" t="s">
        <v>4610</v>
      </c>
      <c r="M177" s="709" t="s">
        <v>38</v>
      </c>
      <c r="N177" s="709"/>
      <c r="O177" s="709" t="s">
        <v>4245</v>
      </c>
      <c r="P177" s="709" t="s">
        <v>3758</v>
      </c>
      <c r="Q177" s="149"/>
      <c r="R177" s="149" t="str">
        <f t="shared" ref="R177:R178" si="8">LEFT(M177,3)</f>
        <v>204</v>
      </c>
      <c r="S177" s="699" t="s">
        <v>782</v>
      </c>
    </row>
    <row r="178" spans="1:19" ht="10.5" x14ac:dyDescent="0.25">
      <c r="A178" s="703" t="s">
        <v>467</v>
      </c>
      <c r="B178" s="709" t="s">
        <v>21</v>
      </c>
      <c r="C178" s="710">
        <v>45473</v>
      </c>
      <c r="D178" s="709" t="s">
        <v>4755</v>
      </c>
      <c r="E178" s="709" t="s">
        <v>4756</v>
      </c>
      <c r="F178" s="709" t="s">
        <v>4756</v>
      </c>
      <c r="G178" s="711">
        <v>-25491.33321696</v>
      </c>
      <c r="H178" s="711">
        <v>0.42958094400091795</v>
      </c>
      <c r="I178" s="709"/>
      <c r="J178" s="709" t="s">
        <v>68</v>
      </c>
      <c r="K178" s="712">
        <v>23736</v>
      </c>
      <c r="L178" s="709" t="s">
        <v>4610</v>
      </c>
      <c r="M178" s="709" t="s">
        <v>38</v>
      </c>
      <c r="N178" s="709" t="s">
        <v>118</v>
      </c>
      <c r="O178" s="709" t="s">
        <v>4245</v>
      </c>
      <c r="P178" s="709" t="s">
        <v>3758</v>
      </c>
      <c r="Q178" s="149"/>
      <c r="R178" s="149" t="str">
        <f t="shared" si="8"/>
        <v>204</v>
      </c>
      <c r="S178" s="699" t="s">
        <v>3845</v>
      </c>
    </row>
    <row r="179" spans="1:19" ht="10.5" x14ac:dyDescent="0.25">
      <c r="A179" s="713" t="s">
        <v>4746</v>
      </c>
      <c r="B179" s="714"/>
      <c r="C179" s="715"/>
      <c r="D179" s="714"/>
      <c r="E179" s="714"/>
      <c r="F179" s="714"/>
      <c r="G179" s="716">
        <f>SUM(G176:G178)</f>
        <v>0.42958094400091795</v>
      </c>
      <c r="H179" s="716">
        <f>H178</f>
        <v>0.42958094400091795</v>
      </c>
      <c r="I179" s="714"/>
      <c r="J179" s="714"/>
      <c r="K179" s="717"/>
      <c r="L179" s="714"/>
      <c r="M179" s="714"/>
      <c r="N179" s="714"/>
      <c r="O179" s="714"/>
      <c r="P179" s="714"/>
      <c r="Q179" s="149"/>
      <c r="R179" s="149"/>
      <c r="S179" s="149"/>
    </row>
  </sheetData>
  <autoFilter ref="A5:S5" xr:uid="{00000000-0001-0000-0800-000000000000}"/>
  <mergeCells count="3">
    <mergeCell ref="A1:S1"/>
    <mergeCell ref="A2:S2"/>
    <mergeCell ref="A3:S3"/>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3"/>
  <dimension ref="A1:XEZ82"/>
  <sheetViews>
    <sheetView zoomScaleNormal="100" workbookViewId="0">
      <selection sqref="A1:R1"/>
    </sheetView>
  </sheetViews>
  <sheetFormatPr defaultRowHeight="10" x14ac:dyDescent="0.2"/>
  <cols>
    <col min="1" max="1" width="44.33203125" customWidth="1"/>
    <col min="2" max="2" width="15.44140625" customWidth="1"/>
    <col min="3" max="3" width="12.33203125" style="508" customWidth="1"/>
    <col min="4" max="4" width="21.33203125" customWidth="1"/>
    <col min="5" max="5" width="50.88671875" customWidth="1"/>
    <col min="6" max="6" width="40.109375" customWidth="1"/>
    <col min="7" max="7" width="16.33203125" customWidth="1"/>
    <col min="8" max="8" width="21.33203125" customWidth="1"/>
    <col min="9" max="9" width="39.44140625" customWidth="1"/>
    <col min="10" max="13" width="21.33203125" customWidth="1"/>
    <col min="14" max="14" width="31.33203125" customWidth="1"/>
    <col min="16" max="16" width="29" customWidth="1"/>
    <col min="17" max="17" width="9.109375" style="497"/>
    <col min="18" max="18" width="23.109375" customWidth="1"/>
  </cols>
  <sheetData>
    <row r="1" spans="1:18 16380:16380" ht="15.65" customHeight="1" x14ac:dyDescent="0.35">
      <c r="A1" s="815" t="s">
        <v>0</v>
      </c>
      <c r="B1" s="816"/>
      <c r="C1" s="816"/>
      <c r="D1" s="816"/>
      <c r="E1" s="816"/>
      <c r="F1" s="816"/>
      <c r="G1" s="816"/>
      <c r="H1" s="816"/>
      <c r="I1" s="816"/>
      <c r="J1" s="816"/>
      <c r="K1" s="816"/>
      <c r="L1" s="816"/>
      <c r="M1" s="816"/>
      <c r="N1" s="816"/>
      <c r="O1" s="816"/>
      <c r="P1" s="816"/>
      <c r="Q1" s="816"/>
      <c r="R1" s="817"/>
    </row>
    <row r="2" spans="1:18 16380:16380" ht="15.65" customHeight="1" x14ac:dyDescent="0.35">
      <c r="A2" s="818" t="s">
        <v>1</v>
      </c>
      <c r="B2" s="819"/>
      <c r="C2" s="819"/>
      <c r="D2" s="819"/>
      <c r="E2" s="819"/>
      <c r="F2" s="819"/>
      <c r="G2" s="819"/>
      <c r="H2" s="819"/>
      <c r="I2" s="819"/>
      <c r="J2" s="819"/>
      <c r="K2" s="819"/>
      <c r="L2" s="819"/>
      <c r="M2" s="819"/>
      <c r="N2" s="819"/>
      <c r="O2" s="819"/>
      <c r="P2" s="819"/>
      <c r="Q2" s="819"/>
      <c r="R2" s="820"/>
    </row>
    <row r="3" spans="1:18 16380:16380" ht="17.399999999999999" customHeight="1" thickBot="1" x14ac:dyDescent="0.45">
      <c r="A3" s="821" t="s">
        <v>4749</v>
      </c>
      <c r="B3" s="822"/>
      <c r="C3" s="822"/>
      <c r="D3" s="822"/>
      <c r="E3" s="822"/>
      <c r="F3" s="822"/>
      <c r="G3" s="822"/>
      <c r="H3" s="822"/>
      <c r="I3" s="822"/>
      <c r="J3" s="822"/>
      <c r="K3" s="822"/>
      <c r="L3" s="822"/>
      <c r="M3" s="822"/>
      <c r="N3" s="822"/>
      <c r="O3" s="822"/>
      <c r="P3" s="822"/>
      <c r="Q3" s="822"/>
      <c r="R3" s="823"/>
    </row>
    <row r="4" spans="1:18 16380:16380" ht="18.5" thickBot="1" x14ac:dyDescent="0.45">
      <c r="A4" s="635" t="s">
        <v>4</v>
      </c>
      <c r="B4" s="635"/>
      <c r="C4" s="636"/>
      <c r="D4" s="635"/>
      <c r="E4" s="635"/>
      <c r="F4" s="635"/>
      <c r="G4" s="635"/>
      <c r="H4" s="635"/>
      <c r="I4" s="635"/>
      <c r="J4" s="635"/>
      <c r="K4" s="635"/>
      <c r="L4" s="635"/>
      <c r="M4" s="635"/>
      <c r="N4" s="635"/>
      <c r="O4" s="96"/>
      <c r="P4" s="96"/>
      <c r="Q4" s="637"/>
      <c r="R4" s="96"/>
    </row>
    <row r="5" spans="1:18 16380:16380" s="496" customFormat="1" ht="10.5" thickBot="1" x14ac:dyDescent="0.25">
      <c r="A5" s="638" t="s">
        <v>5</v>
      </c>
      <c r="B5" s="639" t="s">
        <v>6</v>
      </c>
      <c r="C5" s="640" t="s">
        <v>7</v>
      </c>
      <c r="D5" s="639" t="s">
        <v>8</v>
      </c>
      <c r="E5" s="639" t="s">
        <v>9</v>
      </c>
      <c r="F5" s="639" t="s">
        <v>10</v>
      </c>
      <c r="G5" s="641" t="s">
        <v>11</v>
      </c>
      <c r="H5" s="641" t="s">
        <v>12</v>
      </c>
      <c r="I5" s="639" t="s">
        <v>13</v>
      </c>
      <c r="J5" s="639" t="s">
        <v>14</v>
      </c>
      <c r="K5" s="641" t="s">
        <v>15</v>
      </c>
      <c r="L5" s="639" t="s">
        <v>16</v>
      </c>
      <c r="M5" s="639" t="s">
        <v>17</v>
      </c>
      <c r="N5" s="639" t="s">
        <v>18</v>
      </c>
      <c r="O5" s="639" t="s">
        <v>3778</v>
      </c>
      <c r="P5" s="639" t="s">
        <v>3777</v>
      </c>
      <c r="Q5" s="642" t="s">
        <v>4265</v>
      </c>
      <c r="R5" s="643" t="s">
        <v>10</v>
      </c>
    </row>
    <row r="6" spans="1:18 16380:16380" ht="10.5" x14ac:dyDescent="0.25">
      <c r="A6" s="533" t="s">
        <v>20</v>
      </c>
      <c r="B6" s="529"/>
      <c r="C6" s="530"/>
      <c r="D6" s="529"/>
      <c r="E6" s="529"/>
      <c r="F6" s="529"/>
      <c r="G6" s="531">
        <v>0</v>
      </c>
      <c r="H6" s="531">
        <v>626954.41</v>
      </c>
      <c r="I6" s="529"/>
      <c r="J6" s="529"/>
      <c r="K6" s="532">
        <v>0</v>
      </c>
      <c r="L6" s="529"/>
      <c r="M6" s="529"/>
      <c r="N6" s="529"/>
      <c r="O6" s="529"/>
      <c r="P6" s="529"/>
      <c r="Q6" s="529"/>
      <c r="XEZ6" s="25">
        <f>SUM(G6:XEY6)</f>
        <v>626954.41</v>
      </c>
    </row>
    <row r="7" spans="1:18 16380:16380" ht="10.5" x14ac:dyDescent="0.25">
      <c r="A7" s="644" t="s">
        <v>20</v>
      </c>
      <c r="B7" s="645" t="s">
        <v>21</v>
      </c>
      <c r="C7" s="646">
        <v>45358</v>
      </c>
      <c r="D7" s="645" t="s">
        <v>4405</v>
      </c>
      <c r="E7" s="645" t="s">
        <v>4406</v>
      </c>
      <c r="F7" s="645" t="s">
        <v>4407</v>
      </c>
      <c r="G7" s="647">
        <v>1310.9</v>
      </c>
      <c r="H7" s="647">
        <v>628265.30000000005</v>
      </c>
      <c r="I7" s="645"/>
      <c r="J7" s="645" t="s">
        <v>25</v>
      </c>
      <c r="K7" s="648">
        <v>1311</v>
      </c>
      <c r="L7" s="649">
        <v>45352</v>
      </c>
      <c r="M7" s="645" t="s">
        <v>27</v>
      </c>
      <c r="N7" s="645" t="s">
        <v>4357</v>
      </c>
      <c r="O7" s="645" t="s">
        <v>4245</v>
      </c>
      <c r="P7" s="645" t="s">
        <v>4257</v>
      </c>
      <c r="Q7" s="650" t="str">
        <f t="shared" ref="Q7:Q61" si="0">LEFT(M7,3)</f>
        <v>201</v>
      </c>
      <c r="R7" s="149" t="s">
        <v>782</v>
      </c>
    </row>
    <row r="8" spans="1:18 16380:16380" ht="10.5" x14ac:dyDescent="0.25">
      <c r="A8" s="644" t="s">
        <v>20</v>
      </c>
      <c r="B8" s="645" t="s">
        <v>21</v>
      </c>
      <c r="C8" s="646">
        <v>45358</v>
      </c>
      <c r="D8" s="645" t="s">
        <v>4405</v>
      </c>
      <c r="E8" s="645" t="s">
        <v>4406</v>
      </c>
      <c r="F8" s="645" t="s">
        <v>4408</v>
      </c>
      <c r="G8" s="647">
        <v>123.29</v>
      </c>
      <c r="H8" s="647">
        <v>628388.59</v>
      </c>
      <c r="I8" s="645"/>
      <c r="J8" s="645" t="s">
        <v>25</v>
      </c>
      <c r="K8" s="648">
        <v>123.3</v>
      </c>
      <c r="L8" s="649">
        <v>45352</v>
      </c>
      <c r="M8" s="645" t="s">
        <v>27</v>
      </c>
      <c r="N8" s="645" t="s">
        <v>4357</v>
      </c>
      <c r="O8" s="645" t="s">
        <v>4245</v>
      </c>
      <c r="P8" s="645" t="s">
        <v>4257</v>
      </c>
      <c r="Q8" s="650" t="str">
        <f t="shared" si="0"/>
        <v>201</v>
      </c>
      <c r="R8" s="149" t="s">
        <v>795</v>
      </c>
    </row>
    <row r="9" spans="1:18 16380:16380" ht="10.5" x14ac:dyDescent="0.25">
      <c r="A9" s="644" t="s">
        <v>20</v>
      </c>
      <c r="B9" s="645" t="s">
        <v>21</v>
      </c>
      <c r="C9" s="646">
        <v>45382</v>
      </c>
      <c r="D9" s="645" t="s">
        <v>4551</v>
      </c>
      <c r="E9" s="645" t="s">
        <v>4552</v>
      </c>
      <c r="F9" s="645" t="s">
        <v>4552</v>
      </c>
      <c r="G9" s="647">
        <v>50720.449393465286</v>
      </c>
      <c r="H9" s="647">
        <v>679109.04421028169</v>
      </c>
      <c r="I9" s="645"/>
      <c r="J9" s="645" t="s">
        <v>25</v>
      </c>
      <c r="K9" s="648">
        <v>46727</v>
      </c>
      <c r="L9" s="649" t="s">
        <v>4429</v>
      </c>
      <c r="M9" s="645" t="s">
        <v>61</v>
      </c>
      <c r="N9" s="645" t="s">
        <v>39</v>
      </c>
      <c r="O9" s="645" t="s">
        <v>3698</v>
      </c>
      <c r="P9" s="645" t="s">
        <v>4257</v>
      </c>
      <c r="Q9" s="650" t="str">
        <f t="shared" si="0"/>
        <v>101</v>
      </c>
      <c r="R9" s="149" t="s">
        <v>799</v>
      </c>
    </row>
    <row r="10" spans="1:18 16380:16380" ht="10.5" x14ac:dyDescent="0.25">
      <c r="A10" s="644" t="s">
        <v>20</v>
      </c>
      <c r="B10" s="645" t="s">
        <v>21</v>
      </c>
      <c r="C10" s="646">
        <v>45419</v>
      </c>
      <c r="D10" s="645" t="s">
        <v>4592</v>
      </c>
      <c r="E10" s="645" t="s">
        <v>4593</v>
      </c>
      <c r="F10" s="645" t="s">
        <v>4594</v>
      </c>
      <c r="G10" s="647">
        <v>344.33126382000302</v>
      </c>
      <c r="H10" s="647">
        <v>679453.37547410175</v>
      </c>
      <c r="I10" s="645"/>
      <c r="J10" s="645" t="s">
        <v>25</v>
      </c>
      <c r="K10" s="648">
        <v>344</v>
      </c>
      <c r="L10" s="649" t="s">
        <v>4595</v>
      </c>
      <c r="M10" s="645" t="s">
        <v>27</v>
      </c>
      <c r="N10" s="645" t="s">
        <v>4357</v>
      </c>
      <c r="O10" s="645" t="s">
        <v>4245</v>
      </c>
      <c r="P10" s="645" t="s">
        <v>4257</v>
      </c>
      <c r="Q10" s="650" t="str">
        <f t="shared" si="0"/>
        <v>201</v>
      </c>
      <c r="R10" s="149" t="s">
        <v>795</v>
      </c>
    </row>
    <row r="11" spans="1:18 16380:16380" ht="10.5" x14ac:dyDescent="0.25">
      <c r="A11" s="644" t="s">
        <v>20</v>
      </c>
      <c r="B11" s="645" t="s">
        <v>21</v>
      </c>
      <c r="C11" s="646">
        <v>45419</v>
      </c>
      <c r="D11" s="645" t="s">
        <v>4592</v>
      </c>
      <c r="E11" s="645" t="s">
        <v>4593</v>
      </c>
      <c r="F11" s="645" t="s">
        <v>4596</v>
      </c>
      <c r="G11" s="647">
        <v>35.243906392739262</v>
      </c>
      <c r="H11" s="647">
        <v>679488.61938049446</v>
      </c>
      <c r="I11" s="645"/>
      <c r="J11" s="645" t="s">
        <v>25</v>
      </c>
      <c r="K11" s="648">
        <v>35.21</v>
      </c>
      <c r="L11" s="649" t="s">
        <v>4595</v>
      </c>
      <c r="M11" s="645" t="s">
        <v>27</v>
      </c>
      <c r="N11" s="645" t="s">
        <v>4357</v>
      </c>
      <c r="O11" s="645" t="s">
        <v>4245</v>
      </c>
      <c r="P11" s="645" t="s">
        <v>4257</v>
      </c>
      <c r="Q11" s="650" t="str">
        <f t="shared" si="0"/>
        <v>201</v>
      </c>
      <c r="R11" s="149" t="s">
        <v>795</v>
      </c>
    </row>
    <row r="12" spans="1:18 16380:16380" ht="10.5" x14ac:dyDescent="0.25">
      <c r="A12" s="644" t="s">
        <v>20</v>
      </c>
      <c r="B12" s="645" t="s">
        <v>21</v>
      </c>
      <c r="C12" s="646">
        <v>45419</v>
      </c>
      <c r="D12" s="645" t="s">
        <v>4597</v>
      </c>
      <c r="E12" s="645" t="s">
        <v>4598</v>
      </c>
      <c r="F12" s="645" t="s">
        <v>4599</v>
      </c>
      <c r="G12" s="647">
        <v>100.0962976220939</v>
      </c>
      <c r="H12" s="647">
        <v>679588.71567811654</v>
      </c>
      <c r="I12" s="645"/>
      <c r="J12" s="645" t="s">
        <v>25</v>
      </c>
      <c r="K12" s="648">
        <v>100</v>
      </c>
      <c r="L12" s="649" t="s">
        <v>4595</v>
      </c>
      <c r="M12" s="645" t="s">
        <v>27</v>
      </c>
      <c r="N12" s="645" t="s">
        <v>4357</v>
      </c>
      <c r="O12" s="645" t="s">
        <v>4245</v>
      </c>
      <c r="P12" s="645" t="s">
        <v>4257</v>
      </c>
      <c r="Q12" s="650" t="str">
        <f t="shared" si="0"/>
        <v>201</v>
      </c>
      <c r="R12" s="149" t="s">
        <v>795</v>
      </c>
    </row>
    <row r="13" spans="1:18 16380:16380" ht="10.5" x14ac:dyDescent="0.25">
      <c r="A13" s="644" t="s">
        <v>20</v>
      </c>
      <c r="B13" s="645" t="s">
        <v>21</v>
      </c>
      <c r="C13" s="646">
        <v>45419</v>
      </c>
      <c r="D13" s="645" t="s">
        <v>4597</v>
      </c>
      <c r="E13" s="645" t="s">
        <v>4598</v>
      </c>
      <c r="F13" s="645" t="s">
        <v>4600</v>
      </c>
      <c r="G13" s="647">
        <v>11.030611997954749</v>
      </c>
      <c r="H13" s="647">
        <v>679599.74629011448</v>
      </c>
      <c r="I13" s="645"/>
      <c r="J13" s="645" t="s">
        <v>25</v>
      </c>
      <c r="K13" s="648">
        <v>11.02</v>
      </c>
      <c r="L13" s="649" t="s">
        <v>4595</v>
      </c>
      <c r="M13" s="645" t="s">
        <v>27</v>
      </c>
      <c r="N13" s="645" t="s">
        <v>4357</v>
      </c>
      <c r="O13" s="645" t="s">
        <v>4245</v>
      </c>
      <c r="P13" s="645" t="s">
        <v>4257</v>
      </c>
      <c r="Q13" s="650" t="str">
        <f t="shared" si="0"/>
        <v>201</v>
      </c>
      <c r="R13" s="149" t="s">
        <v>795</v>
      </c>
    </row>
    <row r="14" spans="1:18 16380:16380" ht="10.5" x14ac:dyDescent="0.25">
      <c r="A14" s="644" t="s">
        <v>20</v>
      </c>
      <c r="B14" s="645" t="s">
        <v>21</v>
      </c>
      <c r="C14" s="646">
        <v>45421</v>
      </c>
      <c r="D14" s="645" t="s">
        <v>4601</v>
      </c>
      <c r="E14" s="645" t="s">
        <v>4602</v>
      </c>
      <c r="F14" s="645" t="s">
        <v>4603</v>
      </c>
      <c r="G14" s="647">
        <v>3582.4464918947406</v>
      </c>
      <c r="H14" s="647">
        <v>683182.19278200925</v>
      </c>
      <c r="I14" s="645"/>
      <c r="J14" s="645" t="s">
        <v>25</v>
      </c>
      <c r="K14" s="648">
        <v>3579</v>
      </c>
      <c r="L14" s="649" t="s">
        <v>4595</v>
      </c>
      <c r="M14" s="645" t="s">
        <v>27</v>
      </c>
      <c r="N14" s="645" t="s">
        <v>4357</v>
      </c>
      <c r="O14" s="645" t="s">
        <v>4245</v>
      </c>
      <c r="P14" s="645" t="s">
        <v>4257</v>
      </c>
      <c r="Q14" s="650" t="str">
        <f t="shared" si="0"/>
        <v>201</v>
      </c>
      <c r="R14" s="149" t="s">
        <v>795</v>
      </c>
    </row>
    <row r="15" spans="1:18 16380:16380" ht="10.5" x14ac:dyDescent="0.25">
      <c r="A15" s="644" t="s">
        <v>20</v>
      </c>
      <c r="B15" s="645" t="s">
        <v>21</v>
      </c>
      <c r="C15" s="646">
        <v>45421</v>
      </c>
      <c r="D15" s="645" t="s">
        <v>4601</v>
      </c>
      <c r="E15" s="645" t="s">
        <v>4602</v>
      </c>
      <c r="F15" s="645" t="s">
        <v>4604</v>
      </c>
      <c r="G15" s="647">
        <v>1968.2935964408543</v>
      </c>
      <c r="H15" s="647">
        <v>685150.48637845006</v>
      </c>
      <c r="I15" s="645"/>
      <c r="J15" s="645" t="s">
        <v>25</v>
      </c>
      <c r="K15" s="648">
        <v>1966.4</v>
      </c>
      <c r="L15" s="649" t="s">
        <v>4595</v>
      </c>
      <c r="M15" s="645" t="s">
        <v>27</v>
      </c>
      <c r="N15" s="645" t="s">
        <v>4357</v>
      </c>
      <c r="O15" s="645" t="s">
        <v>4245</v>
      </c>
      <c r="P15" s="645" t="s">
        <v>4257</v>
      </c>
      <c r="Q15" s="650" t="str">
        <f t="shared" si="0"/>
        <v>201</v>
      </c>
      <c r="R15" s="149" t="s">
        <v>795</v>
      </c>
    </row>
    <row r="16" spans="1:18 16380:16380" ht="10.5" x14ac:dyDescent="0.25">
      <c r="A16" s="644" t="s">
        <v>20</v>
      </c>
      <c r="B16" s="645" t="s">
        <v>21</v>
      </c>
      <c r="C16" s="646">
        <v>45421</v>
      </c>
      <c r="D16" s="645" t="s">
        <v>4605</v>
      </c>
      <c r="E16" s="645" t="s">
        <v>4606</v>
      </c>
      <c r="F16" s="645" t="s">
        <v>4607</v>
      </c>
      <c r="G16" s="647">
        <v>81.908800344159445</v>
      </c>
      <c r="H16" s="647">
        <v>685232.39517879428</v>
      </c>
      <c r="I16" s="645"/>
      <c r="J16" s="645" t="s">
        <v>25</v>
      </c>
      <c r="K16" s="648">
        <v>81.83</v>
      </c>
      <c r="L16" s="649" t="s">
        <v>4595</v>
      </c>
      <c r="M16" s="645" t="s">
        <v>27</v>
      </c>
      <c r="N16" s="645" t="s">
        <v>4357</v>
      </c>
      <c r="O16" s="645" t="s">
        <v>4245</v>
      </c>
      <c r="P16" s="645" t="s">
        <v>4257</v>
      </c>
      <c r="Q16" s="650" t="str">
        <f t="shared" si="0"/>
        <v>201</v>
      </c>
      <c r="R16" s="149" t="s">
        <v>795</v>
      </c>
    </row>
    <row r="17" spans="1:18" ht="10.5" x14ac:dyDescent="0.25">
      <c r="A17" s="644" t="s">
        <v>20</v>
      </c>
      <c r="B17" s="645" t="s">
        <v>249</v>
      </c>
      <c r="C17" s="646">
        <v>45460</v>
      </c>
      <c r="D17" s="645" t="s">
        <v>4608</v>
      </c>
      <c r="E17" s="645" t="s">
        <v>4609</v>
      </c>
      <c r="F17" s="645" t="s">
        <v>4609</v>
      </c>
      <c r="G17" s="647">
        <v>1415483.3105037061</v>
      </c>
      <c r="H17" s="647">
        <v>2100715.7056825003</v>
      </c>
      <c r="I17" s="645" t="s">
        <v>4373</v>
      </c>
      <c r="J17" s="645" t="s">
        <v>25</v>
      </c>
      <c r="K17" s="648">
        <v>1312356</v>
      </c>
      <c r="L17" s="649" t="s">
        <v>4610</v>
      </c>
      <c r="M17" s="645" t="s">
        <v>61</v>
      </c>
      <c r="N17" s="645"/>
      <c r="O17" s="645" t="s">
        <v>3698</v>
      </c>
      <c r="P17" s="645" t="s">
        <v>4257</v>
      </c>
      <c r="Q17" s="650" t="str">
        <f t="shared" si="0"/>
        <v>101</v>
      </c>
      <c r="R17" s="149" t="s">
        <v>799</v>
      </c>
    </row>
    <row r="18" spans="1:18" ht="10.5" x14ac:dyDescent="0.25">
      <c r="A18" s="644" t="s">
        <v>20</v>
      </c>
      <c r="B18" s="645" t="s">
        <v>21</v>
      </c>
      <c r="C18" s="646">
        <v>45460</v>
      </c>
      <c r="D18" s="645" t="s">
        <v>4611</v>
      </c>
      <c r="E18" s="645" t="s">
        <v>4612</v>
      </c>
      <c r="F18" s="645" t="s">
        <v>4612</v>
      </c>
      <c r="G18" s="647">
        <v>92067.743344486065</v>
      </c>
      <c r="H18" s="647">
        <v>2192783.4490269865</v>
      </c>
      <c r="I18" s="645"/>
      <c r="J18" s="645" t="s">
        <v>25</v>
      </c>
      <c r="K18" s="648">
        <v>85360</v>
      </c>
      <c r="L18" s="649" t="s">
        <v>4610</v>
      </c>
      <c r="M18" s="645" t="s">
        <v>61</v>
      </c>
      <c r="N18" s="645" t="s">
        <v>39</v>
      </c>
      <c r="O18" s="645" t="s">
        <v>3698</v>
      </c>
      <c r="P18" s="645" t="s">
        <v>4257</v>
      </c>
      <c r="Q18" s="650" t="str">
        <f t="shared" si="0"/>
        <v>101</v>
      </c>
      <c r="R18" s="149" t="s">
        <v>799</v>
      </c>
    </row>
    <row r="19" spans="1:18" ht="10.5" x14ac:dyDescent="0.25">
      <c r="A19" s="644" t="s">
        <v>20</v>
      </c>
      <c r="B19" s="645" t="s">
        <v>21</v>
      </c>
      <c r="C19" s="646">
        <v>45473</v>
      </c>
      <c r="D19" s="645" t="s">
        <v>4613</v>
      </c>
      <c r="E19" s="645" t="s">
        <v>4614</v>
      </c>
      <c r="F19" s="645" t="s">
        <v>4614</v>
      </c>
      <c r="G19" s="647">
        <v>96242.933532940908</v>
      </c>
      <c r="H19" s="647">
        <v>2289026.3825599272</v>
      </c>
      <c r="I19" s="645"/>
      <c r="J19" s="645" t="s">
        <v>25</v>
      </c>
      <c r="K19" s="648">
        <v>89231</v>
      </c>
      <c r="L19" s="649" t="s">
        <v>4610</v>
      </c>
      <c r="M19" s="645" t="s">
        <v>61</v>
      </c>
      <c r="N19" s="645" t="s">
        <v>4356</v>
      </c>
      <c r="O19" s="645" t="s">
        <v>3698</v>
      </c>
      <c r="P19" s="645" t="s">
        <v>4257</v>
      </c>
      <c r="Q19" s="650" t="str">
        <f t="shared" si="0"/>
        <v>101</v>
      </c>
      <c r="R19" s="149" t="s">
        <v>799</v>
      </c>
    </row>
    <row r="20" spans="1:18" ht="10.5" x14ac:dyDescent="0.25">
      <c r="A20" s="661" t="s">
        <v>56</v>
      </c>
      <c r="B20" s="652"/>
      <c r="C20" s="653"/>
      <c r="D20" s="652"/>
      <c r="E20" s="652"/>
      <c r="F20" s="652"/>
      <c r="G20" s="654">
        <f>SUM(G7:G19)</f>
        <v>1662071.9777431109</v>
      </c>
      <c r="H20" s="654">
        <f>H19</f>
        <v>2289026.3825599272</v>
      </c>
      <c r="I20" s="645"/>
      <c r="J20" s="645"/>
      <c r="K20" s="648"/>
      <c r="L20" s="645"/>
      <c r="M20" s="645"/>
      <c r="N20" s="645"/>
      <c r="O20" s="645"/>
      <c r="P20" s="645"/>
      <c r="Q20" s="650" t="str">
        <f t="shared" si="0"/>
        <v/>
      </c>
      <c r="R20" s="149"/>
    </row>
    <row r="21" spans="1:18" ht="10.5" x14ac:dyDescent="0.25">
      <c r="A21" s="651" t="s">
        <v>57</v>
      </c>
      <c r="B21" s="655"/>
      <c r="C21" s="656"/>
      <c r="D21" s="655"/>
      <c r="E21" s="655"/>
      <c r="F21" s="655"/>
      <c r="G21" s="657">
        <v>0</v>
      </c>
      <c r="H21" s="657">
        <v>2753109.2535237013</v>
      </c>
      <c r="I21" s="655"/>
      <c r="J21" s="655"/>
      <c r="K21" s="658">
        <v>0</v>
      </c>
      <c r="L21" s="655"/>
      <c r="M21" s="655"/>
      <c r="N21" s="655"/>
      <c r="O21" s="655"/>
      <c r="P21" s="655"/>
      <c r="Q21" s="650" t="str">
        <f t="shared" si="0"/>
        <v/>
      </c>
      <c r="R21" s="149"/>
    </row>
    <row r="22" spans="1:18" ht="10.5" x14ac:dyDescent="0.25">
      <c r="A22" s="651" t="s">
        <v>57</v>
      </c>
      <c r="B22" s="655" t="s">
        <v>64</v>
      </c>
      <c r="C22" s="656">
        <v>45308</v>
      </c>
      <c r="D22" s="655" t="s">
        <v>4409</v>
      </c>
      <c r="E22" s="655" t="s">
        <v>66</v>
      </c>
      <c r="F22" s="655" t="s">
        <v>66</v>
      </c>
      <c r="G22" s="657">
        <v>297.88048191312839</v>
      </c>
      <c r="H22" s="657">
        <v>2753407.1340056146</v>
      </c>
      <c r="I22" s="655" t="s">
        <v>4299</v>
      </c>
      <c r="J22" s="655" t="s">
        <v>68</v>
      </c>
      <c r="K22" s="659">
        <v>300</v>
      </c>
      <c r="L22" s="655" t="s">
        <v>4410</v>
      </c>
      <c r="M22" s="655" t="s">
        <v>27</v>
      </c>
      <c r="N22" s="655"/>
      <c r="O22" s="655" t="s">
        <v>4245</v>
      </c>
      <c r="P22" s="655" t="s">
        <v>4266</v>
      </c>
      <c r="Q22" s="650" t="str">
        <f t="shared" si="0"/>
        <v>201</v>
      </c>
      <c r="R22" s="149" t="s">
        <v>791</v>
      </c>
    </row>
    <row r="23" spans="1:18" ht="10.5" x14ac:dyDescent="0.25">
      <c r="A23" s="651" t="s">
        <v>57</v>
      </c>
      <c r="B23" s="655" t="s">
        <v>64</v>
      </c>
      <c r="C23" s="656">
        <v>45313</v>
      </c>
      <c r="D23" s="655" t="s">
        <v>4411</v>
      </c>
      <c r="E23" s="655" t="s">
        <v>66</v>
      </c>
      <c r="F23" s="655" t="s">
        <v>66</v>
      </c>
      <c r="G23" s="657">
        <v>3747.4953320575091</v>
      </c>
      <c r="H23" s="657">
        <v>2757154.6293376721</v>
      </c>
      <c r="I23" s="655" t="s">
        <v>70</v>
      </c>
      <c r="J23" s="655" t="s">
        <v>68</v>
      </c>
      <c r="K23" s="659">
        <v>3774.16</v>
      </c>
      <c r="L23" s="655" t="s">
        <v>4410</v>
      </c>
      <c r="M23" s="655" t="s">
        <v>27</v>
      </c>
      <c r="N23" s="655"/>
      <c r="O23" s="655" t="s">
        <v>4245</v>
      </c>
      <c r="P23" s="655" t="s">
        <v>4266</v>
      </c>
      <c r="Q23" s="650" t="str">
        <f t="shared" si="0"/>
        <v>201</v>
      </c>
      <c r="R23" s="149" t="s">
        <v>791</v>
      </c>
    </row>
    <row r="24" spans="1:18" ht="10.5" x14ac:dyDescent="0.25">
      <c r="A24" s="651" t="s">
        <v>57</v>
      </c>
      <c r="B24" s="655" t="s">
        <v>64</v>
      </c>
      <c r="C24" s="656">
        <v>45313</v>
      </c>
      <c r="D24" s="655" t="s">
        <v>4412</v>
      </c>
      <c r="E24" s="655" t="s">
        <v>66</v>
      </c>
      <c r="F24" s="655" t="s">
        <v>66</v>
      </c>
      <c r="G24" s="657">
        <v>15626.293754994067</v>
      </c>
      <c r="H24" s="657">
        <v>2772780.9230926661</v>
      </c>
      <c r="I24" s="655" t="s">
        <v>70</v>
      </c>
      <c r="J24" s="655" t="s">
        <v>68</v>
      </c>
      <c r="K24" s="659">
        <v>15737.48</v>
      </c>
      <c r="L24" s="655" t="s">
        <v>4410</v>
      </c>
      <c r="M24" s="655" t="s">
        <v>27</v>
      </c>
      <c r="N24" s="655"/>
      <c r="O24" s="655" t="s">
        <v>4245</v>
      </c>
      <c r="P24" s="655" t="s">
        <v>4266</v>
      </c>
      <c r="Q24" s="650" t="str">
        <f t="shared" si="0"/>
        <v>201</v>
      </c>
      <c r="R24" s="149" t="s">
        <v>791</v>
      </c>
    </row>
    <row r="25" spans="1:18" ht="10.5" x14ac:dyDescent="0.25">
      <c r="A25" s="651" t="s">
        <v>57</v>
      </c>
      <c r="B25" s="655" t="s">
        <v>64</v>
      </c>
      <c r="C25" s="656">
        <v>45321</v>
      </c>
      <c r="D25" s="655" t="s">
        <v>4413</v>
      </c>
      <c r="E25" s="655" t="s">
        <v>66</v>
      </c>
      <c r="F25" s="655" t="s">
        <v>66</v>
      </c>
      <c r="G25" s="657">
        <v>24646.631073492244</v>
      </c>
      <c r="H25" s="657">
        <v>2797427.5541661582</v>
      </c>
      <c r="I25" s="655" t="s">
        <v>3449</v>
      </c>
      <c r="J25" s="655" t="s">
        <v>68</v>
      </c>
      <c r="K25" s="659">
        <v>24822</v>
      </c>
      <c r="L25" s="655" t="s">
        <v>4410</v>
      </c>
      <c r="M25" s="655" t="s">
        <v>27</v>
      </c>
      <c r="N25" s="655"/>
      <c r="O25" s="655" t="s">
        <v>4245</v>
      </c>
      <c r="P25" s="655" t="s">
        <v>4266</v>
      </c>
      <c r="Q25" s="650" t="str">
        <f t="shared" si="0"/>
        <v>201</v>
      </c>
      <c r="R25" s="149" t="s">
        <v>791</v>
      </c>
    </row>
    <row r="26" spans="1:18" ht="10.5" x14ac:dyDescent="0.25">
      <c r="A26" s="651" t="s">
        <v>57</v>
      </c>
      <c r="B26" s="655" t="s">
        <v>21</v>
      </c>
      <c r="C26" s="656">
        <v>45322</v>
      </c>
      <c r="D26" s="655" t="s">
        <v>4414</v>
      </c>
      <c r="E26" s="655" t="s">
        <v>4372</v>
      </c>
      <c r="F26" s="655" t="s">
        <v>4372</v>
      </c>
      <c r="G26" s="657">
        <v>-170585.29921275759</v>
      </c>
      <c r="H26" s="657">
        <v>2626842.2549534007</v>
      </c>
      <c r="I26" s="655"/>
      <c r="J26" s="655" t="s">
        <v>37</v>
      </c>
      <c r="K26" s="659">
        <v>-171799.07</v>
      </c>
      <c r="L26" s="655" t="s">
        <v>4410</v>
      </c>
      <c r="M26" s="655" t="s">
        <v>27</v>
      </c>
      <c r="N26" s="655" t="s">
        <v>80</v>
      </c>
      <c r="O26" s="655" t="s">
        <v>4245</v>
      </c>
      <c r="P26" s="655" t="s">
        <v>4266</v>
      </c>
      <c r="Q26" s="650" t="str">
        <f t="shared" si="0"/>
        <v>201</v>
      </c>
      <c r="R26" s="149" t="s">
        <v>792</v>
      </c>
    </row>
    <row r="27" spans="1:18" ht="10.5" x14ac:dyDescent="0.25">
      <c r="A27" s="651" t="s">
        <v>57</v>
      </c>
      <c r="B27" s="655" t="s">
        <v>21</v>
      </c>
      <c r="C27" s="656">
        <v>45322</v>
      </c>
      <c r="D27" s="655" t="s">
        <v>4415</v>
      </c>
      <c r="E27" s="655" t="s">
        <v>4416</v>
      </c>
      <c r="F27" s="655" t="s">
        <v>4416</v>
      </c>
      <c r="G27" s="657">
        <v>129102.72146461967</v>
      </c>
      <c r="H27" s="657">
        <v>2755944.9764180202</v>
      </c>
      <c r="I27" s="655"/>
      <c r="J27" s="655" t="s">
        <v>37</v>
      </c>
      <c r="K27" s="659">
        <v>130021.33</v>
      </c>
      <c r="L27" s="655" t="s">
        <v>4410</v>
      </c>
      <c r="M27" s="655" t="s">
        <v>27</v>
      </c>
      <c r="N27" s="655" t="s">
        <v>80</v>
      </c>
      <c r="O27" s="655" t="s">
        <v>4245</v>
      </c>
      <c r="P27" s="655" t="s">
        <v>4266</v>
      </c>
      <c r="Q27" s="650" t="str">
        <f t="shared" si="0"/>
        <v>201</v>
      </c>
      <c r="R27" s="149" t="s">
        <v>792</v>
      </c>
    </row>
    <row r="28" spans="1:18" ht="10.5" x14ac:dyDescent="0.25">
      <c r="A28" s="651" t="s">
        <v>57</v>
      </c>
      <c r="B28" s="655" t="s">
        <v>64</v>
      </c>
      <c r="C28" s="656">
        <v>45327</v>
      </c>
      <c r="D28" s="655" t="s">
        <v>4417</v>
      </c>
      <c r="E28" s="655" t="s">
        <v>66</v>
      </c>
      <c r="F28" s="655" t="s">
        <v>66</v>
      </c>
      <c r="G28" s="657">
        <v>3744.193767736831</v>
      </c>
      <c r="H28" s="657">
        <v>2759689.1701857569</v>
      </c>
      <c r="I28" s="655" t="s">
        <v>94</v>
      </c>
      <c r="J28" s="655" t="s">
        <v>68</v>
      </c>
      <c r="K28" s="659">
        <v>3740</v>
      </c>
      <c r="L28" s="655" t="s">
        <v>4418</v>
      </c>
      <c r="M28" s="655" t="s">
        <v>27</v>
      </c>
      <c r="N28" s="655"/>
      <c r="O28" s="655" t="s">
        <v>4245</v>
      </c>
      <c r="P28" s="655" t="s">
        <v>4266</v>
      </c>
      <c r="Q28" s="650" t="str">
        <f t="shared" si="0"/>
        <v>201</v>
      </c>
      <c r="R28" s="149" t="s">
        <v>791</v>
      </c>
    </row>
    <row r="29" spans="1:18" ht="10.5" x14ac:dyDescent="0.25">
      <c r="A29" s="651" t="s">
        <v>57</v>
      </c>
      <c r="B29" s="655" t="s">
        <v>64</v>
      </c>
      <c r="C29" s="656">
        <v>45327</v>
      </c>
      <c r="D29" s="655" t="s">
        <v>4419</v>
      </c>
      <c r="E29" s="655" t="s">
        <v>66</v>
      </c>
      <c r="F29" s="655" t="s">
        <v>66</v>
      </c>
      <c r="G29" s="657">
        <v>770.86342276934761</v>
      </c>
      <c r="H29" s="657">
        <v>2760460.033608526</v>
      </c>
      <c r="I29" s="655" t="s">
        <v>94</v>
      </c>
      <c r="J29" s="655" t="s">
        <v>68</v>
      </c>
      <c r="K29" s="659">
        <v>770</v>
      </c>
      <c r="L29" s="655" t="s">
        <v>4418</v>
      </c>
      <c r="M29" s="655" t="s">
        <v>27</v>
      </c>
      <c r="N29" s="655"/>
      <c r="O29" s="655" t="s">
        <v>4245</v>
      </c>
      <c r="P29" s="655" t="s">
        <v>4266</v>
      </c>
      <c r="Q29" s="650" t="str">
        <f t="shared" si="0"/>
        <v>201</v>
      </c>
      <c r="R29" s="149" t="s">
        <v>791</v>
      </c>
    </row>
    <row r="30" spans="1:18" ht="10.5" x14ac:dyDescent="0.25">
      <c r="A30" s="651" t="s">
        <v>57</v>
      </c>
      <c r="B30" s="655" t="s">
        <v>64</v>
      </c>
      <c r="C30" s="656">
        <v>45327</v>
      </c>
      <c r="D30" s="655" t="s">
        <v>4420</v>
      </c>
      <c r="E30" s="655" t="s">
        <v>66</v>
      </c>
      <c r="F30" s="655" t="s">
        <v>66</v>
      </c>
      <c r="G30" s="657">
        <v>2202.4669221981362</v>
      </c>
      <c r="H30" s="657">
        <v>2762662.5005307239</v>
      </c>
      <c r="I30" s="655" t="s">
        <v>94</v>
      </c>
      <c r="J30" s="655" t="s">
        <v>68</v>
      </c>
      <c r="K30" s="659">
        <v>2200</v>
      </c>
      <c r="L30" s="655" t="s">
        <v>4418</v>
      </c>
      <c r="M30" s="655" t="s">
        <v>27</v>
      </c>
      <c r="N30" s="655"/>
      <c r="O30" s="655" t="s">
        <v>4245</v>
      </c>
      <c r="P30" s="655" t="s">
        <v>4266</v>
      </c>
      <c r="Q30" s="650" t="str">
        <f t="shared" si="0"/>
        <v>201</v>
      </c>
      <c r="R30" s="149" t="s">
        <v>791</v>
      </c>
    </row>
    <row r="31" spans="1:18" ht="10.5" x14ac:dyDescent="0.25">
      <c r="A31" s="651" t="s">
        <v>57</v>
      </c>
      <c r="B31" s="655" t="s">
        <v>64</v>
      </c>
      <c r="C31" s="656">
        <v>45338</v>
      </c>
      <c r="D31" s="655" t="s">
        <v>4421</v>
      </c>
      <c r="E31" s="655" t="s">
        <v>66</v>
      </c>
      <c r="F31" s="655" t="s">
        <v>66</v>
      </c>
      <c r="G31" s="657">
        <v>6457.2325673536261</v>
      </c>
      <c r="H31" s="657">
        <v>2769119.7330980776</v>
      </c>
      <c r="I31" s="655" t="s">
        <v>4299</v>
      </c>
      <c r="J31" s="655" t="s">
        <v>68</v>
      </c>
      <c r="K31" s="659">
        <v>6450</v>
      </c>
      <c r="L31" s="655" t="s">
        <v>4418</v>
      </c>
      <c r="M31" s="655" t="s">
        <v>27</v>
      </c>
      <c r="N31" s="655"/>
      <c r="O31" s="655" t="s">
        <v>4245</v>
      </c>
      <c r="P31" s="655" t="s">
        <v>4266</v>
      </c>
      <c r="Q31" s="650" t="str">
        <f t="shared" si="0"/>
        <v>201</v>
      </c>
      <c r="R31" s="149" t="s">
        <v>791</v>
      </c>
    </row>
    <row r="32" spans="1:18" ht="10.5" x14ac:dyDescent="0.25">
      <c r="A32" s="651" t="s">
        <v>57</v>
      </c>
      <c r="B32" s="655" t="s">
        <v>64</v>
      </c>
      <c r="C32" s="656">
        <v>45345</v>
      </c>
      <c r="D32" s="655" t="s">
        <v>4422</v>
      </c>
      <c r="E32" s="655" t="s">
        <v>66</v>
      </c>
      <c r="F32" s="655" t="s">
        <v>66</v>
      </c>
      <c r="G32" s="657">
        <v>340.3812516124392</v>
      </c>
      <c r="H32" s="657">
        <v>2769460.1143496898</v>
      </c>
      <c r="I32" s="655" t="s">
        <v>129</v>
      </c>
      <c r="J32" s="655" t="s">
        <v>68</v>
      </c>
      <c r="K32" s="659">
        <v>340</v>
      </c>
      <c r="L32" s="655" t="s">
        <v>4418</v>
      </c>
      <c r="M32" s="655" t="s">
        <v>27</v>
      </c>
      <c r="N32" s="655"/>
      <c r="O32" s="655" t="s">
        <v>4245</v>
      </c>
      <c r="P32" s="655" t="s">
        <v>4266</v>
      </c>
      <c r="Q32" s="650" t="str">
        <f t="shared" si="0"/>
        <v>201</v>
      </c>
      <c r="R32" s="149" t="s">
        <v>791</v>
      </c>
    </row>
    <row r="33" spans="1:18" ht="10.5" x14ac:dyDescent="0.25">
      <c r="A33" s="651" t="s">
        <v>57</v>
      </c>
      <c r="B33" s="655" t="s">
        <v>64</v>
      </c>
      <c r="C33" s="656">
        <v>45345</v>
      </c>
      <c r="D33" s="655" t="s">
        <v>4423</v>
      </c>
      <c r="E33" s="655" t="s">
        <v>66</v>
      </c>
      <c r="F33" s="655" t="s">
        <v>66</v>
      </c>
      <c r="G33" s="657">
        <v>706.29109709581132</v>
      </c>
      <c r="H33" s="657">
        <v>2770166.4054467855</v>
      </c>
      <c r="I33" s="655" t="s">
        <v>129</v>
      </c>
      <c r="J33" s="655" t="s">
        <v>68</v>
      </c>
      <c r="K33" s="659">
        <v>705.5</v>
      </c>
      <c r="L33" s="655" t="s">
        <v>4418</v>
      </c>
      <c r="M33" s="655" t="s">
        <v>27</v>
      </c>
      <c r="N33" s="655"/>
      <c r="O33" s="655" t="s">
        <v>4245</v>
      </c>
      <c r="P33" s="655" t="s">
        <v>4266</v>
      </c>
      <c r="Q33" s="650" t="str">
        <f t="shared" si="0"/>
        <v>201</v>
      </c>
      <c r="R33" s="149" t="s">
        <v>791</v>
      </c>
    </row>
    <row r="34" spans="1:18" ht="10.5" x14ac:dyDescent="0.25">
      <c r="A34" s="651" t="s">
        <v>57</v>
      </c>
      <c r="B34" s="655" t="s">
        <v>64</v>
      </c>
      <c r="C34" s="656">
        <v>45345</v>
      </c>
      <c r="D34" s="655" t="s">
        <v>4424</v>
      </c>
      <c r="E34" s="655" t="s">
        <v>66</v>
      </c>
      <c r="F34" s="655" t="s">
        <v>66</v>
      </c>
      <c r="G34" s="657">
        <v>642.46961241847896</v>
      </c>
      <c r="H34" s="657">
        <v>2770808.8750592042</v>
      </c>
      <c r="I34" s="655" t="s">
        <v>129</v>
      </c>
      <c r="J34" s="655" t="s">
        <v>68</v>
      </c>
      <c r="K34" s="659">
        <v>641.75</v>
      </c>
      <c r="L34" s="655" t="s">
        <v>4418</v>
      </c>
      <c r="M34" s="655" t="s">
        <v>27</v>
      </c>
      <c r="N34" s="655"/>
      <c r="O34" s="655" t="s">
        <v>4245</v>
      </c>
      <c r="P34" s="655" t="s">
        <v>4266</v>
      </c>
      <c r="Q34" s="650" t="str">
        <f t="shared" si="0"/>
        <v>201</v>
      </c>
      <c r="R34" s="149" t="s">
        <v>791</v>
      </c>
    </row>
    <row r="35" spans="1:18" ht="10.5" x14ac:dyDescent="0.25">
      <c r="A35" s="651" t="s">
        <v>57</v>
      </c>
      <c r="B35" s="655" t="s">
        <v>21</v>
      </c>
      <c r="C35" s="656">
        <v>45351</v>
      </c>
      <c r="D35" s="655" t="s">
        <v>4425</v>
      </c>
      <c r="E35" s="655" t="s">
        <v>4416</v>
      </c>
      <c r="F35" s="655" t="s">
        <v>4416</v>
      </c>
      <c r="G35" s="657">
        <v>-130167.12659327644</v>
      </c>
      <c r="H35" s="657">
        <v>2640641.7484659278</v>
      </c>
      <c r="I35" s="655"/>
      <c r="J35" s="655" t="s">
        <v>37</v>
      </c>
      <c r="K35" s="659">
        <v>-130021.33</v>
      </c>
      <c r="L35" s="655" t="s">
        <v>4418</v>
      </c>
      <c r="M35" s="655" t="s">
        <v>27</v>
      </c>
      <c r="N35" s="655" t="s">
        <v>80</v>
      </c>
      <c r="O35" s="655" t="s">
        <v>4245</v>
      </c>
      <c r="P35" s="655" t="s">
        <v>4266</v>
      </c>
      <c r="Q35" s="650" t="str">
        <f t="shared" si="0"/>
        <v>201</v>
      </c>
      <c r="R35" s="149" t="s">
        <v>792</v>
      </c>
    </row>
    <row r="36" spans="1:18" ht="10.5" x14ac:dyDescent="0.25">
      <c r="A36" s="651" t="s">
        <v>57</v>
      </c>
      <c r="B36" s="655" t="s">
        <v>21</v>
      </c>
      <c r="C36" s="656">
        <v>45351</v>
      </c>
      <c r="D36" s="655" t="s">
        <v>4426</v>
      </c>
      <c r="E36" s="655" t="s">
        <v>4427</v>
      </c>
      <c r="F36" s="655" t="s">
        <v>4427</v>
      </c>
      <c r="G36" s="657">
        <v>110081.96976540932</v>
      </c>
      <c r="H36" s="657">
        <v>2750723.7182313371</v>
      </c>
      <c r="I36" s="655"/>
      <c r="J36" s="655" t="s">
        <v>37</v>
      </c>
      <c r="K36" s="659">
        <v>109958.67</v>
      </c>
      <c r="L36" s="655" t="s">
        <v>4418</v>
      </c>
      <c r="M36" s="655" t="s">
        <v>27</v>
      </c>
      <c r="N36" s="655" t="s">
        <v>80</v>
      </c>
      <c r="O36" s="655" t="s">
        <v>4245</v>
      </c>
      <c r="P36" s="655" t="s">
        <v>4266</v>
      </c>
      <c r="Q36" s="650" t="str">
        <f t="shared" si="0"/>
        <v>201</v>
      </c>
      <c r="R36" s="149" t="s">
        <v>792</v>
      </c>
    </row>
    <row r="37" spans="1:18" ht="10.5" x14ac:dyDescent="0.25">
      <c r="A37" s="651" t="s">
        <v>57</v>
      </c>
      <c r="B37" s="655" t="s">
        <v>64</v>
      </c>
      <c r="C37" s="656">
        <v>45355</v>
      </c>
      <c r="D37" s="655" t="s">
        <v>4428</v>
      </c>
      <c r="E37" s="655" t="s">
        <v>66</v>
      </c>
      <c r="F37" s="655" t="s">
        <v>66</v>
      </c>
      <c r="G37" s="657">
        <v>599.95244298451075</v>
      </c>
      <c r="H37" s="657">
        <v>2751323.6706743217</v>
      </c>
      <c r="I37" s="655" t="s">
        <v>4299</v>
      </c>
      <c r="J37" s="655" t="s">
        <v>68</v>
      </c>
      <c r="K37" s="659">
        <v>600</v>
      </c>
      <c r="L37" s="655" t="s">
        <v>4429</v>
      </c>
      <c r="M37" s="655" t="s">
        <v>27</v>
      </c>
      <c r="N37" s="655"/>
      <c r="O37" s="655" t="s">
        <v>4245</v>
      </c>
      <c r="P37" s="655" t="s">
        <v>4266</v>
      </c>
      <c r="Q37" s="650" t="str">
        <f t="shared" si="0"/>
        <v>201</v>
      </c>
      <c r="R37" s="149" t="s">
        <v>791</v>
      </c>
    </row>
    <row r="38" spans="1:18" ht="10.5" x14ac:dyDescent="0.25">
      <c r="A38" s="651" t="s">
        <v>57</v>
      </c>
      <c r="B38" s="655" t="s">
        <v>64</v>
      </c>
      <c r="C38" s="656">
        <v>45357</v>
      </c>
      <c r="D38" s="655" t="s">
        <v>4430</v>
      </c>
      <c r="E38" s="655" t="s">
        <v>66</v>
      </c>
      <c r="F38" s="655" t="s">
        <v>66</v>
      </c>
      <c r="G38" s="657">
        <v>8919.2929857030613</v>
      </c>
      <c r="H38" s="657">
        <v>2760242.9636600246</v>
      </c>
      <c r="I38" s="655" t="s">
        <v>4299</v>
      </c>
      <c r="J38" s="655" t="s">
        <v>68</v>
      </c>
      <c r="K38" s="659">
        <v>8920</v>
      </c>
      <c r="L38" s="655" t="s">
        <v>4429</v>
      </c>
      <c r="M38" s="655" t="s">
        <v>27</v>
      </c>
      <c r="N38" s="655"/>
      <c r="O38" s="655" t="s">
        <v>4245</v>
      </c>
      <c r="P38" s="655" t="s">
        <v>4266</v>
      </c>
      <c r="Q38" s="650" t="str">
        <f t="shared" si="0"/>
        <v>201</v>
      </c>
      <c r="R38" s="149" t="s">
        <v>791</v>
      </c>
    </row>
    <row r="39" spans="1:18" ht="10.5" x14ac:dyDescent="0.25">
      <c r="A39" s="651" t="s">
        <v>57</v>
      </c>
      <c r="B39" s="655" t="s">
        <v>64</v>
      </c>
      <c r="C39" s="656">
        <v>45363</v>
      </c>
      <c r="D39" s="655" t="s">
        <v>4431</v>
      </c>
      <c r="E39" s="655" t="s">
        <v>66</v>
      </c>
      <c r="F39" s="655" t="s">
        <v>66</v>
      </c>
      <c r="G39" s="657">
        <v>1199.9048859690215</v>
      </c>
      <c r="H39" s="657">
        <v>2761442.8685459937</v>
      </c>
      <c r="I39" s="655" t="s">
        <v>105</v>
      </c>
      <c r="J39" s="655" t="s">
        <v>68</v>
      </c>
      <c r="K39" s="659">
        <v>1200</v>
      </c>
      <c r="L39" s="655" t="s">
        <v>4429</v>
      </c>
      <c r="M39" s="655" t="s">
        <v>27</v>
      </c>
      <c r="N39" s="655"/>
      <c r="O39" s="655" t="s">
        <v>4245</v>
      </c>
      <c r="P39" s="655" t="s">
        <v>4266</v>
      </c>
      <c r="Q39" s="650" t="str">
        <f t="shared" si="0"/>
        <v>201</v>
      </c>
      <c r="R39" s="149" t="s">
        <v>791</v>
      </c>
    </row>
    <row r="40" spans="1:18" ht="10.5" x14ac:dyDescent="0.25">
      <c r="A40" s="651" t="s">
        <v>57</v>
      </c>
      <c r="B40" s="655" t="s">
        <v>64</v>
      </c>
      <c r="C40" s="656">
        <v>45380</v>
      </c>
      <c r="D40" s="655" t="s">
        <v>4432</v>
      </c>
      <c r="E40" s="655" t="s">
        <v>66</v>
      </c>
      <c r="F40" s="655" t="s">
        <v>66</v>
      </c>
      <c r="G40" s="657">
        <v>23244.557450991888</v>
      </c>
      <c r="H40" s="657">
        <v>2784687.4259969858</v>
      </c>
      <c r="I40" s="655" t="s">
        <v>3558</v>
      </c>
      <c r="J40" s="655" t="s">
        <v>68</v>
      </c>
      <c r="K40" s="659">
        <v>23246.400000000001</v>
      </c>
      <c r="L40" s="655" t="s">
        <v>4429</v>
      </c>
      <c r="M40" s="655" t="s">
        <v>27</v>
      </c>
      <c r="N40" s="655"/>
      <c r="O40" s="655" t="s">
        <v>4245</v>
      </c>
      <c r="P40" s="655" t="s">
        <v>4266</v>
      </c>
      <c r="Q40" s="650" t="str">
        <f t="shared" si="0"/>
        <v>201</v>
      </c>
      <c r="R40" s="149" t="s">
        <v>791</v>
      </c>
    </row>
    <row r="41" spans="1:18" ht="10.5" x14ac:dyDescent="0.25">
      <c r="A41" s="651" t="s">
        <v>57</v>
      </c>
      <c r="B41" s="655" t="s">
        <v>21</v>
      </c>
      <c r="C41" s="656">
        <v>45382</v>
      </c>
      <c r="D41" s="655" t="s">
        <v>4433</v>
      </c>
      <c r="E41" s="655" t="s">
        <v>4427</v>
      </c>
      <c r="F41" s="655" t="s">
        <v>4427</v>
      </c>
      <c r="G41" s="657">
        <v>-109949.95448971273</v>
      </c>
      <c r="H41" s="657">
        <v>2674737.4715072731</v>
      </c>
      <c r="I41" s="655"/>
      <c r="J41" s="655" t="s">
        <v>37</v>
      </c>
      <c r="K41" s="659">
        <v>-109958.67</v>
      </c>
      <c r="L41" s="655" t="s">
        <v>4429</v>
      </c>
      <c r="M41" s="655" t="s">
        <v>27</v>
      </c>
      <c r="N41" s="655" t="s">
        <v>80</v>
      </c>
      <c r="O41" s="655" t="s">
        <v>4245</v>
      </c>
      <c r="P41" s="655" t="s">
        <v>4266</v>
      </c>
      <c r="Q41" s="650" t="str">
        <f t="shared" si="0"/>
        <v>201</v>
      </c>
      <c r="R41" s="149" t="s">
        <v>792</v>
      </c>
    </row>
    <row r="42" spans="1:18" ht="10.5" x14ac:dyDescent="0.25">
      <c r="A42" s="651" t="s">
        <v>57</v>
      </c>
      <c r="B42" s="655" t="s">
        <v>21</v>
      </c>
      <c r="C42" s="656">
        <v>45382</v>
      </c>
      <c r="D42" s="655" t="s">
        <v>4434</v>
      </c>
      <c r="E42" s="655" t="s">
        <v>4435</v>
      </c>
      <c r="F42" s="655" t="s">
        <v>4435</v>
      </c>
      <c r="G42" s="657">
        <v>126491.26329365345</v>
      </c>
      <c r="H42" s="657">
        <v>2801228.7348009264</v>
      </c>
      <c r="I42" s="655"/>
      <c r="J42" s="655" t="s">
        <v>37</v>
      </c>
      <c r="K42" s="659">
        <v>126501.29</v>
      </c>
      <c r="L42" s="655" t="s">
        <v>4429</v>
      </c>
      <c r="M42" s="655" t="s">
        <v>27</v>
      </c>
      <c r="N42" s="655" t="s">
        <v>80</v>
      </c>
      <c r="O42" s="655" t="s">
        <v>4245</v>
      </c>
      <c r="P42" s="655" t="s">
        <v>4266</v>
      </c>
      <c r="Q42" s="650" t="str">
        <f t="shared" si="0"/>
        <v>201</v>
      </c>
      <c r="R42" s="149" t="s">
        <v>792</v>
      </c>
    </row>
    <row r="43" spans="1:18" ht="10.5" x14ac:dyDescent="0.25">
      <c r="A43" s="651" t="s">
        <v>57</v>
      </c>
      <c r="B43" s="655" t="s">
        <v>21</v>
      </c>
      <c r="C43" s="656">
        <v>45382</v>
      </c>
      <c r="D43" s="655" t="s">
        <v>4553</v>
      </c>
      <c r="E43" s="655" t="s">
        <v>4554</v>
      </c>
      <c r="F43" s="655" t="s">
        <v>4554</v>
      </c>
      <c r="G43" s="657">
        <v>1032690</v>
      </c>
      <c r="H43" s="657">
        <v>3833918.7348009264</v>
      </c>
      <c r="I43" s="655"/>
      <c r="J43" s="655" t="s">
        <v>25</v>
      </c>
      <c r="K43" s="659">
        <v>1032690</v>
      </c>
      <c r="L43" s="655" t="s">
        <v>4429</v>
      </c>
      <c r="M43" s="655" t="s">
        <v>117</v>
      </c>
      <c r="N43" s="655" t="s">
        <v>118</v>
      </c>
      <c r="O43" s="655" t="s">
        <v>4245</v>
      </c>
      <c r="P43" s="655" t="s">
        <v>4266</v>
      </c>
      <c r="Q43" s="650" t="str">
        <f t="shared" si="0"/>
        <v>300</v>
      </c>
      <c r="R43" s="149" t="s">
        <v>3845</v>
      </c>
    </row>
    <row r="44" spans="1:18" ht="10.5" x14ac:dyDescent="0.25">
      <c r="A44" s="651" t="s">
        <v>57</v>
      </c>
      <c r="B44" s="655" t="s">
        <v>21</v>
      </c>
      <c r="C44" s="656">
        <v>45382</v>
      </c>
      <c r="D44" s="655" t="s">
        <v>4555</v>
      </c>
      <c r="E44" s="655" t="s">
        <v>4556</v>
      </c>
      <c r="F44" s="655" t="s">
        <v>4556</v>
      </c>
      <c r="G44" s="657">
        <v>-1032690</v>
      </c>
      <c r="H44" s="657">
        <v>2801228.7348009264</v>
      </c>
      <c r="I44" s="655"/>
      <c r="J44" s="655" t="s">
        <v>25</v>
      </c>
      <c r="K44" s="659">
        <v>-1032690</v>
      </c>
      <c r="L44" s="655" t="s">
        <v>4429</v>
      </c>
      <c r="M44" s="655" t="s">
        <v>117</v>
      </c>
      <c r="N44" s="655" t="s">
        <v>118</v>
      </c>
      <c r="O44" s="655" t="s">
        <v>4245</v>
      </c>
      <c r="P44" s="655" t="s">
        <v>4266</v>
      </c>
      <c r="Q44" s="650" t="str">
        <f t="shared" si="0"/>
        <v>300</v>
      </c>
      <c r="R44" s="149" t="s">
        <v>3845</v>
      </c>
    </row>
    <row r="45" spans="1:18" ht="10.5" x14ac:dyDescent="0.25">
      <c r="A45" s="651" t="s">
        <v>57</v>
      </c>
      <c r="B45" s="655" t="s">
        <v>21</v>
      </c>
      <c r="C45" s="656">
        <v>45383</v>
      </c>
      <c r="D45" s="655" t="s">
        <v>4615</v>
      </c>
      <c r="E45" s="655" t="s">
        <v>4435</v>
      </c>
      <c r="F45" s="655" t="s">
        <v>4435</v>
      </c>
      <c r="G45" s="657">
        <v>-126134.58903954478</v>
      </c>
      <c r="H45" s="657">
        <v>2675094.1457613818</v>
      </c>
      <c r="I45" s="655"/>
      <c r="J45" s="655" t="s">
        <v>37</v>
      </c>
      <c r="K45" s="659">
        <v>-126501.29</v>
      </c>
      <c r="L45" s="655" t="s">
        <v>4616</v>
      </c>
      <c r="M45" s="655" t="s">
        <v>27</v>
      </c>
      <c r="N45" s="655" t="s">
        <v>80</v>
      </c>
      <c r="O45" s="655" t="s">
        <v>4245</v>
      </c>
      <c r="P45" s="655" t="s">
        <v>4266</v>
      </c>
      <c r="Q45" s="650" t="str">
        <f t="shared" si="0"/>
        <v>201</v>
      </c>
      <c r="R45" s="149" t="s">
        <v>792</v>
      </c>
    </row>
    <row r="46" spans="1:18" ht="10.5" x14ac:dyDescent="0.25">
      <c r="A46" s="651" t="s">
        <v>57</v>
      </c>
      <c r="B46" s="655" t="s">
        <v>64</v>
      </c>
      <c r="C46" s="656">
        <v>45384</v>
      </c>
      <c r="D46" s="655" t="s">
        <v>4617</v>
      </c>
      <c r="E46" s="655" t="s">
        <v>66</v>
      </c>
      <c r="F46" s="655" t="s">
        <v>66</v>
      </c>
      <c r="G46" s="657">
        <v>7171.9695090494206</v>
      </c>
      <c r="H46" s="657">
        <v>2682266.1152704312</v>
      </c>
      <c r="I46" s="655" t="s">
        <v>3558</v>
      </c>
      <c r="J46" s="655" t="s">
        <v>68</v>
      </c>
      <c r="K46" s="659">
        <v>7192.82</v>
      </c>
      <c r="L46" s="655" t="s">
        <v>4616</v>
      </c>
      <c r="M46" s="655" t="s">
        <v>27</v>
      </c>
      <c r="N46" s="655"/>
      <c r="O46" s="655" t="s">
        <v>4245</v>
      </c>
      <c r="P46" s="655" t="s">
        <v>4266</v>
      </c>
      <c r="Q46" s="650" t="str">
        <f t="shared" si="0"/>
        <v>201</v>
      </c>
      <c r="R46" s="149" t="s">
        <v>791</v>
      </c>
    </row>
    <row r="47" spans="1:18" ht="10.5" x14ac:dyDescent="0.25">
      <c r="A47" s="651" t="s">
        <v>57</v>
      </c>
      <c r="B47" s="655" t="s">
        <v>64</v>
      </c>
      <c r="C47" s="656">
        <v>45394</v>
      </c>
      <c r="D47" s="655" t="s">
        <v>4618</v>
      </c>
      <c r="E47" s="655" t="s">
        <v>66</v>
      </c>
      <c r="F47" s="655" t="s">
        <v>66</v>
      </c>
      <c r="G47" s="657">
        <v>3830.1648692879207</v>
      </c>
      <c r="H47" s="657">
        <v>2686096.2801397191</v>
      </c>
      <c r="I47" s="655" t="s">
        <v>3558</v>
      </c>
      <c r="J47" s="655" t="s">
        <v>68</v>
      </c>
      <c r="K47" s="659">
        <v>3841.3</v>
      </c>
      <c r="L47" s="655" t="s">
        <v>4616</v>
      </c>
      <c r="M47" s="655" t="s">
        <v>27</v>
      </c>
      <c r="N47" s="655"/>
      <c r="O47" s="655" t="s">
        <v>4245</v>
      </c>
      <c r="P47" s="655" t="s">
        <v>4266</v>
      </c>
      <c r="Q47" s="650" t="str">
        <f t="shared" si="0"/>
        <v>201</v>
      </c>
      <c r="R47" s="149" t="s">
        <v>791</v>
      </c>
    </row>
    <row r="48" spans="1:18" ht="10.5" x14ac:dyDescent="0.25">
      <c r="A48" s="651" t="s">
        <v>57</v>
      </c>
      <c r="B48" s="655" t="s">
        <v>64</v>
      </c>
      <c r="C48" s="656">
        <v>45397</v>
      </c>
      <c r="D48" s="655" t="s">
        <v>4619</v>
      </c>
      <c r="E48" s="655" t="s">
        <v>66</v>
      </c>
      <c r="F48" s="655" t="s">
        <v>66</v>
      </c>
      <c r="G48" s="657">
        <v>299.13036232170782</v>
      </c>
      <c r="H48" s="657">
        <v>2686395.4105020408</v>
      </c>
      <c r="I48" s="655" t="s">
        <v>4299</v>
      </c>
      <c r="J48" s="655" t="s">
        <v>68</v>
      </c>
      <c r="K48" s="659">
        <v>300</v>
      </c>
      <c r="L48" s="655" t="s">
        <v>4616</v>
      </c>
      <c r="M48" s="655" t="s">
        <v>27</v>
      </c>
      <c r="N48" s="655"/>
      <c r="O48" s="655" t="s">
        <v>4245</v>
      </c>
      <c r="P48" s="655" t="s">
        <v>4266</v>
      </c>
      <c r="Q48" s="650" t="str">
        <f t="shared" si="0"/>
        <v>201</v>
      </c>
      <c r="R48" s="149" t="s">
        <v>791</v>
      </c>
    </row>
    <row r="49" spans="1:19" ht="10.5" x14ac:dyDescent="0.25">
      <c r="A49" s="651" t="s">
        <v>57</v>
      </c>
      <c r="B49" s="655" t="s">
        <v>21</v>
      </c>
      <c r="C49" s="656">
        <v>45412</v>
      </c>
      <c r="D49" s="655" t="s">
        <v>4620</v>
      </c>
      <c r="E49" s="655" t="s">
        <v>4621</v>
      </c>
      <c r="F49" s="655" t="s">
        <v>4621</v>
      </c>
      <c r="G49" s="657">
        <v>114513.39440537058</v>
      </c>
      <c r="H49" s="657">
        <v>2800908.8049074113</v>
      </c>
      <c r="I49" s="655"/>
      <c r="J49" s="655" t="s">
        <v>37</v>
      </c>
      <c r="K49" s="659">
        <v>114846.31</v>
      </c>
      <c r="L49" s="655" t="s">
        <v>4616</v>
      </c>
      <c r="M49" s="655" t="s">
        <v>27</v>
      </c>
      <c r="N49" s="655" t="s">
        <v>80</v>
      </c>
      <c r="O49" s="655" t="s">
        <v>4245</v>
      </c>
      <c r="P49" s="655" t="s">
        <v>4266</v>
      </c>
      <c r="Q49" s="650" t="str">
        <f t="shared" si="0"/>
        <v>201</v>
      </c>
      <c r="R49" s="149" t="s">
        <v>792</v>
      </c>
    </row>
    <row r="50" spans="1:19" ht="10.5" x14ac:dyDescent="0.25">
      <c r="A50" s="651" t="s">
        <v>57</v>
      </c>
      <c r="B50" s="655" t="s">
        <v>21</v>
      </c>
      <c r="C50" s="656">
        <v>45413</v>
      </c>
      <c r="D50" s="655" t="s">
        <v>4622</v>
      </c>
      <c r="E50" s="655" t="s">
        <v>4621</v>
      </c>
      <c r="F50" s="655" t="s">
        <v>4621</v>
      </c>
      <c r="G50" s="657">
        <v>-114956.90426559259</v>
      </c>
      <c r="H50" s="657">
        <v>2685951.9006418185</v>
      </c>
      <c r="I50" s="655"/>
      <c r="J50" s="655" t="s">
        <v>37</v>
      </c>
      <c r="K50" s="659">
        <v>-114846.31</v>
      </c>
      <c r="L50" s="655" t="s">
        <v>4595</v>
      </c>
      <c r="M50" s="655" t="s">
        <v>27</v>
      </c>
      <c r="N50" s="655" t="s">
        <v>80</v>
      </c>
      <c r="O50" s="655" t="s">
        <v>4245</v>
      </c>
      <c r="P50" s="655" t="s">
        <v>4266</v>
      </c>
      <c r="Q50" s="650" t="str">
        <f t="shared" si="0"/>
        <v>201</v>
      </c>
      <c r="R50" s="149" t="s">
        <v>792</v>
      </c>
    </row>
    <row r="51" spans="1:19" ht="10.5" x14ac:dyDescent="0.25">
      <c r="A51" s="651" t="s">
        <v>57</v>
      </c>
      <c r="B51" s="655" t="s">
        <v>64</v>
      </c>
      <c r="C51" s="656">
        <v>45414</v>
      </c>
      <c r="D51" s="655" t="s">
        <v>4623</v>
      </c>
      <c r="E51" s="655" t="s">
        <v>66</v>
      </c>
      <c r="F51" s="655" t="s">
        <v>66</v>
      </c>
      <c r="G51" s="657">
        <v>665.11987843928955</v>
      </c>
      <c r="H51" s="657">
        <v>2686617.0205202578</v>
      </c>
      <c r="I51" s="655" t="s">
        <v>97</v>
      </c>
      <c r="J51" s="655" t="s">
        <v>68</v>
      </c>
      <c r="K51" s="659">
        <v>664.48</v>
      </c>
      <c r="L51" s="655" t="s">
        <v>4595</v>
      </c>
      <c r="M51" s="655" t="s">
        <v>27</v>
      </c>
      <c r="N51" s="655"/>
      <c r="O51" s="655" t="s">
        <v>4245</v>
      </c>
      <c r="P51" s="655" t="s">
        <v>4266</v>
      </c>
      <c r="Q51" s="650" t="str">
        <f t="shared" si="0"/>
        <v>201</v>
      </c>
      <c r="R51" s="149" t="s">
        <v>791</v>
      </c>
    </row>
    <row r="52" spans="1:19" ht="10.5" x14ac:dyDescent="0.25">
      <c r="A52" s="651" t="s">
        <v>57</v>
      </c>
      <c r="B52" s="655" t="s">
        <v>64</v>
      </c>
      <c r="C52" s="656">
        <v>45418</v>
      </c>
      <c r="D52" s="655" t="s">
        <v>4624</v>
      </c>
      <c r="E52" s="655" t="s">
        <v>66</v>
      </c>
      <c r="F52" s="655" t="s">
        <v>66</v>
      </c>
      <c r="G52" s="657">
        <v>540.52000715930706</v>
      </c>
      <c r="H52" s="657">
        <v>2687157.5405274169</v>
      </c>
      <c r="I52" s="655" t="s">
        <v>3985</v>
      </c>
      <c r="J52" s="655" t="s">
        <v>68</v>
      </c>
      <c r="K52" s="659">
        <v>540</v>
      </c>
      <c r="L52" s="655" t="s">
        <v>4595</v>
      </c>
      <c r="M52" s="655" t="s">
        <v>27</v>
      </c>
      <c r="N52" s="655"/>
      <c r="O52" s="655" t="s">
        <v>4245</v>
      </c>
      <c r="P52" s="655" t="s">
        <v>4266</v>
      </c>
      <c r="Q52" s="650" t="str">
        <f t="shared" si="0"/>
        <v>201</v>
      </c>
      <c r="R52" s="149" t="s">
        <v>791</v>
      </c>
    </row>
    <row r="53" spans="1:19" ht="10.5" x14ac:dyDescent="0.25">
      <c r="A53" s="651" t="s">
        <v>57</v>
      </c>
      <c r="B53" s="655" t="s">
        <v>64</v>
      </c>
      <c r="C53" s="656">
        <v>45418</v>
      </c>
      <c r="D53" s="655" t="s">
        <v>4625</v>
      </c>
      <c r="E53" s="655" t="s">
        <v>66</v>
      </c>
      <c r="F53" s="655" t="s">
        <v>66</v>
      </c>
      <c r="G53" s="657">
        <v>467.950191383289</v>
      </c>
      <c r="H53" s="657">
        <v>2687625.4907188001</v>
      </c>
      <c r="I53" s="655" t="s">
        <v>129</v>
      </c>
      <c r="J53" s="655" t="s">
        <v>68</v>
      </c>
      <c r="K53" s="659">
        <v>467.5</v>
      </c>
      <c r="L53" s="655" t="s">
        <v>4595</v>
      </c>
      <c r="M53" s="655" t="s">
        <v>27</v>
      </c>
      <c r="N53" s="655"/>
      <c r="O53" s="655" t="s">
        <v>4245</v>
      </c>
      <c r="P53" s="655" t="s">
        <v>4266</v>
      </c>
      <c r="Q53" s="650" t="str">
        <f t="shared" si="0"/>
        <v>201</v>
      </c>
      <c r="R53" s="149" t="s">
        <v>791</v>
      </c>
    </row>
    <row r="54" spans="1:19" ht="10.5" x14ac:dyDescent="0.25">
      <c r="A54" s="651" t="s">
        <v>57</v>
      </c>
      <c r="B54" s="655" t="s">
        <v>64</v>
      </c>
      <c r="C54" s="656">
        <v>45419</v>
      </c>
      <c r="D54" s="655" t="s">
        <v>4626</v>
      </c>
      <c r="E54" s="655" t="s">
        <v>66</v>
      </c>
      <c r="F54" s="655" t="s">
        <v>66</v>
      </c>
      <c r="G54" s="657">
        <v>4860.9765014217464</v>
      </c>
      <c r="H54" s="657">
        <v>2692486.4672202216</v>
      </c>
      <c r="I54" s="655" t="s">
        <v>67</v>
      </c>
      <c r="J54" s="655" t="s">
        <v>68</v>
      </c>
      <c r="K54" s="659">
        <v>4856.3</v>
      </c>
      <c r="L54" s="655" t="s">
        <v>4595</v>
      </c>
      <c r="M54" s="655" t="s">
        <v>27</v>
      </c>
      <c r="N54" s="655"/>
      <c r="O54" s="655" t="s">
        <v>4245</v>
      </c>
      <c r="P54" s="655" t="s">
        <v>4266</v>
      </c>
      <c r="Q54" s="650" t="str">
        <f t="shared" si="0"/>
        <v>201</v>
      </c>
      <c r="R54" s="149" t="s">
        <v>791</v>
      </c>
    </row>
    <row r="55" spans="1:19" ht="10.5" x14ac:dyDescent="0.25">
      <c r="A55" s="651" t="s">
        <v>57</v>
      </c>
      <c r="B55" s="655" t="s">
        <v>64</v>
      </c>
      <c r="C55" s="656">
        <v>45429</v>
      </c>
      <c r="D55" s="655" t="s">
        <v>4627</v>
      </c>
      <c r="E55" s="655" t="s">
        <v>66</v>
      </c>
      <c r="F55" s="655" t="s">
        <v>66</v>
      </c>
      <c r="G55" s="657">
        <v>47665.006109111324</v>
      </c>
      <c r="H55" s="657">
        <v>2740151.4733293331</v>
      </c>
      <c r="I55" s="655" t="s">
        <v>4628</v>
      </c>
      <c r="J55" s="655" t="s">
        <v>68</v>
      </c>
      <c r="K55" s="659">
        <v>47619.15</v>
      </c>
      <c r="L55" s="655" t="s">
        <v>4595</v>
      </c>
      <c r="M55" s="655" t="s">
        <v>27</v>
      </c>
      <c r="N55" s="655"/>
      <c r="O55" s="655" t="s">
        <v>4245</v>
      </c>
      <c r="P55" s="655" t="s">
        <v>4266</v>
      </c>
      <c r="Q55" s="650" t="str">
        <f t="shared" si="0"/>
        <v>201</v>
      </c>
      <c r="R55" s="149" t="s">
        <v>791</v>
      </c>
    </row>
    <row r="56" spans="1:19" ht="10.5" x14ac:dyDescent="0.25">
      <c r="A56" s="651" t="s">
        <v>57</v>
      </c>
      <c r="B56" s="655" t="s">
        <v>21</v>
      </c>
      <c r="C56" s="656">
        <v>45443</v>
      </c>
      <c r="D56" s="655" t="s">
        <v>4629</v>
      </c>
      <c r="E56" s="655" t="s">
        <v>4630</v>
      </c>
      <c r="F56" s="655" t="s">
        <v>4630</v>
      </c>
      <c r="G56" s="657">
        <v>55790.232981916939</v>
      </c>
      <c r="H56" s="657">
        <v>2795941.7063112501</v>
      </c>
      <c r="I56" s="655"/>
      <c r="J56" s="655" t="s">
        <v>37</v>
      </c>
      <c r="K56" s="659">
        <v>55736.56</v>
      </c>
      <c r="L56" s="655" t="s">
        <v>4595</v>
      </c>
      <c r="M56" s="655" t="s">
        <v>27</v>
      </c>
      <c r="N56" s="655" t="s">
        <v>80</v>
      </c>
      <c r="O56" s="655" t="s">
        <v>4245</v>
      </c>
      <c r="P56" s="655" t="s">
        <v>4266</v>
      </c>
      <c r="Q56" s="650" t="str">
        <f t="shared" si="0"/>
        <v>201</v>
      </c>
      <c r="R56" s="149" t="s">
        <v>792</v>
      </c>
    </row>
    <row r="57" spans="1:19" ht="10.5" x14ac:dyDescent="0.25">
      <c r="A57" s="651" t="s">
        <v>57</v>
      </c>
      <c r="B57" s="655" t="s">
        <v>21</v>
      </c>
      <c r="C57" s="656">
        <v>45444</v>
      </c>
      <c r="D57" s="655" t="s">
        <v>4631</v>
      </c>
      <c r="E57" s="655" t="s">
        <v>4630</v>
      </c>
      <c r="F57" s="655" t="s">
        <v>4630</v>
      </c>
      <c r="G57" s="657">
        <v>-55591.070730246189</v>
      </c>
      <c r="H57" s="657">
        <v>2740350.635581004</v>
      </c>
      <c r="I57" s="655"/>
      <c r="J57" s="655" t="s">
        <v>37</v>
      </c>
      <c r="K57" s="659">
        <v>-55736.56</v>
      </c>
      <c r="L57" s="655" t="s">
        <v>4610</v>
      </c>
      <c r="M57" s="655" t="s">
        <v>27</v>
      </c>
      <c r="N57" s="655" t="s">
        <v>80</v>
      </c>
      <c r="O57" s="655" t="s">
        <v>4245</v>
      </c>
      <c r="P57" s="655" t="s">
        <v>4266</v>
      </c>
      <c r="Q57" s="650" t="str">
        <f t="shared" si="0"/>
        <v>201</v>
      </c>
      <c r="R57" s="149" t="s">
        <v>792</v>
      </c>
    </row>
    <row r="58" spans="1:19" ht="10.5" x14ac:dyDescent="0.25">
      <c r="A58" s="651" t="s">
        <v>57</v>
      </c>
      <c r="B58" s="655" t="s">
        <v>64</v>
      </c>
      <c r="C58" s="656">
        <v>45454</v>
      </c>
      <c r="D58" s="655" t="s">
        <v>4632</v>
      </c>
      <c r="E58" s="655" t="s">
        <v>66</v>
      </c>
      <c r="F58" s="655" t="s">
        <v>66</v>
      </c>
      <c r="G58" s="657">
        <v>19460.71869548117</v>
      </c>
      <c r="H58" s="657">
        <v>2759811.3542764853</v>
      </c>
      <c r="I58" s="655" t="s">
        <v>70</v>
      </c>
      <c r="J58" s="655" t="s">
        <v>68</v>
      </c>
      <c r="K58" s="659">
        <v>19511.650000000001</v>
      </c>
      <c r="L58" s="655" t="s">
        <v>4610</v>
      </c>
      <c r="M58" s="655" t="s">
        <v>27</v>
      </c>
      <c r="N58" s="655"/>
      <c r="O58" s="655" t="s">
        <v>4245</v>
      </c>
      <c r="P58" s="655" t="s">
        <v>4266</v>
      </c>
      <c r="Q58" s="650" t="str">
        <f t="shared" si="0"/>
        <v>201</v>
      </c>
      <c r="R58" s="149" t="s">
        <v>791</v>
      </c>
    </row>
    <row r="59" spans="1:19" ht="10.5" x14ac:dyDescent="0.25">
      <c r="A59" s="651" t="s">
        <v>57</v>
      </c>
      <c r="B59" s="655" t="s">
        <v>64</v>
      </c>
      <c r="C59" s="656">
        <v>45461</v>
      </c>
      <c r="D59" s="655" t="s">
        <v>4633</v>
      </c>
      <c r="E59" s="655" t="s">
        <v>66</v>
      </c>
      <c r="F59" s="655" t="s">
        <v>66</v>
      </c>
      <c r="G59" s="657">
        <v>10059.672491184656</v>
      </c>
      <c r="H59" s="657">
        <v>2769871.0267676697</v>
      </c>
      <c r="I59" s="655" t="s">
        <v>4299</v>
      </c>
      <c r="J59" s="655" t="s">
        <v>68</v>
      </c>
      <c r="K59" s="659">
        <v>10086</v>
      </c>
      <c r="L59" s="655" t="s">
        <v>4610</v>
      </c>
      <c r="M59" s="655" t="s">
        <v>27</v>
      </c>
      <c r="N59" s="655"/>
      <c r="O59" s="655" t="s">
        <v>4245</v>
      </c>
      <c r="P59" s="655" t="s">
        <v>4266</v>
      </c>
      <c r="Q59" s="650" t="str">
        <f t="shared" si="0"/>
        <v>201</v>
      </c>
      <c r="R59" s="149" t="s">
        <v>791</v>
      </c>
    </row>
    <row r="60" spans="1:19" ht="10.5" x14ac:dyDescent="0.25">
      <c r="A60" s="651" t="s">
        <v>57</v>
      </c>
      <c r="B60" s="655" t="s">
        <v>64</v>
      </c>
      <c r="C60" s="656">
        <v>45468</v>
      </c>
      <c r="D60" s="655" t="s">
        <v>4634</v>
      </c>
      <c r="E60" s="655" t="s">
        <v>66</v>
      </c>
      <c r="F60" s="655" t="s">
        <v>66</v>
      </c>
      <c r="G60" s="657">
        <v>897.65072794628099</v>
      </c>
      <c r="H60" s="657">
        <v>2770768.677495616</v>
      </c>
      <c r="I60" s="655" t="s">
        <v>4299</v>
      </c>
      <c r="J60" s="655" t="s">
        <v>68</v>
      </c>
      <c r="K60" s="659">
        <v>900</v>
      </c>
      <c r="L60" s="655" t="s">
        <v>4610</v>
      </c>
      <c r="M60" s="655" t="s">
        <v>27</v>
      </c>
      <c r="N60" s="655"/>
      <c r="O60" s="655" t="s">
        <v>4245</v>
      </c>
      <c r="P60" s="655" t="s">
        <v>4266</v>
      </c>
      <c r="Q60" s="650" t="str">
        <f t="shared" si="0"/>
        <v>201</v>
      </c>
      <c r="R60" s="149" t="s">
        <v>791</v>
      </c>
    </row>
    <row r="61" spans="1:19" ht="10.5" x14ac:dyDescent="0.25">
      <c r="A61" s="651" t="s">
        <v>57</v>
      </c>
      <c r="B61" s="655" t="s">
        <v>21</v>
      </c>
      <c r="C61" s="656">
        <v>45473</v>
      </c>
      <c r="D61" s="655" t="s">
        <v>4635</v>
      </c>
      <c r="E61" s="655" t="s">
        <v>4636</v>
      </c>
      <c r="F61" s="655" t="s">
        <v>4636</v>
      </c>
      <c r="G61" s="657">
        <v>84769.905814928454</v>
      </c>
      <c r="H61" s="657">
        <v>2855538.5833105445</v>
      </c>
      <c r="I61" s="655"/>
      <c r="J61" s="655" t="s">
        <v>37</v>
      </c>
      <c r="K61" s="659">
        <v>84991.76</v>
      </c>
      <c r="L61" s="655" t="s">
        <v>4610</v>
      </c>
      <c r="M61" s="655" t="s">
        <v>27</v>
      </c>
      <c r="N61" s="655" t="s">
        <v>80</v>
      </c>
      <c r="O61" s="655" t="s">
        <v>4245</v>
      </c>
      <c r="P61" s="655" t="s">
        <v>4266</v>
      </c>
      <c r="Q61" s="650" t="str">
        <f t="shared" si="0"/>
        <v>201</v>
      </c>
      <c r="R61" s="149" t="s">
        <v>792</v>
      </c>
    </row>
    <row r="62" spans="1:19" ht="10.5" x14ac:dyDescent="0.25">
      <c r="A62" s="661" t="s">
        <v>182</v>
      </c>
      <c r="B62" s="652"/>
      <c r="C62" s="653"/>
      <c r="D62" s="652"/>
      <c r="E62" s="652"/>
      <c r="F62" s="652"/>
      <c r="G62" s="654">
        <f>SUM(G22:G61)</f>
        <v>102429.32978684432</v>
      </c>
      <c r="H62" s="654">
        <f>H61</f>
        <v>2855538.5833105445</v>
      </c>
      <c r="I62" s="652"/>
      <c r="J62" s="652"/>
      <c r="K62" s="660"/>
      <c r="L62" s="652"/>
      <c r="M62" s="652"/>
      <c r="N62" s="652"/>
      <c r="O62" s="652"/>
      <c r="P62" s="652"/>
      <c r="Q62" s="650"/>
      <c r="R62" s="149"/>
      <c r="S62" s="4"/>
    </row>
    <row r="63" spans="1:19" ht="10.5" x14ac:dyDescent="0.25">
      <c r="A63" s="8" t="s">
        <v>183</v>
      </c>
      <c r="B63" s="4"/>
      <c r="C63" s="5"/>
      <c r="D63" s="4"/>
      <c r="E63" s="4"/>
      <c r="F63" s="4"/>
      <c r="G63" s="6">
        <v>0</v>
      </c>
      <c r="H63" s="6">
        <v>5800291.8337241495</v>
      </c>
      <c r="I63" s="4"/>
      <c r="J63" s="4"/>
      <c r="K63" s="7">
        <v>0</v>
      </c>
      <c r="L63" s="4"/>
      <c r="M63" s="4"/>
      <c r="N63" s="4"/>
      <c r="O63" s="4"/>
      <c r="P63" s="4"/>
      <c r="Q63" s="528"/>
    </row>
    <row r="64" spans="1:19" ht="10.5" x14ac:dyDescent="0.25">
      <c r="A64" s="662" t="s">
        <v>183</v>
      </c>
      <c r="B64" s="663" t="s">
        <v>21</v>
      </c>
      <c r="C64" s="664">
        <v>45382</v>
      </c>
      <c r="D64" s="663" t="s">
        <v>4557</v>
      </c>
      <c r="E64" s="663" t="s">
        <v>4558</v>
      </c>
      <c r="F64" s="663" t="s">
        <v>4558</v>
      </c>
      <c r="G64" s="665">
        <v>17171.840089681227</v>
      </c>
      <c r="H64" s="665">
        <f t="shared" ref="H64:H73" si="1">H63+G64</f>
        <v>5817463.6738138311</v>
      </c>
      <c r="I64" s="663"/>
      <c r="J64" s="663" t="s">
        <v>25</v>
      </c>
      <c r="K64" s="666">
        <v>23300.41</v>
      </c>
      <c r="L64" s="663" t="s">
        <v>4429</v>
      </c>
      <c r="M64" s="663" t="s">
        <v>212</v>
      </c>
      <c r="N64" s="663" t="s">
        <v>118</v>
      </c>
      <c r="O64" s="663" t="s">
        <v>4245</v>
      </c>
      <c r="P64" s="663" t="s">
        <v>4559</v>
      </c>
      <c r="Q64" s="650" t="str">
        <f t="shared" ref="Q64:Q81" si="2">LEFT(M64,3)</f>
        <v>202</v>
      </c>
      <c r="R64" s="149" t="s">
        <v>4569</v>
      </c>
    </row>
    <row r="65" spans="1:18" ht="10.5" x14ac:dyDescent="0.25">
      <c r="A65" s="662" t="s">
        <v>183</v>
      </c>
      <c r="B65" s="663" t="s">
        <v>21</v>
      </c>
      <c r="C65" s="664">
        <v>45382</v>
      </c>
      <c r="D65" s="663" t="s">
        <v>4560</v>
      </c>
      <c r="E65" s="663" t="s">
        <v>4561</v>
      </c>
      <c r="F65" s="663" t="s">
        <v>4561</v>
      </c>
      <c r="G65" s="665">
        <v>2539.4432359052885</v>
      </c>
      <c r="H65" s="665">
        <f t="shared" si="1"/>
        <v>5820003.117049736</v>
      </c>
      <c r="I65" s="663"/>
      <c r="J65" s="663" t="s">
        <v>25</v>
      </c>
      <c r="K65" s="667">
        <v>9332</v>
      </c>
      <c r="L65" s="663" t="s">
        <v>4429</v>
      </c>
      <c r="M65" s="663" t="s">
        <v>308</v>
      </c>
      <c r="N65" s="663" t="s">
        <v>118</v>
      </c>
      <c r="O65" s="663" t="s">
        <v>4245</v>
      </c>
      <c r="P65" s="663" t="s">
        <v>4559</v>
      </c>
      <c r="Q65" s="650" t="str">
        <f t="shared" si="2"/>
        <v>209</v>
      </c>
      <c r="R65" s="149" t="s">
        <v>4569</v>
      </c>
    </row>
    <row r="66" spans="1:18" ht="10.5" x14ac:dyDescent="0.25">
      <c r="A66" s="662" t="s">
        <v>183</v>
      </c>
      <c r="B66" s="663" t="s">
        <v>21</v>
      </c>
      <c r="C66" s="664">
        <v>45382</v>
      </c>
      <c r="D66" s="663" t="s">
        <v>4562</v>
      </c>
      <c r="E66" s="663" t="s">
        <v>4561</v>
      </c>
      <c r="F66" s="663" t="s">
        <v>4561</v>
      </c>
      <c r="G66" s="665">
        <v>30092.302491814968</v>
      </c>
      <c r="H66" s="665">
        <f t="shared" si="1"/>
        <v>5850095.4195415508</v>
      </c>
      <c r="I66" s="663"/>
      <c r="J66" s="663" t="s">
        <v>25</v>
      </c>
      <c r="K66" s="668">
        <v>27723</v>
      </c>
      <c r="L66" s="663" t="s">
        <v>4429</v>
      </c>
      <c r="M66" s="663" t="s">
        <v>38</v>
      </c>
      <c r="N66" s="663" t="s">
        <v>118</v>
      </c>
      <c r="O66" s="663" t="s">
        <v>4245</v>
      </c>
      <c r="P66" s="663" t="s">
        <v>4559</v>
      </c>
      <c r="Q66" s="650" t="str">
        <f t="shared" si="2"/>
        <v>204</v>
      </c>
      <c r="R66" s="149" t="s">
        <v>4569</v>
      </c>
    </row>
    <row r="67" spans="1:18" ht="10.5" x14ac:dyDescent="0.25">
      <c r="A67" s="662" t="s">
        <v>183</v>
      </c>
      <c r="B67" s="663" t="s">
        <v>21</v>
      </c>
      <c r="C67" s="664">
        <v>45382</v>
      </c>
      <c r="D67" s="663" t="s">
        <v>4563</v>
      </c>
      <c r="E67" s="663" t="s">
        <v>4561</v>
      </c>
      <c r="F67" s="663" t="s">
        <v>4561</v>
      </c>
      <c r="G67" s="665">
        <v>31913.600470619513</v>
      </c>
      <c r="H67" s="665">
        <f t="shared" si="1"/>
        <v>5882009.0200121701</v>
      </c>
      <c r="I67" s="663"/>
      <c r="J67" s="663" t="s">
        <v>25</v>
      </c>
      <c r="K67" s="669">
        <v>25193</v>
      </c>
      <c r="L67" s="663" t="s">
        <v>4429</v>
      </c>
      <c r="M67" s="663" t="s">
        <v>186</v>
      </c>
      <c r="N67" s="663" t="s">
        <v>118</v>
      </c>
      <c r="O67" s="663" t="s">
        <v>4245</v>
      </c>
      <c r="P67" s="663" t="s">
        <v>4559</v>
      </c>
      <c r="Q67" s="650" t="str">
        <f t="shared" si="2"/>
        <v>205</v>
      </c>
      <c r="R67" s="149" t="s">
        <v>4569</v>
      </c>
    </row>
    <row r="68" spans="1:18" ht="10.5" x14ac:dyDescent="0.25">
      <c r="A68" s="662" t="s">
        <v>183</v>
      </c>
      <c r="B68" s="663" t="s">
        <v>21</v>
      </c>
      <c r="C68" s="664">
        <v>45382</v>
      </c>
      <c r="D68" s="663" t="s">
        <v>4564</v>
      </c>
      <c r="E68" s="663" t="s">
        <v>4561</v>
      </c>
      <c r="F68" s="663" t="s">
        <v>4561</v>
      </c>
      <c r="G68" s="665">
        <v>3355.1674422753695</v>
      </c>
      <c r="H68" s="665">
        <f t="shared" si="1"/>
        <v>5885364.1874544453</v>
      </c>
      <c r="I68" s="663"/>
      <c r="J68" s="663" t="s">
        <v>25</v>
      </c>
      <c r="K68" s="668">
        <v>3091</v>
      </c>
      <c r="L68" s="663" t="s">
        <v>4429</v>
      </c>
      <c r="M68" s="663" t="s">
        <v>193</v>
      </c>
      <c r="N68" s="663" t="s">
        <v>118</v>
      </c>
      <c r="O68" s="663" t="s">
        <v>4245</v>
      </c>
      <c r="P68" s="663" t="s">
        <v>4559</v>
      </c>
      <c r="Q68" s="650" t="str">
        <f t="shared" si="2"/>
        <v>208</v>
      </c>
      <c r="R68" s="149" t="s">
        <v>4569</v>
      </c>
    </row>
    <row r="69" spans="1:18" ht="10.5" x14ac:dyDescent="0.25">
      <c r="A69" s="662" t="s">
        <v>183</v>
      </c>
      <c r="B69" s="663" t="s">
        <v>21</v>
      </c>
      <c r="C69" s="664">
        <v>45382</v>
      </c>
      <c r="D69" s="663" t="s">
        <v>4565</v>
      </c>
      <c r="E69" s="663" t="s">
        <v>4561</v>
      </c>
      <c r="F69" s="663" t="s">
        <v>4561</v>
      </c>
      <c r="G69" s="665">
        <v>5705.1957543187782</v>
      </c>
      <c r="H69" s="665">
        <f t="shared" si="1"/>
        <v>5891069.3832087638</v>
      </c>
      <c r="I69" s="663"/>
      <c r="J69" s="663" t="s">
        <v>68</v>
      </c>
      <c r="K69" s="668">
        <v>5256</v>
      </c>
      <c r="L69" s="663" t="s">
        <v>4429</v>
      </c>
      <c r="M69" s="663" t="s">
        <v>4194</v>
      </c>
      <c r="N69" s="663" t="s">
        <v>118</v>
      </c>
      <c r="O69" s="663" t="s">
        <v>4245</v>
      </c>
      <c r="P69" s="663" t="s">
        <v>4559</v>
      </c>
      <c r="Q69" s="650" t="str">
        <f t="shared" si="2"/>
        <v>210</v>
      </c>
      <c r="R69" s="149" t="s">
        <v>4569</v>
      </c>
    </row>
    <row r="70" spans="1:18" ht="10.5" x14ac:dyDescent="0.25">
      <c r="A70" s="662" t="s">
        <v>183</v>
      </c>
      <c r="B70" s="663" t="s">
        <v>21</v>
      </c>
      <c r="C70" s="664">
        <v>45382</v>
      </c>
      <c r="D70" s="663" t="s">
        <v>4566</v>
      </c>
      <c r="E70" s="663" t="s">
        <v>4561</v>
      </c>
      <c r="F70" s="663" t="s">
        <v>4561</v>
      </c>
      <c r="G70" s="665">
        <v>5241.2795417163607</v>
      </c>
      <c r="H70" s="665">
        <f t="shared" si="1"/>
        <v>5896310.6627504798</v>
      </c>
      <c r="I70" s="663"/>
      <c r="J70" s="663" t="s">
        <v>25</v>
      </c>
      <c r="K70" s="666">
        <v>7992</v>
      </c>
      <c r="L70" s="663" t="s">
        <v>4429</v>
      </c>
      <c r="M70" s="663" t="s">
        <v>197</v>
      </c>
      <c r="N70" s="663" t="s">
        <v>118</v>
      </c>
      <c r="O70" s="663" t="s">
        <v>4245</v>
      </c>
      <c r="P70" s="663" t="s">
        <v>4559</v>
      </c>
      <c r="Q70" s="650" t="str">
        <f t="shared" si="2"/>
        <v>206</v>
      </c>
      <c r="R70" s="149" t="s">
        <v>4569</v>
      </c>
    </row>
    <row r="71" spans="1:18" ht="10.5" x14ac:dyDescent="0.25">
      <c r="A71" s="662" t="s">
        <v>183</v>
      </c>
      <c r="B71" s="663" t="s">
        <v>21</v>
      </c>
      <c r="C71" s="664">
        <v>45382</v>
      </c>
      <c r="D71" s="663" t="s">
        <v>4567</v>
      </c>
      <c r="E71" s="663" t="s">
        <v>4561</v>
      </c>
      <c r="F71" s="663" t="s">
        <v>4561</v>
      </c>
      <c r="G71" s="665">
        <v>61383.245207750471</v>
      </c>
      <c r="H71" s="665">
        <f t="shared" si="1"/>
        <v>5957693.90795823</v>
      </c>
      <c r="I71" s="663"/>
      <c r="J71" s="663" t="s">
        <v>25</v>
      </c>
      <c r="K71" s="670">
        <v>5087021.5199999996</v>
      </c>
      <c r="L71" s="663" t="s">
        <v>4429</v>
      </c>
      <c r="M71" s="663" t="s">
        <v>204</v>
      </c>
      <c r="N71" s="663" t="s">
        <v>118</v>
      </c>
      <c r="O71" s="663" t="s">
        <v>4245</v>
      </c>
      <c r="P71" s="663" t="s">
        <v>4559</v>
      </c>
      <c r="Q71" s="650" t="str">
        <f t="shared" si="2"/>
        <v>207</v>
      </c>
      <c r="R71" s="149" t="s">
        <v>4569</v>
      </c>
    </row>
    <row r="72" spans="1:18" ht="10.5" x14ac:dyDescent="0.25">
      <c r="A72" s="662" t="s">
        <v>183</v>
      </c>
      <c r="B72" s="663" t="s">
        <v>21</v>
      </c>
      <c r="C72" s="664">
        <v>45382</v>
      </c>
      <c r="D72" s="663" t="s">
        <v>4568</v>
      </c>
      <c r="E72" s="663" t="s">
        <v>4561</v>
      </c>
      <c r="F72" s="663" t="s">
        <v>4561</v>
      </c>
      <c r="G72" s="665">
        <v>5047.7414132926478</v>
      </c>
      <c r="H72" s="665">
        <f t="shared" si="1"/>
        <v>5962741.6493715225</v>
      </c>
      <c r="I72" s="663"/>
      <c r="J72" s="663" t="s">
        <v>25</v>
      </c>
      <c r="K72" s="671">
        <v>6772.75</v>
      </c>
      <c r="L72" s="663" t="s">
        <v>4429</v>
      </c>
      <c r="M72" s="663" t="s">
        <v>201</v>
      </c>
      <c r="N72" s="663" t="s">
        <v>118</v>
      </c>
      <c r="O72" s="663" t="s">
        <v>4245</v>
      </c>
      <c r="P72" s="663" t="s">
        <v>4559</v>
      </c>
      <c r="Q72" s="650" t="str">
        <f t="shared" si="2"/>
        <v>203</v>
      </c>
      <c r="R72" s="149" t="s">
        <v>4569</v>
      </c>
    </row>
    <row r="73" spans="1:18" ht="10.5" x14ac:dyDescent="0.25">
      <c r="A73" s="662" t="s">
        <v>183</v>
      </c>
      <c r="B73" s="663" t="s">
        <v>21</v>
      </c>
      <c r="C73" s="664">
        <v>45382</v>
      </c>
      <c r="D73" s="663" t="s">
        <v>4555</v>
      </c>
      <c r="E73" s="663" t="s">
        <v>4556</v>
      </c>
      <c r="F73" s="663" t="s">
        <v>4556</v>
      </c>
      <c r="G73" s="665">
        <v>1032690</v>
      </c>
      <c r="H73" s="665">
        <f t="shared" si="1"/>
        <v>6995431.6493715225</v>
      </c>
      <c r="I73" s="663"/>
      <c r="J73" s="663" t="s">
        <v>25</v>
      </c>
      <c r="K73" s="666">
        <v>1032690</v>
      </c>
      <c r="L73" s="663" t="s">
        <v>4429</v>
      </c>
      <c r="M73" s="663" t="s">
        <v>117</v>
      </c>
      <c r="N73" s="663" t="s">
        <v>118</v>
      </c>
      <c r="O73" s="663" t="s">
        <v>4245</v>
      </c>
      <c r="P73" s="663" t="s">
        <v>4559</v>
      </c>
      <c r="Q73" s="650" t="str">
        <f t="shared" si="2"/>
        <v>300</v>
      </c>
      <c r="R73" s="149" t="s">
        <v>4569</v>
      </c>
    </row>
    <row r="74" spans="1:18" ht="10.5" x14ac:dyDescent="0.25">
      <c r="A74" s="662" t="s">
        <v>183</v>
      </c>
      <c r="B74" s="663" t="s">
        <v>21</v>
      </c>
      <c r="C74" s="664">
        <v>45473</v>
      </c>
      <c r="D74" s="663" t="s">
        <v>4637</v>
      </c>
      <c r="E74" s="663" t="s">
        <v>4638</v>
      </c>
      <c r="F74" s="663" t="s">
        <v>4638</v>
      </c>
      <c r="G74" s="665">
        <v>19159.752368475765</v>
      </c>
      <c r="H74" s="665">
        <v>7014591.4017399978</v>
      </c>
      <c r="I74" s="663"/>
      <c r="J74" s="663" t="s">
        <v>25</v>
      </c>
      <c r="K74" s="666">
        <v>26245.53</v>
      </c>
      <c r="L74" s="663" t="s">
        <v>4610</v>
      </c>
      <c r="M74" s="663" t="s">
        <v>212</v>
      </c>
      <c r="N74" s="663" t="s">
        <v>4357</v>
      </c>
      <c r="O74" s="663" t="s">
        <v>4525</v>
      </c>
      <c r="P74" s="663" t="s">
        <v>4559</v>
      </c>
      <c r="Q74" s="650" t="str">
        <f t="shared" si="2"/>
        <v>202</v>
      </c>
      <c r="R74" s="149" t="s">
        <v>4569</v>
      </c>
    </row>
    <row r="75" spans="1:18" ht="10.5" x14ac:dyDescent="0.25">
      <c r="A75" s="662" t="s">
        <v>183</v>
      </c>
      <c r="B75" s="663" t="s">
        <v>21</v>
      </c>
      <c r="C75" s="664">
        <v>45473</v>
      </c>
      <c r="D75" s="663" t="s">
        <v>4639</v>
      </c>
      <c r="E75" s="663" t="s">
        <v>4640</v>
      </c>
      <c r="F75" s="663" t="s">
        <v>4640</v>
      </c>
      <c r="G75" s="665">
        <v>26317.465389307981</v>
      </c>
      <c r="H75" s="665">
        <v>7040908.8671293054</v>
      </c>
      <c r="I75" s="663"/>
      <c r="J75" s="663" t="s">
        <v>25</v>
      </c>
      <c r="K75" s="666">
        <v>20745</v>
      </c>
      <c r="L75" s="663" t="s">
        <v>4610</v>
      </c>
      <c r="M75" s="663" t="s">
        <v>186</v>
      </c>
      <c r="N75" s="663" t="s">
        <v>4357</v>
      </c>
      <c r="O75" s="663" t="s">
        <v>4245</v>
      </c>
      <c r="P75" s="663" t="s">
        <v>4559</v>
      </c>
      <c r="Q75" s="650" t="str">
        <f t="shared" si="2"/>
        <v>205</v>
      </c>
      <c r="R75" s="149" t="s">
        <v>4569</v>
      </c>
    </row>
    <row r="76" spans="1:18" ht="10.5" x14ac:dyDescent="0.25">
      <c r="A76" s="662" t="s">
        <v>183</v>
      </c>
      <c r="B76" s="663" t="s">
        <v>21</v>
      </c>
      <c r="C76" s="664">
        <v>45473</v>
      </c>
      <c r="D76" s="663" t="s">
        <v>4641</v>
      </c>
      <c r="E76" s="663" t="s">
        <v>4640</v>
      </c>
      <c r="F76" s="663" t="s">
        <v>4640</v>
      </c>
      <c r="G76" s="665">
        <v>31751.819842657209</v>
      </c>
      <c r="H76" s="665">
        <v>7072660.6869719625</v>
      </c>
      <c r="I76" s="663"/>
      <c r="J76" s="663" t="s">
        <v>25</v>
      </c>
      <c r="K76" s="666">
        <v>29438.49</v>
      </c>
      <c r="L76" s="663" t="s">
        <v>4610</v>
      </c>
      <c r="M76" s="663" t="s">
        <v>38</v>
      </c>
      <c r="N76" s="663" t="s">
        <v>4357</v>
      </c>
      <c r="O76" s="663" t="s">
        <v>4245</v>
      </c>
      <c r="P76" s="663" t="s">
        <v>4559</v>
      </c>
      <c r="Q76" s="650" t="str">
        <f t="shared" si="2"/>
        <v>204</v>
      </c>
      <c r="R76" s="149" t="s">
        <v>4569</v>
      </c>
    </row>
    <row r="77" spans="1:18" ht="10.5" x14ac:dyDescent="0.25">
      <c r="A77" s="662" t="s">
        <v>183</v>
      </c>
      <c r="B77" s="663" t="s">
        <v>21</v>
      </c>
      <c r="C77" s="664">
        <v>45473</v>
      </c>
      <c r="D77" s="663" t="s">
        <v>4642</v>
      </c>
      <c r="E77" s="663" t="s">
        <v>4640</v>
      </c>
      <c r="F77" s="663" t="s">
        <v>4640</v>
      </c>
      <c r="G77" s="665">
        <v>5654.7132153753209</v>
      </c>
      <c r="H77" s="665">
        <v>7078315.4001873378</v>
      </c>
      <c r="I77" s="663"/>
      <c r="J77" s="663" t="s">
        <v>25</v>
      </c>
      <c r="K77" s="666">
        <v>5242.7299999999996</v>
      </c>
      <c r="L77" s="663" t="s">
        <v>4610</v>
      </c>
      <c r="M77" s="663" t="s">
        <v>4194</v>
      </c>
      <c r="N77" s="663" t="s">
        <v>4357</v>
      </c>
      <c r="O77" s="663" t="s">
        <v>4245</v>
      </c>
      <c r="P77" s="663" t="s">
        <v>4559</v>
      </c>
      <c r="Q77" s="650" t="str">
        <f t="shared" si="2"/>
        <v>210</v>
      </c>
      <c r="R77" s="149" t="s">
        <v>4569</v>
      </c>
    </row>
    <row r="78" spans="1:18" ht="10.5" x14ac:dyDescent="0.25">
      <c r="A78" s="662" t="s">
        <v>183</v>
      </c>
      <c r="B78" s="663" t="s">
        <v>21</v>
      </c>
      <c r="C78" s="664">
        <v>45473</v>
      </c>
      <c r="D78" s="663" t="s">
        <v>4643</v>
      </c>
      <c r="E78" s="663" t="s">
        <v>4640</v>
      </c>
      <c r="F78" s="663" t="s">
        <v>4640</v>
      </c>
      <c r="G78" s="665">
        <v>13164.630288087214</v>
      </c>
      <c r="H78" s="665">
        <v>7091480.0304754246</v>
      </c>
      <c r="I78" s="663"/>
      <c r="J78" s="663" t="s">
        <v>25</v>
      </c>
      <c r="K78" s="666">
        <v>138447.15</v>
      </c>
      <c r="L78" s="663" t="s">
        <v>4610</v>
      </c>
      <c r="M78" s="663" t="s">
        <v>193</v>
      </c>
      <c r="N78" s="663" t="s">
        <v>4357</v>
      </c>
      <c r="O78" s="663" t="s">
        <v>4245</v>
      </c>
      <c r="P78" s="663" t="s">
        <v>4559</v>
      </c>
      <c r="Q78" s="650" t="str">
        <f t="shared" si="2"/>
        <v>208</v>
      </c>
      <c r="R78" s="149" t="s">
        <v>4569</v>
      </c>
    </row>
    <row r="79" spans="1:18" ht="10.5" x14ac:dyDescent="0.25">
      <c r="A79" s="662" t="s">
        <v>183</v>
      </c>
      <c r="B79" s="663" t="s">
        <v>21</v>
      </c>
      <c r="C79" s="664">
        <v>45473</v>
      </c>
      <c r="D79" s="663" t="s">
        <v>4644</v>
      </c>
      <c r="E79" s="663" t="s">
        <v>4640</v>
      </c>
      <c r="F79" s="663" t="s">
        <v>4640</v>
      </c>
      <c r="G79" s="665">
        <v>9162.0131893127564</v>
      </c>
      <c r="H79" s="665">
        <v>7100642.0436647376</v>
      </c>
      <c r="I79" s="663"/>
      <c r="J79" s="663" t="s">
        <v>25</v>
      </c>
      <c r="K79" s="666">
        <v>13664</v>
      </c>
      <c r="L79" s="663" t="s">
        <v>4610</v>
      </c>
      <c r="M79" s="663" t="s">
        <v>197</v>
      </c>
      <c r="N79" s="663" t="s">
        <v>4357</v>
      </c>
      <c r="O79" s="663" t="s">
        <v>4273</v>
      </c>
      <c r="P79" s="663" t="s">
        <v>4559</v>
      </c>
      <c r="Q79" s="650" t="str">
        <f t="shared" si="2"/>
        <v>206</v>
      </c>
      <c r="R79" s="149" t="s">
        <v>4569</v>
      </c>
    </row>
    <row r="80" spans="1:18" ht="10.5" x14ac:dyDescent="0.25">
      <c r="A80" s="662" t="s">
        <v>183</v>
      </c>
      <c r="B80" s="663" t="s">
        <v>21</v>
      </c>
      <c r="C80" s="664">
        <v>45473</v>
      </c>
      <c r="D80" s="663" t="s">
        <v>4645</v>
      </c>
      <c r="E80" s="663" t="s">
        <v>4640</v>
      </c>
      <c r="F80" s="663" t="s">
        <v>4640</v>
      </c>
      <c r="G80" s="665">
        <v>23105.616832581025</v>
      </c>
      <c r="H80" s="665">
        <v>7123747.660497319</v>
      </c>
      <c r="I80" s="663"/>
      <c r="J80" s="663" t="s">
        <v>25</v>
      </c>
      <c r="K80" s="666">
        <v>31185</v>
      </c>
      <c r="L80" s="663" t="s">
        <v>4610</v>
      </c>
      <c r="M80" s="663" t="s">
        <v>201</v>
      </c>
      <c r="N80" s="663" t="s">
        <v>4357</v>
      </c>
      <c r="O80" s="663" t="s">
        <v>4646</v>
      </c>
      <c r="P80" s="663" t="s">
        <v>4559</v>
      </c>
      <c r="Q80" s="650" t="str">
        <f t="shared" si="2"/>
        <v>203</v>
      </c>
      <c r="R80" s="149" t="s">
        <v>4569</v>
      </c>
    </row>
    <row r="81" spans="1:18" ht="10.5" x14ac:dyDescent="0.25">
      <c r="A81" s="662" t="s">
        <v>183</v>
      </c>
      <c r="B81" s="663" t="s">
        <v>21</v>
      </c>
      <c r="C81" s="664">
        <v>45473</v>
      </c>
      <c r="D81" s="663" t="s">
        <v>4750</v>
      </c>
      <c r="E81" s="663" t="s">
        <v>4751</v>
      </c>
      <c r="F81" s="663" t="s">
        <v>4751</v>
      </c>
      <c r="G81" s="665">
        <v>468980</v>
      </c>
      <c r="H81" s="665">
        <v>7592727.660497319</v>
      </c>
      <c r="I81" s="663"/>
      <c r="J81" s="663" t="s">
        <v>25</v>
      </c>
      <c r="K81" s="666">
        <v>468980</v>
      </c>
      <c r="L81" s="663" t="s">
        <v>4610</v>
      </c>
      <c r="M81" s="663" t="s">
        <v>117</v>
      </c>
      <c r="N81" s="663" t="s">
        <v>118</v>
      </c>
      <c r="O81" s="663" t="s">
        <v>4245</v>
      </c>
      <c r="P81" s="663" t="s">
        <v>4559</v>
      </c>
      <c r="Q81" s="650" t="str">
        <f t="shared" si="2"/>
        <v>300</v>
      </c>
      <c r="R81" s="149" t="s">
        <v>4569</v>
      </c>
    </row>
    <row r="82" spans="1:18" ht="10.5" x14ac:dyDescent="0.25">
      <c r="A82" s="677" t="s">
        <v>216</v>
      </c>
      <c r="B82" s="672"/>
      <c r="C82" s="673"/>
      <c r="D82" s="672"/>
      <c r="E82" s="672"/>
      <c r="F82" s="672"/>
      <c r="G82" s="674">
        <f>SUM(G63:G81)</f>
        <v>1792435.8267731722</v>
      </c>
      <c r="H82" s="674">
        <f>H81</f>
        <v>7592727.660497319</v>
      </c>
      <c r="I82" s="672"/>
      <c r="J82" s="672"/>
      <c r="K82" s="675"/>
      <c r="L82" s="672"/>
      <c r="M82" s="672"/>
      <c r="N82" s="672"/>
      <c r="O82" s="672"/>
      <c r="P82" s="672"/>
      <c r="Q82" s="676"/>
      <c r="R82" s="149"/>
    </row>
  </sheetData>
  <mergeCells count="3">
    <mergeCell ref="A1:R1"/>
    <mergeCell ref="A2:R2"/>
    <mergeCell ref="A3:R3"/>
  </mergeCells>
  <phoneticPr fontId="0" type="noConversion"/>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BB528-E23C-4340-ABFD-AF62B34F45D0}">
  <sheetPr codeName="Sheet14"/>
  <dimension ref="E32:F34"/>
  <sheetViews>
    <sheetView workbookViewId="0">
      <selection activeCell="H33" sqref="H33"/>
    </sheetView>
  </sheetViews>
  <sheetFormatPr defaultRowHeight="10" x14ac:dyDescent="0.2"/>
  <cols>
    <col min="5" max="5" width="12.6640625" customWidth="1"/>
  </cols>
  <sheetData>
    <row r="32" spans="5:5" x14ac:dyDescent="0.2">
      <c r="E32" s="83" t="e">
        <f>GL_BS!#REF!</f>
        <v>#REF!</v>
      </c>
    </row>
    <row r="33" spans="5:6" x14ac:dyDescent="0.2">
      <c r="E33" s="408" t="e">
        <f>GL_BS!#REF!</f>
        <v>#REF!</v>
      </c>
    </row>
    <row r="34" spans="5:6" x14ac:dyDescent="0.2">
      <c r="E34" s="83" t="e">
        <f>SUM(E32:E33)</f>
        <v>#REF!</v>
      </c>
      <c r="F34" t="s">
        <v>4311</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2E13B-07F1-47AD-85DE-C93EF03859D1}">
  <sheetPr codeName="Sheet15"/>
  <dimension ref="A1:K28"/>
  <sheetViews>
    <sheetView zoomScale="150" zoomScaleNormal="150" workbookViewId="0">
      <selection activeCell="H33" sqref="H33"/>
    </sheetView>
  </sheetViews>
  <sheetFormatPr defaultRowHeight="10" x14ac:dyDescent="0.2"/>
  <cols>
    <col min="3" max="3" width="14" bestFit="1" customWidth="1"/>
    <col min="6" max="8" width="13.6640625" bestFit="1" customWidth="1"/>
    <col min="9" max="9" width="13.6640625" customWidth="1"/>
    <col min="10" max="10" width="15.44140625" bestFit="1" customWidth="1"/>
    <col min="11" max="11" width="12.33203125" bestFit="1" customWidth="1"/>
  </cols>
  <sheetData>
    <row r="1" spans="1:11" x14ac:dyDescent="0.2">
      <c r="C1">
        <v>2017</v>
      </c>
      <c r="D1">
        <v>2018</v>
      </c>
      <c r="E1">
        <v>2019</v>
      </c>
      <c r="F1">
        <v>2020</v>
      </c>
      <c r="G1">
        <v>2021</v>
      </c>
      <c r="H1">
        <v>2022</v>
      </c>
      <c r="I1">
        <v>2023</v>
      </c>
      <c r="J1" t="s">
        <v>218</v>
      </c>
    </row>
    <row r="2" spans="1:11" x14ac:dyDescent="0.2">
      <c r="A2" t="s">
        <v>4301</v>
      </c>
      <c r="C2" s="509">
        <v>731232.76731352473</v>
      </c>
      <c r="D2" s="509">
        <v>930039.84021324152</v>
      </c>
      <c r="E2" s="509">
        <v>999515.79336559505</v>
      </c>
      <c r="F2" s="509">
        <v>839914.45971470489</v>
      </c>
      <c r="G2" s="509">
        <v>477130.41713288054</v>
      </c>
      <c r="H2" s="509">
        <v>365298.39900000003</v>
      </c>
      <c r="I2" s="510">
        <f>315858</f>
        <v>315858</v>
      </c>
      <c r="J2" s="511">
        <f>SUM(C2:I2)</f>
        <v>4658989.6767399469</v>
      </c>
    </row>
    <row r="4" spans="1:11" x14ac:dyDescent="0.2">
      <c r="A4" t="s">
        <v>4302</v>
      </c>
      <c r="C4" s="239">
        <v>608990.98007268726</v>
      </c>
      <c r="D4" s="239">
        <v>559883.73403500847</v>
      </c>
      <c r="E4" s="239">
        <v>646765.52247242723</v>
      </c>
      <c r="F4" s="239">
        <v>510444.43861423462</v>
      </c>
      <c r="G4" s="239">
        <v>201283.1686884427</v>
      </c>
      <c r="H4" s="239">
        <v>0</v>
      </c>
      <c r="I4" s="239"/>
      <c r="J4" s="239">
        <f>SUM(C4:I4)</f>
        <v>2527367.8438828001</v>
      </c>
    </row>
    <row r="5" spans="1:11" s="512" customFormat="1" x14ac:dyDescent="0.2">
      <c r="A5" s="512" t="s">
        <v>4303</v>
      </c>
      <c r="C5" s="513">
        <v>122241.78724083745</v>
      </c>
      <c r="D5" s="513">
        <v>370156.10617823311</v>
      </c>
      <c r="E5" s="513">
        <v>352750.27089316782</v>
      </c>
      <c r="F5" s="513">
        <v>329470.02110047027</v>
      </c>
      <c r="G5" s="513">
        <v>275847.24844443781</v>
      </c>
      <c r="H5" s="513">
        <v>365298.39900000003</v>
      </c>
      <c r="I5" s="513">
        <f>I2</f>
        <v>315858</v>
      </c>
      <c r="J5" s="513">
        <f>SUM(C5:I5)</f>
        <v>2131621.8328571464</v>
      </c>
    </row>
    <row r="6" spans="1:11" x14ac:dyDescent="0.2">
      <c r="A6" t="s">
        <v>4304</v>
      </c>
      <c r="C6" s="239">
        <f t="shared" ref="C6:I6" si="0">SUM(C4:C5)</f>
        <v>731232.76731352473</v>
      </c>
      <c r="D6" s="239">
        <f t="shared" si="0"/>
        <v>930039.84021324152</v>
      </c>
      <c r="E6" s="239">
        <f t="shared" si="0"/>
        <v>999515.79336559505</v>
      </c>
      <c r="F6" s="239">
        <f t="shared" si="0"/>
        <v>839914.45971470489</v>
      </c>
      <c r="G6" s="239">
        <f t="shared" si="0"/>
        <v>477130.41713288054</v>
      </c>
      <c r="H6" s="239">
        <f t="shared" si="0"/>
        <v>365298.39900000003</v>
      </c>
      <c r="I6" s="239">
        <f t="shared" si="0"/>
        <v>315858</v>
      </c>
      <c r="J6" s="239">
        <f>SUM(J4:J5)</f>
        <v>4658989.676739946</v>
      </c>
      <c r="K6" s="239"/>
    </row>
    <row r="8" spans="1:11" x14ac:dyDescent="0.2">
      <c r="A8" t="s">
        <v>4305</v>
      </c>
    </row>
    <row r="9" spans="1:11" x14ac:dyDescent="0.2">
      <c r="A9">
        <v>2017</v>
      </c>
      <c r="C9" s="510">
        <v>238512</v>
      </c>
      <c r="J9" s="510">
        <f t="shared" ref="J9:J12" si="1">SUM(C9:H9)</f>
        <v>238512</v>
      </c>
    </row>
    <row r="10" spans="1:11" x14ac:dyDescent="0.2">
      <c r="A10">
        <v>2018</v>
      </c>
      <c r="J10" s="510">
        <f t="shared" si="1"/>
        <v>0</v>
      </c>
    </row>
    <row r="11" spans="1:11" x14ac:dyDescent="0.2">
      <c r="A11">
        <v>2019</v>
      </c>
      <c r="J11" s="510">
        <f t="shared" si="1"/>
        <v>0</v>
      </c>
    </row>
    <row r="12" spans="1:11" x14ac:dyDescent="0.2">
      <c r="A12">
        <v>2020</v>
      </c>
      <c r="J12" s="510">
        <f t="shared" si="1"/>
        <v>0</v>
      </c>
    </row>
    <row r="13" spans="1:11" x14ac:dyDescent="0.2">
      <c r="A13">
        <v>2021</v>
      </c>
      <c r="F13" s="509">
        <v>86802.751555562194</v>
      </c>
      <c r="G13" s="509">
        <f>G5</f>
        <v>275847.24844443781</v>
      </c>
      <c r="H13">
        <v>0</v>
      </c>
      <c r="J13" s="510">
        <f>SUM(C13:H13)</f>
        <v>362650</v>
      </c>
    </row>
    <row r="14" spans="1:11" x14ac:dyDescent="0.2">
      <c r="A14">
        <v>2022</v>
      </c>
      <c r="G14" s="510"/>
      <c r="H14" s="510"/>
      <c r="I14" s="510"/>
      <c r="J14" s="510">
        <f>SUM(C14:H14)</f>
        <v>0</v>
      </c>
    </row>
    <row r="15" spans="1:11" ht="10.5" thickBot="1" x14ac:dyDescent="0.25">
      <c r="B15" s="511">
        <f t="shared" ref="B15:F15" si="2">SUM(B13:B14)</f>
        <v>0</v>
      </c>
      <c r="C15" s="514">
        <f>SUM(C9:C14)</f>
        <v>238512</v>
      </c>
      <c r="D15" s="514">
        <f t="shared" si="2"/>
        <v>0</v>
      </c>
      <c r="E15" s="514">
        <f t="shared" si="2"/>
        <v>0</v>
      </c>
      <c r="F15" s="514">
        <f t="shared" si="2"/>
        <v>86802.751555562194</v>
      </c>
      <c r="G15" s="514">
        <f>SUM(G13:G14)</f>
        <v>275847.24844443781</v>
      </c>
      <c r="H15" s="514">
        <f t="shared" ref="H15" si="3">SUM(H13:H14)</f>
        <v>0</v>
      </c>
      <c r="I15" s="514"/>
      <c r="J15" s="515">
        <f>SUM(J9:J14)</f>
        <v>601162</v>
      </c>
      <c r="K15" s="239"/>
    </row>
    <row r="16" spans="1:11" ht="10.5" thickTop="1" x14ac:dyDescent="0.2"/>
    <row r="17" spans="1:11" s="512" customFormat="1" x14ac:dyDescent="0.2">
      <c r="A17" s="512" t="s">
        <v>4306</v>
      </c>
      <c r="C17" s="513">
        <f>C5-C15</f>
        <v>-116270.21275916255</v>
      </c>
      <c r="D17" s="513">
        <f t="shared" ref="D17:I17" si="4">D5-D15</f>
        <v>370156.10617823311</v>
      </c>
      <c r="E17" s="513">
        <f t="shared" si="4"/>
        <v>352750.27089316782</v>
      </c>
      <c r="F17" s="513">
        <f t="shared" si="4"/>
        <v>242667.26954490808</v>
      </c>
      <c r="G17" s="513">
        <f t="shared" si="4"/>
        <v>0</v>
      </c>
      <c r="H17" s="513">
        <f t="shared" si="4"/>
        <v>365298.39900000003</v>
      </c>
      <c r="I17" s="513">
        <f t="shared" si="4"/>
        <v>315858</v>
      </c>
      <c r="J17" s="513">
        <f>J5-J15</f>
        <v>1530459.8328571464</v>
      </c>
    </row>
    <row r="18" spans="1:11" x14ac:dyDescent="0.2">
      <c r="A18" t="s">
        <v>4307</v>
      </c>
      <c r="C18" s="516">
        <f>C4</f>
        <v>608990.98007268726</v>
      </c>
      <c r="D18" s="516">
        <f t="shared" ref="D18:J18" si="5">D4</f>
        <v>559883.73403500847</v>
      </c>
      <c r="E18" s="516">
        <f t="shared" si="5"/>
        <v>646765.52247242723</v>
      </c>
      <c r="F18" s="516">
        <f t="shared" si="5"/>
        <v>510444.43861423462</v>
      </c>
      <c r="G18" s="516">
        <f t="shared" si="5"/>
        <v>201283.1686884427</v>
      </c>
      <c r="H18" s="516">
        <f t="shared" si="5"/>
        <v>0</v>
      </c>
      <c r="I18" s="516">
        <f t="shared" si="5"/>
        <v>0</v>
      </c>
      <c r="J18" s="516">
        <f t="shared" si="5"/>
        <v>2527367.8438828001</v>
      </c>
    </row>
    <row r="19" spans="1:11" x14ac:dyDescent="0.2">
      <c r="A19" t="s">
        <v>4308</v>
      </c>
      <c r="C19" s="239">
        <f t="shared" ref="C19:I19" si="6">SUM(C17:C18)</f>
        <v>492720.76731352473</v>
      </c>
      <c r="D19" s="239">
        <f t="shared" si="6"/>
        <v>930039.84021324152</v>
      </c>
      <c r="E19" s="239">
        <f t="shared" si="6"/>
        <v>999515.79336559505</v>
      </c>
      <c r="F19" s="239">
        <f t="shared" si="6"/>
        <v>753111.70815914264</v>
      </c>
      <c r="G19" s="239">
        <f t="shared" si="6"/>
        <v>201283.1686884427</v>
      </c>
      <c r="H19" s="239">
        <f t="shared" si="6"/>
        <v>365298.39900000003</v>
      </c>
      <c r="I19" s="239">
        <f t="shared" si="6"/>
        <v>315858</v>
      </c>
      <c r="J19" s="239">
        <f>SUM(J17:J18)</f>
        <v>4057827.6767399465</v>
      </c>
    </row>
    <row r="20" spans="1:11" ht="14.5" x14ac:dyDescent="0.4">
      <c r="I20" s="517" t="s">
        <v>4300</v>
      </c>
    </row>
    <row r="21" spans="1:11" x14ac:dyDescent="0.2">
      <c r="J21" s="510">
        <f>J17</f>
        <v>1530459.8328571464</v>
      </c>
      <c r="K21" t="s">
        <v>4309</v>
      </c>
    </row>
    <row r="22" spans="1:11" x14ac:dyDescent="0.2">
      <c r="J22" s="518">
        <f>FR_TB!B67</f>
        <v>1530459.82</v>
      </c>
      <c r="K22" t="s">
        <v>4310</v>
      </c>
    </row>
    <row r="23" spans="1:11" x14ac:dyDescent="0.2">
      <c r="J23" s="239">
        <f>J17-J22</f>
        <v>1.2857146328315139E-2</v>
      </c>
    </row>
    <row r="25" spans="1:11" x14ac:dyDescent="0.2">
      <c r="J25" s="519"/>
    </row>
    <row r="26" spans="1:11" x14ac:dyDescent="0.2">
      <c r="J26" s="519"/>
    </row>
    <row r="27" spans="1:11" x14ac:dyDescent="0.2">
      <c r="J27" s="519"/>
    </row>
    <row r="28" spans="1:11" x14ac:dyDescent="0.2">
      <c r="J28" s="510"/>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5E652-8118-4C6E-ADD7-6B8BD1AE63D5}">
  <sheetPr codeName="Sheet16"/>
  <dimension ref="A1:E436"/>
  <sheetViews>
    <sheetView topLeftCell="A27" workbookViewId="0">
      <selection activeCell="H33" sqref="H33"/>
    </sheetView>
  </sheetViews>
  <sheetFormatPr defaultRowHeight="10" x14ac:dyDescent="0.2"/>
  <cols>
    <col min="1" max="2" width="45.6640625" customWidth="1"/>
  </cols>
  <sheetData>
    <row r="1" spans="1:2" ht="15.5" x14ac:dyDescent="0.35">
      <c r="A1" s="811" t="s">
        <v>0</v>
      </c>
      <c r="B1" s="811"/>
    </row>
    <row r="2" spans="1:2" ht="15.5" x14ac:dyDescent="0.35">
      <c r="A2" s="811" t="s">
        <v>4314</v>
      </c>
      <c r="B2" s="811"/>
    </row>
    <row r="3" spans="1:2" ht="18" x14ac:dyDescent="0.4">
      <c r="A3" s="810" t="s">
        <v>4315</v>
      </c>
      <c r="B3" s="810"/>
    </row>
    <row r="4" spans="1:2" ht="18" x14ac:dyDescent="0.4">
      <c r="A4" s="810" t="s">
        <v>4291</v>
      </c>
      <c r="B4" s="810"/>
    </row>
    <row r="5" spans="1:2" ht="18" x14ac:dyDescent="0.4">
      <c r="A5" s="810" t="s">
        <v>4</v>
      </c>
      <c r="B5" s="810"/>
    </row>
    <row r="6" spans="1:2" ht="18" x14ac:dyDescent="0.4">
      <c r="A6" s="810" t="s">
        <v>4</v>
      </c>
      <c r="B6" s="810"/>
    </row>
    <row r="7" spans="1:2" x14ac:dyDescent="0.2">
      <c r="A7" s="501" t="s">
        <v>5</v>
      </c>
      <c r="B7" s="502" t="s">
        <v>218</v>
      </c>
    </row>
    <row r="8" spans="1:2" ht="10.5" x14ac:dyDescent="0.2">
      <c r="A8" s="498" t="s">
        <v>314</v>
      </c>
      <c r="B8" s="520"/>
    </row>
    <row r="9" spans="1:2" x14ac:dyDescent="0.2">
      <c r="A9" s="521" t="s">
        <v>315</v>
      </c>
      <c r="B9" s="520">
        <v>10647873.390000001</v>
      </c>
    </row>
    <row r="10" spans="1:2" x14ac:dyDescent="0.2">
      <c r="A10" s="521" t="s">
        <v>316</v>
      </c>
      <c r="B10" s="520">
        <v>2928697.39</v>
      </c>
    </row>
    <row r="11" spans="1:2" x14ac:dyDescent="0.2">
      <c r="A11" s="521" t="s">
        <v>317</v>
      </c>
      <c r="B11" s="520">
        <v>1900324.9</v>
      </c>
    </row>
    <row r="12" spans="1:2" x14ac:dyDescent="0.2">
      <c r="A12" s="521" t="s">
        <v>320</v>
      </c>
      <c r="B12" s="520">
        <v>16152254.960000001</v>
      </c>
    </row>
    <row r="13" spans="1:2" ht="10.5" x14ac:dyDescent="0.2">
      <c r="A13" s="522" t="s">
        <v>331</v>
      </c>
      <c r="B13" s="523">
        <f>SUM(B9:B12)</f>
        <v>31629150.640000001</v>
      </c>
    </row>
    <row r="14" spans="1:2" ht="10.5" x14ac:dyDescent="0.2">
      <c r="A14" s="498" t="s">
        <v>4316</v>
      </c>
      <c r="B14" s="520"/>
    </row>
    <row r="15" spans="1:2" x14ac:dyDescent="0.2">
      <c r="A15" s="521" t="s">
        <v>334</v>
      </c>
      <c r="B15" s="520">
        <v>45802500</v>
      </c>
    </row>
    <row r="16" spans="1:2" x14ac:dyDescent="0.2">
      <c r="A16" s="521" t="s">
        <v>354</v>
      </c>
      <c r="B16" s="520">
        <v>107132.18</v>
      </c>
    </row>
    <row r="17" spans="1:2" ht="10.5" x14ac:dyDescent="0.2">
      <c r="A17" s="522" t="s">
        <v>4317</v>
      </c>
      <c r="B17" s="523">
        <f>SUM(B15:B16)</f>
        <v>45909632.18</v>
      </c>
    </row>
    <row r="18" spans="1:2" ht="10.5" x14ac:dyDescent="0.2">
      <c r="A18" s="498" t="s">
        <v>4067</v>
      </c>
      <c r="B18" s="520"/>
    </row>
    <row r="19" spans="1:2" x14ac:dyDescent="0.2">
      <c r="A19" s="521" t="s">
        <v>337</v>
      </c>
      <c r="B19" s="520">
        <v>12818419.689999999</v>
      </c>
    </row>
    <row r="20" spans="1:2" x14ac:dyDescent="0.2">
      <c r="A20" s="521" t="s">
        <v>338</v>
      </c>
      <c r="B20" s="520">
        <v>2684877.68</v>
      </c>
    </row>
    <row r="21" spans="1:2" x14ac:dyDescent="0.2">
      <c r="A21" s="521" t="s">
        <v>339</v>
      </c>
      <c r="B21" s="520">
        <v>7115217.6600000001</v>
      </c>
    </row>
    <row r="22" spans="1:2" x14ac:dyDescent="0.2">
      <c r="A22" s="521" t="s">
        <v>4298</v>
      </c>
      <c r="B22" s="520">
        <v>-350000</v>
      </c>
    </row>
    <row r="23" spans="1:2" x14ac:dyDescent="0.2">
      <c r="A23" s="521" t="s">
        <v>340</v>
      </c>
      <c r="B23" s="520">
        <v>-300298.99</v>
      </c>
    </row>
    <row r="24" spans="1:2" ht="10.5" x14ac:dyDescent="0.2">
      <c r="A24" s="522" t="s">
        <v>4068</v>
      </c>
      <c r="B24" s="523">
        <f>SUM(B19:B23)</f>
        <v>21968216.040000003</v>
      </c>
    </row>
    <row r="25" spans="1:2" ht="10.5" x14ac:dyDescent="0.2">
      <c r="A25" s="498" t="s">
        <v>4318</v>
      </c>
      <c r="B25" s="520"/>
    </row>
    <row r="26" spans="1:2" x14ac:dyDescent="0.2">
      <c r="A26" s="521" t="s">
        <v>341</v>
      </c>
      <c r="B26" s="520">
        <v>16621163.67</v>
      </c>
    </row>
    <row r="27" spans="1:2" ht="10.5" x14ac:dyDescent="0.2">
      <c r="A27" s="522" t="s">
        <v>4319</v>
      </c>
      <c r="B27" s="523">
        <f>SUM(B26)</f>
        <v>16621163.67</v>
      </c>
    </row>
    <row r="28" spans="1:2" ht="10.5" x14ac:dyDescent="0.2">
      <c r="A28" s="498" t="s">
        <v>219</v>
      </c>
      <c r="B28" s="520"/>
    </row>
    <row r="29" spans="1:2" x14ac:dyDescent="0.2">
      <c r="A29" s="521" t="s">
        <v>220</v>
      </c>
      <c r="B29" s="520">
        <v>2165</v>
      </c>
    </row>
    <row r="30" spans="1:2" x14ac:dyDescent="0.2">
      <c r="A30" s="521" t="s">
        <v>356</v>
      </c>
      <c r="B30" s="520">
        <v>501546.1</v>
      </c>
    </row>
    <row r="31" spans="1:2" x14ac:dyDescent="0.2">
      <c r="A31" s="521" t="s">
        <v>359</v>
      </c>
      <c r="B31" s="520">
        <v>1000</v>
      </c>
    </row>
    <row r="32" spans="1:2" ht="10.5" x14ac:dyDescent="0.25">
      <c r="A32" s="499" t="s">
        <v>4073</v>
      </c>
      <c r="B32" s="520"/>
    </row>
    <row r="33" spans="1:2" x14ac:dyDescent="0.2">
      <c r="A33" s="500" t="s">
        <v>360</v>
      </c>
      <c r="B33" s="520">
        <v>181200.92</v>
      </c>
    </row>
    <row r="34" spans="1:2" x14ac:dyDescent="0.2">
      <c r="A34" s="500" t="s">
        <v>774</v>
      </c>
      <c r="B34" s="520">
        <v>80841.960000000006</v>
      </c>
    </row>
    <row r="35" spans="1:2" x14ac:dyDescent="0.2">
      <c r="A35" s="500" t="s">
        <v>361</v>
      </c>
      <c r="B35" s="520">
        <v>383711.16</v>
      </c>
    </row>
    <row r="36" spans="1:2" x14ac:dyDescent="0.2">
      <c r="A36" s="500" t="s">
        <v>362</v>
      </c>
      <c r="B36" s="520">
        <v>208986.59</v>
      </c>
    </row>
    <row r="37" spans="1:2" x14ac:dyDescent="0.2">
      <c r="A37" s="500" t="s">
        <v>4259</v>
      </c>
      <c r="B37" s="520">
        <v>85.87</v>
      </c>
    </row>
    <row r="38" spans="1:2" x14ac:dyDescent="0.2">
      <c r="A38" s="500" t="s">
        <v>363</v>
      </c>
      <c r="B38" s="520">
        <v>338731.68</v>
      </c>
    </row>
    <row r="39" spans="1:2" x14ac:dyDescent="0.2">
      <c r="A39" s="500" t="s">
        <v>4195</v>
      </c>
      <c r="B39" s="520">
        <v>-0.43</v>
      </c>
    </row>
    <row r="40" spans="1:2" x14ac:dyDescent="0.2">
      <c r="A40" s="500" t="s">
        <v>4292</v>
      </c>
      <c r="B40" s="520">
        <v>5795.79</v>
      </c>
    </row>
    <row r="41" spans="1:2" ht="10.5" x14ac:dyDescent="0.25">
      <c r="A41" s="524" t="s">
        <v>4074</v>
      </c>
      <c r="B41" s="523">
        <f>SUM(B33:B40)</f>
        <v>1199353.54</v>
      </c>
    </row>
    <row r="42" spans="1:2" ht="10.5" x14ac:dyDescent="0.2">
      <c r="A42" s="522" t="s">
        <v>238</v>
      </c>
      <c r="B42" s="523">
        <f>SUM(B29:B31,B41)</f>
        <v>1704064.6400000001</v>
      </c>
    </row>
    <row r="43" spans="1:2" x14ac:dyDescent="0.2">
      <c r="A43" s="503" t="s">
        <v>343</v>
      </c>
      <c r="B43" s="520">
        <v>1139699.98</v>
      </c>
    </row>
    <row r="44" spans="1:2" x14ac:dyDescent="0.2">
      <c r="A44" s="503" t="s">
        <v>344</v>
      </c>
      <c r="B44" s="520">
        <v>283009.64</v>
      </c>
    </row>
    <row r="45" spans="1:2" ht="10.5" x14ac:dyDescent="0.2">
      <c r="A45" s="498" t="s">
        <v>4075</v>
      </c>
      <c r="B45" s="520"/>
    </row>
    <row r="46" spans="1:2" x14ac:dyDescent="0.2">
      <c r="A46" s="521" t="s">
        <v>374</v>
      </c>
      <c r="B46" s="520">
        <v>45318.720000000001</v>
      </c>
    </row>
    <row r="47" spans="1:2" x14ac:dyDescent="0.2">
      <c r="A47" s="521" t="s">
        <v>375</v>
      </c>
      <c r="B47" s="520">
        <v>2240947.42</v>
      </c>
    </row>
    <row r="48" spans="1:2" x14ac:dyDescent="0.2">
      <c r="A48" s="521" t="s">
        <v>3859</v>
      </c>
      <c r="B48" s="520">
        <v>-917108.54</v>
      </c>
    </row>
    <row r="49" spans="1:2" ht="10.5" x14ac:dyDescent="0.2">
      <c r="A49" s="522" t="s">
        <v>4076</v>
      </c>
      <c r="B49" s="523">
        <f>SUM(B46:B48)</f>
        <v>1369157.6</v>
      </c>
    </row>
    <row r="50" spans="1:2" ht="10.5" x14ac:dyDescent="0.2">
      <c r="A50" s="498" t="s">
        <v>4077</v>
      </c>
      <c r="B50" s="520"/>
    </row>
    <row r="51" spans="1:2" x14ac:dyDescent="0.2">
      <c r="A51" s="521" t="s">
        <v>376</v>
      </c>
      <c r="B51" s="520">
        <v>67760.36</v>
      </c>
    </row>
    <row r="52" spans="1:2" x14ac:dyDescent="0.2">
      <c r="A52" s="521" t="s">
        <v>377</v>
      </c>
      <c r="B52" s="520">
        <v>311677.38</v>
      </c>
    </row>
    <row r="53" spans="1:2" x14ac:dyDescent="0.2">
      <c r="A53" s="521" t="s">
        <v>379</v>
      </c>
      <c r="B53" s="520">
        <v>40608</v>
      </c>
    </row>
    <row r="54" spans="1:2" x14ac:dyDescent="0.2">
      <c r="A54" s="521" t="s">
        <v>3867</v>
      </c>
      <c r="B54" s="520">
        <v>18812</v>
      </c>
    </row>
    <row r="55" spans="1:2" ht="10.5" x14ac:dyDescent="0.2">
      <c r="A55" s="522" t="s">
        <v>4078</v>
      </c>
      <c r="B55" s="523">
        <f>SUM(B51:B54)</f>
        <v>438857.74</v>
      </c>
    </row>
    <row r="56" spans="1:2" ht="10.5" x14ac:dyDescent="0.2">
      <c r="A56" s="498" t="s">
        <v>4079</v>
      </c>
      <c r="B56" s="520"/>
    </row>
    <row r="57" spans="1:2" x14ac:dyDescent="0.2">
      <c r="A57" s="521" t="s">
        <v>348</v>
      </c>
      <c r="B57" s="520">
        <v>6382758.7000000002</v>
      </c>
    </row>
    <row r="58" spans="1:2" x14ac:dyDescent="0.2">
      <c r="A58" s="521" t="s">
        <v>349</v>
      </c>
      <c r="B58" s="520">
        <v>310446</v>
      </c>
    </row>
    <row r="59" spans="1:2" x14ac:dyDescent="0.2">
      <c r="A59" s="521" t="s">
        <v>350</v>
      </c>
      <c r="B59" s="520">
        <v>-4778735.4000000004</v>
      </c>
    </row>
    <row r="60" spans="1:2" x14ac:dyDescent="0.2">
      <c r="A60" s="521" t="s">
        <v>351</v>
      </c>
      <c r="B60" s="520">
        <v>-130132</v>
      </c>
    </row>
    <row r="61" spans="1:2" ht="10.5" x14ac:dyDescent="0.2">
      <c r="A61" s="522" t="s">
        <v>4080</v>
      </c>
      <c r="B61" s="523">
        <f>SUM(B57:B60)</f>
        <v>1784337.2999999998</v>
      </c>
    </row>
    <row r="62" spans="1:2" x14ac:dyDescent="0.2">
      <c r="A62" s="503" t="s">
        <v>345</v>
      </c>
      <c r="B62" s="520">
        <v>0.47</v>
      </c>
    </row>
    <row r="63" spans="1:2" ht="10.5" x14ac:dyDescent="0.2">
      <c r="A63" s="498" t="s">
        <v>4087</v>
      </c>
      <c r="B63" s="520"/>
    </row>
    <row r="64" spans="1:2" x14ac:dyDescent="0.2">
      <c r="A64" s="521" t="s">
        <v>429</v>
      </c>
      <c r="B64" s="520">
        <v>503895.71</v>
      </c>
    </row>
    <row r="65" spans="1:5" x14ac:dyDescent="0.2">
      <c r="A65" s="521" t="s">
        <v>383</v>
      </c>
      <c r="B65" s="520">
        <v>3312922.17</v>
      </c>
    </row>
    <row r="66" spans="1:5" x14ac:dyDescent="0.2">
      <c r="A66" s="521" t="s">
        <v>384</v>
      </c>
      <c r="B66" s="520">
        <v>585348</v>
      </c>
    </row>
    <row r="67" spans="1:5" s="14" customFormat="1" x14ac:dyDescent="0.2">
      <c r="A67" s="525" t="s">
        <v>427</v>
      </c>
      <c r="B67" s="526">
        <v>1530459.82</v>
      </c>
      <c r="E67" s="14" t="s">
        <v>4313</v>
      </c>
    </row>
    <row r="68" spans="1:5" x14ac:dyDescent="0.2">
      <c r="A68" s="521" t="s">
        <v>417</v>
      </c>
      <c r="B68" s="520">
        <v>0.01</v>
      </c>
    </row>
    <row r="69" spans="1:5" x14ac:dyDescent="0.2">
      <c r="A69" s="521" t="s">
        <v>414</v>
      </c>
      <c r="B69" s="520">
        <v>78380.11</v>
      </c>
    </row>
    <row r="70" spans="1:5" ht="10.5" x14ac:dyDescent="0.2">
      <c r="A70" s="522" t="s">
        <v>4088</v>
      </c>
      <c r="B70" s="523">
        <f>SUM(B64:B69)</f>
        <v>6011005.8200000003</v>
      </c>
    </row>
    <row r="71" spans="1:5" ht="10.5" x14ac:dyDescent="0.2">
      <c r="A71" s="498" t="s">
        <v>4089</v>
      </c>
      <c r="B71" s="520"/>
    </row>
    <row r="72" spans="1:5" x14ac:dyDescent="0.2">
      <c r="A72" s="521" t="s">
        <v>409</v>
      </c>
      <c r="B72" s="520">
        <v>8289511.7800000003</v>
      </c>
    </row>
    <row r="73" spans="1:5" x14ac:dyDescent="0.2">
      <c r="A73" s="521" t="s">
        <v>410</v>
      </c>
      <c r="B73" s="520">
        <v>-1826623.22</v>
      </c>
    </row>
    <row r="74" spans="1:5" ht="10.5" x14ac:dyDescent="0.2">
      <c r="A74" s="522" t="s">
        <v>4090</v>
      </c>
      <c r="B74" s="523">
        <f>SUM(B72:B73)</f>
        <v>6462888.5600000005</v>
      </c>
    </row>
    <row r="75" spans="1:5" ht="10.5" x14ac:dyDescent="0.2">
      <c r="A75" s="498" t="s">
        <v>4320</v>
      </c>
      <c r="B75" s="520"/>
    </row>
    <row r="76" spans="1:5" x14ac:dyDescent="0.2">
      <c r="A76" s="521" t="s">
        <v>426</v>
      </c>
      <c r="B76" s="520">
        <v>7349073.6399999997</v>
      </c>
    </row>
    <row r="77" spans="1:5" x14ac:dyDescent="0.2">
      <c r="A77" s="521" t="s">
        <v>419</v>
      </c>
      <c r="B77" s="520">
        <v>71365.289999999994</v>
      </c>
    </row>
    <row r="78" spans="1:5" x14ac:dyDescent="0.2">
      <c r="A78" s="521" t="s">
        <v>423</v>
      </c>
      <c r="B78" s="520">
        <v>64862.559999999998</v>
      </c>
    </row>
    <row r="79" spans="1:5" x14ac:dyDescent="0.2">
      <c r="A79" s="521" t="s">
        <v>421</v>
      </c>
      <c r="B79" s="520">
        <v>1322.53</v>
      </c>
    </row>
    <row r="80" spans="1:5" x14ac:dyDescent="0.2">
      <c r="A80" s="521" t="s">
        <v>420</v>
      </c>
      <c r="B80" s="520">
        <v>25000</v>
      </c>
    </row>
    <row r="81" spans="1:2" x14ac:dyDescent="0.2">
      <c r="A81" s="521" t="s">
        <v>425</v>
      </c>
      <c r="B81" s="520">
        <v>118.42</v>
      </c>
    </row>
    <row r="82" spans="1:2" x14ac:dyDescent="0.2">
      <c r="A82" s="521" t="s">
        <v>418</v>
      </c>
      <c r="B82" s="520">
        <v>124.28</v>
      </c>
    </row>
    <row r="83" spans="1:2" x14ac:dyDescent="0.2">
      <c r="A83" s="521" t="s">
        <v>422</v>
      </c>
      <c r="B83" s="520">
        <v>11635.59</v>
      </c>
    </row>
    <row r="84" spans="1:2" x14ac:dyDescent="0.2">
      <c r="A84" s="521" t="s">
        <v>4198</v>
      </c>
      <c r="B84" s="520">
        <v>10000</v>
      </c>
    </row>
    <row r="85" spans="1:2" x14ac:dyDescent="0.2">
      <c r="A85" s="521" t="s">
        <v>424</v>
      </c>
      <c r="B85" s="520">
        <v>4728.76</v>
      </c>
    </row>
    <row r="86" spans="1:2" ht="10.5" x14ac:dyDescent="0.2">
      <c r="A86" s="522" t="s">
        <v>4321</v>
      </c>
      <c r="B86" s="523">
        <f>SUM(B76:B85)</f>
        <v>7538231.0699999994</v>
      </c>
    </row>
    <row r="87" spans="1:2" ht="10.5" x14ac:dyDescent="0.2">
      <c r="A87" s="498" t="s">
        <v>4082</v>
      </c>
      <c r="B87" s="520"/>
    </row>
    <row r="88" spans="1:2" ht="10.5" x14ac:dyDescent="0.25">
      <c r="A88" s="499" t="s">
        <v>4322</v>
      </c>
      <c r="B88" s="520"/>
    </row>
    <row r="89" spans="1:2" x14ac:dyDescent="0.2">
      <c r="A89" s="500" t="s">
        <v>397</v>
      </c>
      <c r="B89" s="520">
        <v>865078.56</v>
      </c>
    </row>
    <row r="90" spans="1:2" x14ac:dyDescent="0.2">
      <c r="A90" s="500" t="s">
        <v>4196</v>
      </c>
      <c r="B90" s="520">
        <v>1936883.22</v>
      </c>
    </row>
    <row r="91" spans="1:2" x14ac:dyDescent="0.2">
      <c r="A91" s="500" t="s">
        <v>398</v>
      </c>
      <c r="B91" s="520">
        <v>227309.6</v>
      </c>
    </row>
    <row r="92" spans="1:2" x14ac:dyDescent="0.2">
      <c r="A92" s="500" t="s">
        <v>4197</v>
      </c>
      <c r="B92" s="520">
        <v>180599.45</v>
      </c>
    </row>
    <row r="93" spans="1:2" x14ac:dyDescent="0.2">
      <c r="A93" s="500" t="s">
        <v>399</v>
      </c>
      <c r="B93" s="520">
        <v>2319834.69</v>
      </c>
    </row>
    <row r="94" spans="1:2" ht="10.5" x14ac:dyDescent="0.25">
      <c r="A94" s="524" t="s">
        <v>4323</v>
      </c>
      <c r="B94" s="523">
        <f>SUM(B89:B93)</f>
        <v>5529705.5200000005</v>
      </c>
    </row>
    <row r="95" spans="1:2" ht="10.5" x14ac:dyDescent="0.2">
      <c r="A95" s="522" t="s">
        <v>4083</v>
      </c>
      <c r="B95" s="523">
        <f>SUM(B94)</f>
        <v>5529705.5200000005</v>
      </c>
    </row>
    <row r="96" spans="1:2" ht="10.5" x14ac:dyDescent="0.2">
      <c r="A96" s="498" t="s">
        <v>4084</v>
      </c>
      <c r="B96" s="520"/>
    </row>
    <row r="97" spans="1:2" ht="10.5" x14ac:dyDescent="0.25">
      <c r="A97" s="499" t="s">
        <v>4324</v>
      </c>
      <c r="B97" s="520"/>
    </row>
    <row r="98" spans="1:2" x14ac:dyDescent="0.2">
      <c r="A98" s="500" t="s">
        <v>400</v>
      </c>
      <c r="B98" s="520">
        <v>-292598.09999999998</v>
      </c>
    </row>
    <row r="99" spans="1:2" x14ac:dyDescent="0.2">
      <c r="A99" s="500" t="s">
        <v>401</v>
      </c>
      <c r="B99" s="520">
        <v>-1865814.08</v>
      </c>
    </row>
    <row r="100" spans="1:2" x14ac:dyDescent="0.2">
      <c r="A100" s="500" t="s">
        <v>402</v>
      </c>
      <c r="B100" s="520">
        <v>-155607.07999999999</v>
      </c>
    </row>
    <row r="101" spans="1:2" x14ac:dyDescent="0.2">
      <c r="A101" s="500" t="s">
        <v>403</v>
      </c>
      <c r="B101" s="520">
        <v>-180599.45</v>
      </c>
    </row>
    <row r="102" spans="1:2" x14ac:dyDescent="0.2">
      <c r="A102" s="500" t="s">
        <v>404</v>
      </c>
      <c r="B102" s="520">
        <v>-699895.78</v>
      </c>
    </row>
    <row r="103" spans="1:2" ht="10.5" x14ac:dyDescent="0.25">
      <c r="A103" s="524" t="s">
        <v>4325</v>
      </c>
      <c r="B103" s="523">
        <f>SUM(B98:B102)</f>
        <v>-3194514.49</v>
      </c>
    </row>
    <row r="104" spans="1:2" ht="10.5" x14ac:dyDescent="0.2">
      <c r="A104" s="522" t="s">
        <v>4085</v>
      </c>
      <c r="B104" s="523">
        <f>SUM(B103)</f>
        <v>-3194514.49</v>
      </c>
    </row>
    <row r="105" spans="1:2" ht="10.5" x14ac:dyDescent="0.2">
      <c r="A105" s="498" t="s">
        <v>4326</v>
      </c>
      <c r="B105" s="520"/>
    </row>
    <row r="106" spans="1:2" x14ac:dyDescent="0.2">
      <c r="A106" s="521" t="s">
        <v>416</v>
      </c>
      <c r="B106" s="520">
        <v>470018.17</v>
      </c>
    </row>
    <row r="107" spans="1:2" ht="10.5" x14ac:dyDescent="0.2">
      <c r="A107" s="522" t="s">
        <v>4327</v>
      </c>
      <c r="B107" s="523">
        <f>SUM(B106)</f>
        <v>470018.17</v>
      </c>
    </row>
    <row r="108" spans="1:2" ht="10.5" x14ac:dyDescent="0.2">
      <c r="A108" s="498" t="s">
        <v>4328</v>
      </c>
      <c r="B108" s="520"/>
    </row>
    <row r="109" spans="1:2" x14ac:dyDescent="0.2">
      <c r="A109" s="521" t="s">
        <v>412</v>
      </c>
      <c r="B109" s="520">
        <v>-470018.14</v>
      </c>
    </row>
    <row r="110" spans="1:2" ht="10.5" x14ac:dyDescent="0.2">
      <c r="A110" s="522" t="s">
        <v>4329</v>
      </c>
      <c r="B110" s="523">
        <f>SUM(B109)</f>
        <v>-470018.14</v>
      </c>
    </row>
    <row r="111" spans="1:2" ht="10.5" x14ac:dyDescent="0.2">
      <c r="A111" s="498" t="s">
        <v>4095</v>
      </c>
      <c r="B111" s="520"/>
    </row>
    <row r="112" spans="1:2" x14ac:dyDescent="0.2">
      <c r="A112" s="521" t="s">
        <v>435</v>
      </c>
      <c r="B112" s="520">
        <v>-2101603.92</v>
      </c>
    </row>
    <row r="113" spans="1:2" x14ac:dyDescent="0.2">
      <c r="A113" s="521" t="s">
        <v>436</v>
      </c>
      <c r="B113" s="520">
        <v>-18041.689999999999</v>
      </c>
    </row>
    <row r="114" spans="1:2" x14ac:dyDescent="0.2">
      <c r="A114" s="521" t="s">
        <v>437</v>
      </c>
      <c r="B114" s="520">
        <v>917108.54</v>
      </c>
    </row>
    <row r="115" spans="1:2" ht="10.5" x14ac:dyDescent="0.25">
      <c r="A115" s="499" t="s">
        <v>4096</v>
      </c>
      <c r="B115" s="520"/>
    </row>
    <row r="116" spans="1:2" x14ac:dyDescent="0.2">
      <c r="A116" s="500" t="s">
        <v>438</v>
      </c>
      <c r="B116" s="520">
        <v>-6267112.0800000001</v>
      </c>
    </row>
    <row r="117" spans="1:2" ht="10.5" x14ac:dyDescent="0.25">
      <c r="A117" s="524" t="s">
        <v>4097</v>
      </c>
      <c r="B117" s="523">
        <f>SUM(B116)</f>
        <v>-6267112.0800000001</v>
      </c>
    </row>
    <row r="118" spans="1:2" ht="10.5" x14ac:dyDescent="0.2">
      <c r="A118" s="522" t="s">
        <v>4098</v>
      </c>
      <c r="B118" s="523">
        <f>SUM(B112:B114,B117)</f>
        <v>-7469649.1500000004</v>
      </c>
    </row>
    <row r="119" spans="1:2" ht="10.5" x14ac:dyDescent="0.2">
      <c r="A119" s="498" t="s">
        <v>4101</v>
      </c>
      <c r="B119" s="520"/>
    </row>
    <row r="120" spans="1:2" x14ac:dyDescent="0.2">
      <c r="A120" s="521" t="s">
        <v>463</v>
      </c>
      <c r="B120" s="520">
        <v>-66290.929999999993</v>
      </c>
    </row>
    <row r="121" spans="1:2" x14ac:dyDescent="0.2">
      <c r="A121" s="521" t="s">
        <v>464</v>
      </c>
      <c r="B121" s="520">
        <v>-184151.77</v>
      </c>
    </row>
    <row r="122" spans="1:2" x14ac:dyDescent="0.2">
      <c r="A122" s="521" t="s">
        <v>466</v>
      </c>
      <c r="B122" s="520">
        <v>-2074877.67</v>
      </c>
    </row>
    <row r="123" spans="1:2" ht="10.5" x14ac:dyDescent="0.2">
      <c r="A123" s="522" t="s">
        <v>4102</v>
      </c>
      <c r="B123" s="523">
        <f>SUM(B120:B122)</f>
        <v>-2325320.37</v>
      </c>
    </row>
    <row r="124" spans="1:2" ht="10.5" x14ac:dyDescent="0.2">
      <c r="A124" s="498" t="s">
        <v>4103</v>
      </c>
      <c r="B124" s="520"/>
    </row>
    <row r="125" spans="1:2" x14ac:dyDescent="0.2">
      <c r="A125" s="521" t="s">
        <v>450</v>
      </c>
      <c r="B125" s="520">
        <v>30.56</v>
      </c>
    </row>
    <row r="126" spans="1:2" x14ac:dyDescent="0.2">
      <c r="A126" s="521" t="s">
        <v>460</v>
      </c>
      <c r="B126" s="520">
        <v>218.28</v>
      </c>
    </row>
    <row r="127" spans="1:2" x14ac:dyDescent="0.2">
      <c r="A127" s="521" t="s">
        <v>453</v>
      </c>
      <c r="B127" s="520">
        <v>-17831.68</v>
      </c>
    </row>
    <row r="128" spans="1:2" x14ac:dyDescent="0.2">
      <c r="A128" s="521" t="s">
        <v>448</v>
      </c>
      <c r="B128" s="520">
        <v>-767117.31</v>
      </c>
    </row>
    <row r="129" spans="1:2" x14ac:dyDescent="0.2">
      <c r="A129" s="521" t="s">
        <v>455</v>
      </c>
      <c r="B129" s="520">
        <v>-1607403.06</v>
      </c>
    </row>
    <row r="130" spans="1:2" x14ac:dyDescent="0.2">
      <c r="A130" s="521" t="s">
        <v>449</v>
      </c>
      <c r="B130" s="520">
        <v>-513627.23</v>
      </c>
    </row>
    <row r="131" spans="1:2" x14ac:dyDescent="0.2">
      <c r="A131" s="521" t="s">
        <v>4199</v>
      </c>
      <c r="B131" s="520">
        <v>-1839.4</v>
      </c>
    </row>
    <row r="132" spans="1:2" x14ac:dyDescent="0.2">
      <c r="A132" s="521" t="s">
        <v>454</v>
      </c>
      <c r="B132" s="520">
        <v>-249944.95999999999</v>
      </c>
    </row>
    <row r="133" spans="1:2" x14ac:dyDescent="0.2">
      <c r="A133" s="521" t="s">
        <v>447</v>
      </c>
      <c r="B133" s="520">
        <v>-198798.02</v>
      </c>
    </row>
    <row r="134" spans="1:2" x14ac:dyDescent="0.2">
      <c r="A134" s="521" t="s">
        <v>443</v>
      </c>
      <c r="B134" s="520">
        <v>-296727.76</v>
      </c>
    </row>
    <row r="135" spans="1:2" x14ac:dyDescent="0.2">
      <c r="A135" s="521" t="s">
        <v>444</v>
      </c>
      <c r="B135" s="520">
        <v>-995045.13</v>
      </c>
    </row>
    <row r="136" spans="1:2" x14ac:dyDescent="0.2">
      <c r="A136" s="521" t="s">
        <v>3869</v>
      </c>
      <c r="B136" s="520">
        <v>-12616.61</v>
      </c>
    </row>
    <row r="137" spans="1:2" x14ac:dyDescent="0.2">
      <c r="A137" s="521" t="s">
        <v>451</v>
      </c>
      <c r="B137" s="520">
        <v>-3534393.45</v>
      </c>
    </row>
    <row r="138" spans="1:2" x14ac:dyDescent="0.2">
      <c r="A138" s="521" t="s">
        <v>441</v>
      </c>
      <c r="B138" s="520">
        <v>-102125</v>
      </c>
    </row>
    <row r="139" spans="1:2" x14ac:dyDescent="0.2">
      <c r="A139" s="521" t="s">
        <v>3868</v>
      </c>
      <c r="B139" s="520">
        <v>-17250.400000000001</v>
      </c>
    </row>
    <row r="140" spans="1:2" x14ac:dyDescent="0.2">
      <c r="A140" s="521" t="s">
        <v>442</v>
      </c>
      <c r="B140" s="520">
        <v>-18525.580000000002</v>
      </c>
    </row>
    <row r="141" spans="1:2" x14ac:dyDescent="0.2">
      <c r="A141" s="521" t="s">
        <v>457</v>
      </c>
      <c r="B141" s="520">
        <v>58893.55</v>
      </c>
    </row>
    <row r="142" spans="1:2" x14ac:dyDescent="0.2">
      <c r="A142" s="521" t="s">
        <v>452</v>
      </c>
      <c r="B142" s="520">
        <v>74676.570000000007</v>
      </c>
    </row>
    <row r="143" spans="1:2" x14ac:dyDescent="0.2">
      <c r="A143" s="521" t="s">
        <v>4260</v>
      </c>
      <c r="B143" s="520">
        <v>-207.66</v>
      </c>
    </row>
    <row r="144" spans="1:2" ht="10.5" x14ac:dyDescent="0.2">
      <c r="A144" s="522" t="s">
        <v>4104</v>
      </c>
      <c r="B144" s="523">
        <f>SUM(B125:B143)</f>
        <v>-8199634.290000001</v>
      </c>
    </row>
    <row r="145" spans="1:2" ht="10.5" x14ac:dyDescent="0.2">
      <c r="A145" s="498" t="s">
        <v>239</v>
      </c>
      <c r="B145" s="520"/>
    </row>
    <row r="146" spans="1:2" x14ac:dyDescent="0.2">
      <c r="A146" s="521" t="s">
        <v>240</v>
      </c>
      <c r="B146" s="520">
        <v>0.36</v>
      </c>
    </row>
    <row r="147" spans="1:2" x14ac:dyDescent="0.2">
      <c r="A147" s="521" t="s">
        <v>469</v>
      </c>
      <c r="B147" s="520">
        <v>-178693</v>
      </c>
    </row>
    <row r="148" spans="1:2" x14ac:dyDescent="0.2">
      <c r="A148" s="521" t="s">
        <v>481</v>
      </c>
      <c r="B148" s="520">
        <v>-1475836.02</v>
      </c>
    </row>
    <row r="149" spans="1:2" x14ac:dyDescent="0.2">
      <c r="A149" s="521" t="s">
        <v>470</v>
      </c>
      <c r="B149" s="520">
        <v>-390144.56</v>
      </c>
    </row>
    <row r="150" spans="1:2" ht="10.5" x14ac:dyDescent="0.25">
      <c r="A150" s="499" t="s">
        <v>4105</v>
      </c>
      <c r="B150" s="520"/>
    </row>
    <row r="151" spans="1:2" x14ac:dyDescent="0.2">
      <c r="A151" s="500" t="s">
        <v>471</v>
      </c>
      <c r="B151" s="520">
        <v>-1220034.8500000001</v>
      </c>
    </row>
    <row r="152" spans="1:2" x14ac:dyDescent="0.2">
      <c r="A152" s="500" t="s">
        <v>472</v>
      </c>
      <c r="B152" s="520">
        <v>-383711.17</v>
      </c>
    </row>
    <row r="153" spans="1:2" x14ac:dyDescent="0.2">
      <c r="A153" s="500" t="s">
        <v>473</v>
      </c>
      <c r="B153" s="520">
        <v>-208986.59</v>
      </c>
    </row>
    <row r="154" spans="1:2" x14ac:dyDescent="0.2">
      <c r="A154" s="500" t="s">
        <v>474</v>
      </c>
      <c r="B154" s="520">
        <v>-668246</v>
      </c>
    </row>
    <row r="155" spans="1:2" x14ac:dyDescent="0.2">
      <c r="A155" s="500" t="s">
        <v>475</v>
      </c>
      <c r="B155" s="520">
        <v>20602.189999999999</v>
      </c>
    </row>
    <row r="156" spans="1:2" ht="10.5" x14ac:dyDescent="0.25">
      <c r="A156" s="524" t="s">
        <v>4106</v>
      </c>
      <c r="B156" s="523">
        <f>SUM(B151:B155)</f>
        <v>-2460376.4200000004</v>
      </c>
    </row>
    <row r="157" spans="1:2" ht="10.5" x14ac:dyDescent="0.2">
      <c r="A157" s="522" t="s">
        <v>304</v>
      </c>
      <c r="B157" s="523">
        <f>SUM(B146:B149,B156)</f>
        <v>-4505049.6400000006</v>
      </c>
    </row>
    <row r="158" spans="1:2" ht="10.5" x14ac:dyDescent="0.2">
      <c r="A158" s="498" t="s">
        <v>4107</v>
      </c>
      <c r="B158" s="520"/>
    </row>
    <row r="159" spans="1:2" x14ac:dyDescent="0.2">
      <c r="A159" s="521" t="s">
        <v>483</v>
      </c>
      <c r="B159" s="520">
        <v>-26396710.870000001</v>
      </c>
    </row>
    <row r="160" spans="1:2" x14ac:dyDescent="0.2">
      <c r="A160" s="521" t="s">
        <v>484</v>
      </c>
      <c r="B160" s="520">
        <v>-596298.91</v>
      </c>
    </row>
    <row r="161" spans="1:2" x14ac:dyDescent="0.2">
      <c r="A161" s="521" t="s">
        <v>485</v>
      </c>
      <c r="B161" s="520">
        <v>-226299.54</v>
      </c>
    </row>
    <row r="162" spans="1:2" x14ac:dyDescent="0.2">
      <c r="A162" s="521" t="s">
        <v>486</v>
      </c>
      <c r="B162" s="520">
        <v>-904705.89</v>
      </c>
    </row>
    <row r="163" spans="1:2" x14ac:dyDescent="0.2">
      <c r="A163" s="521" t="s">
        <v>487</v>
      </c>
      <c r="B163" s="520">
        <v>0.45</v>
      </c>
    </row>
    <row r="164" spans="1:2" ht="10.5" x14ac:dyDescent="0.2">
      <c r="A164" s="522" t="s">
        <v>4108</v>
      </c>
      <c r="B164" s="523">
        <f>SUM(B159:B163)</f>
        <v>-28124014.760000002</v>
      </c>
    </row>
    <row r="165" spans="1:2" ht="10.5" x14ac:dyDescent="0.2">
      <c r="A165" s="498" t="s">
        <v>4109</v>
      </c>
      <c r="B165" s="520"/>
    </row>
    <row r="166" spans="1:2" x14ac:dyDescent="0.2">
      <c r="A166" s="521" t="s">
        <v>488</v>
      </c>
      <c r="B166" s="520">
        <v>-0.5</v>
      </c>
    </row>
    <row r="167" spans="1:2" ht="10.5" x14ac:dyDescent="0.2">
      <c r="A167" s="522" t="s">
        <v>4110</v>
      </c>
      <c r="B167" s="523">
        <f>SUM(B166)</f>
        <v>-0.5</v>
      </c>
    </row>
    <row r="168" spans="1:2" ht="10.5" x14ac:dyDescent="0.2">
      <c r="A168" s="498" t="s">
        <v>4111</v>
      </c>
      <c r="B168" s="520"/>
    </row>
    <row r="169" spans="1:2" x14ac:dyDescent="0.2">
      <c r="A169" s="521" t="s">
        <v>490</v>
      </c>
      <c r="B169" s="520">
        <v>-138562.60999999999</v>
      </c>
    </row>
    <row r="170" spans="1:2" x14ac:dyDescent="0.2">
      <c r="A170" s="521" t="s">
        <v>491</v>
      </c>
      <c r="B170" s="520">
        <v>294114.15000000002</v>
      </c>
    </row>
    <row r="171" spans="1:2" ht="10.5" x14ac:dyDescent="0.2">
      <c r="A171" s="522" t="s">
        <v>4112</v>
      </c>
      <c r="B171" s="523">
        <f>SUM(B169:B170)</f>
        <v>155551.54000000004</v>
      </c>
    </row>
    <row r="172" spans="1:2" ht="10.5" x14ac:dyDescent="0.2">
      <c r="A172" s="498" t="s">
        <v>4113</v>
      </c>
      <c r="B172" s="520"/>
    </row>
    <row r="173" spans="1:2" x14ac:dyDescent="0.2">
      <c r="A173" s="521" t="s">
        <v>494</v>
      </c>
      <c r="B173" s="520">
        <v>0.17</v>
      </c>
    </row>
    <row r="174" spans="1:2" ht="10.5" x14ac:dyDescent="0.2">
      <c r="A174" s="522" t="s">
        <v>4114</v>
      </c>
      <c r="B174" s="523">
        <f>SUM(B173)</f>
        <v>0.17</v>
      </c>
    </row>
    <row r="175" spans="1:2" ht="10.5" x14ac:dyDescent="0.2">
      <c r="A175" s="498" t="s">
        <v>4117</v>
      </c>
      <c r="B175" s="520"/>
    </row>
    <row r="176" spans="1:2" x14ac:dyDescent="0.2">
      <c r="A176" s="521" t="s">
        <v>501</v>
      </c>
      <c r="B176" s="520">
        <v>-57108.7</v>
      </c>
    </row>
    <row r="177" spans="1:2" x14ac:dyDescent="0.2">
      <c r="A177" s="521" t="s">
        <v>498</v>
      </c>
      <c r="B177" s="520">
        <v>-5463869.4699999997</v>
      </c>
    </row>
    <row r="178" spans="1:2" x14ac:dyDescent="0.2">
      <c r="A178" s="521" t="s">
        <v>502</v>
      </c>
      <c r="B178" s="520">
        <v>-257604.92</v>
      </c>
    </row>
    <row r="179" spans="1:2" x14ac:dyDescent="0.2">
      <c r="A179" s="521" t="s">
        <v>504</v>
      </c>
      <c r="B179" s="520">
        <v>-2397359.81</v>
      </c>
    </row>
    <row r="180" spans="1:2" x14ac:dyDescent="0.2">
      <c r="A180" s="521" t="s">
        <v>505</v>
      </c>
      <c r="B180" s="520">
        <v>-1622.16</v>
      </c>
    </row>
    <row r="181" spans="1:2" ht="10.5" x14ac:dyDescent="0.2">
      <c r="A181" s="522" t="s">
        <v>4118</v>
      </c>
      <c r="B181" s="523">
        <f>SUM(B176:B180)</f>
        <v>-8177565.0600000005</v>
      </c>
    </row>
    <row r="182" spans="1:2" ht="10.5" x14ac:dyDescent="0.2">
      <c r="A182" s="498" t="s">
        <v>4121</v>
      </c>
      <c r="B182" s="520"/>
    </row>
    <row r="183" spans="1:2" x14ac:dyDescent="0.2">
      <c r="A183" s="521" t="s">
        <v>515</v>
      </c>
      <c r="B183" s="520">
        <v>-77327.87</v>
      </c>
    </row>
    <row r="184" spans="1:2" x14ac:dyDescent="0.2">
      <c r="A184" s="521" t="s">
        <v>518</v>
      </c>
      <c r="B184" s="520">
        <v>-2247413.56</v>
      </c>
    </row>
    <row r="185" spans="1:2" x14ac:dyDescent="0.2">
      <c r="A185" s="521" t="s">
        <v>510</v>
      </c>
      <c r="B185" s="520">
        <v>-115431380.06999999</v>
      </c>
    </row>
    <row r="186" spans="1:2" x14ac:dyDescent="0.2">
      <c r="A186" s="521" t="s">
        <v>4330</v>
      </c>
      <c r="B186" s="520">
        <v>16364.97</v>
      </c>
    </row>
    <row r="187" spans="1:2" ht="10.5" x14ac:dyDescent="0.2">
      <c r="A187" s="522" t="s">
        <v>4123</v>
      </c>
      <c r="B187" s="523">
        <f>SUM(B183:B186)</f>
        <v>-117739756.53</v>
      </c>
    </row>
    <row r="188" spans="1:2" ht="10.5" x14ac:dyDescent="0.2">
      <c r="A188" s="498" t="s">
        <v>4331</v>
      </c>
      <c r="B188" s="520"/>
    </row>
    <row r="189" spans="1:2" x14ac:dyDescent="0.2">
      <c r="A189" s="521" t="s">
        <v>523</v>
      </c>
      <c r="B189" s="520">
        <v>2018023.72</v>
      </c>
    </row>
    <row r="190" spans="1:2" x14ac:dyDescent="0.2">
      <c r="A190" s="521" t="s">
        <v>524</v>
      </c>
      <c r="B190" s="520">
        <v>36287057.490000002</v>
      </c>
    </row>
    <row r="191" spans="1:2" x14ac:dyDescent="0.2">
      <c r="A191" s="521" t="s">
        <v>525</v>
      </c>
      <c r="B191" s="520">
        <v>-5667534.54</v>
      </c>
    </row>
    <row r="192" spans="1:2" ht="10.5" x14ac:dyDescent="0.2">
      <c r="A192" s="522" t="s">
        <v>4332</v>
      </c>
      <c r="B192" s="523">
        <f>SUM(B189:B191)</f>
        <v>32637546.670000002</v>
      </c>
    </row>
    <row r="193" spans="1:2" x14ac:dyDescent="0.2">
      <c r="A193" s="503" t="s">
        <v>4202</v>
      </c>
      <c r="B193" s="520">
        <v>271307.96000000002</v>
      </c>
    </row>
    <row r="194" spans="1:2" x14ac:dyDescent="0.2">
      <c r="A194" s="503" t="s">
        <v>4201</v>
      </c>
      <c r="B194" s="520">
        <v>18389.53</v>
      </c>
    </row>
    <row r="195" spans="1:2" ht="10.5" x14ac:dyDescent="0.2">
      <c r="A195" s="498" t="s">
        <v>534</v>
      </c>
      <c r="B195" s="520"/>
    </row>
    <row r="196" spans="1:2" x14ac:dyDescent="0.2">
      <c r="A196" s="521" t="s">
        <v>535</v>
      </c>
      <c r="B196" s="520">
        <v>-29384399.129999999</v>
      </c>
    </row>
    <row r="197" spans="1:2" x14ac:dyDescent="0.2">
      <c r="A197" s="521" t="s">
        <v>538</v>
      </c>
      <c r="B197" s="520">
        <v>-1042895.89</v>
      </c>
    </row>
    <row r="198" spans="1:2" x14ac:dyDescent="0.2">
      <c r="A198" s="521" t="s">
        <v>537</v>
      </c>
      <c r="B198" s="520">
        <v>-465263.91</v>
      </c>
    </row>
    <row r="199" spans="1:2" x14ac:dyDescent="0.2">
      <c r="A199" s="521" t="s">
        <v>536</v>
      </c>
      <c r="B199" s="520">
        <v>-654517.79</v>
      </c>
    </row>
    <row r="200" spans="1:2" ht="10.5" x14ac:dyDescent="0.2">
      <c r="A200" s="522" t="s">
        <v>539</v>
      </c>
      <c r="B200" s="523">
        <f>SUM(B196:B199)</f>
        <v>-31547076.719999999</v>
      </c>
    </row>
    <row r="201" spans="1:2" ht="10.5" x14ac:dyDescent="0.2">
      <c r="A201" s="498" t="s">
        <v>540</v>
      </c>
      <c r="B201" s="520"/>
    </row>
    <row r="202" spans="1:2" x14ac:dyDescent="0.2">
      <c r="A202" s="521" t="s">
        <v>541</v>
      </c>
      <c r="B202" s="520">
        <v>-3375699.61</v>
      </c>
    </row>
    <row r="203" spans="1:2" x14ac:dyDescent="0.2">
      <c r="A203" s="521" t="s">
        <v>542</v>
      </c>
      <c r="B203" s="520">
        <v>-2448212.4700000002</v>
      </c>
    </row>
    <row r="204" spans="1:2" x14ac:dyDescent="0.2">
      <c r="A204" s="521" t="s">
        <v>543</v>
      </c>
      <c r="B204" s="520">
        <v>-360865.41</v>
      </c>
    </row>
    <row r="205" spans="1:2" x14ac:dyDescent="0.2">
      <c r="A205" s="521" t="s">
        <v>544</v>
      </c>
      <c r="B205" s="520">
        <v>-91431.77</v>
      </c>
    </row>
    <row r="206" spans="1:2" ht="10.5" x14ac:dyDescent="0.2">
      <c r="A206" s="522" t="s">
        <v>545</v>
      </c>
      <c r="B206" s="523">
        <f>SUM(B202:B205)</f>
        <v>-6276209.2599999998</v>
      </c>
    </row>
    <row r="207" spans="1:2" ht="10.5" x14ac:dyDescent="0.2">
      <c r="A207" s="498" t="s">
        <v>546</v>
      </c>
      <c r="B207" s="520"/>
    </row>
    <row r="208" spans="1:2" x14ac:dyDescent="0.2">
      <c r="A208" s="521" t="s">
        <v>551</v>
      </c>
      <c r="B208" s="520">
        <v>-7765379.4400000004</v>
      </c>
    </row>
    <row r="209" spans="1:2" x14ac:dyDescent="0.2">
      <c r="A209" s="521" t="s">
        <v>548</v>
      </c>
      <c r="B209" s="520">
        <v>-2224313</v>
      </c>
    </row>
    <row r="210" spans="1:2" x14ac:dyDescent="0.2">
      <c r="A210" s="521" t="s">
        <v>549</v>
      </c>
      <c r="B210" s="520">
        <v>-1143189.1100000001</v>
      </c>
    </row>
    <row r="211" spans="1:2" ht="10.5" x14ac:dyDescent="0.2">
      <c r="A211" s="522" t="s">
        <v>552</v>
      </c>
      <c r="B211" s="523">
        <f>SUM(B208:B210)</f>
        <v>-11132881.550000001</v>
      </c>
    </row>
    <row r="212" spans="1:2" ht="10.5" x14ac:dyDescent="0.2">
      <c r="A212" s="498" t="s">
        <v>553</v>
      </c>
      <c r="B212" s="520"/>
    </row>
    <row r="213" spans="1:2" x14ac:dyDescent="0.2">
      <c r="A213" s="521" t="s">
        <v>554</v>
      </c>
      <c r="B213" s="520">
        <v>1920345.2</v>
      </c>
    </row>
    <row r="214" spans="1:2" x14ac:dyDescent="0.2">
      <c r="A214" s="521" t="s">
        <v>655</v>
      </c>
      <c r="B214" s="520">
        <v>615202.36</v>
      </c>
    </row>
    <row r="215" spans="1:2" x14ac:dyDescent="0.2">
      <c r="A215" s="521" t="s">
        <v>555</v>
      </c>
      <c r="B215" s="520">
        <v>516500.35</v>
      </c>
    </row>
    <row r="216" spans="1:2" ht="10.5" x14ac:dyDescent="0.2">
      <c r="A216" s="522" t="s">
        <v>556</v>
      </c>
      <c r="B216" s="523">
        <f>SUM(B213:B215)</f>
        <v>3052047.91</v>
      </c>
    </row>
    <row r="217" spans="1:2" ht="10.5" x14ac:dyDescent="0.2">
      <c r="A217" s="498" t="s">
        <v>686</v>
      </c>
      <c r="B217" s="520"/>
    </row>
    <row r="218" spans="1:2" x14ac:dyDescent="0.2">
      <c r="A218" s="521" t="s">
        <v>687</v>
      </c>
      <c r="B218" s="520">
        <v>6611616.5099999998</v>
      </c>
    </row>
    <row r="219" spans="1:2" x14ac:dyDescent="0.2">
      <c r="A219" s="521" t="s">
        <v>688</v>
      </c>
      <c r="B219" s="520">
        <v>6652425.96</v>
      </c>
    </row>
    <row r="220" spans="1:2" x14ac:dyDescent="0.2">
      <c r="A220" s="521" t="s">
        <v>689</v>
      </c>
      <c r="B220" s="520">
        <v>1123726.99</v>
      </c>
    </row>
    <row r="221" spans="1:2" ht="10.5" x14ac:dyDescent="0.2">
      <c r="A221" s="522" t="s">
        <v>691</v>
      </c>
      <c r="B221" s="523">
        <f>SUM(B218:B220)</f>
        <v>14387769.459999999</v>
      </c>
    </row>
    <row r="222" spans="1:2" ht="10.5" x14ac:dyDescent="0.2">
      <c r="A222" s="498" t="s">
        <v>557</v>
      </c>
      <c r="B222" s="520"/>
    </row>
    <row r="223" spans="1:2" x14ac:dyDescent="0.2">
      <c r="A223" s="521" t="s">
        <v>558</v>
      </c>
      <c r="B223" s="520">
        <v>10760546.76</v>
      </c>
    </row>
    <row r="224" spans="1:2" x14ac:dyDescent="0.2">
      <c r="A224" s="521" t="s">
        <v>559</v>
      </c>
      <c r="B224" s="520">
        <v>1629884.26</v>
      </c>
    </row>
    <row r="225" spans="1:2" x14ac:dyDescent="0.2">
      <c r="A225" s="521" t="s">
        <v>3877</v>
      </c>
      <c r="B225" s="520">
        <v>305.08999999999997</v>
      </c>
    </row>
    <row r="226" spans="1:2" x14ac:dyDescent="0.2">
      <c r="A226" s="521" t="s">
        <v>3872</v>
      </c>
      <c r="B226" s="520">
        <v>6616.03</v>
      </c>
    </row>
    <row r="227" spans="1:2" x14ac:dyDescent="0.2">
      <c r="A227" s="521" t="s">
        <v>3873</v>
      </c>
      <c r="B227" s="520">
        <v>13884.14</v>
      </c>
    </row>
    <row r="228" spans="1:2" x14ac:dyDescent="0.2">
      <c r="A228" s="521" t="s">
        <v>560</v>
      </c>
      <c r="B228" s="520">
        <v>-368326.29</v>
      </c>
    </row>
    <row r="229" spans="1:2" x14ac:dyDescent="0.2">
      <c r="A229" s="521" t="s">
        <v>720</v>
      </c>
      <c r="B229" s="520">
        <v>188790.63</v>
      </c>
    </row>
    <row r="230" spans="1:2" x14ac:dyDescent="0.2">
      <c r="A230" s="521" t="s">
        <v>700</v>
      </c>
      <c r="B230" s="520">
        <v>186938</v>
      </c>
    </row>
    <row r="231" spans="1:2" x14ac:dyDescent="0.2">
      <c r="A231" s="521" t="s">
        <v>3874</v>
      </c>
      <c r="B231" s="520">
        <v>25139.4</v>
      </c>
    </row>
    <row r="232" spans="1:2" x14ac:dyDescent="0.2">
      <c r="A232" s="521" t="s">
        <v>3875</v>
      </c>
      <c r="B232" s="520">
        <v>4511.29</v>
      </c>
    </row>
    <row r="233" spans="1:2" x14ac:dyDescent="0.2">
      <c r="A233" s="521" t="s">
        <v>701</v>
      </c>
      <c r="B233" s="520">
        <v>-733836.64</v>
      </c>
    </row>
    <row r="234" spans="1:2" x14ac:dyDescent="0.2">
      <c r="A234" s="521" t="s">
        <v>702</v>
      </c>
      <c r="B234" s="520">
        <v>665835.52000000002</v>
      </c>
    </row>
    <row r="235" spans="1:2" x14ac:dyDescent="0.2">
      <c r="A235" s="521" t="s">
        <v>561</v>
      </c>
      <c r="B235" s="520">
        <v>3707475.24</v>
      </c>
    </row>
    <row r="236" spans="1:2" x14ac:dyDescent="0.2">
      <c r="A236" s="521" t="s">
        <v>562</v>
      </c>
      <c r="B236" s="520">
        <v>427126.99</v>
      </c>
    </row>
    <row r="237" spans="1:2" x14ac:dyDescent="0.2">
      <c r="A237" s="521" t="s">
        <v>563</v>
      </c>
      <c r="B237" s="520">
        <v>-21684.92</v>
      </c>
    </row>
    <row r="238" spans="1:2" x14ac:dyDescent="0.2">
      <c r="A238" s="521" t="s">
        <v>693</v>
      </c>
      <c r="B238" s="520">
        <v>-315858</v>
      </c>
    </row>
    <row r="239" spans="1:2" x14ac:dyDescent="0.2">
      <c r="A239" s="521" t="s">
        <v>656</v>
      </c>
      <c r="B239" s="520">
        <v>3028.7</v>
      </c>
    </row>
    <row r="240" spans="1:2" x14ac:dyDescent="0.2">
      <c r="A240" s="521" t="s">
        <v>703</v>
      </c>
      <c r="B240" s="520">
        <v>234516.99</v>
      </c>
    </row>
    <row r="241" spans="1:2" x14ac:dyDescent="0.2">
      <c r="A241" s="521" t="s">
        <v>704</v>
      </c>
      <c r="B241" s="520">
        <v>151946.46</v>
      </c>
    </row>
    <row r="242" spans="1:2" x14ac:dyDescent="0.2">
      <c r="A242" s="521" t="s">
        <v>737</v>
      </c>
      <c r="B242" s="520">
        <v>40932.699999999997</v>
      </c>
    </row>
    <row r="243" spans="1:2" x14ac:dyDescent="0.2">
      <c r="A243" s="521" t="s">
        <v>657</v>
      </c>
      <c r="B243" s="520">
        <v>302.42</v>
      </c>
    </row>
    <row r="244" spans="1:2" x14ac:dyDescent="0.2">
      <c r="A244" s="521" t="s">
        <v>705</v>
      </c>
      <c r="B244" s="520">
        <v>28049.439999999999</v>
      </c>
    </row>
    <row r="245" spans="1:2" x14ac:dyDescent="0.2">
      <c r="A245" s="521" t="s">
        <v>4263</v>
      </c>
      <c r="B245" s="520">
        <v>46</v>
      </c>
    </row>
    <row r="246" spans="1:2" x14ac:dyDescent="0.2">
      <c r="A246" s="521" t="s">
        <v>706</v>
      </c>
      <c r="B246" s="520">
        <v>14416.36</v>
      </c>
    </row>
    <row r="247" spans="1:2" x14ac:dyDescent="0.2">
      <c r="A247" s="521" t="s">
        <v>4297</v>
      </c>
      <c r="B247" s="520">
        <v>11412.13</v>
      </c>
    </row>
    <row r="248" spans="1:2" x14ac:dyDescent="0.2">
      <c r="A248" s="521" t="s">
        <v>564</v>
      </c>
      <c r="B248" s="520">
        <v>532003.14</v>
      </c>
    </row>
    <row r="249" spans="1:2" x14ac:dyDescent="0.2">
      <c r="A249" s="521" t="s">
        <v>565</v>
      </c>
      <c r="B249" s="520">
        <v>148317.63</v>
      </c>
    </row>
    <row r="250" spans="1:2" x14ac:dyDescent="0.2">
      <c r="A250" s="521" t="s">
        <v>566</v>
      </c>
      <c r="B250" s="520">
        <v>64385.59</v>
      </c>
    </row>
    <row r="251" spans="1:2" x14ac:dyDescent="0.2">
      <c r="A251" s="521" t="s">
        <v>738</v>
      </c>
      <c r="B251" s="520">
        <v>28922.5</v>
      </c>
    </row>
    <row r="252" spans="1:2" x14ac:dyDescent="0.2">
      <c r="A252" s="521" t="s">
        <v>567</v>
      </c>
      <c r="B252" s="520">
        <v>122389.08</v>
      </c>
    </row>
    <row r="253" spans="1:2" x14ac:dyDescent="0.2">
      <c r="A253" s="521" t="s">
        <v>568</v>
      </c>
      <c r="B253" s="520">
        <v>2696.83</v>
      </c>
    </row>
    <row r="254" spans="1:2" x14ac:dyDescent="0.2">
      <c r="A254" s="521" t="s">
        <v>4230</v>
      </c>
      <c r="B254" s="520">
        <v>5644</v>
      </c>
    </row>
    <row r="255" spans="1:2" ht="10.5" x14ac:dyDescent="0.2">
      <c r="A255" s="522" t="s">
        <v>569</v>
      </c>
      <c r="B255" s="523">
        <f>SUM(B223:B254)</f>
        <v>17566357.469999995</v>
      </c>
    </row>
    <row r="256" spans="1:2" ht="10.5" x14ac:dyDescent="0.2">
      <c r="A256" s="498" t="s">
        <v>570</v>
      </c>
      <c r="B256" s="520"/>
    </row>
    <row r="257" spans="1:2" x14ac:dyDescent="0.2">
      <c r="A257" s="521" t="s">
        <v>571</v>
      </c>
      <c r="B257" s="520">
        <v>20572.259999999998</v>
      </c>
    </row>
    <row r="258" spans="1:2" x14ac:dyDescent="0.2">
      <c r="A258" s="521" t="s">
        <v>572</v>
      </c>
      <c r="B258" s="520">
        <v>844746.98</v>
      </c>
    </row>
    <row r="259" spans="1:2" x14ac:dyDescent="0.2">
      <c r="A259" s="521" t="s">
        <v>573</v>
      </c>
      <c r="B259" s="520">
        <v>955666.48</v>
      </c>
    </row>
    <row r="260" spans="1:2" x14ac:dyDescent="0.2">
      <c r="A260" s="521" t="s">
        <v>574</v>
      </c>
      <c r="B260" s="520">
        <v>98897.08</v>
      </c>
    </row>
    <row r="261" spans="1:2" x14ac:dyDescent="0.2">
      <c r="A261" s="521" t="s">
        <v>575</v>
      </c>
      <c r="B261" s="520">
        <v>151713.09</v>
      </c>
    </row>
    <row r="262" spans="1:2" x14ac:dyDescent="0.2">
      <c r="A262" s="521" t="s">
        <v>576</v>
      </c>
      <c r="B262" s="520">
        <v>1311509.42</v>
      </c>
    </row>
    <row r="263" spans="1:2" x14ac:dyDescent="0.2">
      <c r="A263" s="521" t="s">
        <v>577</v>
      </c>
      <c r="B263" s="520">
        <v>201548.03</v>
      </c>
    </row>
    <row r="264" spans="1:2" x14ac:dyDescent="0.2">
      <c r="A264" s="521" t="s">
        <v>578</v>
      </c>
      <c r="B264" s="520">
        <v>107987.68</v>
      </c>
    </row>
    <row r="265" spans="1:2" x14ac:dyDescent="0.2">
      <c r="A265" s="521" t="s">
        <v>579</v>
      </c>
      <c r="B265" s="520">
        <v>-9170.14</v>
      </c>
    </row>
    <row r="266" spans="1:2" x14ac:dyDescent="0.2">
      <c r="A266" s="521" t="s">
        <v>580</v>
      </c>
      <c r="B266" s="520">
        <v>11558.31</v>
      </c>
    </row>
    <row r="267" spans="1:2" x14ac:dyDescent="0.2">
      <c r="A267" s="521" t="s">
        <v>581</v>
      </c>
      <c r="B267" s="520">
        <v>21542.13</v>
      </c>
    </row>
    <row r="268" spans="1:2" x14ac:dyDescent="0.2">
      <c r="A268" s="521" t="s">
        <v>658</v>
      </c>
      <c r="B268" s="520">
        <v>26582.46</v>
      </c>
    </row>
    <row r="269" spans="1:2" x14ac:dyDescent="0.2">
      <c r="A269" s="521" t="s">
        <v>582</v>
      </c>
      <c r="B269" s="520">
        <v>38640.01</v>
      </c>
    </row>
    <row r="270" spans="1:2" x14ac:dyDescent="0.2">
      <c r="A270" s="521" t="s">
        <v>583</v>
      </c>
      <c r="B270" s="520">
        <v>6188.8</v>
      </c>
    </row>
    <row r="271" spans="1:2" x14ac:dyDescent="0.2">
      <c r="A271" s="521" t="s">
        <v>584</v>
      </c>
      <c r="B271" s="520">
        <v>32.520000000000003</v>
      </c>
    </row>
    <row r="272" spans="1:2" x14ac:dyDescent="0.2">
      <c r="A272" s="521" t="s">
        <v>585</v>
      </c>
      <c r="B272" s="520">
        <v>16470.77</v>
      </c>
    </row>
    <row r="273" spans="1:2" x14ac:dyDescent="0.2">
      <c r="A273" s="521" t="s">
        <v>586</v>
      </c>
      <c r="B273" s="520">
        <v>-16470.77</v>
      </c>
    </row>
    <row r="274" spans="1:2" x14ac:dyDescent="0.2">
      <c r="A274" s="521" t="s">
        <v>587</v>
      </c>
      <c r="B274" s="520">
        <v>31442.93</v>
      </c>
    </row>
    <row r="275" spans="1:2" x14ac:dyDescent="0.2">
      <c r="A275" s="521" t="s">
        <v>588</v>
      </c>
      <c r="B275" s="520">
        <v>88627.43</v>
      </c>
    </row>
    <row r="276" spans="1:2" x14ac:dyDescent="0.2">
      <c r="A276" s="521" t="s">
        <v>589</v>
      </c>
      <c r="B276" s="520">
        <v>79389</v>
      </c>
    </row>
    <row r="277" spans="1:2" x14ac:dyDescent="0.2">
      <c r="A277" s="521" t="s">
        <v>590</v>
      </c>
      <c r="B277" s="520">
        <v>216890</v>
      </c>
    </row>
    <row r="278" spans="1:2" x14ac:dyDescent="0.2">
      <c r="A278" s="521" t="s">
        <v>591</v>
      </c>
      <c r="B278" s="520">
        <v>1668.75</v>
      </c>
    </row>
    <row r="279" spans="1:2" ht="10.5" x14ac:dyDescent="0.2">
      <c r="A279" s="522" t="s">
        <v>592</v>
      </c>
      <c r="B279" s="523">
        <f>SUM(B257:B278)</f>
        <v>4206033.22</v>
      </c>
    </row>
    <row r="280" spans="1:2" ht="10.5" x14ac:dyDescent="0.2">
      <c r="A280" s="498" t="s">
        <v>593</v>
      </c>
      <c r="B280" s="520"/>
    </row>
    <row r="281" spans="1:2" x14ac:dyDescent="0.2">
      <c r="A281" s="521" t="s">
        <v>594</v>
      </c>
      <c r="B281" s="520">
        <v>246224.54</v>
      </c>
    </row>
    <row r="282" spans="1:2" x14ac:dyDescent="0.2">
      <c r="A282" s="521" t="s">
        <v>729</v>
      </c>
      <c r="B282" s="520">
        <v>269212.92</v>
      </c>
    </row>
    <row r="283" spans="1:2" x14ac:dyDescent="0.2">
      <c r="A283" s="521" t="s">
        <v>730</v>
      </c>
      <c r="B283" s="520">
        <v>512376.01</v>
      </c>
    </row>
    <row r="284" spans="1:2" x14ac:dyDescent="0.2">
      <c r="A284" s="521" t="s">
        <v>707</v>
      </c>
      <c r="B284" s="520">
        <v>15000</v>
      </c>
    </row>
    <row r="285" spans="1:2" x14ac:dyDescent="0.2">
      <c r="A285" s="521" t="s">
        <v>731</v>
      </c>
      <c r="B285" s="520">
        <v>5831.25</v>
      </c>
    </row>
    <row r="286" spans="1:2" x14ac:dyDescent="0.2">
      <c r="A286" s="521" t="s">
        <v>719</v>
      </c>
      <c r="B286" s="520">
        <v>33009.58</v>
      </c>
    </row>
    <row r="287" spans="1:2" x14ac:dyDescent="0.2">
      <c r="A287" s="521" t="s">
        <v>660</v>
      </c>
      <c r="B287" s="520">
        <v>42943.67</v>
      </c>
    </row>
    <row r="288" spans="1:2" x14ac:dyDescent="0.2">
      <c r="A288" s="521" t="s">
        <v>642</v>
      </c>
      <c r="B288" s="520">
        <v>169612.57</v>
      </c>
    </row>
    <row r="289" spans="1:2" x14ac:dyDescent="0.2">
      <c r="A289" s="521" t="s">
        <v>661</v>
      </c>
      <c r="B289" s="520">
        <v>-1608.34</v>
      </c>
    </row>
    <row r="290" spans="1:2" x14ac:dyDescent="0.2">
      <c r="A290" s="521" t="s">
        <v>708</v>
      </c>
      <c r="B290" s="520">
        <v>900</v>
      </c>
    </row>
    <row r="291" spans="1:2" x14ac:dyDescent="0.2">
      <c r="A291" s="521" t="s">
        <v>3876</v>
      </c>
      <c r="B291" s="520">
        <v>3750</v>
      </c>
    </row>
    <row r="292" spans="1:2" ht="10.5" x14ac:dyDescent="0.2">
      <c r="A292" s="522" t="s">
        <v>595</v>
      </c>
      <c r="B292" s="523">
        <f>SUM(B281:B291)</f>
        <v>1297252.2</v>
      </c>
    </row>
    <row r="293" spans="1:2" ht="10.5" x14ac:dyDescent="0.2">
      <c r="A293" s="498" t="s">
        <v>662</v>
      </c>
      <c r="B293" s="520"/>
    </row>
    <row r="294" spans="1:2" x14ac:dyDescent="0.2">
      <c r="A294" s="521" t="s">
        <v>663</v>
      </c>
      <c r="B294" s="520">
        <v>1312881.02</v>
      </c>
    </row>
    <row r="295" spans="1:2" x14ac:dyDescent="0.2">
      <c r="A295" s="521" t="s">
        <v>722</v>
      </c>
      <c r="B295" s="520">
        <v>24000</v>
      </c>
    </row>
    <row r="296" spans="1:2" x14ac:dyDescent="0.2">
      <c r="A296" s="521" t="s">
        <v>723</v>
      </c>
      <c r="B296" s="520">
        <v>30533.45</v>
      </c>
    </row>
    <row r="297" spans="1:2" x14ac:dyDescent="0.2">
      <c r="A297" s="521" t="s">
        <v>725</v>
      </c>
      <c r="B297" s="520">
        <v>59824.38</v>
      </c>
    </row>
    <row r="298" spans="1:2" x14ac:dyDescent="0.2">
      <c r="A298" s="521" t="s">
        <v>727</v>
      </c>
      <c r="B298" s="520">
        <v>34113.019999999997</v>
      </c>
    </row>
    <row r="299" spans="1:2" x14ac:dyDescent="0.2">
      <c r="A299" s="521" t="s">
        <v>664</v>
      </c>
      <c r="B299" s="520">
        <v>6607.78</v>
      </c>
    </row>
    <row r="300" spans="1:2" x14ac:dyDescent="0.2">
      <c r="A300" s="521" t="s">
        <v>710</v>
      </c>
      <c r="B300" s="520">
        <v>127292.78</v>
      </c>
    </row>
    <row r="301" spans="1:2" ht="10.5" x14ac:dyDescent="0.2">
      <c r="A301" s="522" t="s">
        <v>665</v>
      </c>
      <c r="B301" s="523">
        <f>SUM(B294:B300)</f>
        <v>1595252.43</v>
      </c>
    </row>
    <row r="302" spans="1:2" ht="10.5" x14ac:dyDescent="0.2">
      <c r="A302" s="498" t="s">
        <v>596</v>
      </c>
      <c r="B302" s="520"/>
    </row>
    <row r="303" spans="1:2" x14ac:dyDescent="0.2">
      <c r="A303" s="521" t="s">
        <v>597</v>
      </c>
      <c r="B303" s="520">
        <v>175347.82</v>
      </c>
    </row>
    <row r="304" spans="1:2" x14ac:dyDescent="0.2">
      <c r="A304" s="521" t="s">
        <v>598</v>
      </c>
      <c r="B304" s="520">
        <v>55409.71</v>
      </c>
    </row>
    <row r="305" spans="1:2" x14ac:dyDescent="0.2">
      <c r="A305" s="521" t="s">
        <v>599</v>
      </c>
      <c r="B305" s="520">
        <v>149673.54999999999</v>
      </c>
    </row>
    <row r="306" spans="1:2" x14ac:dyDescent="0.2">
      <c r="A306" s="521" t="s">
        <v>600</v>
      </c>
      <c r="B306" s="520">
        <v>58273.59</v>
      </c>
    </row>
    <row r="307" spans="1:2" x14ac:dyDescent="0.2">
      <c r="A307" s="521" t="s">
        <v>732</v>
      </c>
      <c r="B307" s="520">
        <v>-3661.1</v>
      </c>
    </row>
    <row r="308" spans="1:2" x14ac:dyDescent="0.2">
      <c r="A308" s="521" t="s">
        <v>601</v>
      </c>
      <c r="B308" s="520">
        <v>20900.28</v>
      </c>
    </row>
    <row r="309" spans="1:2" x14ac:dyDescent="0.2">
      <c r="A309" s="521" t="s">
        <v>602</v>
      </c>
      <c r="B309" s="520">
        <v>4115.3599999999997</v>
      </c>
    </row>
    <row r="310" spans="1:2" x14ac:dyDescent="0.2">
      <c r="A310" s="521" t="s">
        <v>603</v>
      </c>
      <c r="B310" s="520">
        <v>7156.55</v>
      </c>
    </row>
    <row r="311" spans="1:2" x14ac:dyDescent="0.2">
      <c r="A311" s="521" t="s">
        <v>604</v>
      </c>
      <c r="B311" s="520">
        <v>18714.54</v>
      </c>
    </row>
    <row r="312" spans="1:2" x14ac:dyDescent="0.2">
      <c r="A312" s="521" t="s">
        <v>605</v>
      </c>
      <c r="B312" s="520">
        <v>1854.94</v>
      </c>
    </row>
    <row r="313" spans="1:2" x14ac:dyDescent="0.2">
      <c r="A313" s="521" t="s">
        <v>606</v>
      </c>
      <c r="B313" s="520">
        <v>123441.8</v>
      </c>
    </row>
    <row r="314" spans="1:2" ht="10.5" x14ac:dyDescent="0.25">
      <c r="A314" s="499" t="s">
        <v>607</v>
      </c>
      <c r="B314" s="520"/>
    </row>
    <row r="315" spans="1:2" x14ac:dyDescent="0.2">
      <c r="A315" s="500" t="s">
        <v>666</v>
      </c>
      <c r="B315" s="520">
        <v>781.73</v>
      </c>
    </row>
    <row r="316" spans="1:2" x14ac:dyDescent="0.2">
      <c r="A316" s="500" t="s">
        <v>667</v>
      </c>
      <c r="B316" s="520">
        <v>969.39</v>
      </c>
    </row>
    <row r="317" spans="1:2" x14ac:dyDescent="0.2">
      <c r="A317" s="500" t="s">
        <v>668</v>
      </c>
      <c r="B317" s="520">
        <v>6.31</v>
      </c>
    </row>
    <row r="318" spans="1:2" ht="10.5" x14ac:dyDescent="0.25">
      <c r="A318" s="524" t="s">
        <v>669</v>
      </c>
      <c r="B318" s="523">
        <f>SUM(B315:B317)</f>
        <v>1757.4299999999998</v>
      </c>
    </row>
    <row r="319" spans="1:2" x14ac:dyDescent="0.2">
      <c r="A319" s="521" t="s">
        <v>608</v>
      </c>
      <c r="B319" s="520">
        <v>5188.9399999999996</v>
      </c>
    </row>
    <row r="320" spans="1:2" x14ac:dyDescent="0.2">
      <c r="A320" s="521" t="s">
        <v>740</v>
      </c>
      <c r="B320" s="520">
        <v>1308.96</v>
      </c>
    </row>
    <row r="321" spans="1:2" ht="10.5" x14ac:dyDescent="0.2">
      <c r="A321" s="522" t="s">
        <v>609</v>
      </c>
      <c r="B321" s="523">
        <f>SUM(B303:B313,B318:B320)</f>
        <v>619482.36999999988</v>
      </c>
    </row>
    <row r="322" spans="1:2" ht="10.5" x14ac:dyDescent="0.2">
      <c r="A322" s="498" t="s">
        <v>610</v>
      </c>
      <c r="B322" s="520"/>
    </row>
    <row r="323" spans="1:2" x14ac:dyDescent="0.2">
      <c r="A323" s="521" t="s">
        <v>646</v>
      </c>
      <c r="B323" s="520">
        <v>8359.57</v>
      </c>
    </row>
    <row r="324" spans="1:2" x14ac:dyDescent="0.2">
      <c r="A324" s="521" t="s">
        <v>647</v>
      </c>
      <c r="B324" s="520">
        <v>65786.22</v>
      </c>
    </row>
    <row r="325" spans="1:2" x14ac:dyDescent="0.2">
      <c r="A325" s="521" t="s">
        <v>648</v>
      </c>
      <c r="B325" s="520">
        <v>35619.03</v>
      </c>
    </row>
    <row r="326" spans="1:2" x14ac:dyDescent="0.2">
      <c r="A326" s="521" t="s">
        <v>611</v>
      </c>
      <c r="B326" s="520">
        <v>60906.96</v>
      </c>
    </row>
    <row r="327" spans="1:2" x14ac:dyDescent="0.2">
      <c r="A327" s="521" t="s">
        <v>612</v>
      </c>
      <c r="B327" s="520">
        <v>704872.79</v>
      </c>
    </row>
    <row r="328" spans="1:2" ht="10.5" x14ac:dyDescent="0.2">
      <c r="A328" s="522" t="s">
        <v>613</v>
      </c>
      <c r="B328" s="523">
        <f>SUM(B323:B327)</f>
        <v>875544.57000000007</v>
      </c>
    </row>
    <row r="329" spans="1:2" ht="10.5" x14ac:dyDescent="0.2">
      <c r="A329" s="498" t="s">
        <v>614</v>
      </c>
      <c r="B329" s="520"/>
    </row>
    <row r="330" spans="1:2" x14ac:dyDescent="0.2">
      <c r="A330" s="521" t="s">
        <v>711</v>
      </c>
      <c r="B330" s="520">
        <v>42.96</v>
      </c>
    </row>
    <row r="331" spans="1:2" x14ac:dyDescent="0.2">
      <c r="A331" s="521" t="s">
        <v>615</v>
      </c>
      <c r="B331" s="520">
        <v>6844.85</v>
      </c>
    </row>
    <row r="332" spans="1:2" x14ac:dyDescent="0.2">
      <c r="A332" s="521" t="s">
        <v>644</v>
      </c>
      <c r="B332" s="520">
        <v>38804.65</v>
      </c>
    </row>
    <row r="333" spans="1:2" x14ac:dyDescent="0.2">
      <c r="A333" s="521" t="s">
        <v>645</v>
      </c>
      <c r="B333" s="520">
        <v>94002.49</v>
      </c>
    </row>
    <row r="334" spans="1:2" x14ac:dyDescent="0.2">
      <c r="A334" s="521" t="s">
        <v>616</v>
      </c>
      <c r="B334" s="520">
        <v>8523.7000000000007</v>
      </c>
    </row>
    <row r="335" spans="1:2" x14ac:dyDescent="0.2">
      <c r="A335" s="521" t="s">
        <v>733</v>
      </c>
      <c r="B335" s="520">
        <v>160973.20000000001</v>
      </c>
    </row>
    <row r="336" spans="1:2" x14ac:dyDescent="0.2">
      <c r="A336" s="521" t="s">
        <v>617</v>
      </c>
      <c r="B336" s="520">
        <v>2816.95</v>
      </c>
    </row>
    <row r="337" spans="1:2" x14ac:dyDescent="0.2">
      <c r="A337" s="521" t="s">
        <v>698</v>
      </c>
      <c r="B337" s="520">
        <v>30804.66</v>
      </c>
    </row>
    <row r="338" spans="1:2" x14ac:dyDescent="0.2">
      <c r="A338" s="521" t="s">
        <v>618</v>
      </c>
      <c r="B338" s="520">
        <v>11677.99</v>
      </c>
    </row>
    <row r="339" spans="1:2" x14ac:dyDescent="0.2">
      <c r="A339" s="521" t="s">
        <v>4261</v>
      </c>
      <c r="B339" s="520">
        <v>38350.949999999997</v>
      </c>
    </row>
    <row r="340" spans="1:2" x14ac:dyDescent="0.2">
      <c r="A340" s="521" t="s">
        <v>619</v>
      </c>
      <c r="B340" s="520">
        <v>27459.87</v>
      </c>
    </row>
    <row r="341" spans="1:2" x14ac:dyDescent="0.2">
      <c r="A341" s="521" t="s">
        <v>670</v>
      </c>
      <c r="B341" s="520">
        <v>280.89999999999998</v>
      </c>
    </row>
    <row r="342" spans="1:2" x14ac:dyDescent="0.2">
      <c r="A342" s="521" t="s">
        <v>734</v>
      </c>
      <c r="B342" s="520">
        <v>28921.919999999998</v>
      </c>
    </row>
    <row r="343" spans="1:2" x14ac:dyDescent="0.2">
      <c r="A343" s="521" t="s">
        <v>620</v>
      </c>
      <c r="B343" s="520">
        <v>2762.33</v>
      </c>
    </row>
    <row r="344" spans="1:2" x14ac:dyDescent="0.2">
      <c r="A344" s="521" t="s">
        <v>735</v>
      </c>
      <c r="B344" s="520">
        <v>53214.5</v>
      </c>
    </row>
    <row r="345" spans="1:2" x14ac:dyDescent="0.2">
      <c r="A345" s="521" t="s">
        <v>749</v>
      </c>
      <c r="B345" s="520">
        <v>29261.66</v>
      </c>
    </row>
    <row r="346" spans="1:2" x14ac:dyDescent="0.2">
      <c r="A346" s="521" t="s">
        <v>750</v>
      </c>
      <c r="B346" s="520">
        <v>739.97</v>
      </c>
    </row>
    <row r="347" spans="1:2" x14ac:dyDescent="0.2">
      <c r="A347" s="521" t="s">
        <v>671</v>
      </c>
      <c r="B347" s="520">
        <v>450.3</v>
      </c>
    </row>
    <row r="348" spans="1:2" x14ac:dyDescent="0.2">
      <c r="A348" s="521" t="s">
        <v>717</v>
      </c>
      <c r="B348" s="520">
        <v>7182.12</v>
      </c>
    </row>
    <row r="349" spans="1:2" x14ac:dyDescent="0.2">
      <c r="A349" s="521" t="s">
        <v>649</v>
      </c>
      <c r="B349" s="520">
        <v>5045</v>
      </c>
    </row>
    <row r="350" spans="1:2" ht="10.5" x14ac:dyDescent="0.2">
      <c r="A350" s="522" t="s">
        <v>621</v>
      </c>
      <c r="B350" s="523">
        <f>SUM(B330:B349)</f>
        <v>548160.97000000009</v>
      </c>
    </row>
    <row r="351" spans="1:2" ht="10.5" x14ac:dyDescent="0.2">
      <c r="A351" s="498" t="s">
        <v>4293</v>
      </c>
      <c r="B351" s="520"/>
    </row>
    <row r="352" spans="1:2" x14ac:dyDescent="0.2">
      <c r="A352" s="521" t="s">
        <v>672</v>
      </c>
      <c r="B352" s="520">
        <v>940213.05</v>
      </c>
    </row>
    <row r="353" spans="1:2" x14ac:dyDescent="0.2">
      <c r="A353" s="521" t="s">
        <v>752</v>
      </c>
      <c r="B353" s="520">
        <v>-159106.91</v>
      </c>
    </row>
    <row r="354" spans="1:2" x14ac:dyDescent="0.2">
      <c r="A354" s="521" t="s">
        <v>712</v>
      </c>
      <c r="B354" s="520">
        <v>75285.87</v>
      </c>
    </row>
    <row r="355" spans="1:2" x14ac:dyDescent="0.2">
      <c r="A355" s="521" t="s">
        <v>753</v>
      </c>
      <c r="B355" s="520">
        <v>-190215.76</v>
      </c>
    </row>
    <row r="356" spans="1:2" x14ac:dyDescent="0.2">
      <c r="A356" s="521" t="s">
        <v>673</v>
      </c>
      <c r="B356" s="520">
        <v>10306.57</v>
      </c>
    </row>
    <row r="357" spans="1:2" x14ac:dyDescent="0.2">
      <c r="A357" s="521" t="s">
        <v>622</v>
      </c>
      <c r="B357" s="520">
        <v>62507.37</v>
      </c>
    </row>
    <row r="358" spans="1:2" x14ac:dyDescent="0.2">
      <c r="A358" s="521" t="s">
        <v>754</v>
      </c>
      <c r="B358" s="520">
        <v>866399.93</v>
      </c>
    </row>
    <row r="359" spans="1:2" x14ac:dyDescent="0.2">
      <c r="A359" s="521" t="s">
        <v>713</v>
      </c>
      <c r="B359" s="520">
        <v>1262.75</v>
      </c>
    </row>
    <row r="360" spans="1:2" ht="10.5" x14ac:dyDescent="0.2">
      <c r="A360" s="522" t="s">
        <v>4294</v>
      </c>
      <c r="B360" s="523">
        <f>SUM(B352:B359)</f>
        <v>1606652.87</v>
      </c>
    </row>
    <row r="361" spans="1:2" ht="10.5" x14ac:dyDescent="0.2">
      <c r="A361" s="498" t="s">
        <v>674</v>
      </c>
      <c r="B361" s="520"/>
    </row>
    <row r="362" spans="1:2" x14ac:dyDescent="0.2">
      <c r="A362" s="521" t="s">
        <v>675</v>
      </c>
      <c r="B362" s="520">
        <v>27478.639999999999</v>
      </c>
    </row>
    <row r="363" spans="1:2" x14ac:dyDescent="0.2">
      <c r="A363" s="521" t="s">
        <v>4264</v>
      </c>
      <c r="B363" s="520">
        <v>260000</v>
      </c>
    </row>
    <row r="364" spans="1:2" x14ac:dyDescent="0.2">
      <c r="A364" s="521" t="s">
        <v>741</v>
      </c>
      <c r="B364" s="520">
        <v>15000</v>
      </c>
    </row>
    <row r="365" spans="1:2" x14ac:dyDescent="0.2">
      <c r="A365" s="521" t="s">
        <v>714</v>
      </c>
      <c r="B365" s="520">
        <v>79698.22</v>
      </c>
    </row>
    <row r="366" spans="1:2" x14ac:dyDescent="0.2">
      <c r="A366" s="521" t="s">
        <v>676</v>
      </c>
      <c r="B366" s="520">
        <v>128986.17</v>
      </c>
    </row>
    <row r="367" spans="1:2" x14ac:dyDescent="0.2">
      <c r="A367" s="521" t="s">
        <v>742</v>
      </c>
      <c r="B367" s="520">
        <v>-280259.26</v>
      </c>
    </row>
    <row r="368" spans="1:2" x14ac:dyDescent="0.2">
      <c r="A368" s="521" t="s">
        <v>715</v>
      </c>
      <c r="B368" s="520">
        <v>11445.77</v>
      </c>
    </row>
    <row r="369" spans="1:2" x14ac:dyDescent="0.2">
      <c r="A369" s="521" t="s">
        <v>736</v>
      </c>
      <c r="B369" s="520">
        <v>-13.44</v>
      </c>
    </row>
    <row r="370" spans="1:2" ht="10.5" x14ac:dyDescent="0.2">
      <c r="A370" s="522" t="s">
        <v>677</v>
      </c>
      <c r="B370" s="523">
        <f>SUM(B362:B369)</f>
        <v>242336.09999999995</v>
      </c>
    </row>
    <row r="371" spans="1:2" ht="10.5" x14ac:dyDescent="0.2">
      <c r="A371" s="498" t="s">
        <v>623</v>
      </c>
      <c r="B371" s="520"/>
    </row>
    <row r="372" spans="1:2" x14ac:dyDescent="0.2">
      <c r="A372" s="521" t="s">
        <v>650</v>
      </c>
      <c r="B372" s="520">
        <v>23645.57</v>
      </c>
    </row>
    <row r="373" spans="1:2" x14ac:dyDescent="0.2">
      <c r="A373" s="521" t="s">
        <v>651</v>
      </c>
      <c r="B373" s="520">
        <v>192686.95</v>
      </c>
    </row>
    <row r="374" spans="1:2" x14ac:dyDescent="0.2">
      <c r="A374" s="521" t="s">
        <v>652</v>
      </c>
      <c r="B374" s="520">
        <v>394.45</v>
      </c>
    </row>
    <row r="375" spans="1:2" x14ac:dyDescent="0.2">
      <c r="A375" s="521" t="s">
        <v>694</v>
      </c>
      <c r="B375" s="520">
        <v>22730.94</v>
      </c>
    </row>
    <row r="376" spans="1:2" x14ac:dyDescent="0.2">
      <c r="A376" s="521" t="s">
        <v>755</v>
      </c>
      <c r="B376" s="520">
        <v>58443.79</v>
      </c>
    </row>
    <row r="377" spans="1:2" x14ac:dyDescent="0.2">
      <c r="A377" s="521" t="s">
        <v>4312</v>
      </c>
      <c r="B377" s="520">
        <v>109900</v>
      </c>
    </row>
    <row r="378" spans="1:2" ht="10.5" x14ac:dyDescent="0.2">
      <c r="A378" s="522" t="s">
        <v>624</v>
      </c>
      <c r="B378" s="523">
        <f>SUM(B372:B377)</f>
        <v>407801.7</v>
      </c>
    </row>
    <row r="379" spans="1:2" ht="10.5" x14ac:dyDescent="0.2">
      <c r="A379" s="498" t="s">
        <v>766</v>
      </c>
      <c r="B379" s="520"/>
    </row>
    <row r="380" spans="1:2" x14ac:dyDescent="0.2">
      <c r="A380" s="521" t="s">
        <v>767</v>
      </c>
      <c r="B380" s="520">
        <v>-145645.43</v>
      </c>
    </row>
    <row r="381" spans="1:2" x14ac:dyDescent="0.2">
      <c r="A381" s="521" t="s">
        <v>768</v>
      </c>
      <c r="B381" s="520">
        <v>125201.61</v>
      </c>
    </row>
    <row r="382" spans="1:2" x14ac:dyDescent="0.2">
      <c r="A382" s="521" t="s">
        <v>769</v>
      </c>
      <c r="B382" s="520">
        <v>-17107</v>
      </c>
    </row>
    <row r="383" spans="1:2" x14ac:dyDescent="0.2">
      <c r="A383" s="521" t="s">
        <v>770</v>
      </c>
      <c r="B383" s="520">
        <v>-747601.86</v>
      </c>
    </row>
    <row r="384" spans="1:2" x14ac:dyDescent="0.2">
      <c r="A384" s="521" t="s">
        <v>771</v>
      </c>
      <c r="B384" s="520">
        <v>3076512.27</v>
      </c>
    </row>
    <row r="385" spans="1:2" ht="10.5" x14ac:dyDescent="0.2">
      <c r="A385" s="522" t="s">
        <v>772</v>
      </c>
      <c r="B385" s="523">
        <f>SUM(B380:B384)</f>
        <v>2291359.59</v>
      </c>
    </row>
    <row r="386" spans="1:2" ht="10.5" x14ac:dyDescent="0.2">
      <c r="A386" s="498" t="s">
        <v>760</v>
      </c>
      <c r="B386" s="520"/>
    </row>
    <row r="387" spans="1:2" x14ac:dyDescent="0.2">
      <c r="A387" s="521" t="s">
        <v>761</v>
      </c>
      <c r="B387" s="520">
        <v>-1446361.74</v>
      </c>
    </row>
    <row r="388" spans="1:2" x14ac:dyDescent="0.2">
      <c r="A388" s="521" t="s">
        <v>763</v>
      </c>
      <c r="B388" s="520">
        <v>-15666.54</v>
      </c>
    </row>
    <row r="389" spans="1:2" ht="10.5" x14ac:dyDescent="0.2">
      <c r="A389" s="522" t="s">
        <v>764</v>
      </c>
      <c r="B389" s="523">
        <f>SUM(B387:B388)</f>
        <v>-1462028.28</v>
      </c>
    </row>
    <row r="390" spans="1:2" ht="10.5" x14ac:dyDescent="0.2">
      <c r="A390" s="498" t="s">
        <v>625</v>
      </c>
      <c r="B390" s="520"/>
    </row>
    <row r="391" spans="1:2" ht="10.5" x14ac:dyDescent="0.25">
      <c r="A391" s="499" t="s">
        <v>626</v>
      </c>
      <c r="B391" s="520"/>
    </row>
    <row r="392" spans="1:2" x14ac:dyDescent="0.2">
      <c r="A392" s="500" t="s">
        <v>653</v>
      </c>
      <c r="B392" s="520">
        <v>385615.18</v>
      </c>
    </row>
    <row r="393" spans="1:2" x14ac:dyDescent="0.2">
      <c r="A393" s="500" t="s">
        <v>627</v>
      </c>
      <c r="B393" s="520">
        <v>3056983.7</v>
      </c>
    </row>
    <row r="394" spans="1:2" x14ac:dyDescent="0.2">
      <c r="A394" s="500" t="s">
        <v>654</v>
      </c>
      <c r="B394" s="520">
        <v>465870.34</v>
      </c>
    </row>
    <row r="395" spans="1:2" ht="10.5" x14ac:dyDescent="0.25">
      <c r="A395" s="524" t="s">
        <v>628</v>
      </c>
      <c r="B395" s="523">
        <f>SUM(B392:B394)</f>
        <v>3908469.22</v>
      </c>
    </row>
    <row r="396" spans="1:2" ht="10.5" x14ac:dyDescent="0.25">
      <c r="A396" s="499" t="s">
        <v>629</v>
      </c>
      <c r="B396" s="520"/>
    </row>
    <row r="397" spans="1:2" x14ac:dyDescent="0.2">
      <c r="A397" s="500" t="s">
        <v>630</v>
      </c>
      <c r="B397" s="520">
        <v>-3125064.01</v>
      </c>
    </row>
    <row r="398" spans="1:2" ht="10.5" x14ac:dyDescent="0.25">
      <c r="A398" s="524" t="s">
        <v>631</v>
      </c>
      <c r="B398" s="523">
        <f>SUM(B397)</f>
        <v>-3125064.01</v>
      </c>
    </row>
    <row r="399" spans="1:2" ht="10.5" x14ac:dyDescent="0.25">
      <c r="A399" s="499" t="s">
        <v>678</v>
      </c>
      <c r="B399" s="520"/>
    </row>
    <row r="400" spans="1:2" x14ac:dyDescent="0.2">
      <c r="A400" s="500" t="s">
        <v>684</v>
      </c>
      <c r="B400" s="520">
        <v>65591.929999999993</v>
      </c>
    </row>
    <row r="401" spans="1:2" x14ac:dyDescent="0.2">
      <c r="A401" s="500" t="s">
        <v>685</v>
      </c>
      <c r="B401" s="520">
        <v>688052.42</v>
      </c>
    </row>
    <row r="402" spans="1:2" x14ac:dyDescent="0.2">
      <c r="A402" s="500" t="s">
        <v>679</v>
      </c>
      <c r="B402" s="520">
        <v>1936887.41</v>
      </c>
    </row>
    <row r="403" spans="1:2" ht="10.5" x14ac:dyDescent="0.25">
      <c r="A403" s="524" t="s">
        <v>680</v>
      </c>
      <c r="B403" s="523">
        <f>SUM(B400:B402)</f>
        <v>2690531.76</v>
      </c>
    </row>
    <row r="404" spans="1:2" ht="10.5" x14ac:dyDescent="0.25">
      <c r="A404" s="499" t="s">
        <v>681</v>
      </c>
      <c r="B404" s="520"/>
    </row>
    <row r="405" spans="1:2" x14ac:dyDescent="0.2">
      <c r="A405" s="500" t="s">
        <v>682</v>
      </c>
      <c r="B405" s="520">
        <v>-2325323.4500000002</v>
      </c>
    </row>
    <row r="406" spans="1:2" ht="10.5" x14ac:dyDescent="0.25">
      <c r="A406" s="524" t="s">
        <v>683</v>
      </c>
      <c r="B406" s="523">
        <f>SUM(B405)</f>
        <v>-2325323.4500000002</v>
      </c>
    </row>
    <row r="407" spans="1:2" ht="10.5" x14ac:dyDescent="0.25">
      <c r="A407" s="499" t="s">
        <v>4333</v>
      </c>
      <c r="B407" s="520"/>
    </row>
    <row r="408" spans="1:2" x14ac:dyDescent="0.2">
      <c r="A408" s="500" t="s">
        <v>695</v>
      </c>
      <c r="B408" s="520">
        <v>2488.38</v>
      </c>
    </row>
    <row r="409" spans="1:2" x14ac:dyDescent="0.2">
      <c r="A409" s="500" t="s">
        <v>696</v>
      </c>
      <c r="B409" s="520">
        <v>2820.86</v>
      </c>
    </row>
    <row r="410" spans="1:2" x14ac:dyDescent="0.2">
      <c r="A410" s="500" t="s">
        <v>697</v>
      </c>
      <c r="B410" s="520">
        <v>497077.65</v>
      </c>
    </row>
    <row r="411" spans="1:2" ht="10.5" x14ac:dyDescent="0.25">
      <c r="A411" s="524" t="s">
        <v>4334</v>
      </c>
      <c r="B411" s="523">
        <f>SUM(B408:B410)</f>
        <v>502386.89</v>
      </c>
    </row>
    <row r="412" spans="1:2" ht="10.5" x14ac:dyDescent="0.25">
      <c r="A412" s="499" t="s">
        <v>4335</v>
      </c>
      <c r="B412" s="520"/>
    </row>
    <row r="413" spans="1:2" x14ac:dyDescent="0.2">
      <c r="A413" s="500" t="s">
        <v>744</v>
      </c>
      <c r="B413" s="520">
        <v>-2042089.99</v>
      </c>
    </row>
    <row r="414" spans="1:2" ht="10.5" x14ac:dyDescent="0.25">
      <c r="A414" s="524" t="s">
        <v>4336</v>
      </c>
      <c r="B414" s="523">
        <f>SUM(B413)</f>
        <v>-2042089.99</v>
      </c>
    </row>
    <row r="415" spans="1:2" ht="10.5" x14ac:dyDescent="0.25">
      <c r="A415" s="499" t="s">
        <v>4337</v>
      </c>
      <c r="B415" s="520"/>
    </row>
    <row r="416" spans="1:2" x14ac:dyDescent="0.2">
      <c r="A416" s="500" t="s">
        <v>745</v>
      </c>
      <c r="B416" s="520">
        <v>391089.58</v>
      </c>
    </row>
    <row r="417" spans="1:2" ht="10.5" x14ac:dyDescent="0.25">
      <c r="A417" s="524" t="s">
        <v>4338</v>
      </c>
      <c r="B417" s="523">
        <f>SUM(B416)</f>
        <v>391089.58</v>
      </c>
    </row>
    <row r="418" spans="1:2" ht="10.5" x14ac:dyDescent="0.25">
      <c r="A418" s="499" t="s">
        <v>632</v>
      </c>
      <c r="B418" s="520"/>
    </row>
    <row r="419" spans="1:2" x14ac:dyDescent="0.2">
      <c r="A419" s="500" t="s">
        <v>633</v>
      </c>
      <c r="B419" s="520">
        <v>520146.37</v>
      </c>
    </row>
    <row r="420" spans="1:2" x14ac:dyDescent="0.2">
      <c r="A420" s="500" t="s">
        <v>747</v>
      </c>
      <c r="B420" s="520">
        <v>-520146.37</v>
      </c>
    </row>
    <row r="421" spans="1:2" ht="10.5" x14ac:dyDescent="0.25">
      <c r="A421" s="524" t="s">
        <v>634</v>
      </c>
      <c r="B421" s="523">
        <f>SUM(B419:B420)</f>
        <v>0</v>
      </c>
    </row>
    <row r="422" spans="1:2" ht="10.5" x14ac:dyDescent="0.25">
      <c r="A422" s="499" t="s">
        <v>635</v>
      </c>
      <c r="B422" s="520"/>
    </row>
    <row r="423" spans="1:2" x14ac:dyDescent="0.2">
      <c r="A423" s="500" t="s">
        <v>636</v>
      </c>
      <c r="B423" s="520">
        <v>464412.03</v>
      </c>
    </row>
    <row r="424" spans="1:2" x14ac:dyDescent="0.2">
      <c r="A424" s="500" t="s">
        <v>758</v>
      </c>
      <c r="B424" s="520">
        <v>-464412.03</v>
      </c>
    </row>
    <row r="425" spans="1:2" ht="10.5" x14ac:dyDescent="0.25">
      <c r="A425" s="524" t="s">
        <v>637</v>
      </c>
      <c r="B425" s="523">
        <f>SUM(B423:B424)</f>
        <v>0</v>
      </c>
    </row>
    <row r="426" spans="1:2" ht="10.5" x14ac:dyDescent="0.25">
      <c r="A426" s="499" t="s">
        <v>638</v>
      </c>
      <c r="B426" s="520"/>
    </row>
    <row r="427" spans="1:2" x14ac:dyDescent="0.2">
      <c r="A427" s="500" t="s">
        <v>639</v>
      </c>
      <c r="B427" s="520">
        <v>1858262.75</v>
      </c>
    </row>
    <row r="428" spans="1:2" x14ac:dyDescent="0.2">
      <c r="A428" s="500" t="s">
        <v>756</v>
      </c>
      <c r="B428" s="520">
        <v>-1858262.75</v>
      </c>
    </row>
    <row r="429" spans="1:2" ht="10.5" x14ac:dyDescent="0.25">
      <c r="A429" s="524" t="s">
        <v>640</v>
      </c>
      <c r="B429" s="523">
        <f>SUM(B427:B428)</f>
        <v>0</v>
      </c>
    </row>
    <row r="430" spans="1:2" ht="10.5" x14ac:dyDescent="0.2">
      <c r="A430" s="522" t="s">
        <v>641</v>
      </c>
      <c r="B430" s="523">
        <f>SUM(B395,B398,B403,B406,B411,B414,B417,B421,B425,B429)</f>
        <v>1.7462298274040222E-10</v>
      </c>
    </row>
    <row r="431" spans="1:2" x14ac:dyDescent="0.2">
      <c r="A431" s="503" t="s">
        <v>773</v>
      </c>
      <c r="B431" s="520">
        <v>-0.03</v>
      </c>
    </row>
    <row r="432" spans="1:2" ht="10.5" x14ac:dyDescent="0.2">
      <c r="A432" s="498" t="s">
        <v>19</v>
      </c>
      <c r="B432" s="520"/>
    </row>
    <row r="433" spans="1:2" x14ac:dyDescent="0.2">
      <c r="A433" s="521" t="s">
        <v>20</v>
      </c>
      <c r="B433" s="520">
        <v>67287</v>
      </c>
    </row>
    <row r="434" spans="1:2" x14ac:dyDescent="0.2">
      <c r="A434" s="521" t="s">
        <v>183</v>
      </c>
      <c r="B434" s="520">
        <v>-81554</v>
      </c>
    </row>
    <row r="435" spans="1:2" ht="10.5" x14ac:dyDescent="0.2">
      <c r="A435" s="522" t="s">
        <v>217</v>
      </c>
      <c r="B435" s="523">
        <f>SUM(B433:B434)</f>
        <v>-14267</v>
      </c>
    </row>
    <row r="436" spans="1:2" ht="10.5" x14ac:dyDescent="0.2">
      <c r="A436" s="522" t="s">
        <v>218</v>
      </c>
      <c r="B436" s="523">
        <f>SUM(B13,B17,B24,B27,B42:B44,B49,B55,B61:B62,B70,B74,B86,B95,B104,B107,B110,B118,B123,B144,B157,B164,B167,B171,B174,B181,B187)+SUM(B192:B194,B200,B206,B211,B216,B221,B255,B279,B292,B301,B321,B328,B350,B360,B370,B378,B385,B389,B430:B431,B435)</f>
        <v>0</v>
      </c>
    </row>
  </sheetData>
  <mergeCells count="6">
    <mergeCell ref="A6:B6"/>
    <mergeCell ref="A1:B1"/>
    <mergeCell ref="A2:B2"/>
    <mergeCell ref="A3:B3"/>
    <mergeCell ref="A4:B4"/>
    <mergeCell ref="A5:B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64F5B-4F31-4E8D-8D33-6DDC7F42BDAE}">
  <sheetPr codeName="Sheet17"/>
  <dimension ref="A2:R43"/>
  <sheetViews>
    <sheetView workbookViewId="0">
      <selection activeCell="J43" sqref="J43"/>
    </sheetView>
  </sheetViews>
  <sheetFormatPr defaultColWidth="9.33203125" defaultRowHeight="10" x14ac:dyDescent="0.2"/>
  <cols>
    <col min="1" max="1" width="43.44140625" customWidth="1"/>
    <col min="2" max="2" width="17.88671875" customWidth="1"/>
    <col min="3" max="3" width="12.33203125" customWidth="1"/>
    <col min="4" max="4" width="16.109375" customWidth="1"/>
    <col min="5" max="5" width="9.88671875" customWidth="1"/>
    <col min="6" max="6" width="14" style="343" customWidth="1"/>
    <col min="7" max="7" width="10.109375" customWidth="1"/>
    <col min="8" max="8" width="14.44140625" style="343" customWidth="1"/>
    <col min="10" max="10" width="13.6640625" customWidth="1"/>
    <col min="11" max="11" width="10.44140625" bestFit="1" customWidth="1"/>
    <col min="12" max="12" width="11.6640625" customWidth="1"/>
    <col min="13" max="13" width="12.6640625" customWidth="1"/>
    <col min="14" max="16" width="14.109375" customWidth="1"/>
    <col min="17" max="17" width="11.44140625" bestFit="1" customWidth="1"/>
  </cols>
  <sheetData>
    <row r="2" spans="1:16" x14ac:dyDescent="0.2">
      <c r="B2" s="343"/>
      <c r="D2" s="343" t="s">
        <v>3969</v>
      </c>
      <c r="H2" s="343" t="s">
        <v>3969</v>
      </c>
      <c r="L2" s="343" t="s">
        <v>3969</v>
      </c>
      <c r="N2" s="87" t="s">
        <v>3970</v>
      </c>
      <c r="O2" s="87" t="s">
        <v>3970</v>
      </c>
      <c r="P2" s="87" t="s">
        <v>3970</v>
      </c>
    </row>
    <row r="3" spans="1:16" x14ac:dyDescent="0.2">
      <c r="A3" t="s">
        <v>3971</v>
      </c>
      <c r="B3" s="343" t="s">
        <v>3972</v>
      </c>
      <c r="C3" t="s">
        <v>3973</v>
      </c>
      <c r="D3" s="343" t="s">
        <v>3974</v>
      </c>
      <c r="F3" s="343" t="s">
        <v>3972</v>
      </c>
      <c r="G3" t="s">
        <v>3973</v>
      </c>
      <c r="H3" s="343" t="s">
        <v>3975</v>
      </c>
      <c r="L3" t="s">
        <v>3976</v>
      </c>
      <c r="N3" s="344" t="s">
        <v>3908</v>
      </c>
      <c r="O3" s="344" t="s">
        <v>3909</v>
      </c>
      <c r="P3" s="344" t="s">
        <v>3910</v>
      </c>
    </row>
    <row r="4" spans="1:16" x14ac:dyDescent="0.2">
      <c r="A4" t="s">
        <v>3977</v>
      </c>
      <c r="B4" s="343">
        <v>24338.5</v>
      </c>
      <c r="C4" s="345">
        <v>0.11</v>
      </c>
      <c r="D4" s="343">
        <v>2677.2350000000001</v>
      </c>
      <c r="F4" s="343">
        <v>24338.5</v>
      </c>
      <c r="G4">
        <v>0.11</v>
      </c>
      <c r="H4" s="343">
        <v>2677.2350000000001</v>
      </c>
      <c r="J4" s="343">
        <v>24338.5</v>
      </c>
      <c r="K4" s="346" t="s">
        <v>3984</v>
      </c>
      <c r="L4" s="346">
        <v>0</v>
      </c>
      <c r="N4" s="343">
        <v>0</v>
      </c>
      <c r="O4" s="343">
        <v>0</v>
      </c>
      <c r="P4" s="343">
        <v>0</v>
      </c>
    </row>
    <row r="5" spans="1:16" x14ac:dyDescent="0.2">
      <c r="A5" t="s">
        <v>3568</v>
      </c>
      <c r="B5" s="343">
        <v>935</v>
      </c>
      <c r="C5" s="345">
        <v>0.15</v>
      </c>
      <c r="D5" s="343">
        <v>140.25</v>
      </c>
      <c r="F5" s="343">
        <v>5680</v>
      </c>
      <c r="G5">
        <v>0.11</v>
      </c>
      <c r="H5" s="343">
        <v>624.79999999999995</v>
      </c>
      <c r="J5" s="343">
        <v>7400</v>
      </c>
      <c r="K5" s="343">
        <v>0.11</v>
      </c>
      <c r="L5" s="343">
        <v>814</v>
      </c>
      <c r="N5" s="343">
        <v>0</v>
      </c>
      <c r="O5" s="343">
        <v>0</v>
      </c>
      <c r="P5" s="343">
        <v>1048.32</v>
      </c>
    </row>
    <row r="6" spans="1:16" x14ac:dyDescent="0.2">
      <c r="A6" t="s">
        <v>3978</v>
      </c>
      <c r="B6" s="343">
        <v>24338.5</v>
      </c>
      <c r="C6" s="345">
        <v>0.11</v>
      </c>
      <c r="D6" s="343">
        <v>2677.2350000000001</v>
      </c>
      <c r="F6" s="343">
        <v>24338.5</v>
      </c>
      <c r="G6">
        <v>0.11</v>
      </c>
      <c r="H6" s="343">
        <v>2677.2350000000001</v>
      </c>
      <c r="J6" s="343">
        <v>64735.5</v>
      </c>
      <c r="K6" s="346" t="s">
        <v>3984</v>
      </c>
      <c r="L6" s="346">
        <v>0</v>
      </c>
      <c r="N6" s="343">
        <v>0</v>
      </c>
      <c r="O6" s="343">
        <v>0</v>
      </c>
      <c r="P6" s="343">
        <v>0</v>
      </c>
    </row>
    <row r="7" spans="1:16" x14ac:dyDescent="0.2">
      <c r="A7" t="s">
        <v>3558</v>
      </c>
      <c r="B7" s="343">
        <v>61901.2</v>
      </c>
      <c r="C7" s="345">
        <v>0.1</v>
      </c>
      <c r="D7" s="343">
        <v>6190.12</v>
      </c>
      <c r="F7" s="343">
        <v>61901.2</v>
      </c>
      <c r="G7">
        <v>0.25</v>
      </c>
      <c r="H7" s="343">
        <v>15475.3</v>
      </c>
      <c r="J7" s="343">
        <v>347490.2</v>
      </c>
      <c r="K7" s="343">
        <v>0.11</v>
      </c>
      <c r="L7" s="343">
        <v>38223.921999999999</v>
      </c>
      <c r="N7" s="343">
        <v>0</v>
      </c>
      <c r="O7" s="343">
        <v>0</v>
      </c>
      <c r="P7" s="343">
        <v>5855.36</v>
      </c>
    </row>
    <row r="8" spans="1:16" x14ac:dyDescent="0.2">
      <c r="A8" t="s">
        <v>125</v>
      </c>
      <c r="B8" s="343">
        <v>104502</v>
      </c>
      <c r="C8" s="345">
        <v>0.2</v>
      </c>
      <c r="D8" s="343">
        <v>20900.400000000001</v>
      </c>
      <c r="F8" s="343">
        <v>74834</v>
      </c>
      <c r="G8">
        <v>0.2</v>
      </c>
      <c r="H8" s="343">
        <v>14966.800000000001</v>
      </c>
      <c r="J8" s="343">
        <v>13072</v>
      </c>
      <c r="K8" s="343">
        <v>0.2</v>
      </c>
      <c r="L8" s="343">
        <v>2614.4</v>
      </c>
      <c r="N8" s="343">
        <v>0</v>
      </c>
      <c r="O8" s="343">
        <v>35219.599999999999</v>
      </c>
      <c r="P8" s="343">
        <v>5000</v>
      </c>
    </row>
    <row r="9" spans="1:16" x14ac:dyDescent="0.2">
      <c r="A9" t="s">
        <v>3361</v>
      </c>
      <c r="B9" s="343">
        <v>0</v>
      </c>
      <c r="C9" s="345">
        <v>0</v>
      </c>
      <c r="D9" s="343">
        <v>0</v>
      </c>
      <c r="F9" s="343">
        <v>52266</v>
      </c>
      <c r="G9">
        <v>0.11</v>
      </c>
      <c r="H9" s="343">
        <v>5749.26</v>
      </c>
      <c r="J9" s="343">
        <v>1360</v>
      </c>
      <c r="K9" s="343">
        <v>0.11</v>
      </c>
      <c r="L9" s="343">
        <v>149.6</v>
      </c>
      <c r="N9" s="343">
        <v>0</v>
      </c>
      <c r="O9" s="343">
        <v>0</v>
      </c>
      <c r="P9" s="343">
        <v>0</v>
      </c>
    </row>
    <row r="10" spans="1:16" x14ac:dyDescent="0.2">
      <c r="A10" t="s">
        <v>3979</v>
      </c>
      <c r="B10" s="343">
        <v>0</v>
      </c>
      <c r="C10" s="345">
        <v>0</v>
      </c>
      <c r="D10" s="343">
        <v>0</v>
      </c>
      <c r="F10" s="343">
        <v>3600</v>
      </c>
      <c r="G10">
        <v>0.11</v>
      </c>
      <c r="H10" s="343">
        <v>396</v>
      </c>
      <c r="J10" s="343">
        <v>0</v>
      </c>
      <c r="K10" s="343">
        <v>0</v>
      </c>
      <c r="L10" s="343">
        <v>0</v>
      </c>
      <c r="N10" s="343">
        <v>0</v>
      </c>
      <c r="O10" s="343">
        <v>0</v>
      </c>
      <c r="P10" s="343">
        <v>0</v>
      </c>
    </row>
    <row r="11" spans="1:16" x14ac:dyDescent="0.2">
      <c r="A11" t="s">
        <v>3980</v>
      </c>
      <c r="B11" s="343">
        <v>9759.7099999999991</v>
      </c>
      <c r="C11" s="345">
        <v>0.11</v>
      </c>
      <c r="D11" s="343">
        <v>1073.5681</v>
      </c>
      <c r="F11" s="343">
        <v>59733.71</v>
      </c>
      <c r="G11">
        <v>0.11</v>
      </c>
      <c r="H11" s="343">
        <v>6570.7080999999998</v>
      </c>
      <c r="J11" s="343">
        <v>1759.71</v>
      </c>
      <c r="K11" s="343">
        <v>0.11</v>
      </c>
      <c r="L11" s="343">
        <v>193.56810000000002</v>
      </c>
      <c r="N11" s="343">
        <v>12025</v>
      </c>
      <c r="O11" s="343">
        <v>6020</v>
      </c>
      <c r="P11" s="343">
        <v>46425</v>
      </c>
    </row>
    <row r="12" spans="1:16" x14ac:dyDescent="0.2">
      <c r="A12" t="s">
        <v>94</v>
      </c>
      <c r="B12" s="343">
        <v>0</v>
      </c>
      <c r="C12" s="345">
        <v>0</v>
      </c>
      <c r="D12" s="343">
        <v>0</v>
      </c>
      <c r="F12" s="343">
        <v>131000</v>
      </c>
      <c r="G12">
        <v>0.11</v>
      </c>
      <c r="H12" s="343">
        <v>14410</v>
      </c>
      <c r="J12" s="343">
        <v>16000</v>
      </c>
      <c r="K12" s="343">
        <v>0.11</v>
      </c>
      <c r="L12" s="343">
        <v>1760</v>
      </c>
      <c r="N12" s="343">
        <v>3514.87</v>
      </c>
      <c r="O12" s="343">
        <v>0</v>
      </c>
      <c r="P12" s="343">
        <v>16655.099999999999</v>
      </c>
    </row>
    <row r="13" spans="1:16" x14ac:dyDescent="0.2">
      <c r="A13" t="s">
        <v>82</v>
      </c>
      <c r="B13" s="343">
        <v>0</v>
      </c>
      <c r="C13" s="345">
        <v>0</v>
      </c>
      <c r="D13" s="343">
        <v>0</v>
      </c>
      <c r="F13" s="343">
        <v>1790</v>
      </c>
      <c r="G13">
        <v>0.11</v>
      </c>
      <c r="H13" s="343">
        <v>196.9</v>
      </c>
      <c r="J13" s="343">
        <v>11505</v>
      </c>
      <c r="K13" s="343">
        <v>0.11</v>
      </c>
      <c r="L13" s="343">
        <v>1265.55</v>
      </c>
      <c r="N13" s="343">
        <v>23.4</v>
      </c>
      <c r="O13" s="343">
        <v>924.52</v>
      </c>
      <c r="P13" s="343">
        <v>1029.5999999999999</v>
      </c>
    </row>
    <row r="14" spans="1:16" x14ac:dyDescent="0.2">
      <c r="A14" t="s">
        <v>3529</v>
      </c>
      <c r="B14" s="343">
        <v>0</v>
      </c>
      <c r="C14" s="345">
        <v>0</v>
      </c>
      <c r="D14" s="343">
        <v>0</v>
      </c>
      <c r="F14" s="343">
        <v>4320</v>
      </c>
      <c r="G14">
        <v>0.11</v>
      </c>
      <c r="H14" s="343">
        <v>475.2</v>
      </c>
      <c r="J14" s="343">
        <v>0</v>
      </c>
      <c r="K14" s="343">
        <v>0</v>
      </c>
      <c r="L14" s="343">
        <v>0</v>
      </c>
      <c r="N14" s="343">
        <v>0</v>
      </c>
      <c r="O14" s="343">
        <v>0</v>
      </c>
      <c r="P14" s="343">
        <v>0</v>
      </c>
    </row>
    <row r="15" spans="1:16" x14ac:dyDescent="0.2">
      <c r="A15" t="s">
        <v>70</v>
      </c>
      <c r="B15" s="343">
        <v>124595.03</v>
      </c>
      <c r="C15" s="345">
        <v>0.11</v>
      </c>
      <c r="D15" s="343">
        <v>13705.453299999999</v>
      </c>
      <c r="F15" s="343">
        <v>4237.67</v>
      </c>
      <c r="G15">
        <v>0.11</v>
      </c>
      <c r="H15" s="343">
        <v>466.14370000000002</v>
      </c>
      <c r="J15" s="343">
        <v>93806</v>
      </c>
      <c r="K15" s="343">
        <v>0.11</v>
      </c>
      <c r="L15" s="343">
        <v>10318.66</v>
      </c>
      <c r="N15" s="343">
        <v>20304.400000000001</v>
      </c>
      <c r="O15" s="343">
        <v>12767.51</v>
      </c>
      <c r="P15" s="343">
        <v>440.72</v>
      </c>
    </row>
    <row r="16" spans="1:16" x14ac:dyDescent="0.2">
      <c r="A16" t="s">
        <v>105</v>
      </c>
      <c r="B16" s="343">
        <v>9280</v>
      </c>
      <c r="C16" s="345">
        <v>0.11</v>
      </c>
      <c r="D16" s="343">
        <v>1020.8</v>
      </c>
      <c r="F16" s="343">
        <v>122700</v>
      </c>
      <c r="G16">
        <v>0.11</v>
      </c>
      <c r="H16" s="343">
        <v>13497</v>
      </c>
      <c r="J16" s="343">
        <v>49680</v>
      </c>
      <c r="K16" s="343">
        <v>0.11</v>
      </c>
      <c r="L16" s="343">
        <v>5464.8</v>
      </c>
      <c r="N16" s="343">
        <v>982.8</v>
      </c>
      <c r="O16" s="343">
        <v>0</v>
      </c>
      <c r="P16" s="343">
        <v>0</v>
      </c>
    </row>
    <row r="17" spans="1:16" x14ac:dyDescent="0.2">
      <c r="A17" t="s">
        <v>129</v>
      </c>
      <c r="B17" s="343">
        <v>78455</v>
      </c>
      <c r="C17" s="345">
        <v>0.11</v>
      </c>
      <c r="D17" s="343">
        <v>8630.0499999999993</v>
      </c>
      <c r="F17" s="343">
        <v>54740</v>
      </c>
      <c r="G17">
        <v>0.11</v>
      </c>
      <c r="H17" s="343">
        <v>6021.4</v>
      </c>
      <c r="J17" s="343">
        <v>46877.5</v>
      </c>
      <c r="K17" s="343">
        <v>0.11</v>
      </c>
      <c r="L17" s="343">
        <v>5156.5249999999996</v>
      </c>
      <c r="N17" s="343">
        <v>0</v>
      </c>
      <c r="O17" s="343">
        <v>7048.2</v>
      </c>
      <c r="P17" s="343">
        <v>5474</v>
      </c>
    </row>
    <row r="18" spans="1:16" x14ac:dyDescent="0.2">
      <c r="A18" t="s">
        <v>3981</v>
      </c>
      <c r="B18" s="343">
        <v>0</v>
      </c>
      <c r="C18" s="345">
        <v>0</v>
      </c>
      <c r="D18" s="343">
        <v>0</v>
      </c>
      <c r="F18" s="343">
        <v>5040</v>
      </c>
      <c r="G18">
        <v>0.11</v>
      </c>
      <c r="H18" s="343">
        <v>554.4</v>
      </c>
      <c r="J18" s="343">
        <v>0</v>
      </c>
      <c r="K18" s="343">
        <v>0</v>
      </c>
      <c r="L18" s="343">
        <v>0</v>
      </c>
      <c r="N18" s="343">
        <v>0</v>
      </c>
      <c r="O18" s="343">
        <v>0</v>
      </c>
      <c r="P18" s="343">
        <v>0</v>
      </c>
    </row>
    <row r="19" spans="1:16" x14ac:dyDescent="0.2">
      <c r="A19" t="s">
        <v>3982</v>
      </c>
      <c r="B19" s="343">
        <v>31300</v>
      </c>
      <c r="C19" s="345">
        <v>0.11</v>
      </c>
      <c r="D19" s="347">
        <v>3443</v>
      </c>
      <c r="F19" s="343">
        <v>595700</v>
      </c>
      <c r="G19">
        <v>0.11</v>
      </c>
      <c r="H19" s="347">
        <v>65527</v>
      </c>
      <c r="J19" s="343">
        <v>580700</v>
      </c>
      <c r="K19" s="343">
        <v>0.11</v>
      </c>
      <c r="L19" s="343">
        <v>63877</v>
      </c>
      <c r="N19" s="343">
        <v>0</v>
      </c>
      <c r="O19" s="343">
        <v>0</v>
      </c>
      <c r="P19" s="343">
        <v>0</v>
      </c>
    </row>
    <row r="20" spans="1:16" x14ac:dyDescent="0.2">
      <c r="A20" t="s">
        <v>3983</v>
      </c>
      <c r="B20" s="343">
        <v>0</v>
      </c>
      <c r="C20" s="345">
        <v>0</v>
      </c>
      <c r="D20" s="347">
        <v>0</v>
      </c>
      <c r="F20" s="343">
        <v>37800</v>
      </c>
      <c r="G20">
        <v>0.11</v>
      </c>
      <c r="H20" s="347">
        <v>4158</v>
      </c>
      <c r="J20" s="343">
        <v>37800</v>
      </c>
      <c r="K20" s="343">
        <v>0.11</v>
      </c>
      <c r="L20" s="343">
        <v>4158</v>
      </c>
      <c r="N20" s="343">
        <v>0</v>
      </c>
      <c r="O20" s="343">
        <v>0</v>
      </c>
      <c r="P20" s="343">
        <v>0</v>
      </c>
    </row>
    <row r="21" spans="1:16" x14ac:dyDescent="0.2">
      <c r="A21" t="s">
        <v>3878</v>
      </c>
      <c r="B21" s="343">
        <v>0</v>
      </c>
      <c r="C21" s="345">
        <v>0</v>
      </c>
      <c r="D21" s="343">
        <v>0</v>
      </c>
      <c r="F21" s="343">
        <v>48549</v>
      </c>
      <c r="G21" s="90" t="s">
        <v>3984</v>
      </c>
      <c r="J21" s="343">
        <v>0</v>
      </c>
      <c r="K21" s="343">
        <v>0</v>
      </c>
      <c r="L21" s="343">
        <v>0</v>
      </c>
      <c r="N21" s="343">
        <v>0</v>
      </c>
      <c r="O21" s="343">
        <v>0</v>
      </c>
      <c r="P21" s="343">
        <v>2427.4499999999998</v>
      </c>
    </row>
    <row r="22" spans="1:16" x14ac:dyDescent="0.2">
      <c r="A22" t="s">
        <v>3461</v>
      </c>
      <c r="B22" s="343">
        <v>0</v>
      </c>
      <c r="C22" s="345">
        <v>0</v>
      </c>
      <c r="D22" s="343">
        <v>0</v>
      </c>
      <c r="F22" s="343">
        <v>48548.5</v>
      </c>
      <c r="G22" s="90" t="s">
        <v>3984</v>
      </c>
      <c r="J22" s="343">
        <v>0</v>
      </c>
      <c r="K22" s="343">
        <v>0</v>
      </c>
      <c r="L22" s="343">
        <v>0</v>
      </c>
      <c r="N22" s="343">
        <v>0</v>
      </c>
      <c r="O22" s="343">
        <v>0</v>
      </c>
      <c r="P22" s="343">
        <v>2427.4499999999998</v>
      </c>
    </row>
    <row r="23" spans="1:16" x14ac:dyDescent="0.2">
      <c r="A23" t="s">
        <v>3364</v>
      </c>
      <c r="B23" s="343">
        <v>0</v>
      </c>
      <c r="C23" s="345">
        <v>0</v>
      </c>
      <c r="D23" s="343">
        <v>0</v>
      </c>
      <c r="F23" s="343">
        <v>103410</v>
      </c>
      <c r="G23" s="90" t="s">
        <v>3984</v>
      </c>
      <c r="J23" s="343">
        <v>206820</v>
      </c>
      <c r="K23" s="348" t="s">
        <v>3984</v>
      </c>
      <c r="L23" s="343">
        <v>0</v>
      </c>
      <c r="N23" s="343">
        <v>0</v>
      </c>
      <c r="O23" s="343">
        <v>0</v>
      </c>
      <c r="P23" s="343">
        <v>0</v>
      </c>
    </row>
    <row r="24" spans="1:16" x14ac:dyDescent="0.2">
      <c r="A24" t="s">
        <v>73</v>
      </c>
      <c r="B24" s="343">
        <v>0</v>
      </c>
      <c r="C24" s="345">
        <v>0</v>
      </c>
      <c r="D24" s="343">
        <v>0</v>
      </c>
      <c r="J24" s="343">
        <v>6961.5</v>
      </c>
      <c r="K24" s="343">
        <v>0.3</v>
      </c>
      <c r="L24" s="343">
        <v>2088.4499999999998</v>
      </c>
      <c r="N24" s="343">
        <v>0</v>
      </c>
      <c r="O24" s="343">
        <v>0</v>
      </c>
      <c r="P24" s="343">
        <v>0</v>
      </c>
    </row>
    <row r="25" spans="1:16" x14ac:dyDescent="0.2">
      <c r="A25" t="s">
        <v>3985</v>
      </c>
      <c r="B25" s="343">
        <v>0</v>
      </c>
      <c r="C25" s="345">
        <v>0</v>
      </c>
      <c r="D25" s="343">
        <v>0</v>
      </c>
      <c r="J25" s="343">
        <v>19200</v>
      </c>
      <c r="K25" s="343">
        <v>0.11</v>
      </c>
      <c r="L25" s="343">
        <v>2112</v>
      </c>
      <c r="N25" s="343">
        <v>0</v>
      </c>
      <c r="O25" s="343">
        <v>599.04</v>
      </c>
      <c r="P25" s="343">
        <v>0</v>
      </c>
    </row>
    <row r="26" spans="1:16" x14ac:dyDescent="0.2">
      <c r="A26" t="s">
        <v>3986</v>
      </c>
      <c r="B26" s="343">
        <v>0</v>
      </c>
      <c r="C26" s="345">
        <v>0</v>
      </c>
      <c r="D26" s="343">
        <v>0</v>
      </c>
      <c r="J26" s="343">
        <v>6400</v>
      </c>
      <c r="K26" s="343">
        <v>0.11</v>
      </c>
      <c r="L26" s="343">
        <v>704</v>
      </c>
      <c r="N26" s="343">
        <v>0</v>
      </c>
      <c r="O26" s="343">
        <v>0</v>
      </c>
      <c r="P26" s="343">
        <v>0</v>
      </c>
    </row>
    <row r="27" spans="1:16" x14ac:dyDescent="0.2">
      <c r="A27" t="s">
        <v>97</v>
      </c>
      <c r="B27" s="343">
        <v>0</v>
      </c>
      <c r="C27" s="345">
        <v>0</v>
      </c>
      <c r="D27" s="343">
        <v>0</v>
      </c>
      <c r="J27" s="343">
        <v>60100</v>
      </c>
      <c r="K27" s="343">
        <v>0.11</v>
      </c>
      <c r="L27" s="343">
        <v>6611</v>
      </c>
      <c r="N27" s="343">
        <v>6863.15</v>
      </c>
      <c r="O27" s="343">
        <v>0</v>
      </c>
      <c r="P27" s="343">
        <v>0</v>
      </c>
    </row>
    <row r="28" spans="1:16" x14ac:dyDescent="0.2">
      <c r="A28" t="s">
        <v>149</v>
      </c>
      <c r="B28" s="343">
        <v>19673</v>
      </c>
      <c r="C28" s="345">
        <v>0.11</v>
      </c>
      <c r="D28" s="343">
        <v>2164.0300000000002</v>
      </c>
      <c r="J28" s="343">
        <v>19673</v>
      </c>
      <c r="K28" s="343">
        <v>0.11</v>
      </c>
      <c r="L28" s="343">
        <v>2164.0300000000002</v>
      </c>
      <c r="N28" s="343">
        <v>0</v>
      </c>
      <c r="O28" s="343">
        <v>2148.34</v>
      </c>
      <c r="P28" s="343">
        <v>0</v>
      </c>
    </row>
    <row r="29" spans="1:16" x14ac:dyDescent="0.2">
      <c r="A29" t="s">
        <v>121</v>
      </c>
      <c r="B29" s="343">
        <v>165060</v>
      </c>
      <c r="C29" s="345">
        <v>0.11</v>
      </c>
      <c r="D29" s="343">
        <v>18156.599999999999</v>
      </c>
      <c r="J29" s="343">
        <v>0</v>
      </c>
      <c r="K29" s="343">
        <v>0</v>
      </c>
      <c r="L29" s="343">
        <v>0</v>
      </c>
      <c r="N29" s="343">
        <v>0</v>
      </c>
      <c r="O29" s="343">
        <v>17889.62</v>
      </c>
      <c r="P29" s="343">
        <v>0</v>
      </c>
    </row>
    <row r="30" spans="1:16" x14ac:dyDescent="0.2">
      <c r="A30" t="s">
        <v>67</v>
      </c>
      <c r="B30" s="343">
        <v>0</v>
      </c>
      <c r="C30" s="345">
        <v>0</v>
      </c>
      <c r="D30" s="343">
        <v>0</v>
      </c>
      <c r="J30" s="343">
        <v>0</v>
      </c>
      <c r="K30" s="343">
        <v>0</v>
      </c>
      <c r="L30" s="343">
        <v>0</v>
      </c>
      <c r="N30" s="343">
        <v>9500</v>
      </c>
      <c r="O30" s="343">
        <v>2500</v>
      </c>
      <c r="P30" s="343">
        <v>0</v>
      </c>
    </row>
    <row r="31" spans="1:16" x14ac:dyDescent="0.2">
      <c r="N31" s="343">
        <v>0</v>
      </c>
      <c r="O31" s="343">
        <v>0</v>
      </c>
      <c r="P31" s="343">
        <v>0</v>
      </c>
    </row>
    <row r="33" spans="3:18" ht="10.5" thickBot="1" x14ac:dyDescent="0.25">
      <c r="C33" t="s">
        <v>218</v>
      </c>
      <c r="D33" s="349">
        <f>SUM(D4:D27)</f>
        <v>60458.111400000009</v>
      </c>
      <c r="G33" t="s">
        <v>218</v>
      </c>
      <c r="H33" s="349">
        <f>SUM(H4:H27)</f>
        <v>154443.3818</v>
      </c>
      <c r="L33" s="350">
        <f>SUM(L4:L32)</f>
        <v>147675.50510000001</v>
      </c>
      <c r="N33" s="350">
        <f>SUM(N4:N32)</f>
        <v>53213.62</v>
      </c>
      <c r="O33" s="350">
        <f t="shared" ref="O33:P33" si="0">SUM(O4:O32)</f>
        <v>85116.829999999987</v>
      </c>
      <c r="P33" s="350">
        <f t="shared" si="0"/>
        <v>86783</v>
      </c>
      <c r="Q33" s="26">
        <f>SUM(N33:P33)</f>
        <v>225113.44999999998</v>
      </c>
    </row>
    <row r="34" spans="3:18" ht="10.5" thickTop="1" x14ac:dyDescent="0.2"/>
    <row r="35" spans="3:18" x14ac:dyDescent="0.2">
      <c r="M35" s="351" t="s">
        <v>3691</v>
      </c>
      <c r="N35" s="25">
        <v>-21926.910000000003</v>
      </c>
      <c r="O35" s="256">
        <v>62772.700000000012</v>
      </c>
      <c r="P35" s="25">
        <v>-6767.8699999999953</v>
      </c>
      <c r="Q35" s="351"/>
      <c r="R35" t="s">
        <v>3987</v>
      </c>
    </row>
    <row r="36" spans="3:18" x14ac:dyDescent="0.2">
      <c r="M36" s="351" t="s">
        <v>3988</v>
      </c>
      <c r="N36" s="25"/>
      <c r="P36" s="244"/>
    </row>
    <row r="37" spans="3:18" ht="10.5" thickBot="1" x14ac:dyDescent="0.25">
      <c r="M37" s="351" t="s">
        <v>218</v>
      </c>
      <c r="N37" s="352">
        <f>SUM(N33:N36)</f>
        <v>31286.71</v>
      </c>
      <c r="O37" s="352">
        <f t="shared" ref="O37:P37" si="1">SUM(O33:O36)</f>
        <v>147889.53</v>
      </c>
      <c r="P37" s="352">
        <f t="shared" si="1"/>
        <v>80015.13</v>
      </c>
      <c r="Q37" s="26">
        <f>SUM(N37:P37)</f>
        <v>259191.37</v>
      </c>
    </row>
    <row r="38" spans="3:18" x14ac:dyDescent="0.2">
      <c r="P38" s="26"/>
    </row>
    <row r="39" spans="3:18" x14ac:dyDescent="0.2">
      <c r="N39" s="17" t="s">
        <v>3989</v>
      </c>
      <c r="O39" s="17"/>
    </row>
    <row r="40" spans="3:18" x14ac:dyDescent="0.2">
      <c r="N40" s="353" t="s">
        <v>64</v>
      </c>
      <c r="O40" s="354">
        <f>SUM(N33:P33)</f>
        <v>225113.44999999998</v>
      </c>
    </row>
    <row r="41" spans="3:18" x14ac:dyDescent="0.2">
      <c r="N41" s="353" t="s">
        <v>3691</v>
      </c>
      <c r="O41" s="354">
        <v>147675.50509999998</v>
      </c>
    </row>
    <row r="42" spans="3:18" x14ac:dyDescent="0.2">
      <c r="N42" s="353" t="s">
        <v>3990</v>
      </c>
      <c r="O42" s="355">
        <v>-113597.59</v>
      </c>
    </row>
    <row r="43" spans="3:18" x14ac:dyDescent="0.2">
      <c r="N43" s="353" t="s">
        <v>3991</v>
      </c>
      <c r="O43" s="354">
        <f>SUM(O40:O42)</f>
        <v>259191.36509999997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E62F4-690A-4711-8F00-2397FD821B07}">
  <sheetPr codeName="Sheet18"/>
  <dimension ref="A1:AG69"/>
  <sheetViews>
    <sheetView workbookViewId="0">
      <selection activeCell="J31" sqref="J31"/>
    </sheetView>
  </sheetViews>
  <sheetFormatPr defaultColWidth="10.33203125" defaultRowHeight="10" x14ac:dyDescent="0.2"/>
  <cols>
    <col min="1" max="1" width="4.33203125" customWidth="1"/>
    <col min="2" max="2" width="4.109375" customWidth="1"/>
    <col min="3" max="3" width="44.6640625" customWidth="1"/>
    <col min="4" max="4" width="15.6640625" customWidth="1"/>
    <col min="5" max="6" width="13" customWidth="1"/>
    <col min="7" max="7" width="13.33203125" customWidth="1"/>
    <col min="8" max="8" width="14.44140625" customWidth="1"/>
    <col min="9" max="9" width="13.44140625" customWidth="1"/>
    <col min="10" max="10" width="13.33203125" customWidth="1"/>
    <col min="11" max="11" width="16.44140625" customWidth="1"/>
    <col min="12" max="12" width="15.88671875" customWidth="1"/>
    <col min="13" max="13" width="17" customWidth="1"/>
    <col min="14" max="18" width="14.88671875" customWidth="1"/>
    <col min="19" max="19" width="17.109375" customWidth="1"/>
    <col min="20" max="20" width="21.44140625" customWidth="1"/>
  </cols>
  <sheetData>
    <row r="1" spans="1:33" ht="14.5" x14ac:dyDescent="0.35">
      <c r="A1" s="356" t="s">
        <v>3992</v>
      </c>
    </row>
    <row r="2" spans="1:33" x14ac:dyDescent="0.2">
      <c r="AG2" t="s">
        <v>3993</v>
      </c>
    </row>
    <row r="3" spans="1:33" ht="14.5" x14ac:dyDescent="0.35">
      <c r="C3" s="357" t="s">
        <v>3994</v>
      </c>
      <c r="D3" s="358"/>
      <c r="E3" s="359"/>
      <c r="V3" s="360" t="s">
        <v>3995</v>
      </c>
    </row>
    <row r="4" spans="1:33" ht="14.5" x14ac:dyDescent="0.35">
      <c r="B4" s="358"/>
      <c r="C4" s="361" t="s">
        <v>3996</v>
      </c>
      <c r="D4" s="362"/>
      <c r="E4" s="363"/>
      <c r="F4" s="364"/>
      <c r="V4" s="360" t="s">
        <v>3997</v>
      </c>
    </row>
    <row r="5" spans="1:33" ht="14.5" x14ac:dyDescent="0.35">
      <c r="B5" s="358"/>
      <c r="C5" s="365" t="s">
        <v>3998</v>
      </c>
      <c r="D5" s="362"/>
      <c r="F5" s="364"/>
      <c r="V5" s="366" t="s">
        <v>3999</v>
      </c>
    </row>
    <row r="6" spans="1:33" ht="14.5" x14ac:dyDescent="0.35">
      <c r="B6" s="358"/>
      <c r="D6" s="362"/>
      <c r="F6" s="364"/>
      <c r="V6" s="367" t="s">
        <v>4000</v>
      </c>
    </row>
    <row r="7" spans="1:33" ht="12.5" thickBot="1" x14ac:dyDescent="0.35">
      <c r="V7" s="367" t="s">
        <v>4001</v>
      </c>
    </row>
    <row r="8" spans="1:33" ht="12" x14ac:dyDescent="0.3">
      <c r="B8" s="368"/>
      <c r="C8" s="369"/>
      <c r="D8" s="369"/>
      <c r="E8" s="369"/>
      <c r="F8" s="369"/>
      <c r="G8" s="369"/>
      <c r="H8" s="369"/>
      <c r="I8" s="369"/>
      <c r="J8" s="369"/>
      <c r="K8" s="369"/>
      <c r="L8" s="369"/>
      <c r="M8" s="369"/>
      <c r="N8" s="369"/>
      <c r="O8" s="369"/>
      <c r="P8" s="369"/>
      <c r="Q8" s="369"/>
      <c r="R8" s="369"/>
      <c r="S8" s="369"/>
      <c r="T8" s="370"/>
      <c r="V8" s="367" t="s">
        <v>4002</v>
      </c>
    </row>
    <row r="9" spans="1:33" ht="14.5" x14ac:dyDescent="0.35">
      <c r="B9" s="371"/>
      <c r="C9" s="372" t="s">
        <v>4003</v>
      </c>
      <c r="D9" s="372"/>
      <c r="G9" s="373">
        <v>16</v>
      </c>
      <c r="H9" s="373">
        <v>17</v>
      </c>
      <c r="I9" s="373">
        <v>18</v>
      </c>
      <c r="J9" s="373">
        <v>19</v>
      </c>
      <c r="K9" s="373"/>
      <c r="L9" s="373">
        <v>20</v>
      </c>
      <c r="M9" s="373">
        <v>21</v>
      </c>
      <c r="N9" s="374">
        <v>22</v>
      </c>
      <c r="O9" s="375"/>
      <c r="P9" s="375"/>
      <c r="Q9" s="375"/>
      <c r="R9" s="375"/>
      <c r="T9" s="376"/>
      <c r="V9" s="367" t="s">
        <v>4004</v>
      </c>
    </row>
    <row r="10" spans="1:33" ht="12" x14ac:dyDescent="0.3">
      <c r="B10" s="371"/>
      <c r="C10" t="s">
        <v>4005</v>
      </c>
      <c r="D10" s="83">
        <v>1304940</v>
      </c>
      <c r="F10" s="90" t="s">
        <v>4006</v>
      </c>
      <c r="G10" s="83">
        <v>686000</v>
      </c>
      <c r="H10" s="83">
        <v>569000</v>
      </c>
      <c r="I10" s="83">
        <v>727000</v>
      </c>
      <c r="J10" s="83">
        <v>956000</v>
      </c>
      <c r="K10" s="83"/>
      <c r="L10" s="83">
        <v>1304940.02</v>
      </c>
      <c r="M10" s="83">
        <v>1074000</v>
      </c>
      <c r="N10" s="83">
        <v>1185000</v>
      </c>
      <c r="O10" s="83"/>
      <c r="P10" s="83"/>
      <c r="Q10" s="83"/>
      <c r="R10" s="83"/>
      <c r="T10" s="376"/>
      <c r="V10" s="366" t="s">
        <v>4007</v>
      </c>
    </row>
    <row r="11" spans="1:33" ht="12" x14ac:dyDescent="0.3">
      <c r="B11" s="371"/>
      <c r="C11" t="s">
        <v>4008</v>
      </c>
      <c r="D11" s="83">
        <v>400000</v>
      </c>
      <c r="F11" s="90" t="s">
        <v>4009</v>
      </c>
      <c r="G11" s="83">
        <v>403823</v>
      </c>
      <c r="H11" s="83">
        <v>469167</v>
      </c>
      <c r="I11" s="83">
        <v>249367</v>
      </c>
      <c r="J11" s="83">
        <v>313883</v>
      </c>
      <c r="K11" s="83"/>
      <c r="L11" s="83">
        <v>229226.57</v>
      </c>
      <c r="M11" s="83">
        <f>265542.97+86921.24</f>
        <v>352464.20999999996</v>
      </c>
      <c r="N11" s="83">
        <v>378663.76</v>
      </c>
      <c r="O11" s="83"/>
      <c r="P11" s="83"/>
      <c r="Q11" s="83"/>
      <c r="R11" s="83"/>
      <c r="T11" s="376"/>
      <c r="V11" s="367" t="s">
        <v>4010</v>
      </c>
    </row>
    <row r="12" spans="1:33" ht="12" x14ac:dyDescent="0.3">
      <c r="B12" s="371"/>
      <c r="C12" t="s">
        <v>4011</v>
      </c>
      <c r="D12" s="90" t="s">
        <v>4012</v>
      </c>
      <c r="F12" s="90" t="s">
        <v>4013</v>
      </c>
      <c r="G12" s="83">
        <v>35009.840000000026</v>
      </c>
      <c r="H12" s="83">
        <v>40229.359999999986</v>
      </c>
      <c r="I12" s="83">
        <v>23229.360000000044</v>
      </c>
      <c r="J12" s="83">
        <v>28390.640000000014</v>
      </c>
      <c r="K12" s="83"/>
      <c r="L12" s="83">
        <v>19455.031880000024</v>
      </c>
      <c r="M12" s="83">
        <f>+M11*0.08</f>
        <v>28197.136799999997</v>
      </c>
      <c r="N12" s="83">
        <f>+N11*0.08</f>
        <v>30293.1008</v>
      </c>
      <c r="O12" s="83"/>
      <c r="P12" s="83"/>
      <c r="Q12" s="83"/>
      <c r="R12" s="83"/>
      <c r="T12" s="376"/>
      <c r="V12" s="367"/>
    </row>
    <row r="13" spans="1:33" ht="14.5" x14ac:dyDescent="0.35">
      <c r="B13" s="371"/>
      <c r="C13" s="171"/>
      <c r="D13" s="377"/>
      <c r="T13" s="376"/>
      <c r="V13" s="367"/>
    </row>
    <row r="14" spans="1:33" ht="15" thickBot="1" x14ac:dyDescent="0.4">
      <c r="B14" s="378"/>
      <c r="C14" s="379"/>
      <c r="D14" s="379"/>
      <c r="E14" s="380"/>
      <c r="F14" s="381"/>
      <c r="G14" s="381"/>
      <c r="H14" s="381"/>
      <c r="I14" s="381"/>
      <c r="J14" s="381"/>
      <c r="K14" s="381"/>
      <c r="L14" s="381"/>
      <c r="M14" s="381"/>
      <c r="N14" s="381"/>
      <c r="O14" s="381"/>
      <c r="P14" s="381"/>
      <c r="Q14" s="381"/>
      <c r="R14" s="381"/>
      <c r="S14" s="381"/>
      <c r="T14" s="382"/>
    </row>
    <row r="15" spans="1:33" x14ac:dyDescent="0.2">
      <c r="K15" s="383"/>
      <c r="L15" s="383"/>
      <c r="M15" s="383"/>
      <c r="N15" s="383"/>
      <c r="O15" s="383"/>
      <c r="P15" s="383"/>
      <c r="Q15" s="383"/>
      <c r="R15" s="383"/>
    </row>
    <row r="16" spans="1:33" ht="14.5" x14ac:dyDescent="0.35">
      <c r="B16" s="384">
        <v>1</v>
      </c>
      <c r="C16" s="385" t="s">
        <v>4014</v>
      </c>
      <c r="D16" s="385"/>
      <c r="E16" s="385"/>
      <c r="F16" s="385"/>
      <c r="G16" s="385"/>
      <c r="L16" s="828" t="s">
        <v>4015</v>
      </c>
      <c r="M16" s="828"/>
      <c r="N16" s="828">
        <v>2020</v>
      </c>
      <c r="O16" s="828"/>
      <c r="P16" s="828">
        <v>2021</v>
      </c>
      <c r="Q16" s="828"/>
      <c r="R16" s="828">
        <v>2022</v>
      </c>
      <c r="S16" s="828"/>
      <c r="T16" s="386" t="s">
        <v>4016</v>
      </c>
      <c r="U16" s="387" t="s">
        <v>4017</v>
      </c>
      <c r="V16" s="388" t="s">
        <v>4018</v>
      </c>
    </row>
    <row r="17" spans="2:23" ht="5.15" customHeight="1" x14ac:dyDescent="0.35">
      <c r="B17" s="389"/>
      <c r="C17" s="390"/>
      <c r="D17" s="390"/>
      <c r="L17" s="391"/>
      <c r="M17" s="392"/>
      <c r="N17" s="391"/>
      <c r="O17" s="392"/>
      <c r="P17" s="391"/>
      <c r="Q17" s="392"/>
      <c r="R17" s="391"/>
      <c r="S17" s="392"/>
    </row>
    <row r="18" spans="2:23" ht="14.5" x14ac:dyDescent="0.35">
      <c r="C18" s="372" t="s">
        <v>4019</v>
      </c>
      <c r="D18" s="372">
        <v>2016</v>
      </c>
      <c r="E18" s="372">
        <v>2017</v>
      </c>
      <c r="F18" s="372">
        <v>2018</v>
      </c>
      <c r="G18" s="372">
        <v>2019</v>
      </c>
      <c r="H18" s="372">
        <v>2020</v>
      </c>
      <c r="I18" s="372">
        <v>2021</v>
      </c>
      <c r="J18" s="372">
        <v>2022</v>
      </c>
      <c r="K18" s="393" t="s">
        <v>218</v>
      </c>
      <c r="L18" s="394" t="s">
        <v>4020</v>
      </c>
      <c r="M18" s="395" t="s">
        <v>4021</v>
      </c>
      <c r="N18" s="394" t="s">
        <v>4020</v>
      </c>
      <c r="O18" s="395" t="s">
        <v>4021</v>
      </c>
      <c r="P18" s="394" t="s">
        <v>4020</v>
      </c>
      <c r="Q18" s="395" t="s">
        <v>4021</v>
      </c>
      <c r="R18" s="394" t="s">
        <v>4020</v>
      </c>
      <c r="S18" s="395" t="s">
        <v>4021</v>
      </c>
      <c r="T18" s="396">
        <v>2014</v>
      </c>
      <c r="U18" s="397" t="s">
        <v>4022</v>
      </c>
      <c r="V18" s="388" t="s">
        <v>4023</v>
      </c>
    </row>
    <row r="19" spans="2:23" ht="14.5" x14ac:dyDescent="0.35">
      <c r="C19" t="s">
        <v>4024</v>
      </c>
      <c r="D19" s="83">
        <f>$G$12*24%</f>
        <v>8402.3616000000056</v>
      </c>
      <c r="E19" s="83">
        <f>$H$12*24%</f>
        <v>9655.0463999999956</v>
      </c>
      <c r="F19" s="83">
        <f>$I$12*24%</f>
        <v>5575.0464000000102</v>
      </c>
      <c r="G19" s="83">
        <f>$J$12*24%</f>
        <v>6813.7536000000027</v>
      </c>
      <c r="H19" s="83">
        <f>$L$12*24%</f>
        <v>4669.2076512000058</v>
      </c>
      <c r="I19" s="343">
        <f>+M12*24%</f>
        <v>6767.3128319999987</v>
      </c>
      <c r="J19" s="343">
        <f>+N12*24%</f>
        <v>7270.3441919999996</v>
      </c>
      <c r="K19" s="83">
        <f>SUM(D19:J19)</f>
        <v>49153.072675200012</v>
      </c>
      <c r="L19" s="398"/>
      <c r="M19" s="399"/>
      <c r="N19" s="400"/>
      <c r="O19" s="399"/>
      <c r="P19" s="400"/>
      <c r="Q19" s="399"/>
      <c r="R19" s="400"/>
      <c r="S19" s="399"/>
      <c r="T19" s="396">
        <v>2015</v>
      </c>
      <c r="U19" s="397" t="s">
        <v>4025</v>
      </c>
      <c r="V19" s="401"/>
    </row>
    <row r="20" spans="2:23" ht="14.5" x14ac:dyDescent="0.35">
      <c r="C20" t="s">
        <v>4026</v>
      </c>
      <c r="D20" s="83">
        <f>120%*D19</f>
        <v>10082.833920000006</v>
      </c>
      <c r="E20" s="83">
        <f t="shared" ref="E20:G20" si="0">120%*E19</f>
        <v>11586.055679999994</v>
      </c>
      <c r="F20" s="83">
        <f t="shared" si="0"/>
        <v>6690.0556800000122</v>
      </c>
      <c r="G20" s="83">
        <f t="shared" si="0"/>
        <v>8176.5043200000027</v>
      </c>
      <c r="H20" s="83">
        <f>120%*H19</f>
        <v>5603.0491814400066</v>
      </c>
      <c r="I20" s="343">
        <f>120%*I19</f>
        <v>8120.7753983999983</v>
      </c>
      <c r="J20" s="343">
        <f>120%*J19</f>
        <v>8724.4130303999991</v>
      </c>
      <c r="K20" s="83">
        <f>SUM(D20:J20)</f>
        <v>58983.687210240023</v>
      </c>
      <c r="L20" s="398"/>
      <c r="M20" s="399"/>
      <c r="N20" s="400"/>
      <c r="O20" s="399"/>
      <c r="P20" s="400"/>
      <c r="Q20" s="399"/>
      <c r="R20" s="400"/>
      <c r="S20" s="399"/>
      <c r="T20" s="396">
        <v>2016</v>
      </c>
      <c r="U20" s="397" t="s">
        <v>4027</v>
      </c>
      <c r="V20" s="401"/>
    </row>
    <row r="21" spans="2:23" ht="14.5" x14ac:dyDescent="0.35">
      <c r="C21" t="s">
        <v>4028</v>
      </c>
      <c r="D21" s="83">
        <f>+D19*4%*7</f>
        <v>2352.6612480000017</v>
      </c>
      <c r="E21" s="83">
        <f>+E19*4%*6</f>
        <v>2317.211135999999</v>
      </c>
      <c r="F21" s="83">
        <f>+F19*4%*5</f>
        <v>1115.009280000002</v>
      </c>
      <c r="G21" s="83">
        <f>+G19*4%*4</f>
        <v>1090.2005760000004</v>
      </c>
      <c r="H21" s="83">
        <f>+H19*4%*3</f>
        <v>560.30491814400068</v>
      </c>
      <c r="I21" s="343">
        <f>+I19*4%*2</f>
        <v>541.38502655999991</v>
      </c>
      <c r="J21" s="343">
        <f>+J19*4%*1</f>
        <v>290.81376768000001</v>
      </c>
      <c r="K21" s="83">
        <f>SUM(D21:J21)</f>
        <v>8267.5859523840027</v>
      </c>
      <c r="L21" s="398"/>
      <c r="M21" s="399"/>
      <c r="N21" s="400"/>
      <c r="O21" s="399"/>
      <c r="P21" s="400"/>
      <c r="Q21" s="399"/>
      <c r="R21" s="400"/>
      <c r="S21" s="399"/>
      <c r="T21" s="396">
        <v>2017</v>
      </c>
      <c r="U21" s="397" t="s">
        <v>4029</v>
      </c>
      <c r="V21" s="401"/>
    </row>
    <row r="22" spans="2:23" ht="14.5" x14ac:dyDescent="0.35">
      <c r="I22" s="343"/>
      <c r="J22" s="343"/>
      <c r="K22" s="162">
        <f>K20+K19+K21</f>
        <v>116404.34583782403</v>
      </c>
      <c r="L22" s="402">
        <f>SUM(D19:G21)</f>
        <v>73856.739840000038</v>
      </c>
      <c r="M22" s="399"/>
      <c r="N22" s="398">
        <f>+H19+H20+H21</f>
        <v>10832.561750784012</v>
      </c>
      <c r="O22" s="399"/>
      <c r="P22" s="398">
        <f>+I19+I20+I21</f>
        <v>15429.473256959996</v>
      </c>
      <c r="Q22" s="399"/>
      <c r="R22" s="398">
        <f>+J19+J20+J21</f>
        <v>16285.570990079999</v>
      </c>
      <c r="S22" s="399"/>
      <c r="T22" s="396">
        <v>2018</v>
      </c>
      <c r="U22" s="397" t="s">
        <v>4030</v>
      </c>
      <c r="V22" s="401"/>
    </row>
    <row r="23" spans="2:23" ht="14.5" x14ac:dyDescent="0.35">
      <c r="C23" t="s">
        <v>4031</v>
      </c>
      <c r="D23" s="83">
        <f>$G$12*3.9%</f>
        <v>1365.3837600000011</v>
      </c>
      <c r="E23" s="83">
        <f>$H$12*3.9%</f>
        <v>1568.9450399999994</v>
      </c>
      <c r="F23" s="83">
        <f>$I$12*3.9%</f>
        <v>905.94504000000177</v>
      </c>
      <c r="G23" s="83">
        <f>$J$12*3.9%</f>
        <v>1107.2349600000005</v>
      </c>
      <c r="H23" s="83">
        <f>$L$12*3.9%</f>
        <v>758.74624332000099</v>
      </c>
      <c r="I23" s="343">
        <f>+M12*3.9%</f>
        <v>1099.6883351999998</v>
      </c>
      <c r="J23" s="343">
        <f>+N12*3.9%</f>
        <v>1181.4309312</v>
      </c>
      <c r="K23" s="83">
        <f>SUM(D23:J23)</f>
        <v>7987.3743097200022</v>
      </c>
      <c r="L23" s="403"/>
      <c r="M23" s="399"/>
      <c r="N23" s="400"/>
      <c r="O23" s="399"/>
      <c r="P23" s="400"/>
      <c r="Q23" s="399"/>
      <c r="R23" s="400"/>
      <c r="S23" s="399"/>
      <c r="T23" s="396">
        <v>2019</v>
      </c>
      <c r="U23" s="397" t="s">
        <v>4032</v>
      </c>
      <c r="V23" s="401"/>
    </row>
    <row r="24" spans="2:23" ht="14.5" x14ac:dyDescent="0.35">
      <c r="C24" t="s">
        <v>4026</v>
      </c>
      <c r="D24" s="83">
        <f>D23*120%</f>
        <v>1638.4605120000012</v>
      </c>
      <c r="E24" s="83">
        <f t="shared" ref="E24:J24" si="1">E23*120%</f>
        <v>1882.7340479999991</v>
      </c>
      <c r="F24" s="83">
        <f t="shared" si="1"/>
        <v>1087.1340480000022</v>
      </c>
      <c r="G24" s="83">
        <f t="shared" si="1"/>
        <v>1328.6819520000006</v>
      </c>
      <c r="H24" s="83">
        <f t="shared" si="1"/>
        <v>910.49549198400121</v>
      </c>
      <c r="I24" s="343">
        <f t="shared" si="1"/>
        <v>1319.6260022399997</v>
      </c>
      <c r="J24" s="343">
        <f t="shared" si="1"/>
        <v>1417.71711744</v>
      </c>
      <c r="K24" s="83">
        <f>SUM(D24:J24)</f>
        <v>9584.8491716640056</v>
      </c>
      <c r="L24" s="403"/>
      <c r="M24" s="399"/>
      <c r="N24" s="400"/>
      <c r="O24" s="399"/>
      <c r="P24" s="400"/>
      <c r="Q24" s="399"/>
      <c r="R24" s="400"/>
      <c r="S24" s="399"/>
      <c r="T24" s="396">
        <v>2020</v>
      </c>
      <c r="U24" s="397" t="s">
        <v>4033</v>
      </c>
    </row>
    <row r="25" spans="2:23" ht="14.5" x14ac:dyDescent="0.35">
      <c r="C25" t="s">
        <v>4034</v>
      </c>
      <c r="D25" s="83">
        <f>+D23*4%*7</f>
        <v>382.30745280000031</v>
      </c>
      <c r="E25" s="83">
        <f>+E23*4%*6</f>
        <v>376.54680959999985</v>
      </c>
      <c r="F25" s="83">
        <f>+F23*4%*5</f>
        <v>181.18900800000034</v>
      </c>
      <c r="G25" s="83">
        <f>+G23*4%*4</f>
        <v>177.15759360000007</v>
      </c>
      <c r="H25" s="83">
        <f>+H23*4%*3</f>
        <v>91.049549198400115</v>
      </c>
      <c r="I25" s="343">
        <f>+I23*4%*2</f>
        <v>87.97506681599998</v>
      </c>
      <c r="J25" s="343">
        <f>+J23*4%*1</f>
        <v>47.257237248000003</v>
      </c>
      <c r="K25" s="83">
        <f>SUM(D25:J25)</f>
        <v>1343.4827172624007</v>
      </c>
      <c r="L25" s="404"/>
      <c r="M25" s="405"/>
      <c r="N25" s="406"/>
      <c r="O25" s="405"/>
      <c r="P25" s="406"/>
      <c r="Q25" s="405"/>
      <c r="R25" s="406"/>
      <c r="S25" s="405"/>
      <c r="T25" s="396">
        <v>2021</v>
      </c>
      <c r="U25" s="397" t="s">
        <v>4035</v>
      </c>
    </row>
    <row r="26" spans="2:23" ht="14.5" x14ac:dyDescent="0.35">
      <c r="I26" s="343"/>
      <c r="J26" s="343"/>
      <c r="K26" s="162">
        <f>K24+K23+K25</f>
        <v>18915.706198646407</v>
      </c>
      <c r="L26" s="404">
        <f>+SUM(D23:G25)</f>
        <v>12001.720224000008</v>
      </c>
      <c r="M26" s="405"/>
      <c r="N26" s="406">
        <f>+H24+H23+H25</f>
        <v>1760.2912845024025</v>
      </c>
      <c r="O26" s="405"/>
      <c r="P26" s="406">
        <f>+I23+I24+I25</f>
        <v>2507.2894042559997</v>
      </c>
      <c r="Q26" s="405"/>
      <c r="R26" s="406">
        <f>+J23+J24+J25</f>
        <v>2646.405285888</v>
      </c>
      <c r="S26" s="405"/>
      <c r="T26" s="396">
        <v>2022</v>
      </c>
      <c r="U26" s="397" t="s">
        <v>4036</v>
      </c>
    </row>
    <row r="27" spans="2:23" ht="14.5" x14ac:dyDescent="0.35">
      <c r="C27" s="171" t="s">
        <v>4037</v>
      </c>
      <c r="D27" s="83"/>
      <c r="E27" s="83"/>
      <c r="F27" s="83"/>
      <c r="G27" s="83"/>
      <c r="H27" s="83"/>
      <c r="I27" s="343"/>
      <c r="J27" s="343"/>
      <c r="K27" s="83"/>
      <c r="L27" s="404"/>
      <c r="M27" s="405"/>
      <c r="N27" s="406"/>
      <c r="O27" s="405"/>
      <c r="P27" s="406"/>
      <c r="Q27" s="405"/>
      <c r="R27" s="406"/>
      <c r="S27" s="405"/>
      <c r="T27" s="407"/>
      <c r="U27" s="407"/>
      <c r="V27" s="407"/>
      <c r="W27" s="407"/>
    </row>
    <row r="28" spans="2:23" ht="12" x14ac:dyDescent="0.3">
      <c r="C28" t="s">
        <v>4026</v>
      </c>
      <c r="D28" s="83"/>
      <c r="E28" s="83"/>
      <c r="F28" s="83"/>
      <c r="G28" s="83"/>
      <c r="H28" s="83"/>
      <c r="I28" s="343"/>
      <c r="J28" s="343"/>
      <c r="K28" s="408"/>
      <c r="L28" s="404"/>
      <c r="M28" s="409"/>
      <c r="N28" s="410"/>
      <c r="O28" s="409"/>
      <c r="P28" s="410"/>
      <c r="Q28" s="409"/>
      <c r="R28" s="410"/>
      <c r="S28" s="409"/>
      <c r="T28" s="407"/>
      <c r="U28" s="407"/>
      <c r="V28" s="407"/>
      <c r="W28" s="407"/>
    </row>
    <row r="29" spans="2:23" ht="12" x14ac:dyDescent="0.3">
      <c r="I29" s="343"/>
      <c r="J29" s="343"/>
      <c r="K29" s="162">
        <v>0</v>
      </c>
      <c r="L29" s="404"/>
      <c r="M29" s="409"/>
      <c r="N29" s="410"/>
      <c r="O29" s="409"/>
      <c r="P29" s="410"/>
      <c r="Q29" s="409"/>
      <c r="R29" s="410"/>
      <c r="S29" s="409"/>
    </row>
    <row r="30" spans="2:23" ht="14.5" x14ac:dyDescent="0.35">
      <c r="C30" t="s">
        <v>4038</v>
      </c>
      <c r="D30" s="83">
        <v>250</v>
      </c>
      <c r="E30" s="83">
        <v>250</v>
      </c>
      <c r="F30" s="83">
        <v>250</v>
      </c>
      <c r="G30" s="83">
        <v>250</v>
      </c>
      <c r="H30" s="83">
        <v>250</v>
      </c>
      <c r="I30" s="343">
        <v>250</v>
      </c>
      <c r="J30" s="343">
        <v>250</v>
      </c>
      <c r="K30" s="83">
        <f>SUM(D30:J30)</f>
        <v>1750</v>
      </c>
      <c r="L30" s="400"/>
      <c r="M30" s="411">
        <f>+D30+E30+F30+G30+D31+E31+F31+G31</f>
        <v>13000</v>
      </c>
      <c r="N30" s="400"/>
      <c r="O30" s="405">
        <f>+H30+H31</f>
        <v>3250</v>
      </c>
      <c r="P30" s="400"/>
      <c r="Q30" s="405">
        <f>+I30+I31</f>
        <v>3250</v>
      </c>
      <c r="R30" s="400"/>
      <c r="S30" s="405">
        <f>+J30+J31</f>
        <v>3250</v>
      </c>
    </row>
    <row r="31" spans="2:23" ht="12" x14ac:dyDescent="0.3">
      <c r="C31" t="s">
        <v>4039</v>
      </c>
      <c r="D31" s="83">
        <f>250*12</f>
        <v>3000</v>
      </c>
      <c r="E31" s="83">
        <f t="shared" ref="E31:J31" si="2">250*12</f>
        <v>3000</v>
      </c>
      <c r="F31" s="83">
        <f t="shared" si="2"/>
        <v>3000</v>
      </c>
      <c r="G31" s="83">
        <f t="shared" si="2"/>
        <v>3000</v>
      </c>
      <c r="H31" s="83">
        <f t="shared" si="2"/>
        <v>3000</v>
      </c>
      <c r="I31" s="343">
        <f t="shared" si="2"/>
        <v>3000</v>
      </c>
      <c r="J31" s="343">
        <f t="shared" si="2"/>
        <v>3000</v>
      </c>
      <c r="K31" s="408">
        <f>SUM(D31:J31)</f>
        <v>21000</v>
      </c>
      <c r="L31" s="404"/>
      <c r="M31" s="409"/>
      <c r="N31" s="410"/>
      <c r="O31" s="409"/>
      <c r="P31" s="410"/>
      <c r="Q31" s="409"/>
      <c r="R31" s="410"/>
      <c r="S31" s="409"/>
    </row>
    <row r="32" spans="2:23" x14ac:dyDescent="0.2">
      <c r="K32" s="162">
        <f>K31+K30</f>
        <v>22750</v>
      </c>
      <c r="L32" s="406"/>
      <c r="M32" s="411"/>
      <c r="N32" s="404"/>
      <c r="O32" s="411"/>
      <c r="P32" s="404"/>
      <c r="Q32" s="411"/>
      <c r="R32" s="404"/>
      <c r="S32" s="411"/>
    </row>
    <row r="33" spans="2:21" ht="7.5" customHeight="1" x14ac:dyDescent="0.2">
      <c r="D33" s="83"/>
      <c r="L33" s="403"/>
      <c r="M33" s="399"/>
      <c r="N33" s="400"/>
      <c r="O33" s="399"/>
      <c r="P33" s="400"/>
      <c r="Q33" s="399"/>
      <c r="R33" s="400"/>
      <c r="S33" s="399"/>
    </row>
    <row r="34" spans="2:21" ht="14.5" x14ac:dyDescent="0.35">
      <c r="C34" s="412" t="s">
        <v>4040</v>
      </c>
      <c r="D34" s="413"/>
      <c r="E34" s="413"/>
      <c r="F34" s="413"/>
      <c r="G34" s="413"/>
      <c r="H34" s="413"/>
      <c r="I34" s="413"/>
      <c r="J34" s="413"/>
      <c r="K34" s="414">
        <f>K32+K29+K26+K22</f>
        <v>158070.05203647044</v>
      </c>
      <c r="L34" s="415"/>
      <c r="M34" s="399"/>
      <c r="N34" s="400"/>
      <c r="O34" s="399"/>
      <c r="P34" s="400"/>
      <c r="Q34" s="399"/>
      <c r="R34" s="400"/>
      <c r="S34" s="399"/>
    </row>
    <row r="35" spans="2:21" ht="14.5" x14ac:dyDescent="0.35">
      <c r="C35" s="416" t="s">
        <v>4041</v>
      </c>
      <c r="D35" s="417"/>
      <c r="E35" s="418"/>
      <c r="F35" s="418"/>
      <c r="G35" s="418"/>
      <c r="H35" s="418"/>
      <c r="I35" s="418"/>
      <c r="J35" s="418"/>
      <c r="K35" s="419">
        <f>K19+(K20/3)+K23+(K24/3)+(K28/3)+K30+(K31/3)+K21+K25</f>
        <v>98357.694448534428</v>
      </c>
      <c r="L35" s="420">
        <f>+D19+E19+F19+G19+D21+E21+F21+G21+D23+E23+F23+G23+D25+E25+F25+G25+(D20+E20++F20+G20+D24+E24+F24+G24)/3</f>
        <v>57543.486624000019</v>
      </c>
      <c r="M35" s="421">
        <f>+D30+E30+F30+G30+SUM(D31:G31)/3</f>
        <v>5000</v>
      </c>
      <c r="N35" s="422">
        <f>+H19+H21+H23+H25+(H20+H24)/3</f>
        <v>8250.48991967041</v>
      </c>
      <c r="O35" s="421">
        <f>+H30+H31/3</f>
        <v>1250</v>
      </c>
      <c r="P35" s="422">
        <f>+I20/3+I19+I21+I23+I24/3+I25</f>
        <v>11643.161727455998</v>
      </c>
      <c r="Q35" s="421">
        <f>+I30+I31/3</f>
        <v>1250</v>
      </c>
      <c r="R35" s="422">
        <f>+J19+J20/3+J21+J23+J24/3+J25</f>
        <v>12170.556177408</v>
      </c>
      <c r="S35" s="421">
        <f>+J30+J31/3</f>
        <v>1250</v>
      </c>
      <c r="T35" s="423">
        <f>SUM(L35:S35)</f>
        <v>98357.694448534428</v>
      </c>
      <c r="U35" t="s">
        <v>4042</v>
      </c>
    </row>
    <row r="36" spans="2:21" x14ac:dyDescent="0.2">
      <c r="L36" s="383"/>
      <c r="M36" s="383"/>
      <c r="N36" s="383"/>
      <c r="O36" s="383"/>
      <c r="P36" s="383"/>
      <c r="Q36" s="383"/>
      <c r="R36" s="383"/>
      <c r="S36" s="383"/>
    </row>
    <row r="37" spans="2:21" ht="14.5" x14ac:dyDescent="0.35">
      <c r="B37" s="384">
        <v>2</v>
      </c>
      <c r="C37" s="385" t="s">
        <v>4043</v>
      </c>
      <c r="D37" s="385"/>
      <c r="E37" s="385"/>
      <c r="F37" s="385"/>
      <c r="G37" s="385"/>
      <c r="L37" s="828" t="s">
        <v>4015</v>
      </c>
      <c r="M37" s="828"/>
      <c r="N37" s="828">
        <v>2020</v>
      </c>
      <c r="O37" s="828"/>
      <c r="P37" s="828">
        <v>2021</v>
      </c>
      <c r="Q37" s="828"/>
      <c r="R37" s="828">
        <v>2022</v>
      </c>
      <c r="S37" s="828"/>
    </row>
    <row r="38" spans="2:21" ht="5.4" customHeight="1" x14ac:dyDescent="0.2">
      <c r="L38" s="400"/>
      <c r="M38" s="399"/>
      <c r="N38" s="400"/>
      <c r="O38" s="399"/>
      <c r="P38" s="391"/>
      <c r="Q38" s="392"/>
      <c r="R38" s="391"/>
      <c r="S38" s="392"/>
    </row>
    <row r="39" spans="2:21" ht="14.5" x14ac:dyDescent="0.35">
      <c r="C39" s="372" t="s">
        <v>4019</v>
      </c>
      <c r="D39" s="372">
        <v>2016</v>
      </c>
      <c r="E39" s="372">
        <v>2017</v>
      </c>
      <c r="F39" s="372">
        <v>2018</v>
      </c>
      <c r="G39" s="372">
        <v>2019</v>
      </c>
      <c r="H39" s="372">
        <v>2020</v>
      </c>
      <c r="I39" s="372">
        <v>2021</v>
      </c>
      <c r="J39" s="372">
        <v>2022</v>
      </c>
      <c r="K39" s="393" t="s">
        <v>218</v>
      </c>
      <c r="L39" s="424" t="s">
        <v>4020</v>
      </c>
      <c r="M39" s="399" t="s">
        <v>4021</v>
      </c>
      <c r="N39" s="424" t="s">
        <v>4020</v>
      </c>
      <c r="O39" s="399" t="s">
        <v>4021</v>
      </c>
      <c r="P39" s="400"/>
      <c r="Q39" s="399"/>
      <c r="R39" s="400"/>
      <c r="S39" s="399"/>
    </row>
    <row r="40" spans="2:21" ht="14.5" x14ac:dyDescent="0.35">
      <c r="C40" t="s">
        <v>4024</v>
      </c>
      <c r="D40" s="83">
        <f>$G$12*24%</f>
        <v>8402.3616000000056</v>
      </c>
      <c r="E40" s="83">
        <f>$H$12*24%</f>
        <v>9655.0463999999956</v>
      </c>
      <c r="F40" s="83">
        <f>$I$12*24%</f>
        <v>5575.0464000000102</v>
      </c>
      <c r="G40" s="83">
        <f>$J$12*24%</f>
        <v>6813.7536000000027</v>
      </c>
      <c r="H40" s="83">
        <f>$L$12*24%</f>
        <v>4669.2076512000058</v>
      </c>
      <c r="I40" s="343">
        <f>+I19</f>
        <v>6767.3128319999987</v>
      </c>
      <c r="J40" s="343">
        <f>+J19</f>
        <v>7270.3441919999996</v>
      </c>
      <c r="K40" s="83">
        <f>SUM(D40:J40)</f>
        <v>49153.072675200012</v>
      </c>
      <c r="L40" s="400"/>
      <c r="M40" s="399"/>
      <c r="N40" s="400"/>
      <c r="O40" s="399"/>
      <c r="P40" s="400"/>
      <c r="Q40" s="399"/>
      <c r="R40" s="400"/>
      <c r="S40" s="399"/>
    </row>
    <row r="41" spans="2:21" x14ac:dyDescent="0.2">
      <c r="C41" t="s">
        <v>4044</v>
      </c>
      <c r="D41" s="83">
        <f>240%*D40</f>
        <v>20165.667840000013</v>
      </c>
      <c r="E41" s="83">
        <f>240%*E40</f>
        <v>23172.111359999988</v>
      </c>
      <c r="F41" s="83">
        <f t="shared" ref="F41:H41" si="3">240%*F40</f>
        <v>13380.111360000024</v>
      </c>
      <c r="G41" s="83">
        <f t="shared" si="3"/>
        <v>16353.008640000005</v>
      </c>
      <c r="H41" s="83">
        <f t="shared" si="3"/>
        <v>11206.098362880013</v>
      </c>
      <c r="I41" s="343">
        <f>240%*I40</f>
        <v>16241.550796799997</v>
      </c>
      <c r="J41" s="343">
        <f>240%*J40</f>
        <v>17448.826060799998</v>
      </c>
      <c r="K41" s="83">
        <f>SUM(D41:J41)</f>
        <v>117967.37442048005</v>
      </c>
      <c r="L41" s="398"/>
      <c r="M41" s="399"/>
      <c r="N41" s="400"/>
      <c r="O41" s="399"/>
      <c r="P41" s="400"/>
      <c r="Q41" s="399"/>
      <c r="R41" s="400"/>
      <c r="S41" s="399"/>
    </row>
    <row r="42" spans="2:21" x14ac:dyDescent="0.2">
      <c r="C42" t="s">
        <v>4028</v>
      </c>
      <c r="D42" s="83">
        <f>+D40*4%*7</f>
        <v>2352.6612480000017</v>
      </c>
      <c r="E42" s="83">
        <f>+E40*4%*6</f>
        <v>2317.211135999999</v>
      </c>
      <c r="F42" s="83">
        <f>+F40*4%*5</f>
        <v>1115.009280000002</v>
      </c>
      <c r="G42" s="83">
        <f>+G40*4%*4</f>
        <v>1090.2005760000004</v>
      </c>
      <c r="H42" s="83">
        <f>+H40*4%*3</f>
        <v>560.30491814400068</v>
      </c>
      <c r="I42" s="343">
        <f>+I40*4%*2</f>
        <v>541.38502655999991</v>
      </c>
      <c r="J42" s="343">
        <f>+J40*4%*1</f>
        <v>290.81376768000001</v>
      </c>
      <c r="K42" s="83">
        <f>SUM(D42:J42)</f>
        <v>8267.5859523840027</v>
      </c>
      <c r="L42" s="398"/>
      <c r="M42" s="399"/>
      <c r="N42" s="400"/>
      <c r="O42" s="399"/>
      <c r="P42" s="400"/>
      <c r="Q42" s="399"/>
      <c r="R42" s="400"/>
      <c r="S42" s="399"/>
    </row>
    <row r="43" spans="2:21" x14ac:dyDescent="0.2">
      <c r="I43" s="343"/>
      <c r="J43" s="343"/>
      <c r="K43" s="162">
        <f>K41+K40+K42</f>
        <v>175388.03304806404</v>
      </c>
      <c r="L43" s="398"/>
      <c r="M43" s="399"/>
      <c r="N43" s="400"/>
      <c r="O43" s="399"/>
      <c r="P43" s="400"/>
      <c r="Q43" s="399"/>
      <c r="R43" s="400"/>
      <c r="S43" s="399"/>
    </row>
    <row r="44" spans="2:21" ht="14.5" x14ac:dyDescent="0.35">
      <c r="C44" t="s">
        <v>4031</v>
      </c>
      <c r="D44" s="83">
        <f>$G$12*3.9%</f>
        <v>1365.3837600000011</v>
      </c>
      <c r="E44" s="83">
        <f>$H$12*3.9%</f>
        <v>1568.9450399999994</v>
      </c>
      <c r="F44" s="83">
        <f>$I$12*3.9%</f>
        <v>905.94504000000177</v>
      </c>
      <c r="G44" s="83">
        <f>$J$12*3.9%</f>
        <v>1107.2349600000005</v>
      </c>
      <c r="H44" s="83">
        <f>$L$12*3.9%</f>
        <v>758.74624332000099</v>
      </c>
      <c r="I44" s="343">
        <f>+I23</f>
        <v>1099.6883351999998</v>
      </c>
      <c r="J44" s="343">
        <f>+J23</f>
        <v>1181.4309312</v>
      </c>
      <c r="K44" s="83">
        <f>SUM(D44:J44)</f>
        <v>7987.3743097200022</v>
      </c>
      <c r="L44" s="398"/>
      <c r="M44" s="399"/>
      <c r="N44" s="400"/>
      <c r="O44" s="399"/>
      <c r="P44" s="400"/>
      <c r="Q44" s="399"/>
      <c r="R44" s="400"/>
      <c r="S44" s="399"/>
    </row>
    <row r="45" spans="2:21" x14ac:dyDescent="0.2">
      <c r="C45" t="s">
        <v>4044</v>
      </c>
      <c r="D45" s="83">
        <f>D44*240%</f>
        <v>3276.9210240000025</v>
      </c>
      <c r="E45" s="83">
        <f>E44*240%</f>
        <v>3765.4680959999982</v>
      </c>
      <c r="F45" s="83">
        <f t="shared" ref="F45:H45" si="4">F44*240%</f>
        <v>2174.2680960000043</v>
      </c>
      <c r="G45" s="83">
        <f t="shared" si="4"/>
        <v>2657.3639040000012</v>
      </c>
      <c r="H45" s="83">
        <f t="shared" si="4"/>
        <v>1820.9909839680024</v>
      </c>
      <c r="I45" s="343">
        <f>I44*240%</f>
        <v>2639.2520044799994</v>
      </c>
      <c r="J45" s="343">
        <f>J44*240%</f>
        <v>2835.4342348800001</v>
      </c>
      <c r="K45" s="83">
        <f>SUM(D45:J45)</f>
        <v>19169.698343328011</v>
      </c>
      <c r="L45" s="398"/>
      <c r="M45" s="399"/>
      <c r="N45" s="400"/>
      <c r="O45" s="399"/>
      <c r="P45" s="400"/>
      <c r="Q45" s="399"/>
      <c r="R45" s="400"/>
      <c r="S45" s="399"/>
    </row>
    <row r="46" spans="2:21" x14ac:dyDescent="0.2">
      <c r="C46" t="s">
        <v>4034</v>
      </c>
      <c r="D46" s="83">
        <f>+D44*4%*7</f>
        <v>382.30745280000031</v>
      </c>
      <c r="E46" s="83">
        <f>+E44*4%*6</f>
        <v>376.54680959999985</v>
      </c>
      <c r="F46" s="83">
        <f>+F44*4%*5</f>
        <v>181.18900800000034</v>
      </c>
      <c r="G46" s="83">
        <f>+G44*4%*4</f>
        <v>177.15759360000007</v>
      </c>
      <c r="H46" s="83">
        <f>+H44*4%*3</f>
        <v>91.049549198400115</v>
      </c>
      <c r="I46" s="343">
        <f>+I44*4%*2</f>
        <v>87.97506681599998</v>
      </c>
      <c r="J46" s="343">
        <f>+J44*4%*1</f>
        <v>47.257237248000003</v>
      </c>
      <c r="K46" s="83">
        <f>SUM(D46:J46)</f>
        <v>1343.4827172624007</v>
      </c>
      <c r="L46" s="398"/>
      <c r="M46" s="399"/>
      <c r="N46" s="400"/>
      <c r="O46" s="399"/>
      <c r="P46" s="400"/>
      <c r="Q46" s="399"/>
      <c r="R46" s="400"/>
      <c r="S46" s="399"/>
    </row>
    <row r="47" spans="2:21" x14ac:dyDescent="0.2">
      <c r="K47" s="162">
        <f>K45+K44+K46</f>
        <v>28500.555370310412</v>
      </c>
      <c r="L47" s="398"/>
      <c r="M47" s="399"/>
      <c r="N47" s="400"/>
      <c r="O47" s="399"/>
      <c r="P47" s="400"/>
      <c r="Q47" s="399"/>
      <c r="R47" s="400"/>
      <c r="S47" s="399"/>
    </row>
    <row r="48" spans="2:21" ht="14.5" x14ac:dyDescent="0.35">
      <c r="C48" s="171" t="s">
        <v>4037</v>
      </c>
      <c r="D48" s="83"/>
      <c r="E48" s="83"/>
      <c r="F48" s="83"/>
      <c r="G48" s="83"/>
      <c r="H48" s="83"/>
      <c r="K48" s="83"/>
      <c r="L48" s="398"/>
      <c r="M48" s="399"/>
      <c r="N48" s="400"/>
      <c r="O48" s="399"/>
      <c r="P48" s="400"/>
      <c r="Q48" s="399"/>
      <c r="R48" s="400"/>
      <c r="S48" s="399"/>
    </row>
    <row r="49" spans="3:21" x14ac:dyDescent="0.2">
      <c r="C49" t="s">
        <v>4044</v>
      </c>
      <c r="D49" s="83"/>
      <c r="E49" s="83"/>
      <c r="F49" s="83"/>
      <c r="G49" s="83"/>
      <c r="H49" s="83"/>
      <c r="K49" s="408"/>
      <c r="L49" s="398"/>
      <c r="M49" s="399"/>
      <c r="N49" s="400"/>
      <c r="O49" s="399"/>
      <c r="P49" s="400"/>
      <c r="Q49" s="399"/>
      <c r="R49" s="400"/>
      <c r="S49" s="399"/>
    </row>
    <row r="50" spans="3:21" x14ac:dyDescent="0.2">
      <c r="K50" s="162"/>
      <c r="L50" s="398"/>
      <c r="M50" s="399"/>
      <c r="N50" s="400"/>
      <c r="O50" s="399"/>
      <c r="P50" s="400"/>
      <c r="Q50" s="399"/>
      <c r="R50" s="400"/>
      <c r="S50" s="399"/>
    </row>
    <row r="51" spans="3:21" ht="14.5" x14ac:dyDescent="0.35">
      <c r="C51" t="s">
        <v>4038</v>
      </c>
      <c r="D51" s="83">
        <v>2000</v>
      </c>
      <c r="E51" s="83">
        <v>2000</v>
      </c>
      <c r="F51" s="83">
        <v>2000</v>
      </c>
      <c r="G51" s="83">
        <v>2000</v>
      </c>
      <c r="H51" s="83">
        <v>2000</v>
      </c>
      <c r="I51" s="83">
        <f>+H51</f>
        <v>2000</v>
      </c>
      <c r="J51" s="83">
        <f>+I51</f>
        <v>2000</v>
      </c>
      <c r="K51" s="83">
        <f>SUM(D51:J51)</f>
        <v>14000</v>
      </c>
      <c r="L51" s="398"/>
      <c r="M51" s="399"/>
      <c r="N51" s="400"/>
      <c r="O51" s="399"/>
      <c r="P51" s="400"/>
      <c r="Q51" s="399"/>
      <c r="R51" s="400"/>
      <c r="S51" s="399"/>
    </row>
    <row r="52" spans="3:21" x14ac:dyDescent="0.2">
      <c r="C52" t="s">
        <v>4039</v>
      </c>
      <c r="D52" s="83">
        <v>120000</v>
      </c>
      <c r="E52" s="83">
        <f>10000*12</f>
        <v>120000</v>
      </c>
      <c r="F52" s="83">
        <f t="shared" ref="F52:H52" si="5">10000*12</f>
        <v>120000</v>
      </c>
      <c r="G52" s="83">
        <f t="shared" si="5"/>
        <v>120000</v>
      </c>
      <c r="H52" s="83">
        <f t="shared" si="5"/>
        <v>120000</v>
      </c>
      <c r="I52" s="83">
        <f>+H52</f>
        <v>120000</v>
      </c>
      <c r="J52" s="83">
        <f>+I52</f>
        <v>120000</v>
      </c>
      <c r="K52" s="408">
        <f>SUM(D52:J52)</f>
        <v>840000</v>
      </c>
      <c r="L52" s="398"/>
      <c r="M52" s="399"/>
      <c r="N52" s="400"/>
      <c r="O52" s="399"/>
      <c r="P52" s="400"/>
      <c r="Q52" s="399"/>
      <c r="R52" s="400"/>
      <c r="S52" s="399"/>
    </row>
    <row r="53" spans="3:21" x14ac:dyDescent="0.2">
      <c r="K53" s="162">
        <f>K52+K51</f>
        <v>854000</v>
      </c>
      <c r="L53" s="398"/>
      <c r="M53" s="399"/>
      <c r="N53" s="400"/>
      <c r="O53" s="399"/>
      <c r="P53" s="400"/>
      <c r="Q53" s="399"/>
      <c r="R53" s="400"/>
      <c r="S53" s="399"/>
    </row>
    <row r="54" spans="3:21" x14ac:dyDescent="0.2">
      <c r="D54" s="83"/>
      <c r="L54" s="400"/>
      <c r="M54" s="399"/>
      <c r="N54" s="400"/>
      <c r="O54" s="399"/>
      <c r="P54" s="400"/>
      <c r="Q54" s="399"/>
      <c r="R54" s="400"/>
      <c r="S54" s="399"/>
    </row>
    <row r="55" spans="3:21" ht="14.5" x14ac:dyDescent="0.35">
      <c r="C55" s="412" t="s">
        <v>4045</v>
      </c>
      <c r="D55" s="413"/>
      <c r="E55" s="413"/>
      <c r="F55" s="413"/>
      <c r="G55" s="413"/>
      <c r="H55" s="413"/>
      <c r="I55" s="413"/>
      <c r="J55" s="413"/>
      <c r="K55" s="414">
        <f>K53+K50+K47+K43</f>
        <v>1057888.5884183745</v>
      </c>
      <c r="L55" s="425"/>
      <c r="M55" s="395"/>
      <c r="N55" s="426"/>
      <c r="O55" s="395"/>
      <c r="P55" s="400"/>
      <c r="Q55" s="399"/>
      <c r="R55" s="400"/>
      <c r="S55" s="399"/>
    </row>
    <row r="56" spans="3:21" ht="14.5" x14ac:dyDescent="0.35">
      <c r="C56" s="416" t="s">
        <v>4041</v>
      </c>
      <c r="D56" s="417"/>
      <c r="E56" s="418"/>
      <c r="F56" s="418"/>
      <c r="G56" s="418"/>
      <c r="H56" s="418"/>
      <c r="I56" s="418"/>
      <c r="J56" s="418"/>
      <c r="K56" s="427">
        <f>K40+(K41/3)+K44+(K45/3)+(K49/3)+K51+(K52/3)+K42+K46</f>
        <v>406463.87324250245</v>
      </c>
      <c r="L56" s="422">
        <f>+D40+E40+F40+G40+D42+E42+F42+G42+D44+E44+F44+G44+D46+E46+F46+G46+SUM(D41+E41+F41+G41+D45+E45+F45+G45)/3</f>
        <v>71700.973344000027</v>
      </c>
      <c r="M56" s="428">
        <f>+D51+E51+F51+G51+SUM(D52+E52+F52+G52)/3</f>
        <v>168000</v>
      </c>
      <c r="N56" s="428">
        <f>+H40+H42+H44+H46++(H41+H45)/3</f>
        <v>10421.671477478412</v>
      </c>
      <c r="O56" s="421">
        <f>+H51+H52/3</f>
        <v>42000</v>
      </c>
      <c r="P56" s="429">
        <f>+I40+I41/3+I42+I44+I45/3+I46</f>
        <v>14789.962194335998</v>
      </c>
      <c r="Q56" s="421">
        <f>+I51+I52/3</f>
        <v>42000</v>
      </c>
      <c r="R56" s="429">
        <f>+J40+J41/3+J42+J44+J45/3+J46</f>
        <v>15551.266226688</v>
      </c>
      <c r="S56" s="421">
        <f>+J51+J52/3</f>
        <v>42000</v>
      </c>
      <c r="T56" s="423">
        <f>SUM(L56:S56)</f>
        <v>406463.87324250239</v>
      </c>
      <c r="U56" s="343" t="s">
        <v>4042</v>
      </c>
    </row>
    <row r="57" spans="3:21" x14ac:dyDescent="0.2">
      <c r="L57" s="383"/>
      <c r="M57" s="383"/>
      <c r="N57" s="383"/>
      <c r="O57" s="383"/>
      <c r="P57" s="383"/>
      <c r="Q57" s="383"/>
      <c r="R57" s="383"/>
      <c r="S57" s="383"/>
    </row>
    <row r="58" spans="3:21" ht="14.5" x14ac:dyDescent="0.35">
      <c r="K58" s="430" t="s">
        <v>4046</v>
      </c>
      <c r="L58" s="431">
        <f>AVERAGE(L56,L35)</f>
        <v>64622.22998400002</v>
      </c>
      <c r="M58" s="431">
        <f t="shared" ref="M58:P58" si="6">AVERAGE(M56,M35)</f>
        <v>86500</v>
      </c>
      <c r="N58" s="431">
        <f t="shared" si="6"/>
        <v>9336.0806985744111</v>
      </c>
      <c r="O58" s="431">
        <f t="shared" si="6"/>
        <v>21625</v>
      </c>
      <c r="P58" s="431">
        <f t="shared" si="6"/>
        <v>13216.561960895997</v>
      </c>
      <c r="Q58" s="431">
        <f>AVERAGE(Q56,Q35)</f>
        <v>21625</v>
      </c>
      <c r="R58" s="431">
        <f t="shared" ref="R58" si="7">AVERAGE(R56,R35)</f>
        <v>13860.911202047999</v>
      </c>
      <c r="S58" s="431">
        <f>AVERAGE(S56,S35)</f>
        <v>21625</v>
      </c>
      <c r="T58" s="432">
        <f>AVERAGE(T56,T35)</f>
        <v>252410.78384551842</v>
      </c>
      <c r="U58" s="433" t="s">
        <v>4047</v>
      </c>
    </row>
    <row r="61" spans="3:21" x14ac:dyDescent="0.2">
      <c r="J61" t="s">
        <v>4048</v>
      </c>
      <c r="K61" s="824">
        <v>2019</v>
      </c>
      <c r="L61" s="825"/>
      <c r="M61" s="826">
        <v>2020</v>
      </c>
      <c r="N61" s="827"/>
      <c r="O61" s="826">
        <v>2021</v>
      </c>
      <c r="P61" s="827"/>
      <c r="Q61" s="826">
        <v>2022</v>
      </c>
      <c r="R61" s="827"/>
      <c r="S61" s="826"/>
      <c r="T61" s="827"/>
    </row>
    <row r="62" spans="3:21" x14ac:dyDescent="0.2">
      <c r="I62">
        <v>940125</v>
      </c>
      <c r="J62" s="90" t="s">
        <v>4049</v>
      </c>
      <c r="K62" s="434">
        <f>+L58</f>
        <v>64622.22998400002</v>
      </c>
      <c r="L62" s="435"/>
      <c r="M62" s="434">
        <f>+N58</f>
        <v>9336.0806985744111</v>
      </c>
      <c r="N62" s="435"/>
      <c r="O62" s="434">
        <f>+P58</f>
        <v>13216.561960895997</v>
      </c>
      <c r="P62" s="435"/>
      <c r="Q62" s="434">
        <f>+R58</f>
        <v>13860.911202047999</v>
      </c>
      <c r="R62" s="435"/>
      <c r="S62" s="434"/>
      <c r="T62" s="435"/>
    </row>
    <row r="63" spans="3:21" x14ac:dyDescent="0.2">
      <c r="I63">
        <v>680830</v>
      </c>
      <c r="J63" s="90" t="s">
        <v>4050</v>
      </c>
      <c r="K63" s="434">
        <f>+M58</f>
        <v>86500</v>
      </c>
      <c r="L63" s="435"/>
      <c r="M63" s="434">
        <f>+O58</f>
        <v>21625</v>
      </c>
      <c r="N63" s="435"/>
      <c r="O63" s="434">
        <f>+Q58</f>
        <v>21625</v>
      </c>
      <c r="P63" s="435"/>
      <c r="Q63" s="434">
        <f>+S58</f>
        <v>21625</v>
      </c>
      <c r="R63" s="435"/>
      <c r="S63" s="434"/>
      <c r="T63" s="435"/>
    </row>
    <row r="64" spans="3:21" x14ac:dyDescent="0.2">
      <c r="I64">
        <v>240500</v>
      </c>
      <c r="J64" s="90" t="s">
        <v>4051</v>
      </c>
      <c r="K64" s="436"/>
      <c r="L64" s="437">
        <f>+K63+K62</f>
        <v>151122.22998400003</v>
      </c>
      <c r="M64" s="436"/>
      <c r="N64" s="437">
        <f>+M63+M62</f>
        <v>30961.080698574413</v>
      </c>
      <c r="O64" s="436"/>
      <c r="P64" s="437">
        <f>+O63+O62</f>
        <v>34841.561960895997</v>
      </c>
      <c r="Q64" s="436"/>
      <c r="R64" s="437">
        <f>+Q63+Q62</f>
        <v>35485.911202047995</v>
      </c>
      <c r="S64" s="436"/>
      <c r="T64" s="437"/>
    </row>
    <row r="65" spans="16:18" x14ac:dyDescent="0.2">
      <c r="P65" t="s">
        <v>4052</v>
      </c>
      <c r="Q65">
        <v>8686.1</v>
      </c>
    </row>
    <row r="66" spans="16:18" x14ac:dyDescent="0.2">
      <c r="P66" t="s">
        <v>4052</v>
      </c>
      <c r="Q66">
        <v>21625</v>
      </c>
    </row>
    <row r="67" spans="16:18" x14ac:dyDescent="0.2">
      <c r="P67" t="s">
        <v>4052</v>
      </c>
      <c r="R67">
        <v>30311.1</v>
      </c>
    </row>
    <row r="68" spans="16:18" x14ac:dyDescent="0.2">
      <c r="P68" t="s">
        <v>3910</v>
      </c>
      <c r="Q68" s="438">
        <f>+Q62-Q65</f>
        <v>5174.8112020479984</v>
      </c>
    </row>
    <row r="69" spans="16:18" x14ac:dyDescent="0.2">
      <c r="P69" t="s">
        <v>3910</v>
      </c>
      <c r="R69" s="438">
        <f>+R64-R67</f>
        <v>5174.8112020479966</v>
      </c>
    </row>
  </sheetData>
  <mergeCells count="13">
    <mergeCell ref="L16:M16"/>
    <mergeCell ref="N16:O16"/>
    <mergeCell ref="P16:Q16"/>
    <mergeCell ref="R16:S16"/>
    <mergeCell ref="L37:M37"/>
    <mergeCell ref="N37:O37"/>
    <mergeCell ref="P37:Q37"/>
    <mergeCell ref="R37:S37"/>
    <mergeCell ref="K61:L61"/>
    <mergeCell ref="M61:N61"/>
    <mergeCell ref="O61:P61"/>
    <mergeCell ref="Q61:R61"/>
    <mergeCell ref="S61:T6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5B67-AAE5-4978-B4CA-4E6CD22E6624}">
  <sheetPr codeName="Sheet19"/>
  <dimension ref="B2:G12"/>
  <sheetViews>
    <sheetView zoomScale="130" zoomScaleNormal="130" workbookViewId="0">
      <selection activeCell="H47" sqref="H47"/>
    </sheetView>
  </sheetViews>
  <sheetFormatPr defaultColWidth="10.33203125" defaultRowHeight="10" x14ac:dyDescent="0.2"/>
  <cols>
    <col min="2" max="2" width="12" bestFit="1" customWidth="1"/>
    <col min="3" max="3" width="20.109375" customWidth="1"/>
    <col min="4" max="4" width="14.88671875" customWidth="1"/>
    <col min="5" max="5" width="12.44140625" customWidth="1"/>
    <col min="6" max="6" width="15.6640625" customWidth="1"/>
    <col min="7" max="7" width="10.88671875" style="24" customWidth="1"/>
  </cols>
  <sheetData>
    <row r="2" spans="2:7" x14ac:dyDescent="0.2">
      <c r="B2" t="s">
        <v>3893</v>
      </c>
    </row>
    <row r="4" spans="2:7" x14ac:dyDescent="0.2">
      <c r="B4" s="829" t="s">
        <v>3879</v>
      </c>
      <c r="C4" s="829"/>
      <c r="D4" s="829"/>
      <c r="E4" s="265">
        <v>176346.44000000041</v>
      </c>
    </row>
    <row r="5" spans="2:7" ht="14.5" x14ac:dyDescent="0.35">
      <c r="B5" s="149" t="s">
        <v>3894</v>
      </c>
      <c r="C5" s="149" t="s">
        <v>3895</v>
      </c>
      <c r="D5" s="149" t="s">
        <v>3896</v>
      </c>
      <c r="E5" s="266"/>
      <c r="F5" s="149" t="s">
        <v>3897</v>
      </c>
      <c r="G5" s="269" t="s">
        <v>3898</v>
      </c>
    </row>
    <row r="6" spans="2:7" x14ac:dyDescent="0.2">
      <c r="B6" s="149">
        <v>940100</v>
      </c>
      <c r="C6" s="149">
        <v>220200</v>
      </c>
      <c r="D6" s="267">
        <v>8.2532482199894307E-3</v>
      </c>
      <c r="E6" s="162">
        <f>D6*$E$4</f>
        <v>1455.4309420314762</v>
      </c>
      <c r="F6" s="268">
        <v>-1326.51</v>
      </c>
      <c r="G6" s="269">
        <f>E6+F6</f>
        <v>128.92094203147622</v>
      </c>
    </row>
    <row r="7" spans="2:7" x14ac:dyDescent="0.2">
      <c r="B7" s="149">
        <v>940125</v>
      </c>
      <c r="C7" s="149">
        <v>220200</v>
      </c>
      <c r="D7" s="267">
        <v>0.14999934313043692</v>
      </c>
      <c r="E7" s="162">
        <f>D7*$E$4</f>
        <v>26451.850163391067</v>
      </c>
      <c r="F7" s="268">
        <v>-24108.85</v>
      </c>
      <c r="G7" s="269">
        <f>E7+F7</f>
        <v>2343.0001633910688</v>
      </c>
    </row>
    <row r="8" spans="2:7" x14ac:dyDescent="0.2">
      <c r="B8" s="149">
        <v>940150</v>
      </c>
      <c r="C8" s="149">
        <v>220250</v>
      </c>
      <c r="D8" s="267">
        <v>0.17149592931574956</v>
      </c>
      <c r="E8" s="162">
        <f>D8*$E$4-91.3</f>
        <v>30151.39660932414</v>
      </c>
      <c r="F8" s="268">
        <v>-27472.62</v>
      </c>
      <c r="G8" s="269">
        <f>E8+F8</f>
        <v>2678.7766093241407</v>
      </c>
    </row>
    <row r="9" spans="2:7" x14ac:dyDescent="0.2">
      <c r="D9" s="86"/>
      <c r="E9" s="162">
        <f>SUM(E6:E8)</f>
        <v>58058.677714746678</v>
      </c>
      <c r="F9" s="268">
        <f>SUM(F6:F8)</f>
        <v>-52907.979999999996</v>
      </c>
      <c r="G9" s="269">
        <f>SUM(G6:G8)</f>
        <v>5150.697714746686</v>
      </c>
    </row>
    <row r="11" spans="2:7" x14ac:dyDescent="0.2">
      <c r="E11" s="83"/>
    </row>
    <row r="12" spans="2:7" x14ac:dyDescent="0.2">
      <c r="E12" s="83"/>
    </row>
  </sheetData>
  <mergeCells count="1">
    <mergeCell ref="B4:D4"/>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A2B68-F108-4AB9-983A-0DF32B11AA67}">
  <sheetPr codeName="Sheet20"/>
  <dimension ref="Q42:W44"/>
  <sheetViews>
    <sheetView topLeftCell="A7" workbookViewId="0">
      <selection activeCell="R44" sqref="R44"/>
    </sheetView>
  </sheetViews>
  <sheetFormatPr defaultRowHeight="10" x14ac:dyDescent="0.2"/>
  <cols>
    <col min="17" max="17" width="13.44140625" customWidth="1"/>
    <col min="19" max="19" width="13" customWidth="1"/>
    <col min="21" max="21" width="10.44140625" bestFit="1" customWidth="1"/>
    <col min="23" max="23" width="11.109375" bestFit="1" customWidth="1"/>
  </cols>
  <sheetData>
    <row r="42" spans="17:23" x14ac:dyDescent="0.2">
      <c r="Q42" t="s">
        <v>955</v>
      </c>
      <c r="S42" t="s">
        <v>961</v>
      </c>
    </row>
    <row r="43" spans="17:23" x14ac:dyDescent="0.2">
      <c r="Q43" t="s">
        <v>4053</v>
      </c>
      <c r="R43" t="s">
        <v>243</v>
      </c>
      <c r="S43" t="s">
        <v>4053</v>
      </c>
      <c r="U43" t="s">
        <v>4054</v>
      </c>
      <c r="W43" t="s">
        <v>4057</v>
      </c>
    </row>
    <row r="44" spans="17:23" x14ac:dyDescent="0.2">
      <c r="Q44" s="24">
        <v>28698.21</v>
      </c>
      <c r="R44" t="e">
        <f>#REF!*#REF!</f>
        <v>#REF!</v>
      </c>
      <c r="S44" s="24" t="e">
        <f>Q44*R44</f>
        <v>#REF!</v>
      </c>
      <c r="U44" s="24">
        <v>39775.530781386318</v>
      </c>
      <c r="W44" s="26" t="e">
        <f>S44-U44</f>
        <v>#REF!</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1D4FE-48D7-4408-BCAC-16CFD39C94B5}">
  <sheetPr codeName="Sheet3"/>
  <dimension ref="A1:D34"/>
  <sheetViews>
    <sheetView zoomScale="130" zoomScaleNormal="130" workbookViewId="0">
      <selection activeCell="C10" sqref="C10"/>
    </sheetView>
  </sheetViews>
  <sheetFormatPr defaultRowHeight="10" x14ac:dyDescent="0.2"/>
  <cols>
    <col min="4" max="4" width="16.88671875" customWidth="1"/>
  </cols>
  <sheetData>
    <row r="1" spans="1:4" x14ac:dyDescent="0.2">
      <c r="A1" s="504" t="s">
        <v>4276</v>
      </c>
      <c r="B1" s="504" t="s">
        <v>4277</v>
      </c>
      <c r="C1" s="504" t="s">
        <v>4278</v>
      </c>
      <c r="D1" s="504" t="s">
        <v>4279</v>
      </c>
    </row>
    <row r="2" spans="1:4" x14ac:dyDescent="0.2">
      <c r="A2" t="s">
        <v>4055</v>
      </c>
      <c r="B2" t="s">
        <v>961</v>
      </c>
      <c r="C2">
        <v>3.6730152399999998</v>
      </c>
      <c r="D2" s="110">
        <v>45107</v>
      </c>
    </row>
    <row r="3" spans="1:4" x14ac:dyDescent="0.2">
      <c r="A3" t="s">
        <v>958</v>
      </c>
      <c r="B3" t="s">
        <v>961</v>
      </c>
      <c r="C3">
        <v>1.50086016</v>
      </c>
      <c r="D3" s="110">
        <v>45107</v>
      </c>
    </row>
    <row r="4" spans="1:4" x14ac:dyDescent="0.2">
      <c r="A4" t="s">
        <v>4056</v>
      </c>
      <c r="B4" t="s">
        <v>961</v>
      </c>
      <c r="C4">
        <v>4.7898039199999998</v>
      </c>
      <c r="D4" s="110">
        <v>45107</v>
      </c>
    </row>
    <row r="5" spans="1:4" s="14" customFormat="1" x14ac:dyDescent="0.2">
      <c r="A5" s="14" t="s">
        <v>868</v>
      </c>
      <c r="B5" s="14" t="s">
        <v>961</v>
      </c>
      <c r="C5" s="14">
        <v>1.3245564599999999</v>
      </c>
      <c r="D5" s="112">
        <v>45107</v>
      </c>
    </row>
    <row r="6" spans="1:4" x14ac:dyDescent="0.2">
      <c r="A6" t="s">
        <v>4280</v>
      </c>
      <c r="B6" t="s">
        <v>961</v>
      </c>
      <c r="C6">
        <v>0.89510455</v>
      </c>
      <c r="D6" s="110">
        <v>45107</v>
      </c>
    </row>
    <row r="7" spans="1:4" x14ac:dyDescent="0.2">
      <c r="A7" t="s">
        <v>956</v>
      </c>
      <c r="B7" t="s">
        <v>961</v>
      </c>
      <c r="C7">
        <v>0.91605000000000003</v>
      </c>
      <c r="D7" s="110">
        <v>45107</v>
      </c>
    </row>
    <row r="8" spans="1:4" x14ac:dyDescent="0.2">
      <c r="A8" t="s">
        <v>957</v>
      </c>
      <c r="B8" t="s">
        <v>961</v>
      </c>
      <c r="C8">
        <v>0.78699806000000005</v>
      </c>
      <c r="D8" s="110">
        <v>45107</v>
      </c>
    </row>
    <row r="9" spans="1:4" x14ac:dyDescent="0.2">
      <c r="A9" t="s">
        <v>959</v>
      </c>
      <c r="B9" t="s">
        <v>961</v>
      </c>
      <c r="C9">
        <v>82.083333330000002</v>
      </c>
      <c r="D9" s="110">
        <v>45107</v>
      </c>
    </row>
    <row r="10" spans="1:4" x14ac:dyDescent="0.2">
      <c r="A10" t="s">
        <v>3825</v>
      </c>
      <c r="B10" t="s">
        <v>961</v>
      </c>
      <c r="C10">
        <v>10.787211490000001</v>
      </c>
      <c r="D10" s="110">
        <v>45107</v>
      </c>
    </row>
    <row r="11" spans="1:4" x14ac:dyDescent="0.2">
      <c r="A11" t="s">
        <v>955</v>
      </c>
      <c r="B11" t="s">
        <v>961</v>
      </c>
      <c r="C11">
        <v>1.35220312</v>
      </c>
      <c r="D11" s="110">
        <v>45107</v>
      </c>
    </row>
    <row r="12" spans="1:4" x14ac:dyDescent="0.2">
      <c r="A12" t="s">
        <v>961</v>
      </c>
      <c r="B12" t="s">
        <v>961</v>
      </c>
      <c r="C12">
        <v>1</v>
      </c>
      <c r="D12" s="110">
        <v>45107</v>
      </c>
    </row>
    <row r="21" spans="1:4" x14ac:dyDescent="0.2">
      <c r="A21" s="501">
        <v>101</v>
      </c>
      <c r="B21" s="501" t="s">
        <v>61</v>
      </c>
      <c r="C21" t="s">
        <v>956</v>
      </c>
      <c r="D21">
        <f>VLOOKUP(C21,$A$2:$C$12,3,FALSE)</f>
        <v>0.91605000000000003</v>
      </c>
    </row>
    <row r="22" spans="1:4" x14ac:dyDescent="0.2">
      <c r="A22" s="501">
        <v>201</v>
      </c>
      <c r="B22" s="501" t="s">
        <v>27</v>
      </c>
      <c r="C22" t="s">
        <v>961</v>
      </c>
      <c r="D22">
        <f t="shared" ref="D22:D33" si="0">VLOOKUP(C22,$A$2:$C$12,3,FALSE)</f>
        <v>1</v>
      </c>
    </row>
    <row r="23" spans="1:4" x14ac:dyDescent="0.2">
      <c r="A23" s="501">
        <v>202</v>
      </c>
      <c r="B23" s="501" t="s">
        <v>212</v>
      </c>
      <c r="C23" t="s">
        <v>868</v>
      </c>
      <c r="D23">
        <f t="shared" si="0"/>
        <v>1.3245564599999999</v>
      </c>
    </row>
    <row r="24" spans="1:4" x14ac:dyDescent="0.2">
      <c r="A24" s="501">
        <v>203</v>
      </c>
      <c r="B24" s="501" t="s">
        <v>201</v>
      </c>
      <c r="C24" t="s">
        <v>955</v>
      </c>
      <c r="D24">
        <f t="shared" si="0"/>
        <v>1.35220312</v>
      </c>
    </row>
    <row r="25" spans="1:4" x14ac:dyDescent="0.2">
      <c r="A25" s="501">
        <v>204</v>
      </c>
      <c r="B25" s="501" t="s">
        <v>38</v>
      </c>
      <c r="C25" t="s">
        <v>956</v>
      </c>
      <c r="D25">
        <f t="shared" si="0"/>
        <v>0.91605000000000003</v>
      </c>
    </row>
    <row r="26" spans="1:4" x14ac:dyDescent="0.2">
      <c r="A26" s="501">
        <v>205</v>
      </c>
      <c r="B26" s="501" t="s">
        <v>186</v>
      </c>
      <c r="C26" t="s">
        <v>957</v>
      </c>
      <c r="D26">
        <f t="shared" si="0"/>
        <v>0.78699806000000005</v>
      </c>
    </row>
    <row r="27" spans="1:4" x14ac:dyDescent="0.2">
      <c r="A27" s="501">
        <v>206</v>
      </c>
      <c r="B27" s="501" t="s">
        <v>197</v>
      </c>
      <c r="C27" t="s">
        <v>958</v>
      </c>
      <c r="D27">
        <f t="shared" si="0"/>
        <v>1.50086016</v>
      </c>
    </row>
    <row r="28" spans="1:4" x14ac:dyDescent="0.2">
      <c r="A28" s="501">
        <v>207</v>
      </c>
      <c r="B28" s="501" t="s">
        <v>204</v>
      </c>
      <c r="C28" t="s">
        <v>959</v>
      </c>
      <c r="D28">
        <f t="shared" si="0"/>
        <v>82.083333330000002</v>
      </c>
    </row>
    <row r="29" spans="1:4" x14ac:dyDescent="0.2">
      <c r="A29" s="501">
        <v>208</v>
      </c>
      <c r="B29" s="501" t="s">
        <v>193</v>
      </c>
      <c r="C29" t="s">
        <v>3825</v>
      </c>
      <c r="D29">
        <f t="shared" si="0"/>
        <v>10.787211490000001</v>
      </c>
    </row>
    <row r="30" spans="1:4" x14ac:dyDescent="0.2">
      <c r="A30" s="501">
        <v>209</v>
      </c>
      <c r="B30" s="501" t="s">
        <v>308</v>
      </c>
      <c r="C30" t="s">
        <v>4055</v>
      </c>
      <c r="D30">
        <f t="shared" si="0"/>
        <v>3.6730152399999998</v>
      </c>
    </row>
    <row r="31" spans="1:4" x14ac:dyDescent="0.2">
      <c r="A31" s="501">
        <v>210</v>
      </c>
      <c r="B31" s="501" t="s">
        <v>4194</v>
      </c>
      <c r="C31" t="s">
        <v>956</v>
      </c>
      <c r="D31">
        <f t="shared" si="0"/>
        <v>0.91605000000000003</v>
      </c>
    </row>
    <row r="32" spans="1:4" x14ac:dyDescent="0.2">
      <c r="A32" s="501">
        <v>300</v>
      </c>
      <c r="B32" s="501" t="s">
        <v>117</v>
      </c>
      <c r="C32" t="s">
        <v>961</v>
      </c>
      <c r="D32">
        <f t="shared" si="0"/>
        <v>1</v>
      </c>
    </row>
    <row r="33" spans="1:4" x14ac:dyDescent="0.2">
      <c r="A33" s="501">
        <v>400</v>
      </c>
      <c r="B33" s="501" t="s">
        <v>309</v>
      </c>
      <c r="C33" t="s">
        <v>961</v>
      </c>
      <c r="D33">
        <f t="shared" si="0"/>
        <v>1</v>
      </c>
    </row>
    <row r="34" spans="1:4" x14ac:dyDescent="0.2">
      <c r="A34" s="501" t="s">
        <v>218</v>
      </c>
      <c r="B34" s="501" t="s">
        <v>218</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C809B-9764-484D-A1F6-842508A06894}">
  <sheetPr codeName="Sheet21"/>
  <dimension ref="A1:K136"/>
  <sheetViews>
    <sheetView topLeftCell="A84" workbookViewId="0">
      <selection activeCell="R44" sqref="R44"/>
    </sheetView>
  </sheetViews>
  <sheetFormatPr defaultColWidth="9.33203125" defaultRowHeight="10" x14ac:dyDescent="0.2"/>
  <cols>
    <col min="1" max="1" width="54.44140625" customWidth="1"/>
    <col min="2" max="2" width="17.6640625" customWidth="1"/>
    <col min="3" max="3" width="16.88671875" customWidth="1"/>
    <col min="4" max="4" width="11.88671875" bestFit="1" customWidth="1"/>
    <col min="7" max="7" width="11.109375" bestFit="1" customWidth="1"/>
    <col min="8" max="8" width="11.109375" customWidth="1"/>
    <col min="11" max="11" width="11.6640625" bestFit="1" customWidth="1"/>
  </cols>
  <sheetData>
    <row r="1" spans="1:4" ht="15.5" x14ac:dyDescent="0.35">
      <c r="A1" s="831" t="s">
        <v>0</v>
      </c>
      <c r="B1" s="831"/>
      <c r="C1" s="831"/>
      <c r="D1" s="831"/>
    </row>
    <row r="2" spans="1:4" ht="15.5" x14ac:dyDescent="0.35">
      <c r="A2" s="831" t="s">
        <v>4058</v>
      </c>
      <c r="B2" s="831"/>
      <c r="C2" s="831"/>
      <c r="D2" s="831"/>
    </row>
    <row r="3" spans="1:4" ht="18" x14ac:dyDescent="0.4">
      <c r="A3" s="830" t="s">
        <v>4059</v>
      </c>
      <c r="B3" s="830"/>
      <c r="C3" s="830"/>
      <c r="D3" s="830"/>
    </row>
    <row r="4" spans="1:4" ht="18" x14ac:dyDescent="0.4">
      <c r="A4" s="830" t="s">
        <v>3870</v>
      </c>
      <c r="B4" s="830"/>
      <c r="C4" s="830"/>
      <c r="D4" s="830"/>
    </row>
    <row r="5" spans="1:4" ht="18" x14ac:dyDescent="0.4">
      <c r="A5" s="830" t="s">
        <v>4</v>
      </c>
      <c r="B5" s="830"/>
      <c r="C5" s="830"/>
      <c r="D5" s="830"/>
    </row>
    <row r="6" spans="1:4" ht="18" x14ac:dyDescent="0.4">
      <c r="A6" s="830" t="s">
        <v>4</v>
      </c>
      <c r="B6" s="830"/>
      <c r="C6" s="830"/>
      <c r="D6" s="830"/>
    </row>
    <row r="7" spans="1:4" x14ac:dyDescent="0.2">
      <c r="A7" s="248" t="s">
        <v>307</v>
      </c>
      <c r="B7" s="249" t="s">
        <v>4060</v>
      </c>
      <c r="C7" s="249" t="s">
        <v>4061</v>
      </c>
      <c r="D7" s="249" t="s">
        <v>954</v>
      </c>
    </row>
    <row r="8" spans="1:4" ht="10.5" x14ac:dyDescent="0.2">
      <c r="A8" s="250" t="s">
        <v>4062</v>
      </c>
      <c r="B8" s="251"/>
      <c r="C8" s="251"/>
      <c r="D8" s="251"/>
    </row>
    <row r="9" spans="1:4" ht="10.5" x14ac:dyDescent="0.25">
      <c r="A9" s="255" t="s">
        <v>4063</v>
      </c>
      <c r="B9" s="251"/>
      <c r="C9" s="251"/>
      <c r="D9" s="251"/>
    </row>
    <row r="10" spans="1:4" ht="10.5" x14ac:dyDescent="0.25">
      <c r="A10" s="441" t="s">
        <v>4064</v>
      </c>
      <c r="B10" s="251"/>
      <c r="C10" s="251"/>
      <c r="D10" s="251"/>
    </row>
    <row r="11" spans="1:4" ht="10.5" x14ac:dyDescent="0.25">
      <c r="A11" s="444" t="s">
        <v>314</v>
      </c>
      <c r="B11" s="251"/>
      <c r="C11" s="251"/>
      <c r="D11" s="251"/>
    </row>
    <row r="12" spans="1:4" x14ac:dyDescent="0.2">
      <c r="A12" s="445" t="s">
        <v>321</v>
      </c>
      <c r="B12" s="253">
        <v>1729920.53</v>
      </c>
      <c r="C12" s="253">
        <v>1729920.53</v>
      </c>
      <c r="D12" s="253">
        <v>0</v>
      </c>
    </row>
    <row r="13" spans="1:4" ht="10.5" x14ac:dyDescent="0.25">
      <c r="A13" s="446" t="s">
        <v>331</v>
      </c>
      <c r="B13" s="447">
        <f t="shared" ref="B13:D14" si="0">SUM(B12)</f>
        <v>1729920.53</v>
      </c>
      <c r="C13" s="447">
        <f t="shared" si="0"/>
        <v>1729920.53</v>
      </c>
      <c r="D13" s="447">
        <f t="shared" si="0"/>
        <v>0</v>
      </c>
    </row>
    <row r="14" spans="1:4" ht="10.5" x14ac:dyDescent="0.25">
      <c r="A14" s="442" t="s">
        <v>4065</v>
      </c>
      <c r="B14" s="447">
        <f t="shared" si="0"/>
        <v>1729920.53</v>
      </c>
      <c r="C14" s="447">
        <f t="shared" si="0"/>
        <v>1729920.53</v>
      </c>
      <c r="D14" s="447">
        <f t="shared" si="0"/>
        <v>0</v>
      </c>
    </row>
    <row r="15" spans="1:4" ht="10.5" x14ac:dyDescent="0.25">
      <c r="A15" s="441" t="s">
        <v>4066</v>
      </c>
      <c r="B15" s="251"/>
      <c r="C15" s="251"/>
      <c r="D15" s="251"/>
    </row>
    <row r="16" spans="1:4" ht="10.5" x14ac:dyDescent="0.25">
      <c r="A16" s="444" t="s">
        <v>4067</v>
      </c>
      <c r="B16" s="251"/>
      <c r="C16" s="251"/>
      <c r="D16" s="251"/>
    </row>
    <row r="17" spans="1:4" x14ac:dyDescent="0.2">
      <c r="A17" s="445" t="s">
        <v>339</v>
      </c>
      <c r="B17" s="253">
        <v>682976.94</v>
      </c>
      <c r="C17" s="253">
        <v>682976.94</v>
      </c>
      <c r="D17" s="253">
        <v>0</v>
      </c>
    </row>
    <row r="18" spans="1:4" ht="10.5" x14ac:dyDescent="0.25">
      <c r="A18" s="446" t="s">
        <v>4068</v>
      </c>
      <c r="B18" s="447">
        <f t="shared" ref="B18:D19" si="1">SUM(B17)</f>
        <v>682976.94</v>
      </c>
      <c r="C18" s="447">
        <f t="shared" si="1"/>
        <v>682976.94</v>
      </c>
      <c r="D18" s="447">
        <f t="shared" si="1"/>
        <v>0</v>
      </c>
    </row>
    <row r="19" spans="1:4" ht="10.5" x14ac:dyDescent="0.25">
      <c r="A19" s="442" t="s">
        <v>4069</v>
      </c>
      <c r="B19" s="447">
        <f t="shared" si="1"/>
        <v>682976.94</v>
      </c>
      <c r="C19" s="447">
        <f t="shared" si="1"/>
        <v>682976.94</v>
      </c>
      <c r="D19" s="447">
        <f t="shared" si="1"/>
        <v>0</v>
      </c>
    </row>
    <row r="20" spans="1:4" ht="10.5" x14ac:dyDescent="0.25">
      <c r="A20" s="441" t="s">
        <v>4070</v>
      </c>
      <c r="B20" s="251"/>
      <c r="C20" s="251"/>
      <c r="D20" s="251"/>
    </row>
    <row r="21" spans="1:4" x14ac:dyDescent="0.2">
      <c r="A21" s="254" t="s">
        <v>343</v>
      </c>
      <c r="B21" s="253">
        <v>175280.78</v>
      </c>
      <c r="C21" s="253">
        <v>175280.78</v>
      </c>
      <c r="D21" s="253">
        <v>0</v>
      </c>
    </row>
    <row r="22" spans="1:4" x14ac:dyDescent="0.2">
      <c r="A22" s="254" t="s">
        <v>344</v>
      </c>
      <c r="B22" s="253">
        <v>4713.1400000000003</v>
      </c>
      <c r="C22" s="253">
        <v>4714.1400000000003</v>
      </c>
      <c r="D22" s="253">
        <v>-1</v>
      </c>
    </row>
    <row r="23" spans="1:4" x14ac:dyDescent="0.2">
      <c r="A23" s="254" t="s">
        <v>345</v>
      </c>
      <c r="B23" s="253">
        <v>0</v>
      </c>
      <c r="C23" s="253">
        <v>-0.23</v>
      </c>
      <c r="D23" s="253">
        <v>0.23</v>
      </c>
    </row>
    <row r="24" spans="1:4" ht="10.5" x14ac:dyDescent="0.25">
      <c r="A24" s="442" t="s">
        <v>4071</v>
      </c>
      <c r="B24" s="447">
        <f>SUM(B21:B23)</f>
        <v>179993.92</v>
      </c>
      <c r="C24" s="447">
        <f>SUM(C21:C23)</f>
        <v>179994.69</v>
      </c>
      <c r="D24" s="447">
        <f>SUM(D21:D23)</f>
        <v>-0.77</v>
      </c>
    </row>
    <row r="25" spans="1:4" ht="10.5" x14ac:dyDescent="0.25">
      <c r="A25" s="441" t="s">
        <v>4072</v>
      </c>
      <c r="B25" s="251"/>
      <c r="C25" s="251"/>
      <c r="D25" s="251"/>
    </row>
    <row r="26" spans="1:4" ht="10.5" x14ac:dyDescent="0.25">
      <c r="A26" s="444" t="s">
        <v>219</v>
      </c>
      <c r="B26" s="251"/>
      <c r="C26" s="251"/>
      <c r="D26" s="251"/>
    </row>
    <row r="27" spans="1:4" x14ac:dyDescent="0.2">
      <c r="A27" s="445" t="s">
        <v>220</v>
      </c>
      <c r="B27" s="253">
        <v>0</v>
      </c>
      <c r="C27" s="253">
        <v>-136914</v>
      </c>
      <c r="D27" s="253">
        <v>136914</v>
      </c>
    </row>
    <row r="28" spans="1:4" x14ac:dyDescent="0.2">
      <c r="A28" s="445" t="s">
        <v>355</v>
      </c>
      <c r="B28" s="253">
        <v>1100</v>
      </c>
      <c r="C28" s="253">
        <v>1100</v>
      </c>
      <c r="D28" s="253">
        <v>0</v>
      </c>
    </row>
    <row r="29" spans="1:4" x14ac:dyDescent="0.2">
      <c r="A29" s="445" t="s">
        <v>358</v>
      </c>
      <c r="B29" s="253">
        <v>0</v>
      </c>
      <c r="C29" s="253">
        <v>0.12</v>
      </c>
      <c r="D29" s="253">
        <v>-0.12</v>
      </c>
    </row>
    <row r="30" spans="1:4" x14ac:dyDescent="0.2">
      <c r="A30" s="445" t="s">
        <v>359</v>
      </c>
      <c r="B30" s="253">
        <v>2952.72</v>
      </c>
      <c r="C30" s="253">
        <v>2952.72</v>
      </c>
      <c r="D30" s="253">
        <v>0</v>
      </c>
    </row>
    <row r="31" spans="1:4" ht="10.5" x14ac:dyDescent="0.25">
      <c r="A31" s="448" t="s">
        <v>4073</v>
      </c>
      <c r="B31" s="251"/>
      <c r="C31" s="251"/>
      <c r="D31" s="251"/>
    </row>
    <row r="32" spans="1:4" x14ac:dyDescent="0.2">
      <c r="A32" s="449" t="s">
        <v>368</v>
      </c>
      <c r="B32" s="253">
        <v>1676.78</v>
      </c>
      <c r="C32" s="253">
        <v>1676.78</v>
      </c>
      <c r="D32" s="253">
        <v>0</v>
      </c>
    </row>
    <row r="33" spans="1:4" x14ac:dyDescent="0.2">
      <c r="A33" s="449" t="s">
        <v>372</v>
      </c>
      <c r="B33" s="253">
        <v>1195.6600000000001</v>
      </c>
      <c r="C33" s="253">
        <v>1195.6600000000001</v>
      </c>
      <c r="D33" s="253">
        <v>0</v>
      </c>
    </row>
    <row r="34" spans="1:4" ht="10.5" x14ac:dyDescent="0.25">
      <c r="A34" s="450" t="s">
        <v>4074</v>
      </c>
      <c r="B34" s="447">
        <f>SUM(B32:B33)</f>
        <v>2872.44</v>
      </c>
      <c r="C34" s="447">
        <f>SUM(C32:C33)</f>
        <v>2872.44</v>
      </c>
      <c r="D34" s="447">
        <f>SUM(D32:D33)</f>
        <v>0</v>
      </c>
    </row>
    <row r="35" spans="1:4" ht="10.5" x14ac:dyDescent="0.25">
      <c r="A35" s="446" t="s">
        <v>238</v>
      </c>
      <c r="B35" s="447">
        <f>SUM(B27:B30,B34)</f>
        <v>6925.16</v>
      </c>
      <c r="C35" s="447">
        <f>SUM(C27:C30,C34)</f>
        <v>-129988.72</v>
      </c>
      <c r="D35" s="447">
        <f>SUM(D27:D30,D34)</f>
        <v>136913.88</v>
      </c>
    </row>
    <row r="36" spans="1:4" ht="10.5" x14ac:dyDescent="0.25">
      <c r="A36" s="444" t="s">
        <v>4075</v>
      </c>
      <c r="B36" s="251"/>
      <c r="C36" s="251"/>
      <c r="D36" s="251"/>
    </row>
    <row r="37" spans="1:4" x14ac:dyDescent="0.2">
      <c r="A37" s="445" t="s">
        <v>374</v>
      </c>
      <c r="B37" s="253">
        <v>31110.61</v>
      </c>
      <c r="C37" s="253">
        <v>31110.61</v>
      </c>
      <c r="D37" s="253">
        <v>0</v>
      </c>
    </row>
    <row r="38" spans="1:4" ht="10.5" x14ac:dyDescent="0.25">
      <c r="A38" s="446" t="s">
        <v>4076</v>
      </c>
      <c r="B38" s="447">
        <f>SUM(B37)</f>
        <v>31110.61</v>
      </c>
      <c r="C38" s="447">
        <f>SUM(C37)</f>
        <v>31110.61</v>
      </c>
      <c r="D38" s="447">
        <f>SUM(D37)</f>
        <v>0</v>
      </c>
    </row>
    <row r="39" spans="1:4" ht="10.5" x14ac:dyDescent="0.25">
      <c r="A39" s="444" t="s">
        <v>4077</v>
      </c>
      <c r="B39" s="251"/>
      <c r="C39" s="251"/>
      <c r="D39" s="251"/>
    </row>
    <row r="40" spans="1:4" x14ac:dyDescent="0.2">
      <c r="A40" s="445" t="s">
        <v>378</v>
      </c>
      <c r="B40" s="253">
        <v>13144.95</v>
      </c>
      <c r="C40" s="253">
        <v>13144.95</v>
      </c>
      <c r="D40" s="253">
        <v>0</v>
      </c>
    </row>
    <row r="41" spans="1:4" ht="10.5" x14ac:dyDescent="0.25">
      <c r="A41" s="446" t="s">
        <v>4078</v>
      </c>
      <c r="B41" s="447">
        <f>SUM(B40)</f>
        <v>13144.95</v>
      </c>
      <c r="C41" s="447">
        <f>SUM(C40)</f>
        <v>13144.95</v>
      </c>
      <c r="D41" s="447">
        <f>SUM(D40)</f>
        <v>0</v>
      </c>
    </row>
    <row r="42" spans="1:4" ht="10.5" x14ac:dyDescent="0.25">
      <c r="A42" s="444" t="s">
        <v>4079</v>
      </c>
      <c r="B42" s="251"/>
      <c r="C42" s="251"/>
      <c r="D42" s="251"/>
    </row>
    <row r="43" spans="1:4" x14ac:dyDescent="0.2">
      <c r="A43" s="445" t="s">
        <v>348</v>
      </c>
      <c r="B43" s="253">
        <v>573769.5</v>
      </c>
      <c r="C43" s="253">
        <v>573769.5</v>
      </c>
      <c r="D43" s="253">
        <v>0</v>
      </c>
    </row>
    <row r="44" spans="1:4" x14ac:dyDescent="0.2">
      <c r="A44" s="445" t="s">
        <v>350</v>
      </c>
      <c r="B44" s="253">
        <v>-448289.41</v>
      </c>
      <c r="C44" s="253">
        <v>-448289.41</v>
      </c>
      <c r="D44" s="253">
        <v>0</v>
      </c>
    </row>
    <row r="45" spans="1:4" ht="10.5" x14ac:dyDescent="0.25">
      <c r="A45" s="446" t="s">
        <v>4080</v>
      </c>
      <c r="B45" s="447">
        <f>SUM(B43:B44)</f>
        <v>125480.09000000003</v>
      </c>
      <c r="C45" s="447">
        <f>SUM(C43:C44)</f>
        <v>125480.09000000003</v>
      </c>
      <c r="D45" s="447">
        <f>SUM(D43:D44)</f>
        <v>0</v>
      </c>
    </row>
    <row r="46" spans="1:4" ht="10.5" x14ac:dyDescent="0.25">
      <c r="A46" s="442" t="s">
        <v>380</v>
      </c>
      <c r="B46" s="447">
        <f>SUM(B35,B38,B41,B45)</f>
        <v>176660.81000000003</v>
      </c>
      <c r="C46" s="447">
        <f>SUM(C35,C38,C41,C45)</f>
        <v>39746.930000000022</v>
      </c>
      <c r="D46" s="447">
        <f>SUM(D35,D38,D41,D45)</f>
        <v>136913.88</v>
      </c>
    </row>
    <row r="47" spans="1:4" ht="10.5" x14ac:dyDescent="0.25">
      <c r="A47" s="451" t="s">
        <v>381</v>
      </c>
      <c r="B47" s="452">
        <f>B14+B19+B24+B46</f>
        <v>2769552.1999999997</v>
      </c>
      <c r="C47" s="452">
        <f>C14+C19+C24+C46</f>
        <v>2632639.09</v>
      </c>
      <c r="D47" s="452">
        <f>D14+D19+D24+D46</f>
        <v>136913.11000000002</v>
      </c>
    </row>
    <row r="48" spans="1:4" ht="10.5" x14ac:dyDescent="0.25">
      <c r="A48" s="255" t="s">
        <v>4081</v>
      </c>
      <c r="B48" s="251"/>
      <c r="C48" s="251"/>
      <c r="D48" s="251"/>
    </row>
    <row r="49" spans="1:4" ht="10.5" x14ac:dyDescent="0.25">
      <c r="A49" s="441" t="s">
        <v>4082</v>
      </c>
      <c r="B49" s="251"/>
      <c r="C49" s="251"/>
      <c r="D49" s="251"/>
    </row>
    <row r="50" spans="1:4" x14ac:dyDescent="0.2">
      <c r="A50" s="254" t="s">
        <v>387</v>
      </c>
      <c r="B50" s="253">
        <v>73275.070000000007</v>
      </c>
      <c r="C50" s="253">
        <v>73275.070000000007</v>
      </c>
      <c r="D50" s="253">
        <v>0</v>
      </c>
    </row>
    <row r="51" spans="1:4" x14ac:dyDescent="0.2">
      <c r="A51" s="254" t="s">
        <v>390</v>
      </c>
      <c r="B51" s="253">
        <v>385686.89</v>
      </c>
      <c r="C51" s="253">
        <v>385686.89</v>
      </c>
      <c r="D51" s="253">
        <v>0</v>
      </c>
    </row>
    <row r="52" spans="1:4" x14ac:dyDescent="0.2">
      <c r="A52" s="254" t="s">
        <v>775</v>
      </c>
      <c r="B52" s="253">
        <v>0</v>
      </c>
      <c r="C52" s="253">
        <v>12000</v>
      </c>
      <c r="D52" s="253">
        <v>-12000</v>
      </c>
    </row>
    <row r="53" spans="1:4" ht="10.5" x14ac:dyDescent="0.25">
      <c r="A53" s="442" t="s">
        <v>4083</v>
      </c>
      <c r="B53" s="447">
        <f>SUM(B50:B52)</f>
        <v>458961.96</v>
      </c>
      <c r="C53" s="447">
        <f>SUM(C50:C52)</f>
        <v>470961.96</v>
      </c>
      <c r="D53" s="447">
        <f>SUM(D50:D52)</f>
        <v>-12000</v>
      </c>
    </row>
    <row r="54" spans="1:4" ht="10.5" x14ac:dyDescent="0.25">
      <c r="A54" s="441" t="s">
        <v>4084</v>
      </c>
      <c r="B54" s="251"/>
      <c r="C54" s="251"/>
      <c r="D54" s="251"/>
    </row>
    <row r="55" spans="1:4" x14ac:dyDescent="0.2">
      <c r="A55" s="254" t="s">
        <v>392</v>
      </c>
      <c r="B55" s="253">
        <v>-49523.55</v>
      </c>
      <c r="C55" s="253">
        <v>-49523.55</v>
      </c>
      <c r="D55" s="253">
        <v>0</v>
      </c>
    </row>
    <row r="56" spans="1:4" x14ac:dyDescent="0.2">
      <c r="A56" s="254" t="s">
        <v>393</v>
      </c>
      <c r="B56" s="253">
        <v>0</v>
      </c>
      <c r="C56" s="253">
        <v>-7999.92</v>
      </c>
      <c r="D56" s="253">
        <v>7999.92</v>
      </c>
    </row>
    <row r="57" spans="1:4" x14ac:dyDescent="0.2">
      <c r="A57" s="254" t="s">
        <v>395</v>
      </c>
      <c r="B57" s="253">
        <v>-131776.04999999999</v>
      </c>
      <c r="C57" s="253">
        <v>-131776.04999999999</v>
      </c>
      <c r="D57" s="253">
        <v>0</v>
      </c>
    </row>
    <row r="58" spans="1:4" ht="10.5" x14ac:dyDescent="0.25">
      <c r="A58" s="442" t="s">
        <v>4085</v>
      </c>
      <c r="B58" s="447">
        <f>SUM(B55:B57)</f>
        <v>-181299.59999999998</v>
      </c>
      <c r="C58" s="447">
        <f>SUM(C55:C57)</f>
        <v>-189299.52</v>
      </c>
      <c r="D58" s="447">
        <f>SUM(D55:D57)</f>
        <v>7999.92</v>
      </c>
    </row>
    <row r="59" spans="1:4" ht="10.5" x14ac:dyDescent="0.25">
      <c r="A59" s="439" t="s">
        <v>4086</v>
      </c>
      <c r="B59" s="447">
        <f>SUM(B53,B58)</f>
        <v>277662.36000000004</v>
      </c>
      <c r="C59" s="447">
        <f>SUM(C53,C58)</f>
        <v>281662.44000000006</v>
      </c>
      <c r="D59" s="447">
        <f>SUM(D53,D58)</f>
        <v>-4000.08</v>
      </c>
    </row>
    <row r="60" spans="1:4" ht="10.5" x14ac:dyDescent="0.25">
      <c r="A60" s="255" t="s">
        <v>411</v>
      </c>
      <c r="B60" s="251"/>
      <c r="C60" s="251"/>
      <c r="D60" s="251"/>
    </row>
    <row r="61" spans="1:4" ht="10.5" x14ac:dyDescent="0.25">
      <c r="A61" s="441" t="s">
        <v>4087</v>
      </c>
      <c r="B61" s="251"/>
      <c r="C61" s="251"/>
      <c r="D61" s="251"/>
    </row>
    <row r="62" spans="1:4" x14ac:dyDescent="0.2">
      <c r="A62" s="254" t="s">
        <v>429</v>
      </c>
      <c r="B62" s="253">
        <v>144690.01999999999</v>
      </c>
      <c r="C62" s="253">
        <v>144690.01999999999</v>
      </c>
      <c r="D62" s="253">
        <v>0</v>
      </c>
    </row>
    <row r="63" spans="1:4" x14ac:dyDescent="0.2">
      <c r="A63" s="254" t="s">
        <v>383</v>
      </c>
      <c r="B63" s="253">
        <v>276013.15999999997</v>
      </c>
      <c r="C63" s="253">
        <v>276013.15999999997</v>
      </c>
      <c r="D63" s="253">
        <v>0</v>
      </c>
    </row>
    <row r="64" spans="1:4" ht="10.5" x14ac:dyDescent="0.25">
      <c r="A64" s="442" t="s">
        <v>4088</v>
      </c>
      <c r="B64" s="447">
        <f>SUM(B62:B63)</f>
        <v>420703.17999999993</v>
      </c>
      <c r="C64" s="447">
        <f>SUM(C62:C63)</f>
        <v>420703.17999999993</v>
      </c>
      <c r="D64" s="447">
        <f>SUM(D62:D63)</f>
        <v>0</v>
      </c>
    </row>
    <row r="65" spans="1:4" ht="10.5" x14ac:dyDescent="0.25">
      <c r="A65" s="441" t="s">
        <v>4089</v>
      </c>
      <c r="B65" s="251"/>
      <c r="C65" s="251"/>
      <c r="D65" s="251"/>
    </row>
    <row r="66" spans="1:4" x14ac:dyDescent="0.2">
      <c r="A66" s="254" t="s">
        <v>409</v>
      </c>
      <c r="B66" s="253">
        <v>483392.43</v>
      </c>
      <c r="C66" s="253">
        <v>483392.43</v>
      </c>
      <c r="D66" s="253">
        <v>0</v>
      </c>
    </row>
    <row r="67" spans="1:4" x14ac:dyDescent="0.2">
      <c r="A67" s="254" t="s">
        <v>410</v>
      </c>
      <c r="B67" s="253">
        <v>-40743.72</v>
      </c>
      <c r="C67" s="253">
        <v>-40743.71</v>
      </c>
      <c r="D67" s="253">
        <v>-0.01</v>
      </c>
    </row>
    <row r="68" spans="1:4" ht="10.5" x14ac:dyDescent="0.25">
      <c r="A68" s="442" t="s">
        <v>4090</v>
      </c>
      <c r="B68" s="447">
        <f>SUM(B66:B67)</f>
        <v>442648.70999999996</v>
      </c>
      <c r="C68" s="447">
        <f>SUM(C66:C67)</f>
        <v>442648.72</v>
      </c>
      <c r="D68" s="447">
        <f>SUM(D66:D67)</f>
        <v>-0.01</v>
      </c>
    </row>
    <row r="69" spans="1:4" ht="10.5" x14ac:dyDescent="0.25">
      <c r="A69" s="439" t="s">
        <v>4091</v>
      </c>
      <c r="B69" s="447">
        <f>SUM(B64,B68)</f>
        <v>863351.8899999999</v>
      </c>
      <c r="C69" s="447">
        <f>SUM(C64,C68)</f>
        <v>863351.89999999991</v>
      </c>
      <c r="D69" s="447">
        <f>SUM(D64,D68)</f>
        <v>-0.01</v>
      </c>
    </row>
    <row r="70" spans="1:4" ht="10.5" x14ac:dyDescent="0.2">
      <c r="A70" s="440" t="s">
        <v>4092</v>
      </c>
      <c r="B70" s="452">
        <f>B47+B59+B69</f>
        <v>3910566.4499999993</v>
      </c>
      <c r="C70" s="452">
        <f>C47+C59+C69</f>
        <v>3777653.4299999997</v>
      </c>
      <c r="D70" s="452">
        <f>D47+D59+D69</f>
        <v>132913.02000000002</v>
      </c>
    </row>
    <row r="71" spans="1:4" ht="10.5" x14ac:dyDescent="0.2">
      <c r="A71" s="250" t="s">
        <v>4093</v>
      </c>
      <c r="B71" s="251"/>
      <c r="C71" s="251"/>
      <c r="D71" s="251"/>
    </row>
    <row r="72" spans="1:4" ht="10.5" x14ac:dyDescent="0.25">
      <c r="A72" s="255" t="s">
        <v>4094</v>
      </c>
      <c r="B72" s="251"/>
      <c r="C72" s="251"/>
      <c r="D72" s="251"/>
    </row>
    <row r="73" spans="1:4" ht="10.5" x14ac:dyDescent="0.25">
      <c r="A73" s="441" t="s">
        <v>434</v>
      </c>
      <c r="B73" s="251"/>
      <c r="C73" s="251"/>
      <c r="D73" s="251"/>
    </row>
    <row r="74" spans="1:4" ht="10.5" x14ac:dyDescent="0.25">
      <c r="A74" s="444" t="s">
        <v>4095</v>
      </c>
      <c r="B74" s="251"/>
      <c r="C74" s="251"/>
      <c r="D74" s="251"/>
    </row>
    <row r="75" spans="1:4" x14ac:dyDescent="0.2">
      <c r="A75" s="445" t="s">
        <v>435</v>
      </c>
      <c r="B75" s="253">
        <v>38231.410000000003</v>
      </c>
      <c r="C75" s="253">
        <v>38231.410000000003</v>
      </c>
      <c r="D75" s="253">
        <v>0</v>
      </c>
    </row>
    <row r="76" spans="1:4" x14ac:dyDescent="0.2">
      <c r="A76" s="445" t="s">
        <v>436</v>
      </c>
      <c r="B76" s="253">
        <v>1546.62</v>
      </c>
      <c r="C76" s="253">
        <v>1546.62</v>
      </c>
      <c r="D76" s="253">
        <v>0</v>
      </c>
    </row>
    <row r="77" spans="1:4" x14ac:dyDescent="0.2">
      <c r="A77" s="445" t="s">
        <v>776</v>
      </c>
      <c r="B77" s="253">
        <v>0</v>
      </c>
      <c r="C77" s="253">
        <v>-94622.92</v>
      </c>
      <c r="D77" s="253">
        <v>94622.92</v>
      </c>
    </row>
    <row r="78" spans="1:4" ht="10.5" x14ac:dyDescent="0.25">
      <c r="A78" s="448" t="s">
        <v>4096</v>
      </c>
      <c r="B78" s="251"/>
      <c r="C78" s="251"/>
      <c r="D78" s="251"/>
    </row>
    <row r="79" spans="1:4" x14ac:dyDescent="0.2">
      <c r="A79" s="449" t="s">
        <v>438</v>
      </c>
      <c r="B79" s="253">
        <v>235057.55</v>
      </c>
      <c r="C79" s="253">
        <v>235057.55</v>
      </c>
      <c r="D79" s="253">
        <v>0</v>
      </c>
    </row>
    <row r="80" spans="1:4" ht="10.5" x14ac:dyDescent="0.25">
      <c r="A80" s="450" t="s">
        <v>4097</v>
      </c>
      <c r="B80" s="447">
        <f>SUM(B79)</f>
        <v>235057.55</v>
      </c>
      <c r="C80" s="447">
        <f>SUM(C79)</f>
        <v>235057.55</v>
      </c>
      <c r="D80" s="447">
        <f>SUM(D79)</f>
        <v>0</v>
      </c>
    </row>
    <row r="81" spans="1:11" ht="10.5" x14ac:dyDescent="0.25">
      <c r="A81" s="446" t="s">
        <v>4098</v>
      </c>
      <c r="B81" s="447">
        <f>SUM(B75:B77,B80)</f>
        <v>274835.58</v>
      </c>
      <c r="C81" s="447">
        <f>SUM(C75:C77,C80)</f>
        <v>180212.66</v>
      </c>
      <c r="D81" s="447">
        <f>SUM(D75:D77,D80)</f>
        <v>94622.92</v>
      </c>
    </row>
    <row r="82" spans="1:11" ht="10.5" x14ac:dyDescent="0.25">
      <c r="A82" s="442" t="s">
        <v>4099</v>
      </c>
      <c r="B82" s="447">
        <f>SUM(B81)</f>
        <v>274835.58</v>
      </c>
      <c r="C82" s="447">
        <f>SUM(C81)</f>
        <v>180212.66</v>
      </c>
      <c r="D82" s="447">
        <f>SUM(D81)</f>
        <v>94622.92</v>
      </c>
    </row>
    <row r="83" spans="1:11" ht="10.5" x14ac:dyDescent="0.25">
      <c r="A83" s="441" t="s">
        <v>4100</v>
      </c>
      <c r="B83" s="251"/>
      <c r="C83" s="251"/>
      <c r="D83" s="251"/>
    </row>
    <row r="84" spans="1:11" ht="10.5" x14ac:dyDescent="0.25">
      <c r="A84" s="444" t="s">
        <v>4101</v>
      </c>
      <c r="B84" s="251"/>
      <c r="C84" s="251"/>
      <c r="D84" s="251"/>
    </row>
    <row r="85" spans="1:11" x14ac:dyDescent="0.2">
      <c r="A85" s="445" t="s">
        <v>465</v>
      </c>
      <c r="B85" s="253">
        <v>33063.019999999997</v>
      </c>
      <c r="C85" s="253">
        <v>33063.019999999997</v>
      </c>
      <c r="D85" s="253">
        <v>0</v>
      </c>
    </row>
    <row r="86" spans="1:11" ht="10.5" x14ac:dyDescent="0.25">
      <c r="A86" s="446" t="s">
        <v>4102</v>
      </c>
      <c r="B86" s="447">
        <f>SUM(B85)</f>
        <v>33063.019999999997</v>
      </c>
      <c r="C86" s="447">
        <f>SUM(C85)</f>
        <v>33063.019999999997</v>
      </c>
      <c r="D86" s="447">
        <f>SUM(D85)</f>
        <v>0</v>
      </c>
    </row>
    <row r="87" spans="1:11" ht="10.5" x14ac:dyDescent="0.25">
      <c r="A87" s="444" t="s">
        <v>4103</v>
      </c>
      <c r="B87" s="251"/>
      <c r="C87" s="251"/>
      <c r="D87" s="251"/>
    </row>
    <row r="88" spans="1:11" x14ac:dyDescent="0.2">
      <c r="A88" s="445" t="s">
        <v>455</v>
      </c>
      <c r="B88" s="253">
        <v>23022.26</v>
      </c>
      <c r="C88" s="253">
        <v>23022.26</v>
      </c>
      <c r="D88" s="253">
        <v>0</v>
      </c>
    </row>
    <row r="89" spans="1:11" x14ac:dyDescent="0.2">
      <c r="A89" s="445" t="s">
        <v>449</v>
      </c>
      <c r="B89" s="253">
        <v>14400.79</v>
      </c>
      <c r="C89" s="253">
        <v>14400.79</v>
      </c>
      <c r="D89" s="253">
        <v>0</v>
      </c>
    </row>
    <row r="90" spans="1:11" x14ac:dyDescent="0.2">
      <c r="A90" s="445" t="s">
        <v>444</v>
      </c>
      <c r="B90" s="253">
        <v>117648.64</v>
      </c>
      <c r="C90" s="253">
        <v>117648.64</v>
      </c>
      <c r="D90" s="253">
        <v>0</v>
      </c>
    </row>
    <row r="91" spans="1:11" x14ac:dyDescent="0.2">
      <c r="A91" s="445" t="s">
        <v>451</v>
      </c>
      <c r="B91" s="253">
        <v>191852.38</v>
      </c>
      <c r="C91" s="253">
        <v>191852.38</v>
      </c>
      <c r="D91" s="253">
        <v>0</v>
      </c>
    </row>
    <row r="92" spans="1:11" x14ac:dyDescent="0.2">
      <c r="A92" s="445" t="s">
        <v>441</v>
      </c>
      <c r="B92" s="253">
        <v>3537.02</v>
      </c>
      <c r="C92" s="253">
        <v>3537.02</v>
      </c>
      <c r="D92" s="253">
        <v>0</v>
      </c>
      <c r="G92" t="s">
        <v>4133</v>
      </c>
    </row>
    <row r="93" spans="1:11" x14ac:dyDescent="0.2">
      <c r="A93" s="445" t="s">
        <v>459</v>
      </c>
      <c r="B93" s="253">
        <v>14910.19</v>
      </c>
      <c r="C93" s="253">
        <v>14910.19</v>
      </c>
      <c r="D93" s="253">
        <v>0</v>
      </c>
    </row>
    <row r="94" spans="1:11" ht="10.5" x14ac:dyDescent="0.25">
      <c r="A94" s="446" t="s">
        <v>4104</v>
      </c>
      <c r="B94" s="447">
        <f>SUM(B88:B93)</f>
        <v>365371.28</v>
      </c>
      <c r="C94" s="447">
        <f>SUM(C88:C93)</f>
        <v>365371.28</v>
      </c>
      <c r="D94" s="447">
        <f>SUM(D88:D93)</f>
        <v>0</v>
      </c>
      <c r="G94" t="s">
        <v>4129</v>
      </c>
      <c r="H94" t="s">
        <v>4130</v>
      </c>
      <c r="I94" t="s">
        <v>4132</v>
      </c>
    </row>
    <row r="95" spans="1:11" ht="10.5" x14ac:dyDescent="0.25">
      <c r="A95" s="444" t="s">
        <v>239</v>
      </c>
      <c r="B95" s="251"/>
      <c r="C95" s="251"/>
      <c r="D95" s="251"/>
      <c r="G95" t="s">
        <v>4128</v>
      </c>
      <c r="H95" t="s">
        <v>4131</v>
      </c>
      <c r="K95" t="s">
        <v>961</v>
      </c>
    </row>
    <row r="96" spans="1:11" s="247" customFormat="1" ht="14.5" x14ac:dyDescent="0.4">
      <c r="A96" s="453" t="s">
        <v>240</v>
      </c>
      <c r="B96" s="454">
        <v>-28385.23</v>
      </c>
      <c r="C96" s="454">
        <v>-9091.33</v>
      </c>
      <c r="D96" s="454">
        <v>-19293.900000000001</v>
      </c>
      <c r="G96" s="455">
        <f>-B96</f>
        <v>28385.23</v>
      </c>
      <c r="H96" s="455" t="e">
        <f>'Tax Payable Proof'!E17</f>
        <v>#REF!</v>
      </c>
      <c r="I96" s="456" t="e">
        <f>H96-G96</f>
        <v>#REF!</v>
      </c>
      <c r="K96" s="458">
        <v>43159.44</v>
      </c>
    </row>
    <row r="97" spans="1:9" ht="26" x14ac:dyDescent="0.7">
      <c r="A97" s="445" t="s">
        <v>481</v>
      </c>
      <c r="B97" s="253">
        <v>71162.98</v>
      </c>
      <c r="C97" s="253">
        <v>71162.98</v>
      </c>
      <c r="D97" s="253">
        <v>0</v>
      </c>
      <c r="I97" s="457" t="s">
        <v>4134</v>
      </c>
    </row>
    <row r="98" spans="1:9" ht="10.5" x14ac:dyDescent="0.25">
      <c r="A98" s="448" t="s">
        <v>4105</v>
      </c>
      <c r="B98" s="251"/>
      <c r="C98" s="251"/>
      <c r="D98" s="251"/>
    </row>
    <row r="99" spans="1:9" x14ac:dyDescent="0.2">
      <c r="A99" s="449" t="s">
        <v>477</v>
      </c>
      <c r="B99" s="253">
        <v>44021.27</v>
      </c>
      <c r="C99" s="253">
        <v>44021.27</v>
      </c>
      <c r="D99" s="253">
        <v>0</v>
      </c>
    </row>
    <row r="100" spans="1:9" x14ac:dyDescent="0.2">
      <c r="A100" s="449" t="s">
        <v>478</v>
      </c>
      <c r="B100" s="253">
        <v>1270.1400000000001</v>
      </c>
      <c r="C100" s="253">
        <v>1270.1400000000001</v>
      </c>
      <c r="D100" s="253">
        <v>0</v>
      </c>
    </row>
    <row r="101" spans="1:9" ht="10.5" x14ac:dyDescent="0.25">
      <c r="A101" s="450" t="s">
        <v>4106</v>
      </c>
      <c r="B101" s="447">
        <f>SUM(B99:B100)</f>
        <v>45291.409999999996</v>
      </c>
      <c r="C101" s="447">
        <f>SUM(C99:C100)</f>
        <v>45291.409999999996</v>
      </c>
      <c r="D101" s="447">
        <f>SUM(D99:D100)</f>
        <v>0</v>
      </c>
    </row>
    <row r="102" spans="1:9" ht="10.5" x14ac:dyDescent="0.25">
      <c r="A102" s="446" t="s">
        <v>304</v>
      </c>
      <c r="B102" s="447">
        <f>SUM(B96:B97,B101)</f>
        <v>88069.16</v>
      </c>
      <c r="C102" s="447">
        <f>SUM(C96:C97,C101)</f>
        <v>107363.06</v>
      </c>
      <c r="D102" s="447">
        <f>SUM(D96:D97,D101)</f>
        <v>-19293.900000000001</v>
      </c>
    </row>
    <row r="103" spans="1:9" ht="10.5" x14ac:dyDescent="0.25">
      <c r="A103" s="444" t="s">
        <v>4107</v>
      </c>
      <c r="B103" s="251"/>
      <c r="C103" s="251"/>
      <c r="D103" s="251"/>
    </row>
    <row r="104" spans="1:9" x14ac:dyDescent="0.2">
      <c r="A104" s="445" t="s">
        <v>483</v>
      </c>
      <c r="B104" s="253">
        <v>2453070.23</v>
      </c>
      <c r="C104" s="253">
        <v>2443696.3199999998</v>
      </c>
      <c r="D104" s="253">
        <v>9373.91</v>
      </c>
    </row>
    <row r="105" spans="1:9" x14ac:dyDescent="0.2">
      <c r="A105" s="445" t="s">
        <v>484</v>
      </c>
      <c r="B105" s="253">
        <v>-0.49</v>
      </c>
      <c r="C105" s="253">
        <v>0.18</v>
      </c>
      <c r="D105" s="253">
        <v>-0.67</v>
      </c>
    </row>
    <row r="106" spans="1:9" x14ac:dyDescent="0.2">
      <c r="A106" s="445" t="s">
        <v>485</v>
      </c>
      <c r="B106" s="253">
        <v>0.32</v>
      </c>
      <c r="C106" s="253">
        <v>0.32</v>
      </c>
      <c r="D106" s="253">
        <v>0</v>
      </c>
    </row>
    <row r="107" spans="1:9" ht="10.5" x14ac:dyDescent="0.25">
      <c r="A107" s="446" t="s">
        <v>4108</v>
      </c>
      <c r="B107" s="447">
        <f>SUM(B104:B106)</f>
        <v>2453070.0599999996</v>
      </c>
      <c r="C107" s="447">
        <f>SUM(C104:C106)</f>
        <v>2443696.8199999998</v>
      </c>
      <c r="D107" s="447">
        <f>SUM(D104:D106)</f>
        <v>9373.24</v>
      </c>
    </row>
    <row r="108" spans="1:9" ht="10.5" x14ac:dyDescent="0.25">
      <c r="A108" s="444" t="s">
        <v>4109</v>
      </c>
      <c r="B108" s="251"/>
      <c r="C108" s="251"/>
      <c r="D108" s="251"/>
    </row>
    <row r="109" spans="1:9" x14ac:dyDescent="0.2">
      <c r="A109" s="445" t="s">
        <v>488</v>
      </c>
      <c r="B109" s="253">
        <v>0</v>
      </c>
      <c r="C109" s="253">
        <v>0.33</v>
      </c>
      <c r="D109" s="253">
        <v>-0.33</v>
      </c>
    </row>
    <row r="110" spans="1:9" ht="10.5" x14ac:dyDescent="0.25">
      <c r="A110" s="446" t="s">
        <v>4110</v>
      </c>
      <c r="B110" s="447">
        <f>SUM(B109)</f>
        <v>0</v>
      </c>
      <c r="C110" s="447">
        <f>SUM(C109)</f>
        <v>0.33</v>
      </c>
      <c r="D110" s="447">
        <f>SUM(D109)</f>
        <v>-0.33</v>
      </c>
    </row>
    <row r="111" spans="1:9" ht="10.5" x14ac:dyDescent="0.25">
      <c r="A111" s="444" t="s">
        <v>4111</v>
      </c>
      <c r="B111" s="251"/>
      <c r="C111" s="251"/>
      <c r="D111" s="251"/>
    </row>
    <row r="112" spans="1:9" x14ac:dyDescent="0.2">
      <c r="A112" s="445" t="s">
        <v>490</v>
      </c>
      <c r="B112" s="253">
        <v>0.2</v>
      </c>
      <c r="C112" s="253">
        <v>-0.18</v>
      </c>
      <c r="D112" s="253">
        <v>0.38</v>
      </c>
    </row>
    <row r="113" spans="1:4" x14ac:dyDescent="0.2">
      <c r="A113" s="445" t="s">
        <v>491</v>
      </c>
      <c r="B113" s="253">
        <v>45424.11</v>
      </c>
      <c r="C113" s="253">
        <v>45424.35</v>
      </c>
      <c r="D113" s="253">
        <v>-0.24</v>
      </c>
    </row>
    <row r="114" spans="1:4" ht="10.5" x14ac:dyDescent="0.25">
      <c r="A114" s="446" t="s">
        <v>4112</v>
      </c>
      <c r="B114" s="447">
        <f>SUM(B112:B113)</f>
        <v>45424.31</v>
      </c>
      <c r="C114" s="447">
        <f>SUM(C112:C113)</f>
        <v>45424.17</v>
      </c>
      <c r="D114" s="447">
        <f>SUM(D112:D113)</f>
        <v>0.14000000000000001</v>
      </c>
    </row>
    <row r="115" spans="1:4" ht="10.5" x14ac:dyDescent="0.25">
      <c r="A115" s="444" t="s">
        <v>4113</v>
      </c>
      <c r="B115" s="251"/>
      <c r="C115" s="251"/>
      <c r="D115" s="251"/>
    </row>
    <row r="116" spans="1:4" x14ac:dyDescent="0.2">
      <c r="A116" s="445" t="s">
        <v>493</v>
      </c>
      <c r="B116" s="253">
        <v>0</v>
      </c>
      <c r="C116" s="253">
        <v>-0.18</v>
      </c>
      <c r="D116" s="253">
        <v>0.18</v>
      </c>
    </row>
    <row r="117" spans="1:4" x14ac:dyDescent="0.2">
      <c r="A117" s="445" t="s">
        <v>494</v>
      </c>
      <c r="B117" s="253">
        <v>-0.14000000000000001</v>
      </c>
      <c r="C117" s="253">
        <v>-481161.14</v>
      </c>
      <c r="D117" s="253">
        <v>481161</v>
      </c>
    </row>
    <row r="118" spans="1:4" ht="10.5" x14ac:dyDescent="0.25">
      <c r="A118" s="446" t="s">
        <v>4114</v>
      </c>
      <c r="B118" s="447">
        <f>SUM(B116:B117)</f>
        <v>-0.14000000000000001</v>
      </c>
      <c r="C118" s="447">
        <f>SUM(C116:C117)</f>
        <v>-481161.32</v>
      </c>
      <c r="D118" s="447">
        <f>SUM(D116:D117)</f>
        <v>481161.18</v>
      </c>
    </row>
    <row r="119" spans="1:4" ht="10.5" x14ac:dyDescent="0.25">
      <c r="A119" s="442" t="s">
        <v>4115</v>
      </c>
      <c r="B119" s="447">
        <f>SUM(B86,B94,B102,B107,B110,B114,B118)</f>
        <v>2984997.6899999995</v>
      </c>
      <c r="C119" s="447">
        <f>SUM(C86,C94,C102,C107,C110,C114,C118)</f>
        <v>2513757.36</v>
      </c>
      <c r="D119" s="447">
        <f>SUM(D86,D94,D102,D107,D110,D114,D118)</f>
        <v>471240.33</v>
      </c>
    </row>
    <row r="120" spans="1:4" ht="10.5" x14ac:dyDescent="0.25">
      <c r="A120" s="255" t="s">
        <v>497</v>
      </c>
      <c r="B120" s="251">
        <f>B82+0+B119</f>
        <v>3259833.2699999996</v>
      </c>
      <c r="C120" s="251">
        <f>C82+0+C119</f>
        <v>2693970.02</v>
      </c>
      <c r="D120" s="251">
        <f>D82+0+D119</f>
        <v>565863.25</v>
      </c>
    </row>
    <row r="121" spans="1:4" ht="10.5" x14ac:dyDescent="0.25">
      <c r="A121" s="255" t="s">
        <v>4116</v>
      </c>
      <c r="B121" s="251"/>
      <c r="C121" s="251"/>
      <c r="D121" s="251"/>
    </row>
    <row r="122" spans="1:4" ht="10.5" x14ac:dyDescent="0.25">
      <c r="A122" s="441" t="s">
        <v>4117</v>
      </c>
      <c r="B122" s="251"/>
      <c r="C122" s="251"/>
      <c r="D122" s="251"/>
    </row>
    <row r="123" spans="1:4" x14ac:dyDescent="0.2">
      <c r="A123" s="254" t="s">
        <v>777</v>
      </c>
      <c r="B123" s="253">
        <v>0</v>
      </c>
      <c r="C123" s="253">
        <v>481161</v>
      </c>
      <c r="D123" s="253">
        <v>-481161</v>
      </c>
    </row>
    <row r="124" spans="1:4" x14ac:dyDescent="0.2">
      <c r="A124" s="254" t="s">
        <v>498</v>
      </c>
      <c r="B124" s="253">
        <v>508504.64</v>
      </c>
      <c r="C124" s="253">
        <v>508504.64</v>
      </c>
      <c r="D124" s="253">
        <v>0</v>
      </c>
    </row>
    <row r="125" spans="1:4" ht="10.5" x14ac:dyDescent="0.25">
      <c r="A125" s="442" t="s">
        <v>4118</v>
      </c>
      <c r="B125" s="447">
        <f>SUM(B123:B124)</f>
        <v>508504.64</v>
      </c>
      <c r="C125" s="447">
        <f>SUM(C123:C124)</f>
        <v>989665.64</v>
      </c>
      <c r="D125" s="447">
        <f>SUM(D123:D124)</f>
        <v>-481161</v>
      </c>
    </row>
    <row r="126" spans="1:4" ht="10.5" x14ac:dyDescent="0.25">
      <c r="A126" s="439" t="s">
        <v>4119</v>
      </c>
      <c r="B126" s="447">
        <f>SUM(B125)</f>
        <v>508504.64</v>
      </c>
      <c r="C126" s="447">
        <f>SUM(C125)</f>
        <v>989665.64</v>
      </c>
      <c r="D126" s="447">
        <f>SUM(D125)</f>
        <v>-481161</v>
      </c>
    </row>
    <row r="127" spans="1:4" ht="10.5" x14ac:dyDescent="0.25">
      <c r="A127" s="255" t="s">
        <v>4120</v>
      </c>
      <c r="B127" s="251"/>
      <c r="C127" s="251"/>
      <c r="D127" s="251"/>
    </row>
    <row r="128" spans="1:4" ht="10.5" hidden="1" x14ac:dyDescent="0.25">
      <c r="A128" s="255" t="s">
        <v>4120</v>
      </c>
      <c r="B128" s="251"/>
      <c r="C128" s="251"/>
      <c r="D128" s="251"/>
    </row>
    <row r="129" spans="1:4" ht="10.5" x14ac:dyDescent="0.25">
      <c r="A129" s="441" t="s">
        <v>4121</v>
      </c>
      <c r="B129" s="251"/>
      <c r="C129" s="251"/>
      <c r="D129" s="251"/>
    </row>
    <row r="130" spans="1:4" x14ac:dyDescent="0.2">
      <c r="A130" s="254" t="s">
        <v>4122</v>
      </c>
      <c r="B130" s="253">
        <v>100000</v>
      </c>
      <c r="C130" s="253">
        <v>100000</v>
      </c>
      <c r="D130" s="253">
        <v>0</v>
      </c>
    </row>
    <row r="131" spans="1:4" ht="10.5" x14ac:dyDescent="0.25">
      <c r="A131" s="442" t="s">
        <v>4123</v>
      </c>
      <c r="B131" s="447">
        <f t="shared" ref="B131:D132" si="2">SUM(B130)</f>
        <v>100000</v>
      </c>
      <c r="C131" s="447">
        <f t="shared" si="2"/>
        <v>100000</v>
      </c>
      <c r="D131" s="447">
        <f t="shared" si="2"/>
        <v>0</v>
      </c>
    </row>
    <row r="132" spans="1:4" ht="10.5" hidden="1" x14ac:dyDescent="0.25">
      <c r="A132" s="439" t="s">
        <v>4124</v>
      </c>
      <c r="B132" s="447">
        <f t="shared" si="2"/>
        <v>100000</v>
      </c>
      <c r="C132" s="447">
        <f t="shared" si="2"/>
        <v>100000</v>
      </c>
      <c r="D132" s="447">
        <f t="shared" si="2"/>
        <v>0</v>
      </c>
    </row>
    <row r="133" spans="1:4" x14ac:dyDescent="0.2">
      <c r="A133" s="252" t="s">
        <v>4125</v>
      </c>
      <c r="B133" s="253">
        <v>-6479.2600000017555</v>
      </c>
      <c r="C133" s="253">
        <v>44890.569999998086</v>
      </c>
      <c r="D133" s="253">
        <v>-51369.829999999994</v>
      </c>
    </row>
    <row r="134" spans="1:4" x14ac:dyDescent="0.2">
      <c r="A134" s="252" t="s">
        <v>527</v>
      </c>
      <c r="B134" s="253">
        <v>48707.800000000134</v>
      </c>
      <c r="C134" s="253">
        <v>-50872.799999999508</v>
      </c>
      <c r="D134" s="253">
        <v>99580.6</v>
      </c>
    </row>
    <row r="135" spans="1:4" ht="10.5" x14ac:dyDescent="0.25">
      <c r="A135" s="451" t="s">
        <v>4126</v>
      </c>
      <c r="B135" s="452">
        <f>B132+B133+B134+0</f>
        <v>142228.53999999838</v>
      </c>
      <c r="C135" s="452">
        <f>C132+C133+C134+0</f>
        <v>94017.769999998578</v>
      </c>
      <c r="D135" s="452">
        <f>D132+D133+D134+0</f>
        <v>48210.770000000011</v>
      </c>
    </row>
    <row r="136" spans="1:4" ht="10.5" x14ac:dyDescent="0.2">
      <c r="A136" s="440" t="s">
        <v>4127</v>
      </c>
      <c r="B136" s="452">
        <f>B120+B126+B135</f>
        <v>3910566.4499999979</v>
      </c>
      <c r="C136" s="452">
        <f>C120+C126+C135</f>
        <v>3777653.4299999988</v>
      </c>
      <c r="D136" s="452">
        <f>D120+D126+D135</f>
        <v>132913.02000000002</v>
      </c>
    </row>
  </sheetData>
  <mergeCells count="6">
    <mergeCell ref="A6:D6"/>
    <mergeCell ref="A1:D1"/>
    <mergeCell ref="A2:D2"/>
    <mergeCell ref="A3:D3"/>
    <mergeCell ref="A4:D4"/>
    <mergeCell ref="A5:D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3C091-9CF7-46F4-A790-61D5B3A30FF2}">
  <sheetPr codeName="Sheet22"/>
  <dimension ref="A1"/>
  <sheetViews>
    <sheetView workbookViewId="0">
      <selection activeCell="Q47" sqref="Q47"/>
    </sheetView>
  </sheetViews>
  <sheetFormatPr defaultRowHeight="10" x14ac:dyDescent="0.2"/>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FBE07-B9CA-4450-8725-2E9F67F1416C}">
  <sheetPr codeName="Sheet23" filterMode="1"/>
  <dimension ref="A1:P215"/>
  <sheetViews>
    <sheetView workbookViewId="0">
      <selection activeCell="Q47" sqref="Q47"/>
    </sheetView>
  </sheetViews>
  <sheetFormatPr defaultColWidth="9.33203125" defaultRowHeight="10" x14ac:dyDescent="0.2"/>
  <cols>
    <col min="1" max="1" width="42" customWidth="1"/>
    <col min="3" max="3" width="10.109375" bestFit="1" customWidth="1"/>
    <col min="6" max="6" width="38.33203125" customWidth="1"/>
    <col min="7" max="8" width="12.44140625" bestFit="1" customWidth="1"/>
    <col min="9" max="9" width="23.6640625" customWidth="1"/>
    <col min="11" max="11" width="17.109375" customWidth="1"/>
  </cols>
  <sheetData>
    <row r="1" spans="1:16" ht="15.5" x14ac:dyDescent="0.35">
      <c r="A1" s="832" t="s">
        <v>0</v>
      </c>
      <c r="B1" s="832"/>
      <c r="C1" s="832"/>
      <c r="D1" s="832"/>
      <c r="E1" s="832"/>
      <c r="F1" s="832"/>
      <c r="G1" s="832"/>
      <c r="H1" s="832"/>
      <c r="I1" s="832"/>
      <c r="J1" s="832"/>
      <c r="K1" s="832"/>
      <c r="L1" s="832"/>
      <c r="M1" s="832"/>
      <c r="N1" s="832"/>
    </row>
    <row r="2" spans="1:16" ht="15.5" x14ac:dyDescent="0.35">
      <c r="A2" s="832" t="s">
        <v>1</v>
      </c>
      <c r="B2" s="832"/>
      <c r="C2" s="832"/>
      <c r="D2" s="832"/>
      <c r="E2" s="832"/>
      <c r="F2" s="832"/>
      <c r="G2" s="832"/>
      <c r="H2" s="832"/>
      <c r="I2" s="832"/>
      <c r="J2" s="832"/>
      <c r="K2" s="832"/>
      <c r="L2" s="832"/>
      <c r="M2" s="832"/>
      <c r="N2" s="832"/>
    </row>
    <row r="3" spans="1:16" ht="18" x14ac:dyDescent="0.4">
      <c r="A3" s="812" t="s">
        <v>2</v>
      </c>
      <c r="B3" s="812"/>
      <c r="C3" s="812"/>
      <c r="D3" s="812"/>
      <c r="E3" s="812"/>
      <c r="F3" s="812"/>
      <c r="G3" s="812"/>
      <c r="H3" s="812"/>
      <c r="I3" s="812"/>
      <c r="J3" s="812"/>
      <c r="K3" s="812"/>
      <c r="L3" s="812"/>
      <c r="M3" s="812"/>
      <c r="N3" s="812"/>
    </row>
    <row r="4" spans="1:16" ht="18" x14ac:dyDescent="0.4">
      <c r="A4" s="812" t="s">
        <v>3890</v>
      </c>
      <c r="B4" s="812"/>
      <c r="C4" s="812"/>
      <c r="D4" s="812"/>
      <c r="E4" s="812"/>
      <c r="F4" s="812"/>
      <c r="G4" s="812"/>
      <c r="H4" s="812"/>
      <c r="I4" s="812"/>
      <c r="J4" s="812"/>
      <c r="K4" s="812"/>
      <c r="L4" s="812"/>
      <c r="M4" s="812"/>
      <c r="N4" s="812"/>
    </row>
    <row r="5" spans="1:16" ht="18" x14ac:dyDescent="0.4">
      <c r="A5" s="812" t="s">
        <v>4</v>
      </c>
      <c r="B5" s="812"/>
      <c r="C5" s="812"/>
      <c r="D5" s="812"/>
      <c r="E5" s="812"/>
      <c r="F5" s="812"/>
      <c r="G5" s="812"/>
      <c r="H5" s="812"/>
      <c r="I5" s="812"/>
      <c r="J5" s="812"/>
      <c r="K5" s="812"/>
      <c r="L5" s="812"/>
      <c r="M5" s="812"/>
      <c r="N5" s="812"/>
    </row>
    <row r="6" spans="1:16" ht="18" x14ac:dyDescent="0.4">
      <c r="A6" s="812" t="s">
        <v>4</v>
      </c>
      <c r="B6" s="812"/>
      <c r="C6" s="812"/>
      <c r="D6" s="812"/>
      <c r="E6" s="812"/>
      <c r="F6" s="812"/>
      <c r="G6" s="812"/>
      <c r="H6" s="812"/>
      <c r="I6" s="812"/>
      <c r="J6" s="812"/>
      <c r="K6" s="812"/>
      <c r="L6" s="812"/>
      <c r="M6" s="812"/>
      <c r="N6" s="812"/>
    </row>
    <row r="7" spans="1:16" x14ac:dyDescent="0.2">
      <c r="A7" s="1" t="s">
        <v>5</v>
      </c>
      <c r="B7" s="1" t="s">
        <v>6</v>
      </c>
      <c r="C7" s="1" t="s">
        <v>7</v>
      </c>
      <c r="D7" s="1" t="s">
        <v>8</v>
      </c>
      <c r="E7" s="1" t="s">
        <v>9</v>
      </c>
      <c r="F7" s="1" t="s">
        <v>10</v>
      </c>
      <c r="G7" s="2" t="s">
        <v>11</v>
      </c>
      <c r="H7" s="2" t="s">
        <v>12</v>
      </c>
      <c r="I7" s="1" t="s">
        <v>13</v>
      </c>
      <c r="J7" s="1" t="s">
        <v>14</v>
      </c>
      <c r="K7" s="2" t="s">
        <v>15</v>
      </c>
      <c r="L7" s="1" t="s">
        <v>16</v>
      </c>
      <c r="M7" s="1" t="s">
        <v>17</v>
      </c>
      <c r="N7" s="1" t="s">
        <v>18</v>
      </c>
    </row>
    <row r="8" spans="1:16" ht="10.5" hidden="1" x14ac:dyDescent="0.2">
      <c r="A8" s="3" t="s">
        <v>219</v>
      </c>
      <c r="B8" s="4"/>
      <c r="C8" s="5"/>
      <c r="D8" s="4"/>
      <c r="E8" s="4"/>
      <c r="F8" s="4"/>
      <c r="G8" s="6">
        <v>0</v>
      </c>
      <c r="H8" s="6">
        <v>0</v>
      </c>
      <c r="I8" s="4"/>
      <c r="J8" s="4"/>
      <c r="K8" s="7">
        <v>0</v>
      </c>
      <c r="L8" s="4"/>
      <c r="M8" s="4"/>
      <c r="N8" s="4"/>
    </row>
    <row r="9" spans="1:16" ht="10.5" hidden="1" x14ac:dyDescent="0.25">
      <c r="A9" s="8" t="s">
        <v>220</v>
      </c>
      <c r="B9" s="4"/>
      <c r="C9" s="5"/>
      <c r="D9" s="4"/>
      <c r="E9" s="4"/>
      <c r="F9" s="4"/>
      <c r="G9" s="6">
        <v>0</v>
      </c>
      <c r="H9" s="6">
        <v>162330.80756343107</v>
      </c>
      <c r="I9" s="4"/>
      <c r="J9" s="4"/>
      <c r="K9" s="7">
        <v>0</v>
      </c>
      <c r="L9" s="4"/>
      <c r="M9" s="4"/>
      <c r="N9" s="4"/>
    </row>
    <row r="10" spans="1:16" ht="10.5" x14ac:dyDescent="0.25">
      <c r="A10" s="8" t="s">
        <v>220</v>
      </c>
      <c r="B10" s="4" t="s">
        <v>1092</v>
      </c>
      <c r="C10" s="5">
        <v>44252</v>
      </c>
      <c r="D10" s="4" t="s">
        <v>1093</v>
      </c>
      <c r="E10" s="4" t="s">
        <v>1094</v>
      </c>
      <c r="F10" s="4" t="s">
        <v>1095</v>
      </c>
      <c r="G10" s="6">
        <v>22.816911563080321</v>
      </c>
      <c r="H10" s="6">
        <f t="shared" ref="H10:H45" si="0">H9+G10</f>
        <v>162353.62447499414</v>
      </c>
      <c r="I10" s="4" t="s">
        <v>227</v>
      </c>
      <c r="J10" s="4" t="s">
        <v>68</v>
      </c>
      <c r="K10" s="7">
        <v>1700.44</v>
      </c>
      <c r="L10" s="4" t="s">
        <v>1029</v>
      </c>
      <c r="M10" s="4" t="s">
        <v>204</v>
      </c>
      <c r="N10" s="4"/>
    </row>
    <row r="11" spans="1:16" ht="10.5" x14ac:dyDescent="0.25">
      <c r="A11" s="8" t="s">
        <v>220</v>
      </c>
      <c r="B11" s="4" t="s">
        <v>1092</v>
      </c>
      <c r="C11" s="5">
        <v>44270</v>
      </c>
      <c r="D11" s="4" t="s">
        <v>1096</v>
      </c>
      <c r="E11" s="4" t="s">
        <v>1097</v>
      </c>
      <c r="F11" s="4" t="s">
        <v>1098</v>
      </c>
      <c r="G11" s="6">
        <v>33545.599320000001</v>
      </c>
      <c r="H11" s="6">
        <f t="shared" si="0"/>
        <v>195899.22379499415</v>
      </c>
      <c r="I11" s="4" t="s">
        <v>1099</v>
      </c>
      <c r="J11" s="4" t="s">
        <v>68</v>
      </c>
      <c r="K11" s="7">
        <v>2500000</v>
      </c>
      <c r="L11" s="4" t="s">
        <v>1029</v>
      </c>
      <c r="M11" s="4" t="s">
        <v>204</v>
      </c>
      <c r="N11" s="4"/>
    </row>
    <row r="12" spans="1:16" ht="10.5" x14ac:dyDescent="0.25">
      <c r="A12" s="8" t="s">
        <v>220</v>
      </c>
      <c r="B12" s="4" t="s">
        <v>21</v>
      </c>
      <c r="C12" s="5">
        <v>44286</v>
      </c>
      <c r="D12" s="4" t="s">
        <v>1100</v>
      </c>
      <c r="E12" s="4" t="s">
        <v>1101</v>
      </c>
      <c r="F12" s="4" t="s">
        <v>1102</v>
      </c>
      <c r="G12" s="6">
        <v>-89108.047659298318</v>
      </c>
      <c r="H12" s="6">
        <f t="shared" si="0"/>
        <v>106791.17613569583</v>
      </c>
      <c r="I12" s="4"/>
      <c r="J12" s="4" t="s">
        <v>68</v>
      </c>
      <c r="K12" s="7">
        <v>-6640815</v>
      </c>
      <c r="L12" s="4" t="s">
        <v>1029</v>
      </c>
      <c r="M12" s="4" t="s">
        <v>204</v>
      </c>
      <c r="N12" s="4" t="s">
        <v>198</v>
      </c>
      <c r="P12" s="4" t="s">
        <v>3891</v>
      </c>
    </row>
    <row r="13" spans="1:16" ht="10.5" x14ac:dyDescent="0.25">
      <c r="A13" s="8" t="s">
        <v>220</v>
      </c>
      <c r="B13" s="4" t="s">
        <v>21</v>
      </c>
      <c r="C13" s="5">
        <v>44286</v>
      </c>
      <c r="D13" s="4" t="s">
        <v>1103</v>
      </c>
      <c r="E13" s="4" t="s">
        <v>1104</v>
      </c>
      <c r="F13" s="4" t="s">
        <v>1104</v>
      </c>
      <c r="G13" s="6">
        <v>25480.848114519889</v>
      </c>
      <c r="H13" s="6">
        <f t="shared" si="0"/>
        <v>132272.02425021573</v>
      </c>
      <c r="I13" s="4"/>
      <c r="J13" s="4" t="s">
        <v>68</v>
      </c>
      <c r="K13" s="7">
        <v>1898971</v>
      </c>
      <c r="L13" s="4" t="s">
        <v>1029</v>
      </c>
      <c r="M13" s="4" t="s">
        <v>204</v>
      </c>
      <c r="N13" s="4" t="s">
        <v>198</v>
      </c>
    </row>
    <row r="14" spans="1:16" ht="10.5" x14ac:dyDescent="0.25">
      <c r="A14" s="8" t="s">
        <v>220</v>
      </c>
      <c r="B14" s="4" t="s">
        <v>21</v>
      </c>
      <c r="C14" s="5">
        <v>44286</v>
      </c>
      <c r="D14" s="4" t="s">
        <v>1105</v>
      </c>
      <c r="E14" s="4" t="s">
        <v>1104</v>
      </c>
      <c r="F14" s="4" t="s">
        <v>1104</v>
      </c>
      <c r="G14" s="6">
        <v>34896.413513417763</v>
      </c>
      <c r="H14" s="6">
        <f t="shared" si="0"/>
        <v>167168.4377636335</v>
      </c>
      <c r="I14" s="4"/>
      <c r="J14" s="4" t="s">
        <v>68</v>
      </c>
      <c r="K14" s="7">
        <v>2600670</v>
      </c>
      <c r="L14" s="4" t="s">
        <v>1029</v>
      </c>
      <c r="M14" s="4" t="s">
        <v>204</v>
      </c>
      <c r="N14" s="4" t="s">
        <v>198</v>
      </c>
    </row>
    <row r="15" spans="1:16" ht="10.5" hidden="1" x14ac:dyDescent="0.25">
      <c r="A15" s="8" t="s">
        <v>220</v>
      </c>
      <c r="B15" s="4" t="s">
        <v>21</v>
      </c>
      <c r="C15" s="5">
        <v>44286</v>
      </c>
      <c r="D15" s="4" t="s">
        <v>1106</v>
      </c>
      <c r="E15" s="4" t="s">
        <v>1107</v>
      </c>
      <c r="F15" s="4" t="s">
        <v>1107</v>
      </c>
      <c r="G15" s="6">
        <v>143525.13097535999</v>
      </c>
      <c r="H15" s="6">
        <f t="shared" si="0"/>
        <v>310693.56873899349</v>
      </c>
      <c r="I15" s="4"/>
      <c r="J15" s="4" t="s">
        <v>68</v>
      </c>
      <c r="K15" s="7">
        <v>126216</v>
      </c>
      <c r="L15" s="4" t="s">
        <v>1029</v>
      </c>
      <c r="M15" s="4" t="s">
        <v>61</v>
      </c>
      <c r="N15" s="4" t="s">
        <v>1108</v>
      </c>
    </row>
    <row r="16" spans="1:16" ht="10.5" hidden="1" x14ac:dyDescent="0.25">
      <c r="A16" s="8" t="s">
        <v>220</v>
      </c>
      <c r="B16" s="4" t="s">
        <v>21</v>
      </c>
      <c r="C16" s="5">
        <v>44286</v>
      </c>
      <c r="D16" s="4" t="s">
        <v>1109</v>
      </c>
      <c r="E16" s="4" t="s">
        <v>1110</v>
      </c>
      <c r="F16" s="4" t="s">
        <v>1111</v>
      </c>
      <c r="G16" s="6">
        <v>-97596.907121011202</v>
      </c>
      <c r="H16" s="6">
        <f t="shared" si="0"/>
        <v>213096.66161798229</v>
      </c>
      <c r="I16" s="4"/>
      <c r="J16" s="4" t="s">
        <v>68</v>
      </c>
      <c r="K16" s="7">
        <v>-85826.72</v>
      </c>
      <c r="L16" s="4" t="s">
        <v>1029</v>
      </c>
      <c r="M16" s="4" t="s">
        <v>61</v>
      </c>
      <c r="N16" s="4" t="s">
        <v>181</v>
      </c>
    </row>
    <row r="17" spans="1:16" ht="10.5" hidden="1" x14ac:dyDescent="0.25">
      <c r="A17" s="8" t="s">
        <v>220</v>
      </c>
      <c r="B17" s="4" t="s">
        <v>21</v>
      </c>
      <c r="C17" s="5">
        <v>44286</v>
      </c>
      <c r="D17" s="4" t="s">
        <v>1027</v>
      </c>
      <c r="E17" s="4" t="s">
        <v>1028</v>
      </c>
      <c r="F17" s="4" t="s">
        <v>1028</v>
      </c>
      <c r="G17" s="6">
        <v>-34589.112969768881</v>
      </c>
      <c r="H17" s="6">
        <f t="shared" si="0"/>
        <v>178507.54864821341</v>
      </c>
      <c r="I17" s="4"/>
      <c r="J17" s="4" t="s">
        <v>68</v>
      </c>
      <c r="K17" s="7">
        <v>-43717.99</v>
      </c>
      <c r="L17" s="4" t="s">
        <v>1029</v>
      </c>
      <c r="M17" s="4" t="s">
        <v>212</v>
      </c>
      <c r="N17" s="4" t="s">
        <v>118</v>
      </c>
    </row>
    <row r="18" spans="1:16" ht="10.5" hidden="1" x14ac:dyDescent="0.25">
      <c r="A18" s="8" t="s">
        <v>220</v>
      </c>
      <c r="B18" s="4" t="s">
        <v>21</v>
      </c>
      <c r="C18" s="5">
        <v>44286</v>
      </c>
      <c r="D18" s="4" t="s">
        <v>1112</v>
      </c>
      <c r="E18" s="4" t="s">
        <v>1113</v>
      </c>
      <c r="F18" s="4" t="s">
        <v>1113</v>
      </c>
      <c r="G18" s="6">
        <v>-29398.060041862838</v>
      </c>
      <c r="H18" s="6">
        <f t="shared" si="0"/>
        <v>149109.48860635058</v>
      </c>
      <c r="I18" s="4"/>
      <c r="J18" s="4" t="s">
        <v>68</v>
      </c>
      <c r="K18" s="7">
        <v>-29398.06</v>
      </c>
      <c r="L18" s="4" t="s">
        <v>1029</v>
      </c>
      <c r="M18" s="4" t="s">
        <v>27</v>
      </c>
      <c r="N18" s="4" t="s">
        <v>118</v>
      </c>
    </row>
    <row r="19" spans="1:16" ht="10.5" x14ac:dyDescent="0.25">
      <c r="A19" s="8" t="s">
        <v>220</v>
      </c>
      <c r="B19" s="4" t="s">
        <v>1092</v>
      </c>
      <c r="C19" s="5">
        <v>44362</v>
      </c>
      <c r="D19" s="4" t="s">
        <v>1114</v>
      </c>
      <c r="E19" s="4" t="s">
        <v>1115</v>
      </c>
      <c r="F19" s="4" t="s">
        <v>1116</v>
      </c>
      <c r="G19" s="6">
        <v>20127.359592000001</v>
      </c>
      <c r="H19" s="6">
        <f t="shared" si="0"/>
        <v>169236.84819835058</v>
      </c>
      <c r="I19" s="4" t="s">
        <v>1099</v>
      </c>
      <c r="J19" s="4" t="s">
        <v>68</v>
      </c>
      <c r="K19" s="7">
        <v>1500000</v>
      </c>
      <c r="L19" s="4" t="s">
        <v>1031</v>
      </c>
      <c r="M19" s="4" t="s">
        <v>204</v>
      </c>
      <c r="N19" s="4"/>
    </row>
    <row r="20" spans="1:16" ht="10.5" hidden="1" x14ac:dyDescent="0.25">
      <c r="A20" s="8" t="s">
        <v>220</v>
      </c>
      <c r="B20" s="4" t="s">
        <v>21</v>
      </c>
      <c r="C20" s="5">
        <v>44377</v>
      </c>
      <c r="D20" s="4" t="s">
        <v>1117</v>
      </c>
      <c r="E20" s="4" t="s">
        <v>1118</v>
      </c>
      <c r="F20" s="4" t="s">
        <v>1118</v>
      </c>
      <c r="G20" s="6">
        <v>149407.55081543999</v>
      </c>
      <c r="H20" s="6">
        <f t="shared" si="0"/>
        <v>318644.39901379053</v>
      </c>
      <c r="I20" s="4"/>
      <c r="J20" s="4" t="s">
        <v>68</v>
      </c>
      <c r="K20" s="7">
        <v>131389</v>
      </c>
      <c r="L20" s="4" t="s">
        <v>1031</v>
      </c>
      <c r="M20" s="4" t="s">
        <v>61</v>
      </c>
      <c r="N20" s="4" t="s">
        <v>1108</v>
      </c>
    </row>
    <row r="21" spans="1:16" ht="10.5" hidden="1" x14ac:dyDescent="0.25">
      <c r="A21" s="8" t="s">
        <v>220</v>
      </c>
      <c r="B21" s="4" t="s">
        <v>21</v>
      </c>
      <c r="C21" s="5">
        <v>44377</v>
      </c>
      <c r="D21" s="4" t="s">
        <v>1119</v>
      </c>
      <c r="E21" s="4" t="s">
        <v>1120</v>
      </c>
      <c r="F21" s="4" t="s">
        <v>1121</v>
      </c>
      <c r="G21" s="6">
        <v>-101596.941240876</v>
      </c>
      <c r="H21" s="6">
        <f t="shared" si="0"/>
        <v>217047.45777291455</v>
      </c>
      <c r="I21" s="4"/>
      <c r="J21" s="4" t="s">
        <v>68</v>
      </c>
      <c r="K21" s="7">
        <v>-89344.35</v>
      </c>
      <c r="L21" s="4" t="s">
        <v>1031</v>
      </c>
      <c r="M21" s="4" t="s">
        <v>61</v>
      </c>
      <c r="N21" s="4" t="s">
        <v>181</v>
      </c>
    </row>
    <row r="22" spans="1:16" ht="10.5" hidden="1" x14ac:dyDescent="0.25">
      <c r="A22" s="8" t="s">
        <v>220</v>
      </c>
      <c r="B22" s="4" t="s">
        <v>21</v>
      </c>
      <c r="C22" s="5">
        <v>44377</v>
      </c>
      <c r="D22" s="4" t="s">
        <v>1030</v>
      </c>
      <c r="E22" s="4" t="s">
        <v>1028</v>
      </c>
      <c r="F22" s="4" t="s">
        <v>1028</v>
      </c>
      <c r="G22" s="6">
        <v>-18305.816327523022</v>
      </c>
      <c r="H22" s="6">
        <f t="shared" si="0"/>
        <v>198741.64144539152</v>
      </c>
      <c r="I22" s="4"/>
      <c r="J22" s="4" t="s">
        <v>68</v>
      </c>
      <c r="K22" s="7">
        <v>-23137.15</v>
      </c>
      <c r="L22" s="4" t="s">
        <v>1031</v>
      </c>
      <c r="M22" s="4" t="s">
        <v>212</v>
      </c>
      <c r="N22" s="4" t="s">
        <v>118</v>
      </c>
    </row>
    <row r="23" spans="1:16" ht="10.5" hidden="1" x14ac:dyDescent="0.25">
      <c r="A23" s="8" t="s">
        <v>220</v>
      </c>
      <c r="B23" s="4" t="s">
        <v>21</v>
      </c>
      <c r="C23" s="5">
        <v>44377</v>
      </c>
      <c r="D23" s="4" t="s">
        <v>1122</v>
      </c>
      <c r="E23" s="4" t="s">
        <v>1113</v>
      </c>
      <c r="F23" s="4" t="s">
        <v>1113</v>
      </c>
      <c r="G23" s="6">
        <v>4964.1200070689065</v>
      </c>
      <c r="H23" s="6">
        <f t="shared" si="0"/>
        <v>203705.76145246043</v>
      </c>
      <c r="I23" s="4"/>
      <c r="J23" s="4" t="s">
        <v>68</v>
      </c>
      <c r="K23" s="7">
        <v>4964.12</v>
      </c>
      <c r="L23" s="4" t="s">
        <v>1031</v>
      </c>
      <c r="M23" s="4" t="s">
        <v>27</v>
      </c>
      <c r="N23" s="4" t="s">
        <v>118</v>
      </c>
    </row>
    <row r="24" spans="1:16" ht="10.5" x14ac:dyDescent="0.25">
      <c r="A24" s="8" t="s">
        <v>220</v>
      </c>
      <c r="B24" s="4" t="s">
        <v>21</v>
      </c>
      <c r="C24" s="5">
        <v>44454</v>
      </c>
      <c r="D24" s="4" t="s">
        <v>1123</v>
      </c>
      <c r="E24" s="4" t="s">
        <v>1124</v>
      </c>
      <c r="F24" s="4" t="s">
        <v>1124</v>
      </c>
      <c r="G24" s="6">
        <v>46963.839048000002</v>
      </c>
      <c r="H24" s="6">
        <f t="shared" si="0"/>
        <v>250669.60050046042</v>
      </c>
      <c r="I24" s="4"/>
      <c r="J24" s="4" t="s">
        <v>68</v>
      </c>
      <c r="K24" s="7">
        <v>3500000</v>
      </c>
      <c r="L24" s="4" t="s">
        <v>1033</v>
      </c>
      <c r="M24" s="4" t="s">
        <v>204</v>
      </c>
      <c r="N24" s="4" t="s">
        <v>198</v>
      </c>
      <c r="P24" s="4" t="s">
        <v>3892</v>
      </c>
    </row>
    <row r="25" spans="1:16" ht="10.5" hidden="1" x14ac:dyDescent="0.25">
      <c r="A25" s="8" t="s">
        <v>220</v>
      </c>
      <c r="B25" s="4" t="s">
        <v>21</v>
      </c>
      <c r="C25" s="5">
        <v>44469</v>
      </c>
      <c r="D25" s="4" t="s">
        <v>1125</v>
      </c>
      <c r="E25" s="4" t="s">
        <v>1126</v>
      </c>
      <c r="F25" s="4" t="s">
        <v>1126</v>
      </c>
      <c r="G25" s="6">
        <v>132709.80232680001</v>
      </c>
      <c r="H25" s="6">
        <f t="shared" si="0"/>
        <v>383379.40282726043</v>
      </c>
      <c r="I25" s="4"/>
      <c r="J25" s="4" t="s">
        <v>68</v>
      </c>
      <c r="K25" s="7">
        <v>116705</v>
      </c>
      <c r="L25" s="4" t="s">
        <v>1033</v>
      </c>
      <c r="M25" s="4" t="s">
        <v>61</v>
      </c>
      <c r="N25" s="4" t="s">
        <v>1108</v>
      </c>
    </row>
    <row r="26" spans="1:16" ht="10.5" hidden="1" x14ac:dyDescent="0.25">
      <c r="A26" s="8" t="s">
        <v>220</v>
      </c>
      <c r="B26" s="4" t="s">
        <v>21</v>
      </c>
      <c r="C26" s="5">
        <v>44469</v>
      </c>
      <c r="D26" s="4" t="s">
        <v>1127</v>
      </c>
      <c r="E26" s="4" t="s">
        <v>1128</v>
      </c>
      <c r="F26" s="4" t="s">
        <v>1129</v>
      </c>
      <c r="G26" s="6">
        <v>-90242.983981132798</v>
      </c>
      <c r="H26" s="6">
        <f t="shared" si="0"/>
        <v>293136.41884612764</v>
      </c>
      <c r="I26" s="4"/>
      <c r="J26" s="4" t="s">
        <v>68</v>
      </c>
      <c r="K26" s="7">
        <v>-79359.679999999993</v>
      </c>
      <c r="L26" s="4" t="s">
        <v>1033</v>
      </c>
      <c r="M26" s="4" t="s">
        <v>61</v>
      </c>
      <c r="N26" s="4" t="s">
        <v>181</v>
      </c>
    </row>
    <row r="27" spans="1:16" ht="10.5" hidden="1" x14ac:dyDescent="0.25">
      <c r="A27" s="8" t="s">
        <v>220</v>
      </c>
      <c r="B27" s="4" t="s">
        <v>21</v>
      </c>
      <c r="C27" s="5">
        <v>44469</v>
      </c>
      <c r="D27" s="4" t="s">
        <v>1032</v>
      </c>
      <c r="E27" s="4" t="s">
        <v>1028</v>
      </c>
      <c r="F27" s="4" t="s">
        <v>1028</v>
      </c>
      <c r="G27" s="6">
        <v>4978.5848530071762</v>
      </c>
      <c r="H27" s="6">
        <f t="shared" si="0"/>
        <v>298115.0036991348</v>
      </c>
      <c r="I27" s="4"/>
      <c r="J27" s="4" t="s">
        <v>68</v>
      </c>
      <c r="K27" s="7">
        <v>6292.55</v>
      </c>
      <c r="L27" s="4" t="s">
        <v>1033</v>
      </c>
      <c r="M27" s="4" t="s">
        <v>212</v>
      </c>
      <c r="N27" s="4" t="s">
        <v>118</v>
      </c>
    </row>
    <row r="28" spans="1:16" ht="10.5" hidden="1" x14ac:dyDescent="0.25">
      <c r="A28" s="8" t="s">
        <v>220</v>
      </c>
      <c r="B28" s="4" t="s">
        <v>21</v>
      </c>
      <c r="C28" s="5">
        <v>44469</v>
      </c>
      <c r="D28" s="4" t="s">
        <v>1130</v>
      </c>
      <c r="E28" s="4" t="s">
        <v>1113</v>
      </c>
      <c r="F28" s="4" t="s">
        <v>1113</v>
      </c>
      <c r="G28" s="6">
        <v>-76111.220108382375</v>
      </c>
      <c r="H28" s="6">
        <f t="shared" si="0"/>
        <v>222003.78359075243</v>
      </c>
      <c r="I28" s="4"/>
      <c r="J28" s="4" t="s">
        <v>68</v>
      </c>
      <c r="K28" s="7">
        <v>-76111.22</v>
      </c>
      <c r="L28" s="4" t="s">
        <v>1033</v>
      </c>
      <c r="M28" s="4" t="s">
        <v>27</v>
      </c>
      <c r="N28" s="4" t="s">
        <v>118</v>
      </c>
    </row>
    <row r="29" spans="1:16" ht="10.5" hidden="1" x14ac:dyDescent="0.25">
      <c r="A29" s="8" t="s">
        <v>220</v>
      </c>
      <c r="B29" s="4" t="s">
        <v>21</v>
      </c>
      <c r="C29" s="5">
        <v>44505</v>
      </c>
      <c r="D29" s="4" t="s">
        <v>1131</v>
      </c>
      <c r="E29" s="4" t="s">
        <v>1132</v>
      </c>
      <c r="F29" s="4" t="s">
        <v>1132</v>
      </c>
      <c r="G29" s="6">
        <v>-6907.0000098355677</v>
      </c>
      <c r="H29" s="6">
        <f t="shared" si="0"/>
        <v>215096.78358091685</v>
      </c>
      <c r="I29" s="4"/>
      <c r="J29" s="4" t="s">
        <v>68</v>
      </c>
      <c r="K29" s="7">
        <v>-6907</v>
      </c>
      <c r="L29" s="4" t="s">
        <v>1133</v>
      </c>
      <c r="M29" s="4" t="s">
        <v>27</v>
      </c>
      <c r="N29" s="4" t="s">
        <v>28</v>
      </c>
    </row>
    <row r="30" spans="1:16" ht="10.5" x14ac:dyDescent="0.25">
      <c r="A30" s="8" t="s">
        <v>220</v>
      </c>
      <c r="B30" s="4" t="s">
        <v>21</v>
      </c>
      <c r="C30" s="5">
        <v>44560</v>
      </c>
      <c r="D30" s="4" t="s">
        <v>1134</v>
      </c>
      <c r="E30" s="4" t="s">
        <v>1135</v>
      </c>
      <c r="F30" s="4" t="s">
        <v>1135</v>
      </c>
      <c r="G30" s="6">
        <v>33545.599320000001</v>
      </c>
      <c r="H30" s="6">
        <f t="shared" si="0"/>
        <v>248642.38290091685</v>
      </c>
      <c r="I30" s="4"/>
      <c r="J30" s="4" t="s">
        <v>68</v>
      </c>
      <c r="K30" s="7">
        <v>2500000</v>
      </c>
      <c r="L30" s="4" t="s">
        <v>1036</v>
      </c>
      <c r="M30" s="4" t="s">
        <v>204</v>
      </c>
      <c r="N30" s="4" t="s">
        <v>198</v>
      </c>
      <c r="P30" s="4" t="s">
        <v>3892</v>
      </c>
    </row>
    <row r="31" spans="1:16" ht="10.5" hidden="1" x14ac:dyDescent="0.25">
      <c r="A31" s="8" t="s">
        <v>220</v>
      </c>
      <c r="B31" s="4" t="s">
        <v>21</v>
      </c>
      <c r="C31" s="5">
        <v>44561</v>
      </c>
      <c r="D31" s="4" t="s">
        <v>1136</v>
      </c>
      <c r="E31" s="4" t="s">
        <v>1137</v>
      </c>
      <c r="F31" s="4" t="s">
        <v>1137</v>
      </c>
      <c r="G31" s="6">
        <v>116921.76500616</v>
      </c>
      <c r="H31" s="6">
        <f t="shared" si="0"/>
        <v>365564.14790707687</v>
      </c>
      <c r="I31" s="4"/>
      <c r="J31" s="4" t="s">
        <v>68</v>
      </c>
      <c r="K31" s="7">
        <v>102821</v>
      </c>
      <c r="L31" s="4" t="s">
        <v>1036</v>
      </c>
      <c r="M31" s="4" t="s">
        <v>61</v>
      </c>
      <c r="N31" s="4" t="s">
        <v>1108</v>
      </c>
    </row>
    <row r="32" spans="1:16" ht="10.5" hidden="1" x14ac:dyDescent="0.25">
      <c r="A32" s="8" t="s">
        <v>220</v>
      </c>
      <c r="B32" s="4" t="s">
        <v>21</v>
      </c>
      <c r="C32" s="5">
        <v>44561</v>
      </c>
      <c r="D32" s="4" t="s">
        <v>1138</v>
      </c>
      <c r="E32" s="4" t="s">
        <v>1035</v>
      </c>
      <c r="F32" s="4" t="s">
        <v>1035</v>
      </c>
      <c r="G32" s="6">
        <v>-107726.22015340214</v>
      </c>
      <c r="H32" s="6">
        <f t="shared" si="0"/>
        <v>257837.92775367474</v>
      </c>
      <c r="I32" s="4"/>
      <c r="J32" s="4" t="s">
        <v>68</v>
      </c>
      <c r="K32" s="7">
        <v>-107726.22</v>
      </c>
      <c r="L32" s="4" t="s">
        <v>1036</v>
      </c>
      <c r="M32" s="4" t="s">
        <v>27</v>
      </c>
      <c r="N32" s="4" t="s">
        <v>118</v>
      </c>
    </row>
    <row r="33" spans="1:14" ht="10.5" hidden="1" x14ac:dyDescent="0.25">
      <c r="A33" s="8" t="s">
        <v>220</v>
      </c>
      <c r="B33" s="4" t="s">
        <v>21</v>
      </c>
      <c r="C33" s="5">
        <v>44561</v>
      </c>
      <c r="D33" s="4" t="s">
        <v>1138</v>
      </c>
      <c r="E33" s="4" t="s">
        <v>1035</v>
      </c>
      <c r="F33" s="4" t="s">
        <v>1139</v>
      </c>
      <c r="G33" s="6">
        <v>55812.20007947657</v>
      </c>
      <c r="H33" s="6">
        <f t="shared" si="0"/>
        <v>313650.12783315132</v>
      </c>
      <c r="I33" s="4"/>
      <c r="J33" s="4" t="s">
        <v>68</v>
      </c>
      <c r="K33" s="7">
        <v>55812.2</v>
      </c>
      <c r="L33" s="4" t="s">
        <v>1036</v>
      </c>
      <c r="M33" s="4" t="s">
        <v>27</v>
      </c>
      <c r="N33" s="4" t="s">
        <v>118</v>
      </c>
    </row>
    <row r="34" spans="1:14" ht="10.5" hidden="1" x14ac:dyDescent="0.25">
      <c r="A34" s="8" t="s">
        <v>220</v>
      </c>
      <c r="B34" s="4" t="s">
        <v>21</v>
      </c>
      <c r="C34" s="5">
        <v>44561</v>
      </c>
      <c r="D34" s="4" t="s">
        <v>1034</v>
      </c>
      <c r="E34" s="4" t="s">
        <v>1035</v>
      </c>
      <c r="F34" s="4" t="s">
        <v>1035</v>
      </c>
      <c r="G34" s="6">
        <v>-96119.755330984146</v>
      </c>
      <c r="H34" s="6">
        <f t="shared" si="0"/>
        <v>217530.37250216719</v>
      </c>
      <c r="I34" s="4"/>
      <c r="J34" s="4" t="s">
        <v>68</v>
      </c>
      <c r="K34" s="7">
        <v>-121488.01</v>
      </c>
      <c r="L34" s="4" t="s">
        <v>1036</v>
      </c>
      <c r="M34" s="4" t="s">
        <v>212</v>
      </c>
      <c r="N34" s="4" t="s">
        <v>118</v>
      </c>
    </row>
    <row r="35" spans="1:14" ht="10.5" hidden="1" x14ac:dyDescent="0.25">
      <c r="A35" s="8" t="s">
        <v>220</v>
      </c>
      <c r="B35" s="4" t="s">
        <v>21</v>
      </c>
      <c r="C35" s="5">
        <v>44561</v>
      </c>
      <c r="D35" s="4" t="s">
        <v>1034</v>
      </c>
      <c r="E35" s="4" t="s">
        <v>1035</v>
      </c>
      <c r="F35" s="4" t="s">
        <v>1035</v>
      </c>
      <c r="G35" s="6">
        <v>71024.571976735984</v>
      </c>
      <c r="H35" s="6">
        <f t="shared" si="0"/>
        <v>288554.9444789032</v>
      </c>
      <c r="I35" s="4"/>
      <c r="J35" s="4" t="s">
        <v>68</v>
      </c>
      <c r="K35" s="7">
        <v>89769.62</v>
      </c>
      <c r="L35" s="4" t="s">
        <v>1036</v>
      </c>
      <c r="M35" s="4" t="s">
        <v>212</v>
      </c>
      <c r="N35" s="4" t="s">
        <v>118</v>
      </c>
    </row>
    <row r="36" spans="1:14" ht="10.5" hidden="1" x14ac:dyDescent="0.25">
      <c r="A36" s="8" t="s">
        <v>220</v>
      </c>
      <c r="B36" s="4" t="s">
        <v>21</v>
      </c>
      <c r="C36" s="5">
        <v>44561</v>
      </c>
      <c r="D36" s="4" t="s">
        <v>1140</v>
      </c>
      <c r="E36" s="4" t="s">
        <v>1141</v>
      </c>
      <c r="F36" s="4" t="s">
        <v>1142</v>
      </c>
      <c r="G36" s="6">
        <v>-79506.413576942403</v>
      </c>
      <c r="H36" s="6">
        <f t="shared" si="0"/>
        <v>209048.5309019608</v>
      </c>
      <c r="I36" s="4"/>
      <c r="J36" s="4" t="s">
        <v>68</v>
      </c>
      <c r="K36" s="7">
        <v>-69917.94</v>
      </c>
      <c r="L36" s="4" t="s">
        <v>1036</v>
      </c>
      <c r="M36" s="4" t="s">
        <v>61</v>
      </c>
      <c r="N36" s="4" t="s">
        <v>181</v>
      </c>
    </row>
    <row r="37" spans="1:14" ht="10.5" hidden="1" x14ac:dyDescent="0.25">
      <c r="A37" s="8" t="s">
        <v>220</v>
      </c>
      <c r="B37" s="4" t="s">
        <v>21</v>
      </c>
      <c r="C37" s="5">
        <v>44561</v>
      </c>
      <c r="D37" s="4" t="s">
        <v>1143</v>
      </c>
      <c r="E37" s="4" t="s">
        <v>1144</v>
      </c>
      <c r="F37" s="4" t="s">
        <v>1144</v>
      </c>
      <c r="G37" s="6">
        <v>117596.90714949121</v>
      </c>
      <c r="H37" s="6">
        <f t="shared" si="0"/>
        <v>326645.43805145199</v>
      </c>
      <c r="I37" s="4"/>
      <c r="J37" s="4" t="s">
        <v>68</v>
      </c>
      <c r="K37" s="7">
        <v>103414.72</v>
      </c>
      <c r="L37" s="4" t="s">
        <v>1036</v>
      </c>
      <c r="M37" s="4" t="s">
        <v>61</v>
      </c>
      <c r="N37" s="4" t="s">
        <v>181</v>
      </c>
    </row>
    <row r="38" spans="1:14" ht="10.5" hidden="1" x14ac:dyDescent="0.25">
      <c r="A38" s="8" t="s">
        <v>220</v>
      </c>
      <c r="B38" s="4" t="s">
        <v>21</v>
      </c>
      <c r="C38" s="5">
        <v>44561</v>
      </c>
      <c r="D38" s="4" t="s">
        <v>1145</v>
      </c>
      <c r="E38" s="4" t="s">
        <v>1146</v>
      </c>
      <c r="F38" s="4" t="s">
        <v>1147</v>
      </c>
      <c r="G38" s="6">
        <v>-1122.3561535199999</v>
      </c>
      <c r="H38" s="6">
        <f t="shared" si="0"/>
        <v>325523.08189793199</v>
      </c>
      <c r="I38" s="4"/>
      <c r="J38" s="4" t="s">
        <v>68</v>
      </c>
      <c r="K38" s="7">
        <v>-987</v>
      </c>
      <c r="L38" s="4" t="s">
        <v>1036</v>
      </c>
      <c r="M38" s="4" t="s">
        <v>61</v>
      </c>
      <c r="N38" s="4" t="s">
        <v>181</v>
      </c>
    </row>
    <row r="39" spans="1:14" ht="10.5" hidden="1" x14ac:dyDescent="0.25">
      <c r="A39" s="8" t="s">
        <v>220</v>
      </c>
      <c r="B39" s="4" t="s">
        <v>21</v>
      </c>
      <c r="C39" s="5">
        <v>44561</v>
      </c>
      <c r="D39" s="4" t="s">
        <v>1148</v>
      </c>
      <c r="E39" s="4" t="s">
        <v>1149</v>
      </c>
      <c r="F39" s="4" t="s">
        <v>1150</v>
      </c>
      <c r="G39" s="6">
        <v>-173621.78782967999</v>
      </c>
      <c r="H39" s="6">
        <f t="shared" si="0"/>
        <v>151901.294068252</v>
      </c>
      <c r="I39" s="4"/>
      <c r="J39" s="4" t="s">
        <v>68</v>
      </c>
      <c r="K39" s="7">
        <v>-152683</v>
      </c>
      <c r="L39" s="4" t="s">
        <v>1036</v>
      </c>
      <c r="M39" s="4" t="s">
        <v>61</v>
      </c>
      <c r="N39" s="4" t="s">
        <v>181</v>
      </c>
    </row>
    <row r="40" spans="1:14" ht="10.5" hidden="1" x14ac:dyDescent="0.25">
      <c r="A40" s="8" t="s">
        <v>220</v>
      </c>
      <c r="B40" s="4" t="s">
        <v>1151</v>
      </c>
      <c r="C40" s="5">
        <v>44561</v>
      </c>
      <c r="D40" s="4" t="s">
        <v>1152</v>
      </c>
      <c r="E40" s="4" t="s">
        <v>1153</v>
      </c>
      <c r="F40" s="4"/>
      <c r="G40" s="6">
        <v>-594399.59147640003</v>
      </c>
      <c r="H40" s="6">
        <f t="shared" si="0"/>
        <v>-442498.29740814806</v>
      </c>
      <c r="I40" s="4"/>
      <c r="J40" s="4" t="s">
        <v>68</v>
      </c>
      <c r="K40" s="7">
        <v>-522715</v>
      </c>
      <c r="L40" s="4" t="s">
        <v>1036</v>
      </c>
      <c r="M40" s="4" t="s">
        <v>61</v>
      </c>
      <c r="N40" s="4"/>
    </row>
    <row r="41" spans="1:14" ht="10.5" hidden="1" x14ac:dyDescent="0.25">
      <c r="A41" s="8" t="s">
        <v>220</v>
      </c>
      <c r="B41" s="4" t="s">
        <v>1151</v>
      </c>
      <c r="C41" s="5">
        <v>44561</v>
      </c>
      <c r="D41" s="4" t="s">
        <v>1154</v>
      </c>
      <c r="E41" s="4"/>
      <c r="F41" s="4"/>
      <c r="G41" s="6">
        <v>594399.59147640003</v>
      </c>
      <c r="H41" s="6">
        <f t="shared" si="0"/>
        <v>151901.29406825197</v>
      </c>
      <c r="I41" s="4"/>
      <c r="J41" s="4" t="s">
        <v>68</v>
      </c>
      <c r="K41" s="7">
        <v>522715</v>
      </c>
      <c r="L41" s="4" t="s">
        <v>1036</v>
      </c>
      <c r="M41" s="4" t="s">
        <v>61</v>
      </c>
      <c r="N41" s="4"/>
    </row>
    <row r="42" spans="1:14" ht="10.5" hidden="1" x14ac:dyDescent="0.25">
      <c r="A42" s="8" t="s">
        <v>220</v>
      </c>
      <c r="B42" s="4" t="s">
        <v>21</v>
      </c>
      <c r="C42" s="5">
        <v>44561</v>
      </c>
      <c r="D42" s="4" t="s">
        <v>1155</v>
      </c>
      <c r="E42" s="4" t="s">
        <v>1156</v>
      </c>
      <c r="F42" s="4" t="s">
        <v>1156</v>
      </c>
      <c r="G42" s="6">
        <v>64416.000091728383</v>
      </c>
      <c r="H42" s="6">
        <f t="shared" si="0"/>
        <v>216317.29415998035</v>
      </c>
      <c r="I42" s="4"/>
      <c r="J42" s="4" t="s">
        <v>68</v>
      </c>
      <c r="K42" s="7">
        <v>64416</v>
      </c>
      <c r="L42" s="4" t="s">
        <v>1036</v>
      </c>
      <c r="M42" s="4" t="s">
        <v>27</v>
      </c>
      <c r="N42" s="4" t="s">
        <v>1026</v>
      </c>
    </row>
    <row r="43" spans="1:14" ht="10.5" hidden="1" x14ac:dyDescent="0.25">
      <c r="A43" s="8" t="s">
        <v>220</v>
      </c>
      <c r="B43" s="4" t="s">
        <v>21</v>
      </c>
      <c r="C43" s="5">
        <v>44561</v>
      </c>
      <c r="D43" s="4" t="s">
        <v>1037</v>
      </c>
      <c r="E43" s="4" t="s">
        <v>1028</v>
      </c>
      <c r="F43" s="4" t="s">
        <v>1028</v>
      </c>
      <c r="G43" s="6">
        <v>47916.344444284725</v>
      </c>
      <c r="H43" s="6">
        <f t="shared" si="0"/>
        <v>264233.63860426506</v>
      </c>
      <c r="I43" s="4"/>
      <c r="J43" s="4" t="s">
        <v>68</v>
      </c>
      <c r="K43" s="7">
        <v>60562.59</v>
      </c>
      <c r="L43" s="4" t="s">
        <v>1036</v>
      </c>
      <c r="M43" s="4" t="s">
        <v>212</v>
      </c>
      <c r="N43" s="4" t="s">
        <v>118</v>
      </c>
    </row>
    <row r="44" spans="1:14" ht="10.5" hidden="1" x14ac:dyDescent="0.25">
      <c r="A44" s="8" t="s">
        <v>220</v>
      </c>
      <c r="B44" s="4" t="s">
        <v>21</v>
      </c>
      <c r="C44" s="5">
        <v>44561</v>
      </c>
      <c r="D44" s="4" t="s">
        <v>1157</v>
      </c>
      <c r="E44" s="4" t="s">
        <v>1158</v>
      </c>
      <c r="F44" s="4" t="s">
        <v>1159</v>
      </c>
      <c r="G44" s="6">
        <v>-107129.122281276</v>
      </c>
      <c r="H44" s="6">
        <f t="shared" si="0"/>
        <v>157104.51632298907</v>
      </c>
      <c r="I44" s="4"/>
      <c r="J44" s="4" t="s">
        <v>68</v>
      </c>
      <c r="K44" s="7">
        <v>-94209.35</v>
      </c>
      <c r="L44" s="4" t="s">
        <v>1036</v>
      </c>
      <c r="M44" s="4" t="s">
        <v>61</v>
      </c>
      <c r="N44" s="4" t="s">
        <v>181</v>
      </c>
    </row>
    <row r="45" spans="1:14" ht="10.5" hidden="1" x14ac:dyDescent="0.25">
      <c r="A45" s="8" t="s">
        <v>220</v>
      </c>
      <c r="B45" s="4" t="s">
        <v>21</v>
      </c>
      <c r="C45" s="5">
        <v>44561</v>
      </c>
      <c r="D45" s="4" t="s">
        <v>1160</v>
      </c>
      <c r="E45" s="4" t="s">
        <v>1113</v>
      </c>
      <c r="F45" s="4" t="s">
        <v>1113</v>
      </c>
      <c r="G45" s="6">
        <v>37214.160052992964</v>
      </c>
      <c r="H45" s="6">
        <f t="shared" si="0"/>
        <v>194318.67637598203</v>
      </c>
      <c r="I45" s="4"/>
      <c r="J45" s="4" t="s">
        <v>68</v>
      </c>
      <c r="K45" s="7">
        <v>37214.160000000003</v>
      </c>
      <c r="L45" s="4" t="s">
        <v>1036</v>
      </c>
      <c r="M45" s="4" t="s">
        <v>27</v>
      </c>
      <c r="N45" s="4" t="s">
        <v>118</v>
      </c>
    </row>
    <row r="46" spans="1:14" ht="10.5" hidden="1" x14ac:dyDescent="0.25">
      <c r="A46" s="9" t="s">
        <v>237</v>
      </c>
      <c r="B46" s="10"/>
      <c r="C46" s="11"/>
      <c r="D46" s="10"/>
      <c r="E46" s="10"/>
      <c r="F46" s="10"/>
      <c r="G46" s="12">
        <f>SUM(G9:G45)</f>
        <v>31987.868812550958</v>
      </c>
      <c r="H46" s="12">
        <f>H45</f>
        <v>194318.67637598203</v>
      </c>
      <c r="I46" s="10"/>
      <c r="J46" s="10"/>
      <c r="K46" s="13"/>
      <c r="L46" s="10"/>
      <c r="M46" s="10"/>
      <c r="N46" s="10"/>
    </row>
    <row r="47" spans="1:14" ht="10.5" hidden="1" x14ac:dyDescent="0.2">
      <c r="A47" s="10" t="s">
        <v>238</v>
      </c>
      <c r="B47" s="10"/>
      <c r="C47" s="11"/>
      <c r="D47" s="10"/>
      <c r="E47" s="10"/>
      <c r="F47" s="10"/>
      <c r="G47" s="12">
        <f>SUM(G8,G46)</f>
        <v>31987.868812550958</v>
      </c>
      <c r="H47" s="12">
        <f>H8+H46</f>
        <v>194318.67637598203</v>
      </c>
      <c r="I47" s="10"/>
      <c r="J47" s="10"/>
      <c r="K47" s="13"/>
      <c r="L47" s="10"/>
      <c r="M47" s="10"/>
      <c r="N47" s="10"/>
    </row>
    <row r="48" spans="1:14" ht="10.5" hidden="1" x14ac:dyDescent="0.2">
      <c r="A48" s="3" t="s">
        <v>239</v>
      </c>
      <c r="B48" s="4"/>
      <c r="C48" s="5"/>
      <c r="D48" s="4"/>
      <c r="E48" s="4"/>
      <c r="F48" s="4"/>
      <c r="G48" s="6">
        <v>0</v>
      </c>
      <c r="H48" s="6">
        <v>0</v>
      </c>
      <c r="I48" s="4"/>
      <c r="J48" s="4"/>
      <c r="K48" s="7">
        <v>0</v>
      </c>
      <c r="L48" s="4"/>
      <c r="M48" s="4"/>
      <c r="N48" s="4"/>
    </row>
    <row r="49" spans="1:14" ht="10.5" hidden="1" x14ac:dyDescent="0.25">
      <c r="A49" s="8" t="s">
        <v>240</v>
      </c>
      <c r="B49" s="4"/>
      <c r="C49" s="5"/>
      <c r="D49" s="4"/>
      <c r="E49" s="4"/>
      <c r="F49" s="4"/>
      <c r="G49" s="6">
        <v>0</v>
      </c>
      <c r="H49" s="6">
        <v>-125393.27536368625</v>
      </c>
      <c r="I49" s="4"/>
      <c r="J49" s="4"/>
      <c r="K49" s="7">
        <v>0</v>
      </c>
      <c r="L49" s="4"/>
      <c r="M49" s="4"/>
      <c r="N49" s="4"/>
    </row>
    <row r="50" spans="1:14" ht="10.5" hidden="1" x14ac:dyDescent="0.25">
      <c r="A50" s="8" t="s">
        <v>240</v>
      </c>
      <c r="B50" s="4" t="s">
        <v>241</v>
      </c>
      <c r="C50" s="5">
        <v>44197</v>
      </c>
      <c r="D50" s="4" t="s">
        <v>1957</v>
      </c>
      <c r="E50" s="4"/>
      <c r="F50" s="4"/>
      <c r="G50" s="6">
        <v>-1133.784400068</v>
      </c>
      <c r="H50" s="6">
        <f t="shared" ref="H50:H113" si="1">H49+G50</f>
        <v>-126527.05976375425</v>
      </c>
      <c r="I50" s="4"/>
      <c r="J50" s="4" t="s">
        <v>68</v>
      </c>
      <c r="K50" s="7">
        <v>0</v>
      </c>
      <c r="L50" s="4" t="s">
        <v>1958</v>
      </c>
      <c r="M50" s="4" t="s">
        <v>201</v>
      </c>
      <c r="N50" s="4"/>
    </row>
    <row r="51" spans="1:14" ht="10.5" hidden="1" x14ac:dyDescent="0.25">
      <c r="A51" s="8" t="s">
        <v>240</v>
      </c>
      <c r="B51" s="4" t="s">
        <v>241</v>
      </c>
      <c r="C51" s="5">
        <v>44197</v>
      </c>
      <c r="D51" s="4" t="s">
        <v>1959</v>
      </c>
      <c r="E51" s="4"/>
      <c r="F51" s="4"/>
      <c r="G51" s="6">
        <v>1130.7254962656</v>
      </c>
      <c r="H51" s="6">
        <f t="shared" si="1"/>
        <v>-125396.33426748865</v>
      </c>
      <c r="I51" s="4"/>
      <c r="J51" s="4" t="s">
        <v>68</v>
      </c>
      <c r="K51" s="7">
        <v>0</v>
      </c>
      <c r="L51" s="4" t="s">
        <v>1958</v>
      </c>
      <c r="M51" s="4" t="s">
        <v>201</v>
      </c>
      <c r="N51" s="4"/>
    </row>
    <row r="52" spans="1:14" ht="10.5" hidden="1" x14ac:dyDescent="0.25">
      <c r="A52" s="8" t="s">
        <v>240</v>
      </c>
      <c r="B52" s="4" t="s">
        <v>249</v>
      </c>
      <c r="C52" s="5">
        <v>44217</v>
      </c>
      <c r="D52" s="4" t="s">
        <v>1960</v>
      </c>
      <c r="E52" s="4" t="s">
        <v>1961</v>
      </c>
      <c r="F52" s="4" t="s">
        <v>1961</v>
      </c>
      <c r="G52" s="6">
        <v>11251.977293939577</v>
      </c>
      <c r="H52" s="6">
        <f t="shared" si="1"/>
        <v>-114144.35697354907</v>
      </c>
      <c r="I52" s="4" t="s">
        <v>252</v>
      </c>
      <c r="J52" s="4" t="s">
        <v>68</v>
      </c>
      <c r="K52" s="7">
        <v>-8322.5300000000007</v>
      </c>
      <c r="L52" s="4" t="s">
        <v>1958</v>
      </c>
      <c r="M52" s="4" t="s">
        <v>186</v>
      </c>
      <c r="N52" s="4"/>
    </row>
    <row r="53" spans="1:14" ht="10.5" hidden="1" x14ac:dyDescent="0.25">
      <c r="A53" s="8" t="s">
        <v>240</v>
      </c>
      <c r="B53" s="4" t="s">
        <v>21</v>
      </c>
      <c r="C53" s="5">
        <v>44227</v>
      </c>
      <c r="D53" s="4" t="s">
        <v>1962</v>
      </c>
      <c r="E53" s="4" t="s">
        <v>1963</v>
      </c>
      <c r="F53" s="4" t="s">
        <v>1963</v>
      </c>
      <c r="G53" s="6">
        <v>-2480.10007176</v>
      </c>
      <c r="H53" s="6">
        <f t="shared" si="1"/>
        <v>-116624.45704530907</v>
      </c>
      <c r="I53" s="4"/>
      <c r="J53" s="4" t="s">
        <v>748</v>
      </c>
      <c r="K53" s="7">
        <v>2181</v>
      </c>
      <c r="L53" s="4" t="s">
        <v>1958</v>
      </c>
      <c r="M53" s="4" t="s">
        <v>38</v>
      </c>
      <c r="N53" s="4"/>
    </row>
    <row r="54" spans="1:14" ht="10.5" hidden="1" x14ac:dyDescent="0.25">
      <c r="A54" s="8" t="s">
        <v>240</v>
      </c>
      <c r="B54" s="4" t="s">
        <v>21</v>
      </c>
      <c r="C54" s="5">
        <v>44227</v>
      </c>
      <c r="D54" s="4" t="s">
        <v>1964</v>
      </c>
      <c r="E54" s="4" t="s">
        <v>1965</v>
      </c>
      <c r="F54" s="4" t="s">
        <v>1965</v>
      </c>
      <c r="G54" s="6">
        <v>-136.45667520000001</v>
      </c>
      <c r="H54" s="6">
        <f t="shared" si="1"/>
        <v>-116760.91372050907</v>
      </c>
      <c r="I54" s="4"/>
      <c r="J54" s="4" t="s">
        <v>748</v>
      </c>
      <c r="K54" s="7">
        <v>120</v>
      </c>
      <c r="L54" s="4" t="s">
        <v>1958</v>
      </c>
      <c r="M54" s="4" t="s">
        <v>38</v>
      </c>
      <c r="N54" s="4"/>
    </row>
    <row r="55" spans="1:14" ht="10.5" hidden="1" x14ac:dyDescent="0.25">
      <c r="A55" s="8" t="s">
        <v>240</v>
      </c>
      <c r="B55" s="4" t="s">
        <v>241</v>
      </c>
      <c r="C55" s="5">
        <v>44227</v>
      </c>
      <c r="D55" s="4" t="s">
        <v>1966</v>
      </c>
      <c r="E55" s="4"/>
      <c r="F55" s="4"/>
      <c r="G55" s="6">
        <v>1027.0525372824</v>
      </c>
      <c r="H55" s="6">
        <f t="shared" si="1"/>
        <v>-115733.86118322666</v>
      </c>
      <c r="I55" s="4"/>
      <c r="J55" s="4" t="s">
        <v>68</v>
      </c>
      <c r="K55" s="7">
        <v>0</v>
      </c>
      <c r="L55" s="4" t="s">
        <v>1958</v>
      </c>
      <c r="M55" s="4" t="s">
        <v>201</v>
      </c>
      <c r="N55" s="4"/>
    </row>
    <row r="56" spans="1:14" ht="10.5" hidden="1" x14ac:dyDescent="0.25">
      <c r="A56" s="8" t="s">
        <v>240</v>
      </c>
      <c r="B56" s="4" t="s">
        <v>241</v>
      </c>
      <c r="C56" s="5">
        <v>44227</v>
      </c>
      <c r="D56" s="4" t="s">
        <v>1967</v>
      </c>
      <c r="E56" s="4"/>
      <c r="F56" s="4"/>
      <c r="G56" s="6">
        <v>-158.01682988159999</v>
      </c>
      <c r="H56" s="6">
        <f t="shared" si="1"/>
        <v>-115891.87801310826</v>
      </c>
      <c r="I56" s="4"/>
      <c r="J56" s="4" t="s">
        <v>68</v>
      </c>
      <c r="K56" s="7">
        <v>0</v>
      </c>
      <c r="L56" s="4" t="s">
        <v>1958</v>
      </c>
      <c r="M56" s="4" t="s">
        <v>197</v>
      </c>
      <c r="N56" s="4"/>
    </row>
    <row r="57" spans="1:14" ht="10.5" hidden="1" x14ac:dyDescent="0.25">
      <c r="A57" s="8" t="s">
        <v>240</v>
      </c>
      <c r="B57" s="4" t="s">
        <v>241</v>
      </c>
      <c r="C57" s="5">
        <v>44227</v>
      </c>
      <c r="D57" s="4" t="s">
        <v>1968</v>
      </c>
      <c r="E57" s="4"/>
      <c r="F57" s="4"/>
      <c r="G57" s="6">
        <v>106.7318627856</v>
      </c>
      <c r="H57" s="6">
        <f t="shared" si="1"/>
        <v>-115785.14615032266</v>
      </c>
      <c r="I57" s="4"/>
      <c r="J57" s="4" t="s">
        <v>68</v>
      </c>
      <c r="K57" s="7">
        <v>0</v>
      </c>
      <c r="L57" s="4" t="s">
        <v>1958</v>
      </c>
      <c r="M57" s="4" t="s">
        <v>201</v>
      </c>
      <c r="N57" s="4"/>
    </row>
    <row r="58" spans="1:14" ht="10.5" hidden="1" x14ac:dyDescent="0.25">
      <c r="A58" s="8" t="s">
        <v>240</v>
      </c>
      <c r="B58" s="4" t="s">
        <v>241</v>
      </c>
      <c r="C58" s="5">
        <v>44227</v>
      </c>
      <c r="D58" s="4" t="s">
        <v>1969</v>
      </c>
      <c r="E58" s="4"/>
      <c r="F58" s="4"/>
      <c r="G58" s="6">
        <v>-1023.99363348</v>
      </c>
      <c r="H58" s="6">
        <f t="shared" si="1"/>
        <v>-116809.13978380266</v>
      </c>
      <c r="I58" s="4"/>
      <c r="J58" s="4" t="s">
        <v>68</v>
      </c>
      <c r="K58" s="7">
        <v>0</v>
      </c>
      <c r="L58" s="4" t="s">
        <v>1958</v>
      </c>
      <c r="M58" s="4" t="s">
        <v>201</v>
      </c>
      <c r="N58" s="4"/>
    </row>
    <row r="59" spans="1:14" ht="10.5" hidden="1" x14ac:dyDescent="0.25">
      <c r="A59" s="8" t="s">
        <v>240</v>
      </c>
      <c r="B59" s="4" t="s">
        <v>241</v>
      </c>
      <c r="C59" s="5">
        <v>44228</v>
      </c>
      <c r="D59" s="4" t="s">
        <v>1970</v>
      </c>
      <c r="E59" s="4"/>
      <c r="F59" s="4"/>
      <c r="G59" s="6">
        <v>-1027.0525372824</v>
      </c>
      <c r="H59" s="6">
        <f t="shared" si="1"/>
        <v>-117836.19232108507</v>
      </c>
      <c r="I59" s="4"/>
      <c r="J59" s="4" t="s">
        <v>68</v>
      </c>
      <c r="K59" s="7">
        <v>0</v>
      </c>
      <c r="L59" s="4" t="s">
        <v>1971</v>
      </c>
      <c r="M59" s="4" t="s">
        <v>201</v>
      </c>
      <c r="N59" s="4"/>
    </row>
    <row r="60" spans="1:14" ht="10.5" hidden="1" x14ac:dyDescent="0.25">
      <c r="A60" s="8" t="s">
        <v>240</v>
      </c>
      <c r="B60" s="4" t="s">
        <v>241</v>
      </c>
      <c r="C60" s="5">
        <v>44228</v>
      </c>
      <c r="D60" s="4" t="s">
        <v>1972</v>
      </c>
      <c r="E60" s="4"/>
      <c r="F60" s="4"/>
      <c r="G60" s="6">
        <v>158.01682988159999</v>
      </c>
      <c r="H60" s="6">
        <f t="shared" si="1"/>
        <v>-117678.17549120347</v>
      </c>
      <c r="I60" s="4"/>
      <c r="J60" s="4" t="s">
        <v>68</v>
      </c>
      <c r="K60" s="7">
        <v>0</v>
      </c>
      <c r="L60" s="4" t="s">
        <v>1971</v>
      </c>
      <c r="M60" s="4" t="s">
        <v>197</v>
      </c>
      <c r="N60" s="4"/>
    </row>
    <row r="61" spans="1:14" ht="10.5" hidden="1" x14ac:dyDescent="0.25">
      <c r="A61" s="8" t="s">
        <v>240</v>
      </c>
      <c r="B61" s="4" t="s">
        <v>241</v>
      </c>
      <c r="C61" s="5">
        <v>44228</v>
      </c>
      <c r="D61" s="4" t="s">
        <v>1973</v>
      </c>
      <c r="E61" s="4"/>
      <c r="F61" s="4"/>
      <c r="G61" s="6">
        <v>-106.7318627856</v>
      </c>
      <c r="H61" s="6">
        <f t="shared" si="1"/>
        <v>-117784.90735398907</v>
      </c>
      <c r="I61" s="4"/>
      <c r="J61" s="4" t="s">
        <v>68</v>
      </c>
      <c r="K61" s="7">
        <v>0</v>
      </c>
      <c r="L61" s="4" t="s">
        <v>1971</v>
      </c>
      <c r="M61" s="4" t="s">
        <v>201</v>
      </c>
      <c r="N61" s="4"/>
    </row>
    <row r="62" spans="1:14" ht="10.5" hidden="1" x14ac:dyDescent="0.25">
      <c r="A62" s="8" t="s">
        <v>240</v>
      </c>
      <c r="B62" s="4" t="s">
        <v>241</v>
      </c>
      <c r="C62" s="5">
        <v>44228</v>
      </c>
      <c r="D62" s="4" t="s">
        <v>1974</v>
      </c>
      <c r="E62" s="4"/>
      <c r="F62" s="4"/>
      <c r="G62" s="6">
        <v>1023.99363348</v>
      </c>
      <c r="H62" s="6">
        <f t="shared" si="1"/>
        <v>-116760.91372050907</v>
      </c>
      <c r="I62" s="4"/>
      <c r="J62" s="4" t="s">
        <v>68</v>
      </c>
      <c r="K62" s="7">
        <v>0</v>
      </c>
      <c r="L62" s="4" t="s">
        <v>1971</v>
      </c>
      <c r="M62" s="4" t="s">
        <v>201</v>
      </c>
      <c r="N62" s="4"/>
    </row>
    <row r="63" spans="1:14" ht="10.5" hidden="1" x14ac:dyDescent="0.25">
      <c r="A63" s="8" t="s">
        <v>240</v>
      </c>
      <c r="B63" s="4" t="s">
        <v>21</v>
      </c>
      <c r="C63" s="5">
        <v>44232</v>
      </c>
      <c r="D63" s="4" t="s">
        <v>1975</v>
      </c>
      <c r="E63" s="4" t="s">
        <v>1976</v>
      </c>
      <c r="F63" s="4" t="s">
        <v>1976</v>
      </c>
      <c r="G63" s="6">
        <v>40412.200057546972</v>
      </c>
      <c r="H63" s="6">
        <f t="shared" si="1"/>
        <v>-76348.713662962095</v>
      </c>
      <c r="I63" s="4"/>
      <c r="J63" s="4" t="s">
        <v>68</v>
      </c>
      <c r="K63" s="7">
        <v>-40412.199999999997</v>
      </c>
      <c r="L63" s="4" t="s">
        <v>1971</v>
      </c>
      <c r="M63" s="4" t="s">
        <v>27</v>
      </c>
      <c r="N63" s="4"/>
    </row>
    <row r="64" spans="1:14" ht="10.5" hidden="1" x14ac:dyDescent="0.25">
      <c r="A64" s="8" t="s">
        <v>240</v>
      </c>
      <c r="B64" s="4" t="s">
        <v>1977</v>
      </c>
      <c r="C64" s="5">
        <v>44250</v>
      </c>
      <c r="D64" s="4" t="s">
        <v>1978</v>
      </c>
      <c r="E64" s="4" t="s">
        <v>1979</v>
      </c>
      <c r="F64" s="4" t="s">
        <v>1979</v>
      </c>
      <c r="G64" s="6">
        <v>-2650.6709157599998</v>
      </c>
      <c r="H64" s="6">
        <f t="shared" si="1"/>
        <v>-78999.384578722093</v>
      </c>
      <c r="I64" s="4"/>
      <c r="J64" s="4" t="s">
        <v>68</v>
      </c>
      <c r="K64" s="7">
        <v>2331</v>
      </c>
      <c r="L64" s="4" t="s">
        <v>1971</v>
      </c>
      <c r="M64" s="4" t="s">
        <v>61</v>
      </c>
      <c r="N64" s="4"/>
    </row>
    <row r="65" spans="1:14" ht="10.5" hidden="1" x14ac:dyDescent="0.25">
      <c r="A65" s="8" t="s">
        <v>240</v>
      </c>
      <c r="B65" s="4" t="s">
        <v>21</v>
      </c>
      <c r="C65" s="5">
        <v>44255</v>
      </c>
      <c r="D65" s="4" t="s">
        <v>1980</v>
      </c>
      <c r="E65" s="4" t="s">
        <v>1981</v>
      </c>
      <c r="F65" s="4" t="s">
        <v>1981</v>
      </c>
      <c r="G65" s="6">
        <v>-1304.2983871199999</v>
      </c>
      <c r="H65" s="6">
        <f t="shared" si="1"/>
        <v>-80303.68296584209</v>
      </c>
      <c r="I65" s="4"/>
      <c r="J65" s="4" t="s">
        <v>748</v>
      </c>
      <c r="K65" s="7">
        <v>1147</v>
      </c>
      <c r="L65" s="4" t="s">
        <v>1971</v>
      </c>
      <c r="M65" s="4" t="s">
        <v>38</v>
      </c>
      <c r="N65" s="4"/>
    </row>
    <row r="66" spans="1:14" ht="10.5" hidden="1" x14ac:dyDescent="0.25">
      <c r="A66" s="8" t="s">
        <v>240</v>
      </c>
      <c r="B66" s="4" t="s">
        <v>21</v>
      </c>
      <c r="C66" s="5">
        <v>44255</v>
      </c>
      <c r="D66" s="4" t="s">
        <v>1982</v>
      </c>
      <c r="E66" s="4" t="s">
        <v>1983</v>
      </c>
      <c r="F66" s="4" t="s">
        <v>1983</v>
      </c>
      <c r="G66" s="6">
        <v>-71.639754479999993</v>
      </c>
      <c r="H66" s="6">
        <f t="shared" si="1"/>
        <v>-80375.322720322089</v>
      </c>
      <c r="I66" s="4"/>
      <c r="J66" s="4" t="s">
        <v>748</v>
      </c>
      <c r="K66" s="7">
        <v>63</v>
      </c>
      <c r="L66" s="4" t="s">
        <v>1971</v>
      </c>
      <c r="M66" s="4" t="s">
        <v>38</v>
      </c>
      <c r="N66" s="4"/>
    </row>
    <row r="67" spans="1:14" ht="10.5" hidden="1" x14ac:dyDescent="0.25">
      <c r="A67" s="8" t="s">
        <v>240</v>
      </c>
      <c r="B67" s="4" t="s">
        <v>241</v>
      </c>
      <c r="C67" s="5">
        <v>44255</v>
      </c>
      <c r="D67" s="4" t="s">
        <v>1984</v>
      </c>
      <c r="E67" s="4"/>
      <c r="F67" s="4"/>
      <c r="G67" s="6">
        <v>1009.5974542464</v>
      </c>
      <c r="H67" s="6">
        <f t="shared" si="1"/>
        <v>-79365.725266075693</v>
      </c>
      <c r="I67" s="4"/>
      <c r="J67" s="4" t="s">
        <v>68</v>
      </c>
      <c r="K67" s="7">
        <v>0</v>
      </c>
      <c r="L67" s="4" t="s">
        <v>1971</v>
      </c>
      <c r="M67" s="4" t="s">
        <v>201</v>
      </c>
      <c r="N67" s="4"/>
    </row>
    <row r="68" spans="1:14" ht="10.5" hidden="1" x14ac:dyDescent="0.25">
      <c r="A68" s="8" t="s">
        <v>240</v>
      </c>
      <c r="B68" s="4" t="s">
        <v>241</v>
      </c>
      <c r="C68" s="5">
        <v>44255</v>
      </c>
      <c r="D68" s="4" t="s">
        <v>1985</v>
      </c>
      <c r="E68" s="4"/>
      <c r="F68" s="4"/>
      <c r="G68" s="6">
        <v>-277.85990487599997</v>
      </c>
      <c r="H68" s="6">
        <f t="shared" si="1"/>
        <v>-79643.585170951686</v>
      </c>
      <c r="I68" s="4"/>
      <c r="J68" s="4" t="s">
        <v>68</v>
      </c>
      <c r="K68" s="7">
        <v>0</v>
      </c>
      <c r="L68" s="4" t="s">
        <v>1971</v>
      </c>
      <c r="M68" s="4" t="s">
        <v>197</v>
      </c>
      <c r="N68" s="4"/>
    </row>
    <row r="69" spans="1:14" ht="10.5" hidden="1" x14ac:dyDescent="0.25">
      <c r="A69" s="8" t="s">
        <v>240</v>
      </c>
      <c r="B69" s="4" t="s">
        <v>241</v>
      </c>
      <c r="C69" s="5">
        <v>44255</v>
      </c>
      <c r="D69" s="4" t="s">
        <v>1986</v>
      </c>
      <c r="E69" s="4"/>
      <c r="F69" s="4"/>
      <c r="G69" s="6">
        <v>124.18694582160001</v>
      </c>
      <c r="H69" s="6">
        <f t="shared" si="1"/>
        <v>-79519.398225130091</v>
      </c>
      <c r="I69" s="4"/>
      <c r="J69" s="4" t="s">
        <v>68</v>
      </c>
      <c r="K69" s="7">
        <v>0</v>
      </c>
      <c r="L69" s="4" t="s">
        <v>1971</v>
      </c>
      <c r="M69" s="4" t="s">
        <v>201</v>
      </c>
      <c r="N69" s="4"/>
    </row>
    <row r="70" spans="1:14" ht="10.5" hidden="1" x14ac:dyDescent="0.25">
      <c r="A70" s="8" t="s">
        <v>240</v>
      </c>
      <c r="B70" s="4" t="s">
        <v>241</v>
      </c>
      <c r="C70" s="5">
        <v>44255</v>
      </c>
      <c r="D70" s="4" t="s">
        <v>1987</v>
      </c>
      <c r="E70" s="4"/>
      <c r="F70" s="4"/>
      <c r="G70" s="6">
        <v>-1006.5271790544</v>
      </c>
      <c r="H70" s="6">
        <f t="shared" si="1"/>
        <v>-80525.925404184498</v>
      </c>
      <c r="I70" s="4"/>
      <c r="J70" s="4" t="s">
        <v>68</v>
      </c>
      <c r="K70" s="7">
        <v>0</v>
      </c>
      <c r="L70" s="4" t="s">
        <v>1971</v>
      </c>
      <c r="M70" s="4" t="s">
        <v>201</v>
      </c>
      <c r="N70" s="4"/>
    </row>
    <row r="71" spans="1:14" ht="10.5" hidden="1" x14ac:dyDescent="0.25">
      <c r="A71" s="8" t="s">
        <v>240</v>
      </c>
      <c r="B71" s="4" t="s">
        <v>241</v>
      </c>
      <c r="C71" s="5">
        <v>44256</v>
      </c>
      <c r="D71" s="4" t="s">
        <v>1988</v>
      </c>
      <c r="E71" s="4"/>
      <c r="F71" s="4"/>
      <c r="G71" s="6">
        <v>-1009.5974542464</v>
      </c>
      <c r="H71" s="6">
        <f t="shared" si="1"/>
        <v>-81535.522858430893</v>
      </c>
      <c r="I71" s="4"/>
      <c r="J71" s="4" t="s">
        <v>68</v>
      </c>
      <c r="K71" s="7">
        <v>0</v>
      </c>
      <c r="L71" s="4" t="s">
        <v>1029</v>
      </c>
      <c r="M71" s="4" t="s">
        <v>201</v>
      </c>
      <c r="N71" s="4"/>
    </row>
    <row r="72" spans="1:14" ht="10.5" hidden="1" x14ac:dyDescent="0.25">
      <c r="A72" s="8" t="s">
        <v>240</v>
      </c>
      <c r="B72" s="4" t="s">
        <v>241</v>
      </c>
      <c r="C72" s="5">
        <v>44256</v>
      </c>
      <c r="D72" s="4" t="s">
        <v>1989</v>
      </c>
      <c r="E72" s="4"/>
      <c r="F72" s="4"/>
      <c r="G72" s="6">
        <v>277.85990487599997</v>
      </c>
      <c r="H72" s="6">
        <f t="shared" si="1"/>
        <v>-81257.6629535549</v>
      </c>
      <c r="I72" s="4"/>
      <c r="J72" s="4" t="s">
        <v>68</v>
      </c>
      <c r="K72" s="7">
        <v>0</v>
      </c>
      <c r="L72" s="4" t="s">
        <v>1029</v>
      </c>
      <c r="M72" s="4" t="s">
        <v>197</v>
      </c>
      <c r="N72" s="4"/>
    </row>
    <row r="73" spans="1:14" ht="10.5" hidden="1" x14ac:dyDescent="0.25">
      <c r="A73" s="8" t="s">
        <v>240</v>
      </c>
      <c r="B73" s="4" t="s">
        <v>241</v>
      </c>
      <c r="C73" s="5">
        <v>44256</v>
      </c>
      <c r="D73" s="4" t="s">
        <v>1990</v>
      </c>
      <c r="E73" s="4"/>
      <c r="F73" s="4"/>
      <c r="G73" s="6">
        <v>-124.18694582160001</v>
      </c>
      <c r="H73" s="6">
        <f t="shared" si="1"/>
        <v>-81381.849899376495</v>
      </c>
      <c r="I73" s="4"/>
      <c r="J73" s="4" t="s">
        <v>68</v>
      </c>
      <c r="K73" s="7">
        <v>0</v>
      </c>
      <c r="L73" s="4" t="s">
        <v>1029</v>
      </c>
      <c r="M73" s="4" t="s">
        <v>201</v>
      </c>
      <c r="N73" s="4"/>
    </row>
    <row r="74" spans="1:14" ht="10.5" hidden="1" x14ac:dyDescent="0.25">
      <c r="A74" s="8" t="s">
        <v>240</v>
      </c>
      <c r="B74" s="4" t="s">
        <v>241</v>
      </c>
      <c r="C74" s="5">
        <v>44256</v>
      </c>
      <c r="D74" s="4" t="s">
        <v>1991</v>
      </c>
      <c r="E74" s="4"/>
      <c r="F74" s="4"/>
      <c r="G74" s="6">
        <v>1006.5271790544</v>
      </c>
      <c r="H74" s="6">
        <f t="shared" si="1"/>
        <v>-80375.322720322089</v>
      </c>
      <c r="I74" s="4"/>
      <c r="J74" s="4" t="s">
        <v>68</v>
      </c>
      <c r="K74" s="7">
        <v>0</v>
      </c>
      <c r="L74" s="4" t="s">
        <v>1029</v>
      </c>
      <c r="M74" s="4" t="s">
        <v>201</v>
      </c>
      <c r="N74" s="4"/>
    </row>
    <row r="75" spans="1:14" ht="10.5" hidden="1" x14ac:dyDescent="0.25">
      <c r="A75" s="8" t="s">
        <v>240</v>
      </c>
      <c r="B75" s="4" t="s">
        <v>21</v>
      </c>
      <c r="C75" s="5">
        <v>44286</v>
      </c>
      <c r="D75" s="4" t="s">
        <v>1992</v>
      </c>
      <c r="E75" s="4" t="s">
        <v>1993</v>
      </c>
      <c r="F75" s="4" t="s">
        <v>1981</v>
      </c>
      <c r="G75" s="6">
        <v>-1304.2983871199999</v>
      </c>
      <c r="H75" s="6">
        <f t="shared" si="1"/>
        <v>-81679.621107442086</v>
      </c>
      <c r="I75" s="4"/>
      <c r="J75" s="4" t="s">
        <v>748</v>
      </c>
      <c r="K75" s="7">
        <v>1147</v>
      </c>
      <c r="L75" s="4" t="s">
        <v>1029</v>
      </c>
      <c r="M75" s="4" t="s">
        <v>38</v>
      </c>
      <c r="N75" s="4"/>
    </row>
    <row r="76" spans="1:14" ht="10.5" hidden="1" x14ac:dyDescent="0.25">
      <c r="A76" s="8" t="s">
        <v>240</v>
      </c>
      <c r="B76" s="4" t="s">
        <v>21</v>
      </c>
      <c r="C76" s="5">
        <v>44286</v>
      </c>
      <c r="D76" s="4" t="s">
        <v>1994</v>
      </c>
      <c r="E76" s="4" t="s">
        <v>1995</v>
      </c>
      <c r="F76" s="4" t="s">
        <v>1995</v>
      </c>
      <c r="G76" s="6">
        <v>-71.639754479999993</v>
      </c>
      <c r="H76" s="6">
        <f t="shared" si="1"/>
        <v>-81751.260861922085</v>
      </c>
      <c r="I76" s="4"/>
      <c r="J76" s="4" t="s">
        <v>748</v>
      </c>
      <c r="K76" s="7">
        <v>63</v>
      </c>
      <c r="L76" s="4" t="s">
        <v>1029</v>
      </c>
      <c r="M76" s="4" t="s">
        <v>38</v>
      </c>
      <c r="N76" s="4"/>
    </row>
    <row r="77" spans="1:14" ht="10.5" hidden="1" x14ac:dyDescent="0.25">
      <c r="A77" s="8" t="s">
        <v>240</v>
      </c>
      <c r="B77" s="4" t="s">
        <v>241</v>
      </c>
      <c r="C77" s="5">
        <v>44286</v>
      </c>
      <c r="D77" s="4" t="s">
        <v>1996</v>
      </c>
      <c r="E77" s="4"/>
      <c r="F77" s="4"/>
      <c r="G77" s="6">
        <v>-429.98635494479998</v>
      </c>
      <c r="H77" s="6">
        <f t="shared" si="1"/>
        <v>-82181.24721686689</v>
      </c>
      <c r="I77" s="4"/>
      <c r="J77" s="4" t="s">
        <v>68</v>
      </c>
      <c r="K77" s="7">
        <v>0</v>
      </c>
      <c r="L77" s="4" t="s">
        <v>1029</v>
      </c>
      <c r="M77" s="4" t="s">
        <v>197</v>
      </c>
      <c r="N77" s="4"/>
    </row>
    <row r="78" spans="1:14" ht="10.5" hidden="1" x14ac:dyDescent="0.25">
      <c r="A78" s="8" t="s">
        <v>240</v>
      </c>
      <c r="B78" s="4" t="s">
        <v>21</v>
      </c>
      <c r="C78" s="5">
        <v>44286</v>
      </c>
      <c r="D78" s="4" t="s">
        <v>1997</v>
      </c>
      <c r="E78" s="4" t="s">
        <v>1998</v>
      </c>
      <c r="F78" s="4" t="s">
        <v>1998</v>
      </c>
      <c r="G78" s="6">
        <v>-4031.1576132</v>
      </c>
      <c r="H78" s="6">
        <f t="shared" si="1"/>
        <v>-86212.404830066895</v>
      </c>
      <c r="I78" s="4"/>
      <c r="J78" s="4" t="s">
        <v>68</v>
      </c>
      <c r="K78" s="7">
        <v>3545</v>
      </c>
      <c r="L78" s="4" t="s">
        <v>1999</v>
      </c>
      <c r="M78" s="4" t="s">
        <v>38</v>
      </c>
      <c r="N78" s="4"/>
    </row>
    <row r="79" spans="1:14" ht="10.5" hidden="1" x14ac:dyDescent="0.25">
      <c r="A79" s="8" t="s">
        <v>240</v>
      </c>
      <c r="B79" s="4" t="s">
        <v>21</v>
      </c>
      <c r="C79" s="5">
        <v>44286</v>
      </c>
      <c r="D79" s="4" t="s">
        <v>2000</v>
      </c>
      <c r="E79" s="4" t="s">
        <v>2001</v>
      </c>
      <c r="F79" s="4" t="s">
        <v>2001</v>
      </c>
      <c r="G79" s="6">
        <v>-221.74209719999999</v>
      </c>
      <c r="H79" s="6">
        <f t="shared" si="1"/>
        <v>-86434.146927266891</v>
      </c>
      <c r="I79" s="4"/>
      <c r="J79" s="4" t="s">
        <v>68</v>
      </c>
      <c r="K79" s="7">
        <v>195</v>
      </c>
      <c r="L79" s="4" t="s">
        <v>1999</v>
      </c>
      <c r="M79" s="4" t="s">
        <v>38</v>
      </c>
      <c r="N79" s="4"/>
    </row>
    <row r="80" spans="1:14" ht="10.5" hidden="1" x14ac:dyDescent="0.25">
      <c r="A80" s="8" t="s">
        <v>240</v>
      </c>
      <c r="B80" s="4" t="s">
        <v>241</v>
      </c>
      <c r="C80" s="5">
        <v>44286</v>
      </c>
      <c r="D80" s="4" t="s">
        <v>2002</v>
      </c>
      <c r="E80" s="4"/>
      <c r="F80" s="4"/>
      <c r="G80" s="6">
        <v>1133.784400068</v>
      </c>
      <c r="H80" s="6">
        <f t="shared" si="1"/>
        <v>-85300.362527198886</v>
      </c>
      <c r="I80" s="4"/>
      <c r="J80" s="4" t="s">
        <v>68</v>
      </c>
      <c r="K80" s="7">
        <v>0</v>
      </c>
      <c r="L80" s="4" t="s">
        <v>1029</v>
      </c>
      <c r="M80" s="4" t="s">
        <v>201</v>
      </c>
      <c r="N80" s="4"/>
    </row>
    <row r="81" spans="1:16" ht="10.5" x14ac:dyDescent="0.25">
      <c r="A81" s="8" t="s">
        <v>240</v>
      </c>
      <c r="B81" s="4" t="s">
        <v>21</v>
      </c>
      <c r="C81" s="5">
        <v>44286</v>
      </c>
      <c r="D81" s="4" t="s">
        <v>1100</v>
      </c>
      <c r="E81" s="4" t="s">
        <v>1101</v>
      </c>
      <c r="F81" s="4" t="s">
        <v>1102</v>
      </c>
      <c r="G81" s="6">
        <v>89108.047659298318</v>
      </c>
      <c r="H81" s="6">
        <f t="shared" si="1"/>
        <v>3807.6851320994319</v>
      </c>
      <c r="I81" s="4"/>
      <c r="J81" s="4" t="s">
        <v>68</v>
      </c>
      <c r="K81" s="7">
        <v>-6640815</v>
      </c>
      <c r="L81" s="4" t="s">
        <v>1029</v>
      </c>
      <c r="M81" s="4" t="s">
        <v>204</v>
      </c>
      <c r="N81" s="4" t="s">
        <v>198</v>
      </c>
      <c r="P81" s="4" t="s">
        <v>3891</v>
      </c>
    </row>
    <row r="82" spans="1:16" ht="10.5" x14ac:dyDescent="0.25">
      <c r="A82" s="8" t="s">
        <v>240</v>
      </c>
      <c r="B82" s="4" t="s">
        <v>21</v>
      </c>
      <c r="C82" s="5">
        <v>44286</v>
      </c>
      <c r="D82" s="4" t="s">
        <v>1100</v>
      </c>
      <c r="E82" s="4" t="s">
        <v>1101</v>
      </c>
      <c r="F82" s="4" t="s">
        <v>2003</v>
      </c>
      <c r="G82" s="6">
        <v>-29730.807183569326</v>
      </c>
      <c r="H82" s="6">
        <f t="shared" si="1"/>
        <v>-25923.122051469894</v>
      </c>
      <c r="I82" s="4"/>
      <c r="J82" s="4" t="s">
        <v>68</v>
      </c>
      <c r="K82" s="7">
        <v>2215701</v>
      </c>
      <c r="L82" s="4" t="s">
        <v>1029</v>
      </c>
      <c r="M82" s="4" t="s">
        <v>204</v>
      </c>
      <c r="N82" s="4" t="s">
        <v>198</v>
      </c>
      <c r="P82" s="4" t="s">
        <v>3891</v>
      </c>
    </row>
    <row r="83" spans="1:16" ht="10.5" hidden="1" x14ac:dyDescent="0.25">
      <c r="A83" s="8" t="s">
        <v>240</v>
      </c>
      <c r="B83" s="4" t="s">
        <v>241</v>
      </c>
      <c r="C83" s="5">
        <v>44286</v>
      </c>
      <c r="D83" s="4" t="s">
        <v>2004</v>
      </c>
      <c r="E83" s="4"/>
      <c r="F83" s="4"/>
      <c r="G83" s="6">
        <v>-842.98385382720005</v>
      </c>
      <c r="H83" s="6">
        <f t="shared" si="1"/>
        <v>-26766.105905297096</v>
      </c>
      <c r="I83" s="4"/>
      <c r="J83" s="4" t="s">
        <v>68</v>
      </c>
      <c r="K83" s="7">
        <v>0</v>
      </c>
      <c r="L83" s="4" t="s">
        <v>1029</v>
      </c>
      <c r="M83" s="4" t="s">
        <v>201</v>
      </c>
      <c r="N83" s="4"/>
    </row>
    <row r="84" spans="1:16" ht="10.5" hidden="1" x14ac:dyDescent="0.25">
      <c r="A84" s="8" t="s">
        <v>240</v>
      </c>
      <c r="B84" s="4" t="s">
        <v>21</v>
      </c>
      <c r="C84" s="5">
        <v>44286</v>
      </c>
      <c r="D84" s="4" t="s">
        <v>2005</v>
      </c>
      <c r="E84" s="4" t="s">
        <v>2006</v>
      </c>
      <c r="F84" s="4" t="s">
        <v>2007</v>
      </c>
      <c r="G84" s="6">
        <v>-4778.0077393488</v>
      </c>
      <c r="H84" s="6">
        <f t="shared" si="1"/>
        <v>-31544.113644645895</v>
      </c>
      <c r="I84" s="4"/>
      <c r="J84" s="4" t="s">
        <v>68</v>
      </c>
      <c r="K84" s="7">
        <v>6687</v>
      </c>
      <c r="L84" s="4" t="s">
        <v>1029</v>
      </c>
      <c r="M84" s="4" t="s">
        <v>201</v>
      </c>
      <c r="N84" s="4" t="s">
        <v>198</v>
      </c>
    </row>
    <row r="85" spans="1:16" ht="10.5" x14ac:dyDescent="0.25">
      <c r="A85" s="8" t="s">
        <v>240</v>
      </c>
      <c r="B85" s="4" t="s">
        <v>21</v>
      </c>
      <c r="C85" s="5">
        <v>44286</v>
      </c>
      <c r="D85" s="4" t="s">
        <v>1103</v>
      </c>
      <c r="E85" s="4" t="s">
        <v>1104</v>
      </c>
      <c r="F85" s="4" t="s">
        <v>1104</v>
      </c>
      <c r="G85" s="6">
        <v>-25480.848114519889</v>
      </c>
      <c r="H85" s="6">
        <f t="shared" si="1"/>
        <v>-57024.961759165788</v>
      </c>
      <c r="I85" s="4"/>
      <c r="J85" s="4" t="s">
        <v>68</v>
      </c>
      <c r="K85" s="7">
        <v>1898971</v>
      </c>
      <c r="L85" s="4" t="s">
        <v>1029</v>
      </c>
      <c r="M85" s="4" t="s">
        <v>204</v>
      </c>
      <c r="N85" s="4" t="s">
        <v>198</v>
      </c>
    </row>
    <row r="86" spans="1:16" ht="10.5" hidden="1" x14ac:dyDescent="0.25">
      <c r="A86" s="8" t="s">
        <v>240</v>
      </c>
      <c r="B86" s="4" t="s">
        <v>21</v>
      </c>
      <c r="C86" s="5">
        <v>44286</v>
      </c>
      <c r="D86" s="4" t="s">
        <v>2008</v>
      </c>
      <c r="E86" s="4" t="s">
        <v>2009</v>
      </c>
      <c r="F86" s="4" t="s">
        <v>2009</v>
      </c>
      <c r="G86" s="6">
        <v>-15452.967954686401</v>
      </c>
      <c r="H86" s="6">
        <f t="shared" si="1"/>
        <v>-72477.929713852194</v>
      </c>
      <c r="I86" s="4"/>
      <c r="J86" s="4" t="s">
        <v>68</v>
      </c>
      <c r="K86" s="7">
        <v>21627.03</v>
      </c>
      <c r="L86" s="4" t="s">
        <v>1029</v>
      </c>
      <c r="M86" s="4" t="s">
        <v>201</v>
      </c>
      <c r="N86" s="4" t="s">
        <v>198</v>
      </c>
    </row>
    <row r="87" spans="1:16" ht="10.5" x14ac:dyDescent="0.25">
      <c r="A87" s="8" t="s">
        <v>240</v>
      </c>
      <c r="B87" s="4" t="s">
        <v>21</v>
      </c>
      <c r="C87" s="5">
        <v>44286</v>
      </c>
      <c r="D87" s="4" t="s">
        <v>2010</v>
      </c>
      <c r="E87" s="4" t="s">
        <v>1104</v>
      </c>
      <c r="F87" s="4" t="s">
        <v>2011</v>
      </c>
      <c r="G87" s="6">
        <v>25480.848114519889</v>
      </c>
      <c r="H87" s="6">
        <f t="shared" si="1"/>
        <v>-46997.081599332305</v>
      </c>
      <c r="I87" s="4"/>
      <c r="J87" s="4" t="s">
        <v>68</v>
      </c>
      <c r="K87" s="7">
        <v>-1898971</v>
      </c>
      <c r="L87" s="4" t="s">
        <v>1029</v>
      </c>
      <c r="M87" s="4" t="s">
        <v>204</v>
      </c>
      <c r="N87" s="4" t="s">
        <v>198</v>
      </c>
    </row>
    <row r="88" spans="1:16" ht="10.5" hidden="1" x14ac:dyDescent="0.25">
      <c r="A88" s="8" t="s">
        <v>240</v>
      </c>
      <c r="B88" s="4" t="s">
        <v>241</v>
      </c>
      <c r="C88" s="5">
        <v>44286</v>
      </c>
      <c r="D88" s="4" t="s">
        <v>2012</v>
      </c>
      <c r="E88" s="4"/>
      <c r="F88" s="4"/>
      <c r="G88" s="6">
        <v>-1.13713896E-2</v>
      </c>
      <c r="H88" s="6">
        <f t="shared" si="1"/>
        <v>-46997.092970721904</v>
      </c>
      <c r="I88" s="4"/>
      <c r="J88" s="4" t="s">
        <v>68</v>
      </c>
      <c r="K88" s="7">
        <v>0</v>
      </c>
      <c r="L88" s="4" t="s">
        <v>1029</v>
      </c>
      <c r="M88" s="4" t="s">
        <v>201</v>
      </c>
      <c r="N88" s="4"/>
    </row>
    <row r="89" spans="1:16" ht="10.5" hidden="1" x14ac:dyDescent="0.25">
      <c r="A89" s="8" t="s">
        <v>240</v>
      </c>
      <c r="B89" s="4" t="s">
        <v>21</v>
      </c>
      <c r="C89" s="5">
        <v>44286</v>
      </c>
      <c r="D89" s="4" t="s">
        <v>2013</v>
      </c>
      <c r="E89" s="4" t="s">
        <v>2014</v>
      </c>
      <c r="F89" s="4" t="s">
        <v>2014</v>
      </c>
      <c r="G89" s="6">
        <v>-27372.375920943239</v>
      </c>
      <c r="H89" s="6">
        <f t="shared" si="1"/>
        <v>-74369.468891665136</v>
      </c>
      <c r="I89" s="4"/>
      <c r="J89" s="4" t="s">
        <v>68</v>
      </c>
      <c r="K89" s="7">
        <v>20245.990000000002</v>
      </c>
      <c r="L89" s="4" t="s">
        <v>1029</v>
      </c>
      <c r="M89" s="4" t="s">
        <v>186</v>
      </c>
      <c r="N89" s="4" t="s">
        <v>118</v>
      </c>
    </row>
    <row r="90" spans="1:16" ht="10.5" hidden="1" x14ac:dyDescent="0.25">
      <c r="A90" s="8" t="s">
        <v>240</v>
      </c>
      <c r="B90" s="4" t="s">
        <v>21</v>
      </c>
      <c r="C90" s="5">
        <v>44286</v>
      </c>
      <c r="D90" s="4" t="s">
        <v>2015</v>
      </c>
      <c r="E90" s="4" t="s">
        <v>1113</v>
      </c>
      <c r="F90" s="4" t="s">
        <v>1113</v>
      </c>
      <c r="G90" s="6">
        <v>727772.34581688</v>
      </c>
      <c r="H90" s="6">
        <f t="shared" si="1"/>
        <v>653402.87692521489</v>
      </c>
      <c r="I90" s="4"/>
      <c r="J90" s="4" t="s">
        <v>68</v>
      </c>
      <c r="K90" s="7">
        <v>-640003</v>
      </c>
      <c r="L90" s="4" t="s">
        <v>1029</v>
      </c>
      <c r="M90" s="4" t="s">
        <v>61</v>
      </c>
      <c r="N90" s="4" t="s">
        <v>118</v>
      </c>
    </row>
    <row r="91" spans="1:16" ht="10.5" hidden="1" x14ac:dyDescent="0.25">
      <c r="A91" s="8" t="s">
        <v>240</v>
      </c>
      <c r="B91" s="4" t="s">
        <v>21</v>
      </c>
      <c r="C91" s="5">
        <v>44287</v>
      </c>
      <c r="D91" s="4" t="s">
        <v>2016</v>
      </c>
      <c r="E91" s="4" t="s">
        <v>1993</v>
      </c>
      <c r="F91" s="4" t="s">
        <v>1981</v>
      </c>
      <c r="G91" s="6">
        <v>1304.2983871199999</v>
      </c>
      <c r="H91" s="6">
        <f t="shared" si="1"/>
        <v>654707.1753123349</v>
      </c>
      <c r="I91" s="4"/>
      <c r="J91" s="4" t="s">
        <v>748</v>
      </c>
      <c r="K91" s="7">
        <v>-1147</v>
      </c>
      <c r="L91" s="4" t="s">
        <v>1999</v>
      </c>
      <c r="M91" s="4" t="s">
        <v>38</v>
      </c>
      <c r="N91" s="4"/>
    </row>
    <row r="92" spans="1:16" ht="10.5" hidden="1" x14ac:dyDescent="0.25">
      <c r="A92" s="8" t="s">
        <v>240</v>
      </c>
      <c r="B92" s="4" t="s">
        <v>21</v>
      </c>
      <c r="C92" s="5">
        <v>44287</v>
      </c>
      <c r="D92" s="4" t="s">
        <v>2017</v>
      </c>
      <c r="E92" s="4" t="s">
        <v>1995</v>
      </c>
      <c r="F92" s="4" t="s">
        <v>1995</v>
      </c>
      <c r="G92" s="6">
        <v>71.639754479999993</v>
      </c>
      <c r="H92" s="6">
        <f t="shared" si="1"/>
        <v>654778.81506681489</v>
      </c>
      <c r="I92" s="4"/>
      <c r="J92" s="4" t="s">
        <v>748</v>
      </c>
      <c r="K92" s="7">
        <v>-63</v>
      </c>
      <c r="L92" s="4" t="s">
        <v>1999</v>
      </c>
      <c r="M92" s="4" t="s">
        <v>38</v>
      </c>
      <c r="N92" s="4"/>
    </row>
    <row r="93" spans="1:16" ht="10.5" hidden="1" x14ac:dyDescent="0.25">
      <c r="A93" s="8" t="s">
        <v>240</v>
      </c>
      <c r="B93" s="4" t="s">
        <v>241</v>
      </c>
      <c r="C93" s="5">
        <v>44287</v>
      </c>
      <c r="D93" s="4" t="s">
        <v>2018</v>
      </c>
      <c r="E93" s="4"/>
      <c r="F93" s="4"/>
      <c r="G93" s="6">
        <v>429.98635494479998</v>
      </c>
      <c r="H93" s="6">
        <f t="shared" si="1"/>
        <v>655208.80142175965</v>
      </c>
      <c r="I93" s="4"/>
      <c r="J93" s="4" t="s">
        <v>68</v>
      </c>
      <c r="K93" s="7">
        <v>0</v>
      </c>
      <c r="L93" s="4" t="s">
        <v>1999</v>
      </c>
      <c r="M93" s="4" t="s">
        <v>197</v>
      </c>
      <c r="N93" s="4"/>
    </row>
    <row r="94" spans="1:16" ht="10.5" hidden="1" x14ac:dyDescent="0.25">
      <c r="A94" s="8" t="s">
        <v>240</v>
      </c>
      <c r="B94" s="4" t="s">
        <v>241</v>
      </c>
      <c r="C94" s="5">
        <v>44287</v>
      </c>
      <c r="D94" s="4" t="s">
        <v>2019</v>
      </c>
      <c r="E94" s="4"/>
      <c r="F94" s="4"/>
      <c r="G94" s="6">
        <v>-1133.784400068</v>
      </c>
      <c r="H94" s="6">
        <f t="shared" si="1"/>
        <v>654075.01702169166</v>
      </c>
      <c r="I94" s="4"/>
      <c r="J94" s="4" t="s">
        <v>68</v>
      </c>
      <c r="K94" s="7">
        <v>0</v>
      </c>
      <c r="L94" s="4" t="s">
        <v>1999</v>
      </c>
      <c r="M94" s="4" t="s">
        <v>201</v>
      </c>
      <c r="N94" s="4"/>
    </row>
    <row r="95" spans="1:16" ht="10.5" hidden="1" x14ac:dyDescent="0.25">
      <c r="A95" s="8" t="s">
        <v>240</v>
      </c>
      <c r="B95" s="4" t="s">
        <v>241</v>
      </c>
      <c r="C95" s="5">
        <v>44287</v>
      </c>
      <c r="D95" s="4" t="s">
        <v>2020</v>
      </c>
      <c r="E95" s="4"/>
      <c r="F95" s="4"/>
      <c r="G95" s="6">
        <v>842.98385382720005</v>
      </c>
      <c r="H95" s="6">
        <f t="shared" si="1"/>
        <v>654918.00087551889</v>
      </c>
      <c r="I95" s="4"/>
      <c r="J95" s="4" t="s">
        <v>68</v>
      </c>
      <c r="K95" s="7">
        <v>0</v>
      </c>
      <c r="L95" s="4" t="s">
        <v>1999</v>
      </c>
      <c r="M95" s="4" t="s">
        <v>201</v>
      </c>
      <c r="N95" s="4"/>
    </row>
    <row r="96" spans="1:16" ht="10.5" hidden="1" x14ac:dyDescent="0.25">
      <c r="A96" s="8" t="s">
        <v>240</v>
      </c>
      <c r="B96" s="4" t="s">
        <v>241</v>
      </c>
      <c r="C96" s="5">
        <v>44287</v>
      </c>
      <c r="D96" s="4" t="s">
        <v>2021</v>
      </c>
      <c r="E96" s="4"/>
      <c r="F96" s="4"/>
      <c r="G96" s="6">
        <v>1.13713896E-2</v>
      </c>
      <c r="H96" s="6">
        <f t="shared" si="1"/>
        <v>654918.0122469085</v>
      </c>
      <c r="I96" s="4"/>
      <c r="J96" s="4" t="s">
        <v>68</v>
      </c>
      <c r="K96" s="7">
        <v>0</v>
      </c>
      <c r="L96" s="4" t="s">
        <v>1999</v>
      </c>
      <c r="M96" s="4" t="s">
        <v>201</v>
      </c>
      <c r="N96" s="4"/>
    </row>
    <row r="97" spans="1:14" ht="10.5" hidden="1" x14ac:dyDescent="0.25">
      <c r="A97" s="8" t="s">
        <v>240</v>
      </c>
      <c r="B97" s="4" t="s">
        <v>21</v>
      </c>
      <c r="C97" s="5">
        <v>44298</v>
      </c>
      <c r="D97" s="4" t="s">
        <v>2022</v>
      </c>
      <c r="E97" s="4" t="s">
        <v>2023</v>
      </c>
      <c r="F97" s="4" t="s">
        <v>2024</v>
      </c>
      <c r="G97" s="6">
        <v>100.0000001424</v>
      </c>
      <c r="H97" s="6">
        <f t="shared" si="1"/>
        <v>655018.01224705088</v>
      </c>
      <c r="I97" s="4"/>
      <c r="J97" s="4" t="s">
        <v>68</v>
      </c>
      <c r="K97" s="7">
        <v>-100</v>
      </c>
      <c r="L97" s="4" t="s">
        <v>1999</v>
      </c>
      <c r="M97" s="4" t="s">
        <v>27</v>
      </c>
      <c r="N97" s="4"/>
    </row>
    <row r="98" spans="1:14" ht="10.5" hidden="1" x14ac:dyDescent="0.25">
      <c r="A98" s="8" t="s">
        <v>240</v>
      </c>
      <c r="B98" s="4" t="s">
        <v>21</v>
      </c>
      <c r="C98" s="5">
        <v>44298</v>
      </c>
      <c r="D98" s="4" t="s">
        <v>2022</v>
      </c>
      <c r="E98" s="4" t="s">
        <v>2023</v>
      </c>
      <c r="F98" s="4" t="s">
        <v>2025</v>
      </c>
      <c r="G98" s="6">
        <v>300.00000042720001</v>
      </c>
      <c r="H98" s="6">
        <f t="shared" si="1"/>
        <v>655318.01224747812</v>
      </c>
      <c r="I98" s="4"/>
      <c r="J98" s="4" t="s">
        <v>68</v>
      </c>
      <c r="K98" s="7">
        <v>-300</v>
      </c>
      <c r="L98" s="4" t="s">
        <v>1999</v>
      </c>
      <c r="M98" s="4" t="s">
        <v>27</v>
      </c>
      <c r="N98" s="4"/>
    </row>
    <row r="99" spans="1:14" ht="10.5" hidden="1" x14ac:dyDescent="0.25">
      <c r="A99" s="8" t="s">
        <v>240</v>
      </c>
      <c r="B99" s="4" t="s">
        <v>21</v>
      </c>
      <c r="C99" s="5">
        <v>44298</v>
      </c>
      <c r="D99" s="4" t="s">
        <v>2022</v>
      </c>
      <c r="E99" s="4" t="s">
        <v>2023</v>
      </c>
      <c r="F99" s="4" t="s">
        <v>2026</v>
      </c>
      <c r="G99" s="6">
        <v>4000.0000056959998</v>
      </c>
      <c r="H99" s="6">
        <f t="shared" si="1"/>
        <v>659318.01225317409</v>
      </c>
      <c r="I99" s="4"/>
      <c r="J99" s="4" t="s">
        <v>68</v>
      </c>
      <c r="K99" s="7">
        <v>-4000</v>
      </c>
      <c r="L99" s="4" t="s">
        <v>1999</v>
      </c>
      <c r="M99" s="4" t="s">
        <v>27</v>
      </c>
      <c r="N99" s="4"/>
    </row>
    <row r="100" spans="1:14" ht="10.5" hidden="1" x14ac:dyDescent="0.25">
      <c r="A100" s="8" t="s">
        <v>240</v>
      </c>
      <c r="B100" s="4" t="s">
        <v>21</v>
      </c>
      <c r="C100" s="5">
        <v>44298</v>
      </c>
      <c r="D100" s="4" t="s">
        <v>2022</v>
      </c>
      <c r="E100" s="4" t="s">
        <v>2023</v>
      </c>
      <c r="F100" s="4" t="s">
        <v>2027</v>
      </c>
      <c r="G100" s="6">
        <v>11000.000015664</v>
      </c>
      <c r="H100" s="6">
        <f t="shared" si="1"/>
        <v>670318.01226883812</v>
      </c>
      <c r="I100" s="4"/>
      <c r="J100" s="4" t="s">
        <v>68</v>
      </c>
      <c r="K100" s="7">
        <v>-11000</v>
      </c>
      <c r="L100" s="4" t="s">
        <v>1999</v>
      </c>
      <c r="M100" s="4" t="s">
        <v>27</v>
      </c>
      <c r="N100" s="4"/>
    </row>
    <row r="101" spans="1:14" ht="10.5" hidden="1" x14ac:dyDescent="0.25">
      <c r="A101" s="8" t="s">
        <v>240</v>
      </c>
      <c r="B101" s="4" t="s">
        <v>241</v>
      </c>
      <c r="C101" s="5">
        <v>44316</v>
      </c>
      <c r="D101" s="4" t="s">
        <v>2028</v>
      </c>
      <c r="E101" s="4"/>
      <c r="F101" s="4"/>
      <c r="G101" s="6">
        <v>1133.784400068</v>
      </c>
      <c r="H101" s="6">
        <f t="shared" si="1"/>
        <v>671451.79666890611</v>
      </c>
      <c r="I101" s="4"/>
      <c r="J101" s="4" t="s">
        <v>68</v>
      </c>
      <c r="K101" s="7">
        <v>0</v>
      </c>
      <c r="L101" s="4" t="s">
        <v>1999</v>
      </c>
      <c r="M101" s="4" t="s">
        <v>201</v>
      </c>
      <c r="N101" s="4"/>
    </row>
    <row r="102" spans="1:14" ht="10.5" hidden="1" x14ac:dyDescent="0.25">
      <c r="A102" s="8" t="s">
        <v>240</v>
      </c>
      <c r="B102" s="4" t="s">
        <v>241</v>
      </c>
      <c r="C102" s="5">
        <v>44316</v>
      </c>
      <c r="D102" s="4" t="s">
        <v>2029</v>
      </c>
      <c r="E102" s="4"/>
      <c r="F102" s="4"/>
      <c r="G102" s="6">
        <v>-349.46554518720001</v>
      </c>
      <c r="H102" s="6">
        <f t="shared" si="1"/>
        <v>671102.33112371888</v>
      </c>
      <c r="I102" s="4"/>
      <c r="J102" s="4" t="s">
        <v>68</v>
      </c>
      <c r="K102" s="7">
        <v>0</v>
      </c>
      <c r="L102" s="4" t="s">
        <v>1999</v>
      </c>
      <c r="M102" s="4" t="s">
        <v>197</v>
      </c>
      <c r="N102" s="4"/>
    </row>
    <row r="103" spans="1:14" ht="10.5" hidden="1" x14ac:dyDescent="0.25">
      <c r="A103" s="8" t="s">
        <v>240</v>
      </c>
      <c r="B103" s="4" t="s">
        <v>21</v>
      </c>
      <c r="C103" s="5">
        <v>44316</v>
      </c>
      <c r="D103" s="4" t="s">
        <v>2030</v>
      </c>
      <c r="E103" s="4" t="s">
        <v>2031</v>
      </c>
      <c r="F103" s="4" t="s">
        <v>2032</v>
      </c>
      <c r="G103" s="6">
        <v>-2005.9131254399999</v>
      </c>
      <c r="H103" s="6">
        <f t="shared" si="1"/>
        <v>669096.41799827886</v>
      </c>
      <c r="I103" s="4"/>
      <c r="J103" s="4" t="s">
        <v>68</v>
      </c>
      <c r="K103" s="7">
        <v>1764</v>
      </c>
      <c r="L103" s="4" t="s">
        <v>2033</v>
      </c>
      <c r="M103" s="4" t="s">
        <v>38</v>
      </c>
      <c r="N103" s="4"/>
    </row>
    <row r="104" spans="1:14" ht="10.5" hidden="1" x14ac:dyDescent="0.25">
      <c r="A104" s="8" t="s">
        <v>240</v>
      </c>
      <c r="B104" s="4" t="s">
        <v>21</v>
      </c>
      <c r="C104" s="5">
        <v>44316</v>
      </c>
      <c r="D104" s="4" t="s">
        <v>2030</v>
      </c>
      <c r="E104" s="4" t="s">
        <v>2031</v>
      </c>
      <c r="F104" s="4" t="s">
        <v>2034</v>
      </c>
      <c r="G104" s="6">
        <v>-110.30247912</v>
      </c>
      <c r="H104" s="6">
        <f t="shared" si="1"/>
        <v>668986.11551915889</v>
      </c>
      <c r="I104" s="4"/>
      <c r="J104" s="4" t="s">
        <v>68</v>
      </c>
      <c r="K104" s="7">
        <v>97</v>
      </c>
      <c r="L104" s="4" t="s">
        <v>2033</v>
      </c>
      <c r="M104" s="4" t="s">
        <v>38</v>
      </c>
      <c r="N104" s="4"/>
    </row>
    <row r="105" spans="1:14" ht="10.5" hidden="1" x14ac:dyDescent="0.25">
      <c r="A105" s="8" t="s">
        <v>240</v>
      </c>
      <c r="B105" s="4" t="s">
        <v>241</v>
      </c>
      <c r="C105" s="5">
        <v>44316</v>
      </c>
      <c r="D105" s="4" t="s">
        <v>2035</v>
      </c>
      <c r="E105" s="4"/>
      <c r="F105" s="4"/>
      <c r="G105" s="6">
        <v>-922.91335132560005</v>
      </c>
      <c r="H105" s="6">
        <f t="shared" si="1"/>
        <v>668063.20216783334</v>
      </c>
      <c r="I105" s="4"/>
      <c r="J105" s="4" t="s">
        <v>68</v>
      </c>
      <c r="K105" s="7">
        <v>0</v>
      </c>
      <c r="L105" s="4" t="s">
        <v>1999</v>
      </c>
      <c r="M105" s="4" t="s">
        <v>201</v>
      </c>
      <c r="N105" s="4"/>
    </row>
    <row r="106" spans="1:14" ht="10.5" hidden="1" x14ac:dyDescent="0.25">
      <c r="A106" s="8" t="s">
        <v>240</v>
      </c>
      <c r="B106" s="4" t="s">
        <v>241</v>
      </c>
      <c r="C106" s="5">
        <v>44316</v>
      </c>
      <c r="D106" s="4" t="s">
        <v>2036</v>
      </c>
      <c r="E106" s="4"/>
      <c r="F106" s="4"/>
      <c r="G106" s="6">
        <v>104.6395270992</v>
      </c>
      <c r="H106" s="6">
        <f t="shared" si="1"/>
        <v>668167.84169493255</v>
      </c>
      <c r="I106" s="4"/>
      <c r="J106" s="4" t="s">
        <v>68</v>
      </c>
      <c r="K106" s="7">
        <v>0</v>
      </c>
      <c r="L106" s="4" t="s">
        <v>1999</v>
      </c>
      <c r="M106" s="4" t="s">
        <v>201</v>
      </c>
      <c r="N106" s="4"/>
    </row>
    <row r="107" spans="1:14" ht="10.5" hidden="1" x14ac:dyDescent="0.25">
      <c r="A107" s="8" t="s">
        <v>240</v>
      </c>
      <c r="B107" s="4" t="s">
        <v>241</v>
      </c>
      <c r="C107" s="5">
        <v>44317</v>
      </c>
      <c r="D107" s="4" t="s">
        <v>2037</v>
      </c>
      <c r="E107" s="4"/>
      <c r="F107" s="4"/>
      <c r="G107" s="6">
        <v>-1133.784400068</v>
      </c>
      <c r="H107" s="6">
        <f t="shared" si="1"/>
        <v>667034.05729486456</v>
      </c>
      <c r="I107" s="4"/>
      <c r="J107" s="4" t="s">
        <v>68</v>
      </c>
      <c r="K107" s="7">
        <v>0</v>
      </c>
      <c r="L107" s="4" t="s">
        <v>2033</v>
      </c>
      <c r="M107" s="4" t="s">
        <v>201</v>
      </c>
      <c r="N107" s="4"/>
    </row>
    <row r="108" spans="1:14" ht="10.5" hidden="1" x14ac:dyDescent="0.25">
      <c r="A108" s="8" t="s">
        <v>240</v>
      </c>
      <c r="B108" s="4" t="s">
        <v>241</v>
      </c>
      <c r="C108" s="5">
        <v>44317</v>
      </c>
      <c r="D108" s="4" t="s">
        <v>2038</v>
      </c>
      <c r="E108" s="4"/>
      <c r="F108" s="4"/>
      <c r="G108" s="6">
        <v>349.46554518720001</v>
      </c>
      <c r="H108" s="6">
        <f t="shared" si="1"/>
        <v>667383.5228400518</v>
      </c>
      <c r="I108" s="4"/>
      <c r="J108" s="4" t="s">
        <v>68</v>
      </c>
      <c r="K108" s="7">
        <v>0</v>
      </c>
      <c r="L108" s="4" t="s">
        <v>2033</v>
      </c>
      <c r="M108" s="4" t="s">
        <v>197</v>
      </c>
      <c r="N108" s="4"/>
    </row>
    <row r="109" spans="1:14" ht="10.5" hidden="1" x14ac:dyDescent="0.25">
      <c r="A109" s="8" t="s">
        <v>240</v>
      </c>
      <c r="B109" s="4" t="s">
        <v>241</v>
      </c>
      <c r="C109" s="5">
        <v>44317</v>
      </c>
      <c r="D109" s="4" t="s">
        <v>2039</v>
      </c>
      <c r="E109" s="4"/>
      <c r="F109" s="4"/>
      <c r="G109" s="6">
        <v>922.91335132560005</v>
      </c>
      <c r="H109" s="6">
        <f t="shared" si="1"/>
        <v>668306.43619137735</v>
      </c>
      <c r="I109" s="4"/>
      <c r="J109" s="4" t="s">
        <v>68</v>
      </c>
      <c r="K109" s="7">
        <v>0</v>
      </c>
      <c r="L109" s="4" t="s">
        <v>2033</v>
      </c>
      <c r="M109" s="4" t="s">
        <v>201</v>
      </c>
      <c r="N109" s="4"/>
    </row>
    <row r="110" spans="1:14" ht="10.5" hidden="1" x14ac:dyDescent="0.25">
      <c r="A110" s="8" t="s">
        <v>240</v>
      </c>
      <c r="B110" s="4" t="s">
        <v>241</v>
      </c>
      <c r="C110" s="5">
        <v>44317</v>
      </c>
      <c r="D110" s="4" t="s">
        <v>2040</v>
      </c>
      <c r="E110" s="4"/>
      <c r="F110" s="4"/>
      <c r="G110" s="6">
        <v>-104.6395270992</v>
      </c>
      <c r="H110" s="6">
        <f t="shared" si="1"/>
        <v>668201.79666427814</v>
      </c>
      <c r="I110" s="4"/>
      <c r="J110" s="4" t="s">
        <v>68</v>
      </c>
      <c r="K110" s="7">
        <v>0</v>
      </c>
      <c r="L110" s="4" t="s">
        <v>2033</v>
      </c>
      <c r="M110" s="4" t="s">
        <v>201</v>
      </c>
      <c r="N110" s="4"/>
    </row>
    <row r="111" spans="1:14" ht="10.5" hidden="1" x14ac:dyDescent="0.25">
      <c r="A111" s="8" t="s">
        <v>240</v>
      </c>
      <c r="B111" s="4" t="s">
        <v>1977</v>
      </c>
      <c r="C111" s="5">
        <v>44319</v>
      </c>
      <c r="D111" s="4" t="s">
        <v>2041</v>
      </c>
      <c r="E111" s="4" t="s">
        <v>2042</v>
      </c>
      <c r="F111" s="4" t="s">
        <v>2042</v>
      </c>
      <c r="G111" s="6">
        <v>-3338.6399865600001</v>
      </c>
      <c r="H111" s="6">
        <f t="shared" si="1"/>
        <v>664863.15667771816</v>
      </c>
      <c r="I111" s="4"/>
      <c r="J111" s="4" t="s">
        <v>68</v>
      </c>
      <c r="K111" s="7">
        <v>2936</v>
      </c>
      <c r="L111" s="4" t="s">
        <v>2033</v>
      </c>
      <c r="M111" s="4" t="s">
        <v>61</v>
      </c>
      <c r="N111" s="4"/>
    </row>
    <row r="112" spans="1:14" ht="10.5" hidden="1" x14ac:dyDescent="0.25">
      <c r="A112" s="8" t="s">
        <v>240</v>
      </c>
      <c r="B112" s="4" t="s">
        <v>21</v>
      </c>
      <c r="C112" s="5">
        <v>44347</v>
      </c>
      <c r="D112" s="4" t="s">
        <v>2043</v>
      </c>
      <c r="E112" s="4" t="s">
        <v>2044</v>
      </c>
      <c r="F112" s="4" t="s">
        <v>2045</v>
      </c>
      <c r="G112" s="6">
        <v>4866.9547487999998</v>
      </c>
      <c r="H112" s="6">
        <f t="shared" si="1"/>
        <v>669730.11142651818</v>
      </c>
      <c r="I112" s="4"/>
      <c r="J112" s="4" t="s">
        <v>68</v>
      </c>
      <c r="K112" s="7">
        <v>-4280</v>
      </c>
      <c r="L112" s="4" t="s">
        <v>2033</v>
      </c>
      <c r="M112" s="4" t="s">
        <v>61</v>
      </c>
      <c r="N112" s="4"/>
    </row>
    <row r="113" spans="1:14" ht="10.5" hidden="1" x14ac:dyDescent="0.25">
      <c r="A113" s="8" t="s">
        <v>240</v>
      </c>
      <c r="B113" s="4" t="s">
        <v>21</v>
      </c>
      <c r="C113" s="5">
        <v>44347</v>
      </c>
      <c r="D113" s="4" t="s">
        <v>2046</v>
      </c>
      <c r="E113" s="4" t="s">
        <v>2047</v>
      </c>
      <c r="F113" s="4" t="s">
        <v>2048</v>
      </c>
      <c r="G113" s="6">
        <v>-2940.6413505599999</v>
      </c>
      <c r="H113" s="6">
        <f t="shared" si="1"/>
        <v>666789.47007595818</v>
      </c>
      <c r="I113" s="4"/>
      <c r="J113" s="4" t="s">
        <v>68</v>
      </c>
      <c r="K113" s="7">
        <v>2586</v>
      </c>
      <c r="L113" s="4" t="s">
        <v>2033</v>
      </c>
      <c r="M113" s="4" t="s">
        <v>38</v>
      </c>
      <c r="N113" s="4"/>
    </row>
    <row r="114" spans="1:14" ht="10.5" hidden="1" x14ac:dyDescent="0.25">
      <c r="A114" s="8" t="s">
        <v>240</v>
      </c>
      <c r="B114" s="4" t="s">
        <v>21</v>
      </c>
      <c r="C114" s="5">
        <v>44347</v>
      </c>
      <c r="D114" s="4" t="s">
        <v>2046</v>
      </c>
      <c r="E114" s="4" t="s">
        <v>2047</v>
      </c>
      <c r="F114" s="4" t="s">
        <v>2049</v>
      </c>
      <c r="G114" s="6">
        <v>-161.47373232000001</v>
      </c>
      <c r="H114" s="6">
        <f t="shared" ref="H114:H177" si="2">H113+G114</f>
        <v>666627.99634363817</v>
      </c>
      <c r="I114" s="4"/>
      <c r="J114" s="4" t="s">
        <v>68</v>
      </c>
      <c r="K114" s="7">
        <v>142</v>
      </c>
      <c r="L114" s="4" t="s">
        <v>2033</v>
      </c>
      <c r="M114" s="4" t="s">
        <v>38</v>
      </c>
      <c r="N114" s="4"/>
    </row>
    <row r="115" spans="1:14" ht="10.5" hidden="1" x14ac:dyDescent="0.25">
      <c r="A115" s="8" t="s">
        <v>240</v>
      </c>
      <c r="B115" s="4" t="s">
        <v>241</v>
      </c>
      <c r="C115" s="5">
        <v>44347</v>
      </c>
      <c r="D115" s="4" t="s">
        <v>2050</v>
      </c>
      <c r="E115" s="4"/>
      <c r="F115" s="4"/>
      <c r="G115" s="6">
        <v>-179.66795568000001</v>
      </c>
      <c r="H115" s="6">
        <f t="shared" si="2"/>
        <v>666448.32838795811</v>
      </c>
      <c r="I115" s="4"/>
      <c r="J115" s="4" t="s">
        <v>68</v>
      </c>
      <c r="K115" s="7">
        <v>0</v>
      </c>
      <c r="L115" s="4" t="s">
        <v>2033</v>
      </c>
      <c r="M115" s="4" t="s">
        <v>197</v>
      </c>
      <c r="N115" s="4"/>
    </row>
    <row r="116" spans="1:14" ht="10.5" hidden="1" x14ac:dyDescent="0.25">
      <c r="A116" s="8" t="s">
        <v>240</v>
      </c>
      <c r="B116" s="4" t="s">
        <v>241</v>
      </c>
      <c r="C116" s="5">
        <v>44347</v>
      </c>
      <c r="D116" s="4" t="s">
        <v>2051</v>
      </c>
      <c r="E116" s="4"/>
      <c r="F116" s="4"/>
      <c r="G116" s="6">
        <v>1133.784400068</v>
      </c>
      <c r="H116" s="6">
        <f t="shared" si="2"/>
        <v>667582.1127880261</v>
      </c>
      <c r="I116" s="4"/>
      <c r="J116" s="4" t="s">
        <v>68</v>
      </c>
      <c r="K116" s="7">
        <v>0</v>
      </c>
      <c r="L116" s="4" t="s">
        <v>2033</v>
      </c>
      <c r="M116" s="4" t="s">
        <v>201</v>
      </c>
      <c r="N116" s="4"/>
    </row>
    <row r="117" spans="1:14" ht="10.5" hidden="1" x14ac:dyDescent="0.25">
      <c r="A117" s="8" t="s">
        <v>240</v>
      </c>
      <c r="B117" s="4" t="s">
        <v>241</v>
      </c>
      <c r="C117" s="5">
        <v>44347</v>
      </c>
      <c r="D117" s="4" t="s">
        <v>2052</v>
      </c>
      <c r="E117" s="4"/>
      <c r="F117" s="4"/>
      <c r="G117" s="6">
        <v>-1075.6424850431999</v>
      </c>
      <c r="H117" s="6">
        <f t="shared" si="2"/>
        <v>666506.47030298295</v>
      </c>
      <c r="I117" s="4"/>
      <c r="J117" s="4" t="s">
        <v>68</v>
      </c>
      <c r="K117" s="7">
        <v>0</v>
      </c>
      <c r="L117" s="4" t="s">
        <v>2033</v>
      </c>
      <c r="M117" s="4" t="s">
        <v>201</v>
      </c>
      <c r="N117" s="4"/>
    </row>
    <row r="118" spans="1:14" ht="10.5" hidden="1" x14ac:dyDescent="0.25">
      <c r="A118" s="8" t="s">
        <v>240</v>
      </c>
      <c r="B118" s="4" t="s">
        <v>241</v>
      </c>
      <c r="C118" s="5">
        <v>44347</v>
      </c>
      <c r="D118" s="4" t="s">
        <v>2053</v>
      </c>
      <c r="E118" s="4"/>
      <c r="F118" s="4"/>
      <c r="G118" s="6">
        <v>304.582670436</v>
      </c>
      <c r="H118" s="6">
        <f t="shared" si="2"/>
        <v>666811.05297341896</v>
      </c>
      <c r="I118" s="4"/>
      <c r="J118" s="4" t="s">
        <v>68</v>
      </c>
      <c r="K118" s="7">
        <v>0</v>
      </c>
      <c r="L118" s="4" t="s">
        <v>2033</v>
      </c>
      <c r="M118" s="4" t="s">
        <v>201</v>
      </c>
      <c r="N118" s="4"/>
    </row>
    <row r="119" spans="1:14" ht="10.5" hidden="1" x14ac:dyDescent="0.25">
      <c r="A119" s="8" t="s">
        <v>240</v>
      </c>
      <c r="B119" s="4" t="s">
        <v>241</v>
      </c>
      <c r="C119" s="5">
        <v>44348</v>
      </c>
      <c r="D119" s="4" t="s">
        <v>2054</v>
      </c>
      <c r="E119" s="4"/>
      <c r="F119" s="4"/>
      <c r="G119" s="6">
        <v>179.66795568000001</v>
      </c>
      <c r="H119" s="6">
        <f t="shared" si="2"/>
        <v>666990.72092909901</v>
      </c>
      <c r="I119" s="4"/>
      <c r="J119" s="4" t="s">
        <v>68</v>
      </c>
      <c r="K119" s="7">
        <v>0</v>
      </c>
      <c r="L119" s="4" t="s">
        <v>1031</v>
      </c>
      <c r="M119" s="4" t="s">
        <v>197</v>
      </c>
      <c r="N119" s="4"/>
    </row>
    <row r="120" spans="1:14" ht="10.5" hidden="1" x14ac:dyDescent="0.25">
      <c r="A120" s="8" t="s">
        <v>240</v>
      </c>
      <c r="B120" s="4" t="s">
        <v>241</v>
      </c>
      <c r="C120" s="5">
        <v>44348</v>
      </c>
      <c r="D120" s="4" t="s">
        <v>2055</v>
      </c>
      <c r="E120" s="4"/>
      <c r="F120" s="4"/>
      <c r="G120" s="6">
        <v>-1133.784400068</v>
      </c>
      <c r="H120" s="6">
        <f t="shared" si="2"/>
        <v>665856.93652903102</v>
      </c>
      <c r="I120" s="4"/>
      <c r="J120" s="4" t="s">
        <v>68</v>
      </c>
      <c r="K120" s="7">
        <v>0</v>
      </c>
      <c r="L120" s="4" t="s">
        <v>1031</v>
      </c>
      <c r="M120" s="4" t="s">
        <v>201</v>
      </c>
      <c r="N120" s="4"/>
    </row>
    <row r="121" spans="1:14" ht="10.5" hidden="1" x14ac:dyDescent="0.25">
      <c r="A121" s="8" t="s">
        <v>240</v>
      </c>
      <c r="B121" s="4" t="s">
        <v>241</v>
      </c>
      <c r="C121" s="5">
        <v>44348</v>
      </c>
      <c r="D121" s="4" t="s">
        <v>2056</v>
      </c>
      <c r="E121" s="4"/>
      <c r="F121" s="4"/>
      <c r="G121" s="6">
        <v>1075.6424850431999</v>
      </c>
      <c r="H121" s="6">
        <f t="shared" si="2"/>
        <v>666932.57901407417</v>
      </c>
      <c r="I121" s="4"/>
      <c r="J121" s="4" t="s">
        <v>68</v>
      </c>
      <c r="K121" s="7">
        <v>0</v>
      </c>
      <c r="L121" s="4" t="s">
        <v>1031</v>
      </c>
      <c r="M121" s="4" t="s">
        <v>201</v>
      </c>
      <c r="N121" s="4"/>
    </row>
    <row r="122" spans="1:14" ht="10.5" hidden="1" x14ac:dyDescent="0.25">
      <c r="A122" s="8" t="s">
        <v>240</v>
      </c>
      <c r="B122" s="4" t="s">
        <v>241</v>
      </c>
      <c r="C122" s="5">
        <v>44348</v>
      </c>
      <c r="D122" s="4" t="s">
        <v>2057</v>
      </c>
      <c r="E122" s="4"/>
      <c r="F122" s="4"/>
      <c r="G122" s="6">
        <v>-304.582670436</v>
      </c>
      <c r="H122" s="6">
        <f t="shared" si="2"/>
        <v>666627.99634363817</v>
      </c>
      <c r="I122" s="4"/>
      <c r="J122" s="4" t="s">
        <v>68</v>
      </c>
      <c r="K122" s="7">
        <v>0</v>
      </c>
      <c r="L122" s="4" t="s">
        <v>1031</v>
      </c>
      <c r="M122" s="4" t="s">
        <v>201</v>
      </c>
      <c r="N122" s="4"/>
    </row>
    <row r="123" spans="1:14" ht="10.5" hidden="1" x14ac:dyDescent="0.25">
      <c r="A123" s="8" t="s">
        <v>240</v>
      </c>
      <c r="B123" s="4" t="s">
        <v>21</v>
      </c>
      <c r="C123" s="5">
        <v>44356</v>
      </c>
      <c r="D123" s="4" t="s">
        <v>2058</v>
      </c>
      <c r="E123" s="4" t="s">
        <v>2059</v>
      </c>
      <c r="F123" s="4" t="s">
        <v>2060</v>
      </c>
      <c r="G123" s="6">
        <v>2069.649764148</v>
      </c>
      <c r="H123" s="6">
        <f t="shared" si="2"/>
        <v>668697.64610778622</v>
      </c>
      <c r="I123" s="4"/>
      <c r="J123" s="4" t="s">
        <v>68</v>
      </c>
      <c r="K123" s="7">
        <v>-2867.4</v>
      </c>
      <c r="L123" s="4" t="s">
        <v>1031</v>
      </c>
      <c r="M123" s="4" t="s">
        <v>197</v>
      </c>
      <c r="N123" s="4" t="s">
        <v>198</v>
      </c>
    </row>
    <row r="124" spans="1:14" ht="10.5" hidden="1" x14ac:dyDescent="0.25">
      <c r="A124" s="8" t="s">
        <v>240</v>
      </c>
      <c r="B124" s="4" t="s">
        <v>21</v>
      </c>
      <c r="C124" s="5">
        <v>44370</v>
      </c>
      <c r="D124" s="4" t="s">
        <v>2061</v>
      </c>
      <c r="E124" s="4" t="s">
        <v>2062</v>
      </c>
      <c r="F124" s="4" t="s">
        <v>2062</v>
      </c>
      <c r="G124" s="6">
        <v>13564.8055685544</v>
      </c>
      <c r="H124" s="6">
        <f t="shared" si="2"/>
        <v>682262.45167634066</v>
      </c>
      <c r="I124" s="4"/>
      <c r="J124" s="4" t="s">
        <v>68</v>
      </c>
      <c r="K124" s="7">
        <v>-18787.13</v>
      </c>
      <c r="L124" s="4" t="s">
        <v>1031</v>
      </c>
      <c r="M124" s="4" t="s">
        <v>197</v>
      </c>
      <c r="N124" s="4" t="s">
        <v>198</v>
      </c>
    </row>
    <row r="125" spans="1:14" ht="10.5" hidden="1" x14ac:dyDescent="0.25">
      <c r="A125" s="8" t="s">
        <v>240</v>
      </c>
      <c r="B125" s="4" t="s">
        <v>21</v>
      </c>
      <c r="C125" s="5">
        <v>44377</v>
      </c>
      <c r="D125" s="4" t="s">
        <v>2063</v>
      </c>
      <c r="E125" s="4" t="s">
        <v>2064</v>
      </c>
      <c r="F125" s="4" t="s">
        <v>2065</v>
      </c>
      <c r="G125" s="6">
        <v>-3561.5988224471998</v>
      </c>
      <c r="H125" s="6">
        <f t="shared" si="2"/>
        <v>678700.85285389342</v>
      </c>
      <c r="I125" s="4"/>
      <c r="J125" s="4" t="s">
        <v>68</v>
      </c>
      <c r="K125" s="7">
        <v>4952.68</v>
      </c>
      <c r="L125" s="4" t="s">
        <v>1031</v>
      </c>
      <c r="M125" s="4" t="s">
        <v>197</v>
      </c>
      <c r="N125" s="4" t="s">
        <v>198</v>
      </c>
    </row>
    <row r="126" spans="1:14" ht="10.5" hidden="1" x14ac:dyDescent="0.25">
      <c r="A126" s="8" t="s">
        <v>240</v>
      </c>
      <c r="B126" s="4" t="s">
        <v>21</v>
      </c>
      <c r="C126" s="5">
        <v>44377</v>
      </c>
      <c r="D126" s="4" t="s">
        <v>2066</v>
      </c>
      <c r="E126" s="4" t="s">
        <v>2067</v>
      </c>
      <c r="F126" s="4" t="s">
        <v>2068</v>
      </c>
      <c r="G126" s="6">
        <v>-2312.9406446399998</v>
      </c>
      <c r="H126" s="6">
        <f t="shared" si="2"/>
        <v>676387.91220925341</v>
      </c>
      <c r="I126" s="4"/>
      <c r="J126" s="4" t="s">
        <v>68</v>
      </c>
      <c r="K126" s="7">
        <v>2034</v>
      </c>
      <c r="L126" s="4" t="s">
        <v>1031</v>
      </c>
      <c r="M126" s="4" t="s">
        <v>38</v>
      </c>
      <c r="N126" s="4" t="s">
        <v>39</v>
      </c>
    </row>
    <row r="127" spans="1:14" ht="10.5" hidden="1" x14ac:dyDescent="0.25">
      <c r="A127" s="8" t="s">
        <v>240</v>
      </c>
      <c r="B127" s="4" t="s">
        <v>21</v>
      </c>
      <c r="C127" s="5">
        <v>44377</v>
      </c>
      <c r="D127" s="4" t="s">
        <v>2066</v>
      </c>
      <c r="E127" s="4" t="s">
        <v>2067</v>
      </c>
      <c r="F127" s="4" t="s">
        <v>2069</v>
      </c>
      <c r="G127" s="6">
        <v>-127.35956351999999</v>
      </c>
      <c r="H127" s="6">
        <f t="shared" si="2"/>
        <v>676260.55264573346</v>
      </c>
      <c r="I127" s="4"/>
      <c r="J127" s="4" t="s">
        <v>68</v>
      </c>
      <c r="K127" s="7">
        <v>112</v>
      </c>
      <c r="L127" s="4" t="s">
        <v>1031</v>
      </c>
      <c r="M127" s="4" t="s">
        <v>38</v>
      </c>
      <c r="N127" s="4" t="s">
        <v>39</v>
      </c>
    </row>
    <row r="128" spans="1:14" ht="10.5" hidden="1" x14ac:dyDescent="0.25">
      <c r="A128" s="8" t="s">
        <v>240</v>
      </c>
      <c r="B128" s="4" t="s">
        <v>21</v>
      </c>
      <c r="C128" s="5">
        <v>44377</v>
      </c>
      <c r="D128" s="4" t="s">
        <v>2070</v>
      </c>
      <c r="E128" s="4" t="s">
        <v>2071</v>
      </c>
      <c r="F128" s="4" t="s">
        <v>2068</v>
      </c>
      <c r="G128" s="6">
        <v>2312.9406446399998</v>
      </c>
      <c r="H128" s="6">
        <f t="shared" si="2"/>
        <v>678573.49329037347</v>
      </c>
      <c r="I128" s="4"/>
      <c r="J128" s="4" t="s">
        <v>68</v>
      </c>
      <c r="K128" s="7">
        <v>-2034</v>
      </c>
      <c r="L128" s="4" t="s">
        <v>1031</v>
      </c>
      <c r="M128" s="4" t="s">
        <v>38</v>
      </c>
      <c r="N128" s="4" t="s">
        <v>39</v>
      </c>
    </row>
    <row r="129" spans="1:16" ht="10.5" hidden="1" x14ac:dyDescent="0.25">
      <c r="A129" s="8" t="s">
        <v>240</v>
      </c>
      <c r="B129" s="4" t="s">
        <v>21</v>
      </c>
      <c r="C129" s="5">
        <v>44377</v>
      </c>
      <c r="D129" s="4" t="s">
        <v>2070</v>
      </c>
      <c r="E129" s="4" t="s">
        <v>2071</v>
      </c>
      <c r="F129" s="4" t="s">
        <v>2069</v>
      </c>
      <c r="G129" s="6">
        <v>127.35956351999999</v>
      </c>
      <c r="H129" s="6">
        <f t="shared" si="2"/>
        <v>678700.85285389342</v>
      </c>
      <c r="I129" s="4"/>
      <c r="J129" s="4" t="s">
        <v>68</v>
      </c>
      <c r="K129" s="7">
        <v>-112</v>
      </c>
      <c r="L129" s="4" t="s">
        <v>1031</v>
      </c>
      <c r="M129" s="4" t="s">
        <v>38</v>
      </c>
      <c r="N129" s="4" t="s">
        <v>39</v>
      </c>
    </row>
    <row r="130" spans="1:16" ht="10.5" hidden="1" x14ac:dyDescent="0.25">
      <c r="A130" s="8" t="s">
        <v>240</v>
      </c>
      <c r="B130" s="4" t="s">
        <v>21</v>
      </c>
      <c r="C130" s="5">
        <v>44377</v>
      </c>
      <c r="D130" s="4" t="s">
        <v>2072</v>
      </c>
      <c r="E130" s="4" t="s">
        <v>2073</v>
      </c>
      <c r="F130" s="4" t="s">
        <v>2068</v>
      </c>
      <c r="G130" s="6">
        <v>-3337.5028476000002</v>
      </c>
      <c r="H130" s="6">
        <f t="shared" si="2"/>
        <v>675363.35000629339</v>
      </c>
      <c r="I130" s="4"/>
      <c r="J130" s="4" t="s">
        <v>68</v>
      </c>
      <c r="K130" s="7">
        <v>2935</v>
      </c>
      <c r="L130" s="4" t="s">
        <v>1031</v>
      </c>
      <c r="M130" s="4" t="s">
        <v>38</v>
      </c>
      <c r="N130" s="4" t="s">
        <v>39</v>
      </c>
    </row>
    <row r="131" spans="1:16" ht="10.5" hidden="1" x14ac:dyDescent="0.25">
      <c r="A131" s="8" t="s">
        <v>240</v>
      </c>
      <c r="B131" s="4" t="s">
        <v>21</v>
      </c>
      <c r="C131" s="5">
        <v>44377</v>
      </c>
      <c r="D131" s="4" t="s">
        <v>2072</v>
      </c>
      <c r="E131" s="4" t="s">
        <v>2073</v>
      </c>
      <c r="F131" s="4" t="s">
        <v>2069</v>
      </c>
      <c r="G131" s="6">
        <v>-184.21651152000001</v>
      </c>
      <c r="H131" s="6">
        <f t="shared" si="2"/>
        <v>675179.13349477341</v>
      </c>
      <c r="I131" s="4"/>
      <c r="J131" s="4" t="s">
        <v>68</v>
      </c>
      <c r="K131" s="7">
        <v>162</v>
      </c>
      <c r="L131" s="4" t="s">
        <v>1031</v>
      </c>
      <c r="M131" s="4" t="s">
        <v>38</v>
      </c>
      <c r="N131" s="4" t="s">
        <v>39</v>
      </c>
    </row>
    <row r="132" spans="1:16" ht="10.5" hidden="1" x14ac:dyDescent="0.25">
      <c r="A132" s="8" t="s">
        <v>240</v>
      </c>
      <c r="B132" s="4" t="s">
        <v>241</v>
      </c>
      <c r="C132" s="5">
        <v>44377</v>
      </c>
      <c r="D132" s="4" t="s">
        <v>2074</v>
      </c>
      <c r="E132" s="4"/>
      <c r="F132" s="4"/>
      <c r="G132" s="6">
        <v>1133.784400068</v>
      </c>
      <c r="H132" s="6">
        <f t="shared" si="2"/>
        <v>676312.9178948414</v>
      </c>
      <c r="I132" s="4"/>
      <c r="J132" s="4" t="s">
        <v>68</v>
      </c>
      <c r="K132" s="7">
        <v>0</v>
      </c>
      <c r="L132" s="4" t="s">
        <v>1031</v>
      </c>
      <c r="M132" s="4" t="s">
        <v>201</v>
      </c>
      <c r="N132" s="4"/>
    </row>
    <row r="133" spans="1:16" ht="10.5" hidden="1" x14ac:dyDescent="0.25">
      <c r="A133" s="8" t="s">
        <v>240</v>
      </c>
      <c r="B133" s="4" t="s">
        <v>241</v>
      </c>
      <c r="C133" s="5">
        <v>44377</v>
      </c>
      <c r="D133" s="4" t="s">
        <v>2075</v>
      </c>
      <c r="E133" s="4"/>
      <c r="F133" s="4"/>
      <c r="G133" s="6">
        <v>-883.56834330959998</v>
      </c>
      <c r="H133" s="6">
        <f t="shared" si="2"/>
        <v>675429.34955153184</v>
      </c>
      <c r="I133" s="4"/>
      <c r="J133" s="4" t="s">
        <v>68</v>
      </c>
      <c r="K133" s="7">
        <v>0</v>
      </c>
      <c r="L133" s="4" t="s">
        <v>1031</v>
      </c>
      <c r="M133" s="4" t="s">
        <v>201</v>
      </c>
      <c r="N133" s="4"/>
    </row>
    <row r="134" spans="1:16" ht="10.5" hidden="1" x14ac:dyDescent="0.25">
      <c r="A134" s="8" t="s">
        <v>240</v>
      </c>
      <c r="B134" s="4" t="s">
        <v>21</v>
      </c>
      <c r="C134" s="5">
        <v>44377</v>
      </c>
      <c r="D134" s="4" t="s">
        <v>2076</v>
      </c>
      <c r="E134" s="4" t="s">
        <v>2077</v>
      </c>
      <c r="F134" s="4" t="s">
        <v>2078</v>
      </c>
      <c r="G134" s="6">
        <v>-5248.6354407239996</v>
      </c>
      <c r="H134" s="6">
        <f t="shared" si="2"/>
        <v>670180.71411080786</v>
      </c>
      <c r="I134" s="4"/>
      <c r="J134" s="4" t="s">
        <v>68</v>
      </c>
      <c r="K134" s="7">
        <v>7365</v>
      </c>
      <c r="L134" s="4" t="s">
        <v>1031</v>
      </c>
      <c r="M134" s="4" t="s">
        <v>201</v>
      </c>
      <c r="N134" s="4" t="s">
        <v>198</v>
      </c>
    </row>
    <row r="135" spans="1:16" ht="10.5" x14ac:dyDescent="0.25">
      <c r="A135" s="8" t="s">
        <v>240</v>
      </c>
      <c r="B135" s="4" t="s">
        <v>21</v>
      </c>
      <c r="C135" s="5">
        <v>44377</v>
      </c>
      <c r="D135" s="4" t="s">
        <v>2079</v>
      </c>
      <c r="E135" s="4" t="s">
        <v>2080</v>
      </c>
      <c r="F135" s="4" t="s">
        <v>2080</v>
      </c>
      <c r="G135" s="6">
        <v>-28183.925671246034</v>
      </c>
      <c r="H135" s="6">
        <f t="shared" si="2"/>
        <v>641996.78843956185</v>
      </c>
      <c r="I135" s="4"/>
      <c r="J135" s="4" t="s">
        <v>68</v>
      </c>
      <c r="K135" s="7">
        <v>2100419</v>
      </c>
      <c r="L135" s="4" t="s">
        <v>1031</v>
      </c>
      <c r="M135" s="4" t="s">
        <v>204</v>
      </c>
      <c r="N135" s="4" t="s">
        <v>198</v>
      </c>
      <c r="P135" s="4" t="s">
        <v>778</v>
      </c>
    </row>
    <row r="136" spans="1:16" ht="10.5" hidden="1" x14ac:dyDescent="0.25">
      <c r="A136" s="8" t="s">
        <v>240</v>
      </c>
      <c r="B136" s="4" t="s">
        <v>241</v>
      </c>
      <c r="C136" s="5">
        <v>44377</v>
      </c>
      <c r="D136" s="4" t="s">
        <v>2081</v>
      </c>
      <c r="E136" s="4"/>
      <c r="F136" s="4"/>
      <c r="G136" s="6">
        <v>-228.48533123280001</v>
      </c>
      <c r="H136" s="6">
        <f t="shared" si="2"/>
        <v>641768.30310832907</v>
      </c>
      <c r="I136" s="4"/>
      <c r="J136" s="4" t="s">
        <v>68</v>
      </c>
      <c r="K136" s="7">
        <v>0</v>
      </c>
      <c r="L136" s="4" t="s">
        <v>1031</v>
      </c>
      <c r="M136" s="4" t="s">
        <v>197</v>
      </c>
      <c r="N136" s="4"/>
    </row>
    <row r="137" spans="1:16" ht="10.5" hidden="1" x14ac:dyDescent="0.25">
      <c r="A137" s="8" t="s">
        <v>240</v>
      </c>
      <c r="B137" s="4" t="s">
        <v>241</v>
      </c>
      <c r="C137" s="5">
        <v>44377</v>
      </c>
      <c r="D137" s="4" t="s">
        <v>2082</v>
      </c>
      <c r="E137" s="4"/>
      <c r="F137" s="4"/>
      <c r="G137" s="6">
        <v>53.127132211199999</v>
      </c>
      <c r="H137" s="6">
        <f t="shared" si="2"/>
        <v>641821.4302405403</v>
      </c>
      <c r="I137" s="4"/>
      <c r="J137" s="4" t="s">
        <v>68</v>
      </c>
      <c r="K137" s="7">
        <v>0</v>
      </c>
      <c r="L137" s="4" t="s">
        <v>1031</v>
      </c>
      <c r="M137" s="4" t="s">
        <v>201</v>
      </c>
      <c r="N137" s="4"/>
    </row>
    <row r="138" spans="1:16" ht="10.5" hidden="1" x14ac:dyDescent="0.25">
      <c r="A138" s="8" t="s">
        <v>240</v>
      </c>
      <c r="B138" s="4" t="s">
        <v>21</v>
      </c>
      <c r="C138" s="5">
        <v>44377</v>
      </c>
      <c r="D138" s="4" t="s">
        <v>2083</v>
      </c>
      <c r="E138" s="4" t="s">
        <v>2014</v>
      </c>
      <c r="F138" s="4" t="s">
        <v>2014</v>
      </c>
      <c r="G138" s="6">
        <v>-27174.187707561177</v>
      </c>
      <c r="H138" s="6">
        <f t="shared" si="2"/>
        <v>614647.24253297911</v>
      </c>
      <c r="I138" s="4"/>
      <c r="J138" s="4" t="s">
        <v>68</v>
      </c>
      <c r="K138" s="7">
        <v>20099.400000000001</v>
      </c>
      <c r="L138" s="4" t="s">
        <v>1031</v>
      </c>
      <c r="M138" s="4" t="s">
        <v>186</v>
      </c>
      <c r="N138" s="4" t="s">
        <v>118</v>
      </c>
    </row>
    <row r="139" spans="1:16" ht="10.5" hidden="1" x14ac:dyDescent="0.25">
      <c r="A139" s="8" t="s">
        <v>240</v>
      </c>
      <c r="B139" s="4" t="s">
        <v>21</v>
      </c>
      <c r="C139" s="5">
        <v>44377</v>
      </c>
      <c r="D139" s="4" t="s">
        <v>2084</v>
      </c>
      <c r="E139" s="4" t="s">
        <v>1113</v>
      </c>
      <c r="F139" s="4" t="s">
        <v>1113</v>
      </c>
      <c r="G139" s="6">
        <v>-469542.87080735998</v>
      </c>
      <c r="H139" s="6">
        <f t="shared" si="2"/>
        <v>145104.37172561913</v>
      </c>
      <c r="I139" s="4"/>
      <c r="J139" s="4" t="s">
        <v>68</v>
      </c>
      <c r="K139" s="7">
        <v>412916</v>
      </c>
      <c r="L139" s="4" t="s">
        <v>1031</v>
      </c>
      <c r="M139" s="4" t="s">
        <v>61</v>
      </c>
      <c r="N139" s="4" t="s">
        <v>118</v>
      </c>
    </row>
    <row r="140" spans="1:16" ht="10.5" hidden="1" x14ac:dyDescent="0.25">
      <c r="A140" s="8" t="s">
        <v>240</v>
      </c>
      <c r="B140" s="4" t="s">
        <v>241</v>
      </c>
      <c r="C140" s="5">
        <v>44378</v>
      </c>
      <c r="D140" s="4" t="s">
        <v>2085</v>
      </c>
      <c r="E140" s="4"/>
      <c r="F140" s="4"/>
      <c r="G140" s="6">
        <v>-1133.784400068</v>
      </c>
      <c r="H140" s="6">
        <f t="shared" si="2"/>
        <v>143970.58732555114</v>
      </c>
      <c r="I140" s="4"/>
      <c r="J140" s="4" t="s">
        <v>68</v>
      </c>
      <c r="K140" s="7">
        <v>0</v>
      </c>
      <c r="L140" s="4" t="s">
        <v>2086</v>
      </c>
      <c r="M140" s="4" t="s">
        <v>201</v>
      </c>
      <c r="N140" s="4"/>
    </row>
    <row r="141" spans="1:16" ht="10.5" hidden="1" x14ac:dyDescent="0.25">
      <c r="A141" s="8" t="s">
        <v>240</v>
      </c>
      <c r="B141" s="4" t="s">
        <v>241</v>
      </c>
      <c r="C141" s="5">
        <v>44378</v>
      </c>
      <c r="D141" s="4" t="s">
        <v>2087</v>
      </c>
      <c r="E141" s="4"/>
      <c r="F141" s="4"/>
      <c r="G141" s="6">
        <v>883.56834330959998</v>
      </c>
      <c r="H141" s="6">
        <f t="shared" si="2"/>
        <v>144854.15566886074</v>
      </c>
      <c r="I141" s="4"/>
      <c r="J141" s="4" t="s">
        <v>68</v>
      </c>
      <c r="K141" s="7">
        <v>0</v>
      </c>
      <c r="L141" s="4" t="s">
        <v>2086</v>
      </c>
      <c r="M141" s="4" t="s">
        <v>201</v>
      </c>
      <c r="N141" s="4"/>
    </row>
    <row r="142" spans="1:16" ht="10.5" hidden="1" x14ac:dyDescent="0.25">
      <c r="A142" s="8" t="s">
        <v>240</v>
      </c>
      <c r="B142" s="4" t="s">
        <v>241</v>
      </c>
      <c r="C142" s="5">
        <v>44378</v>
      </c>
      <c r="D142" s="4" t="s">
        <v>2088</v>
      </c>
      <c r="E142" s="4"/>
      <c r="F142" s="4"/>
      <c r="G142" s="6">
        <v>-53.127132211199999</v>
      </c>
      <c r="H142" s="6">
        <f t="shared" si="2"/>
        <v>144801.02853664954</v>
      </c>
      <c r="I142" s="4"/>
      <c r="J142" s="4" t="s">
        <v>68</v>
      </c>
      <c r="K142" s="7">
        <v>0</v>
      </c>
      <c r="L142" s="4" t="s">
        <v>2086</v>
      </c>
      <c r="M142" s="4" t="s">
        <v>201</v>
      </c>
      <c r="N142" s="4"/>
    </row>
    <row r="143" spans="1:16" ht="10.5" hidden="1" x14ac:dyDescent="0.25">
      <c r="A143" s="8" t="s">
        <v>240</v>
      </c>
      <c r="B143" s="4" t="s">
        <v>21</v>
      </c>
      <c r="C143" s="5">
        <v>44408</v>
      </c>
      <c r="D143" s="4" t="s">
        <v>2089</v>
      </c>
      <c r="E143" s="4" t="s">
        <v>2090</v>
      </c>
      <c r="F143" s="4" t="s">
        <v>2090</v>
      </c>
      <c r="G143" s="6">
        <v>-454.79021147318417</v>
      </c>
      <c r="H143" s="6">
        <f t="shared" si="2"/>
        <v>144346.23832517635</v>
      </c>
      <c r="I143" s="4"/>
      <c r="J143" s="4" t="s">
        <v>68</v>
      </c>
      <c r="K143" s="7">
        <v>574.82000000000005</v>
      </c>
      <c r="L143" s="4" t="s">
        <v>2086</v>
      </c>
      <c r="M143" s="4" t="s">
        <v>212</v>
      </c>
      <c r="N143" s="4" t="s">
        <v>28</v>
      </c>
    </row>
    <row r="144" spans="1:16" ht="10.5" hidden="1" x14ac:dyDescent="0.25">
      <c r="A144" s="8" t="s">
        <v>240</v>
      </c>
      <c r="B144" s="4" t="s">
        <v>21</v>
      </c>
      <c r="C144" s="5">
        <v>44408</v>
      </c>
      <c r="D144" s="4" t="s">
        <v>2091</v>
      </c>
      <c r="E144" s="4" t="s">
        <v>2092</v>
      </c>
      <c r="F144" s="4" t="s">
        <v>2092</v>
      </c>
      <c r="G144" s="6">
        <v>-3091.88083224</v>
      </c>
      <c r="H144" s="6">
        <f t="shared" si="2"/>
        <v>141254.35749293637</v>
      </c>
      <c r="I144" s="4"/>
      <c r="J144" s="4" t="s">
        <v>68</v>
      </c>
      <c r="K144" s="7">
        <v>2719</v>
      </c>
      <c r="L144" s="4" t="s">
        <v>2086</v>
      </c>
      <c r="M144" s="4" t="s">
        <v>38</v>
      </c>
      <c r="N144" s="4" t="s">
        <v>39</v>
      </c>
    </row>
    <row r="145" spans="1:14" ht="10.5" hidden="1" x14ac:dyDescent="0.25">
      <c r="A145" s="8" t="s">
        <v>240</v>
      </c>
      <c r="B145" s="4" t="s">
        <v>21</v>
      </c>
      <c r="C145" s="5">
        <v>44408</v>
      </c>
      <c r="D145" s="4" t="s">
        <v>2091</v>
      </c>
      <c r="E145" s="4" t="s">
        <v>2092</v>
      </c>
      <c r="F145" s="4" t="s">
        <v>2092</v>
      </c>
      <c r="G145" s="6">
        <v>-170.57084399999999</v>
      </c>
      <c r="H145" s="6">
        <f t="shared" si="2"/>
        <v>141083.78664893637</v>
      </c>
      <c r="I145" s="4"/>
      <c r="J145" s="4" t="s">
        <v>68</v>
      </c>
      <c r="K145" s="7">
        <v>150</v>
      </c>
      <c r="L145" s="4" t="s">
        <v>2086</v>
      </c>
      <c r="M145" s="4" t="s">
        <v>38</v>
      </c>
      <c r="N145" s="4" t="s">
        <v>39</v>
      </c>
    </row>
    <row r="146" spans="1:14" ht="10.5" hidden="1" x14ac:dyDescent="0.25">
      <c r="A146" s="8" t="s">
        <v>240</v>
      </c>
      <c r="B146" s="4" t="s">
        <v>241</v>
      </c>
      <c r="C146" s="5">
        <v>44408</v>
      </c>
      <c r="D146" s="4" t="s">
        <v>2093</v>
      </c>
      <c r="E146" s="4"/>
      <c r="F146" s="4"/>
      <c r="G146" s="6">
        <v>1133.784400068</v>
      </c>
      <c r="H146" s="6">
        <f t="shared" si="2"/>
        <v>142217.57104900436</v>
      </c>
      <c r="I146" s="4"/>
      <c r="J146" s="4" t="s">
        <v>68</v>
      </c>
      <c r="K146" s="7">
        <v>0</v>
      </c>
      <c r="L146" s="4" t="s">
        <v>2086</v>
      </c>
      <c r="M146" s="4" t="s">
        <v>201</v>
      </c>
      <c r="N146" s="4"/>
    </row>
    <row r="147" spans="1:14" ht="10.5" hidden="1" x14ac:dyDescent="0.25">
      <c r="A147" s="8" t="s">
        <v>240</v>
      </c>
      <c r="B147" s="4" t="s">
        <v>241</v>
      </c>
      <c r="C147" s="5">
        <v>44408</v>
      </c>
      <c r="D147" s="4" t="s">
        <v>2094</v>
      </c>
      <c r="E147" s="4"/>
      <c r="F147" s="4"/>
      <c r="G147" s="6">
        <v>-994.23470689680005</v>
      </c>
      <c r="H147" s="6">
        <f t="shared" si="2"/>
        <v>141223.33634210756</v>
      </c>
      <c r="I147" s="4"/>
      <c r="J147" s="4" t="s">
        <v>68</v>
      </c>
      <c r="K147" s="7">
        <v>0</v>
      </c>
      <c r="L147" s="4" t="s">
        <v>2086</v>
      </c>
      <c r="M147" s="4" t="s">
        <v>201</v>
      </c>
      <c r="N147" s="4"/>
    </row>
    <row r="148" spans="1:14" ht="10.5" hidden="1" x14ac:dyDescent="0.25">
      <c r="A148" s="8" t="s">
        <v>240</v>
      </c>
      <c r="B148" s="4" t="s">
        <v>241</v>
      </c>
      <c r="C148" s="5">
        <v>44408</v>
      </c>
      <c r="D148" s="4" t="s">
        <v>2095</v>
      </c>
      <c r="E148" s="4"/>
      <c r="F148" s="4"/>
      <c r="G148" s="6">
        <v>235.7061636288</v>
      </c>
      <c r="H148" s="6">
        <f t="shared" si="2"/>
        <v>141459.04250573638</v>
      </c>
      <c r="I148" s="4"/>
      <c r="J148" s="4" t="s">
        <v>68</v>
      </c>
      <c r="K148" s="7">
        <v>0</v>
      </c>
      <c r="L148" s="4" t="s">
        <v>2086</v>
      </c>
      <c r="M148" s="4" t="s">
        <v>201</v>
      </c>
      <c r="N148" s="4"/>
    </row>
    <row r="149" spans="1:14" ht="10.5" hidden="1" x14ac:dyDescent="0.25">
      <c r="A149" s="8" t="s">
        <v>240</v>
      </c>
      <c r="B149" s="4" t="s">
        <v>241</v>
      </c>
      <c r="C149" s="5">
        <v>44409</v>
      </c>
      <c r="D149" s="4" t="s">
        <v>2096</v>
      </c>
      <c r="E149" s="4"/>
      <c r="F149" s="4"/>
      <c r="G149" s="6">
        <v>-1133.784400068</v>
      </c>
      <c r="H149" s="6">
        <f t="shared" si="2"/>
        <v>140325.25810566838</v>
      </c>
      <c r="I149" s="4"/>
      <c r="J149" s="4" t="s">
        <v>68</v>
      </c>
      <c r="K149" s="7">
        <v>0</v>
      </c>
      <c r="L149" s="4" t="s">
        <v>2097</v>
      </c>
      <c r="M149" s="4" t="s">
        <v>201</v>
      </c>
      <c r="N149" s="4"/>
    </row>
    <row r="150" spans="1:14" ht="10.5" hidden="1" x14ac:dyDescent="0.25">
      <c r="A150" s="8" t="s">
        <v>240</v>
      </c>
      <c r="B150" s="4" t="s">
        <v>241</v>
      </c>
      <c r="C150" s="5">
        <v>44409</v>
      </c>
      <c r="D150" s="4" t="s">
        <v>2098</v>
      </c>
      <c r="E150" s="4"/>
      <c r="F150" s="4"/>
      <c r="G150" s="6">
        <v>994.23470689680005</v>
      </c>
      <c r="H150" s="6">
        <f t="shared" si="2"/>
        <v>141319.49281256518</v>
      </c>
      <c r="I150" s="4"/>
      <c r="J150" s="4" t="s">
        <v>68</v>
      </c>
      <c r="K150" s="7">
        <v>0</v>
      </c>
      <c r="L150" s="4" t="s">
        <v>2097</v>
      </c>
      <c r="M150" s="4" t="s">
        <v>201</v>
      </c>
      <c r="N150" s="4"/>
    </row>
    <row r="151" spans="1:14" ht="10.5" hidden="1" x14ac:dyDescent="0.25">
      <c r="A151" s="8" t="s">
        <v>240</v>
      </c>
      <c r="B151" s="4" t="s">
        <v>241</v>
      </c>
      <c r="C151" s="5">
        <v>44409</v>
      </c>
      <c r="D151" s="4" t="s">
        <v>2099</v>
      </c>
      <c r="E151" s="4"/>
      <c r="F151" s="4"/>
      <c r="G151" s="6">
        <v>-235.7061636288</v>
      </c>
      <c r="H151" s="6">
        <f t="shared" si="2"/>
        <v>141083.78664893637</v>
      </c>
      <c r="I151" s="4"/>
      <c r="J151" s="4" t="s">
        <v>68</v>
      </c>
      <c r="K151" s="7">
        <v>0</v>
      </c>
      <c r="L151" s="4" t="s">
        <v>2097</v>
      </c>
      <c r="M151" s="4" t="s">
        <v>201</v>
      </c>
      <c r="N151" s="4"/>
    </row>
    <row r="152" spans="1:14" ht="10.5" x14ac:dyDescent="0.25">
      <c r="A152" s="8" t="s">
        <v>240</v>
      </c>
      <c r="B152" s="4" t="s">
        <v>1092</v>
      </c>
      <c r="C152" s="5">
        <v>44439</v>
      </c>
      <c r="D152" s="4" t="s">
        <v>2100</v>
      </c>
      <c r="E152" s="4" t="s">
        <v>2101</v>
      </c>
      <c r="F152" s="4" t="s">
        <v>2101</v>
      </c>
      <c r="G152" s="6">
        <v>18225.109418720353</v>
      </c>
      <c r="H152" s="6">
        <f t="shared" si="2"/>
        <v>159308.89606765672</v>
      </c>
      <c r="I152" s="4" t="s">
        <v>1099</v>
      </c>
      <c r="J152" s="4" t="s">
        <v>68</v>
      </c>
      <c r="K152" s="7">
        <v>-1358234</v>
      </c>
      <c r="L152" s="4" t="s">
        <v>2097</v>
      </c>
      <c r="M152" s="4" t="s">
        <v>204</v>
      </c>
      <c r="N152" s="4"/>
    </row>
    <row r="153" spans="1:14" ht="10.5" hidden="1" x14ac:dyDescent="0.25">
      <c r="A153" s="8" t="s">
        <v>240</v>
      </c>
      <c r="B153" s="4" t="s">
        <v>241</v>
      </c>
      <c r="C153" s="5">
        <v>44439</v>
      </c>
      <c r="D153" s="4" t="s">
        <v>2102</v>
      </c>
      <c r="E153" s="4"/>
      <c r="F153" s="4"/>
      <c r="G153" s="6">
        <v>1133.784400068</v>
      </c>
      <c r="H153" s="6">
        <f t="shared" si="2"/>
        <v>160442.68046772471</v>
      </c>
      <c r="I153" s="4"/>
      <c r="J153" s="4" t="s">
        <v>68</v>
      </c>
      <c r="K153" s="7">
        <v>0</v>
      </c>
      <c r="L153" s="4" t="s">
        <v>2097</v>
      </c>
      <c r="M153" s="4" t="s">
        <v>201</v>
      </c>
      <c r="N153" s="4"/>
    </row>
    <row r="154" spans="1:14" ht="10.5" hidden="1" x14ac:dyDescent="0.25">
      <c r="A154" s="8" t="s">
        <v>240</v>
      </c>
      <c r="B154" s="4" t="s">
        <v>21</v>
      </c>
      <c r="C154" s="5">
        <v>44439</v>
      </c>
      <c r="D154" s="4" t="s">
        <v>2103</v>
      </c>
      <c r="E154" s="4" t="s">
        <v>2104</v>
      </c>
      <c r="F154" s="4" t="s">
        <v>2104</v>
      </c>
      <c r="G154" s="6">
        <v>-1935.4105099200001</v>
      </c>
      <c r="H154" s="6">
        <f t="shared" si="2"/>
        <v>158507.2699578047</v>
      </c>
      <c r="I154" s="4"/>
      <c r="J154" s="4" t="s">
        <v>68</v>
      </c>
      <c r="K154" s="7">
        <v>1702</v>
      </c>
      <c r="L154" s="4" t="s">
        <v>2097</v>
      </c>
      <c r="M154" s="4" t="s">
        <v>38</v>
      </c>
      <c r="N154" s="4" t="s">
        <v>39</v>
      </c>
    </row>
    <row r="155" spans="1:14" ht="10.5" hidden="1" x14ac:dyDescent="0.25">
      <c r="A155" s="8" t="s">
        <v>240</v>
      </c>
      <c r="B155" s="4" t="s">
        <v>21</v>
      </c>
      <c r="C155" s="5">
        <v>44439</v>
      </c>
      <c r="D155" s="4" t="s">
        <v>2103</v>
      </c>
      <c r="E155" s="4" t="s">
        <v>2104</v>
      </c>
      <c r="F155" s="4" t="s">
        <v>2104</v>
      </c>
      <c r="G155" s="6">
        <v>-105.75392328</v>
      </c>
      <c r="H155" s="6">
        <f t="shared" si="2"/>
        <v>158401.51603452471</v>
      </c>
      <c r="I155" s="4"/>
      <c r="J155" s="4" t="s">
        <v>68</v>
      </c>
      <c r="K155" s="7">
        <v>93</v>
      </c>
      <c r="L155" s="4" t="s">
        <v>2097</v>
      </c>
      <c r="M155" s="4" t="s">
        <v>38</v>
      </c>
      <c r="N155" s="4" t="s">
        <v>39</v>
      </c>
    </row>
    <row r="156" spans="1:14" ht="10.5" hidden="1" x14ac:dyDescent="0.25">
      <c r="A156" s="8" t="s">
        <v>240</v>
      </c>
      <c r="B156" s="4" t="s">
        <v>241</v>
      </c>
      <c r="C156" s="5">
        <v>44439</v>
      </c>
      <c r="D156" s="4" t="s">
        <v>2105</v>
      </c>
      <c r="E156" s="4"/>
      <c r="F156" s="4"/>
      <c r="G156" s="6">
        <v>-809.54059701359995</v>
      </c>
      <c r="H156" s="6">
        <f t="shared" si="2"/>
        <v>157591.97543751111</v>
      </c>
      <c r="I156" s="4"/>
      <c r="J156" s="4" t="s">
        <v>68</v>
      </c>
      <c r="K156" s="7">
        <v>0</v>
      </c>
      <c r="L156" s="4" t="s">
        <v>2097</v>
      </c>
      <c r="M156" s="4" t="s">
        <v>201</v>
      </c>
      <c r="N156" s="4"/>
    </row>
    <row r="157" spans="1:14" ht="10.5" hidden="1" x14ac:dyDescent="0.25">
      <c r="A157" s="8" t="s">
        <v>240</v>
      </c>
      <c r="B157" s="4" t="s">
        <v>241</v>
      </c>
      <c r="C157" s="5">
        <v>44439</v>
      </c>
      <c r="D157" s="4" t="s">
        <v>2106</v>
      </c>
      <c r="E157" s="4"/>
      <c r="F157" s="4"/>
      <c r="G157" s="6">
        <v>-68.990220703199995</v>
      </c>
      <c r="H157" s="6">
        <f t="shared" si="2"/>
        <v>157522.98521680789</v>
      </c>
      <c r="I157" s="4"/>
      <c r="J157" s="4" t="s">
        <v>68</v>
      </c>
      <c r="K157" s="7">
        <v>0</v>
      </c>
      <c r="L157" s="4" t="s">
        <v>2097</v>
      </c>
      <c r="M157" s="4" t="s">
        <v>201</v>
      </c>
      <c r="N157" s="4"/>
    </row>
    <row r="158" spans="1:14" ht="10.5" hidden="1" x14ac:dyDescent="0.25">
      <c r="A158" s="8" t="s">
        <v>240</v>
      </c>
      <c r="B158" s="4" t="s">
        <v>241</v>
      </c>
      <c r="C158" s="5">
        <v>44440</v>
      </c>
      <c r="D158" s="4" t="s">
        <v>2107</v>
      </c>
      <c r="E158" s="4"/>
      <c r="F158" s="4"/>
      <c r="G158" s="6">
        <v>-1133.784400068</v>
      </c>
      <c r="H158" s="6">
        <f t="shared" si="2"/>
        <v>156389.2008167399</v>
      </c>
      <c r="I158" s="4"/>
      <c r="J158" s="4" t="s">
        <v>68</v>
      </c>
      <c r="K158" s="7">
        <v>0</v>
      </c>
      <c r="L158" s="4" t="s">
        <v>1033</v>
      </c>
      <c r="M158" s="4" t="s">
        <v>201</v>
      </c>
      <c r="N158" s="4"/>
    </row>
    <row r="159" spans="1:14" ht="10.5" hidden="1" x14ac:dyDescent="0.25">
      <c r="A159" s="8" t="s">
        <v>240</v>
      </c>
      <c r="B159" s="4" t="s">
        <v>241</v>
      </c>
      <c r="C159" s="5">
        <v>44440</v>
      </c>
      <c r="D159" s="4" t="s">
        <v>2108</v>
      </c>
      <c r="E159" s="4"/>
      <c r="F159" s="4"/>
      <c r="G159" s="6">
        <v>809.54059701359995</v>
      </c>
      <c r="H159" s="6">
        <f t="shared" si="2"/>
        <v>157198.74141375351</v>
      </c>
      <c r="I159" s="4"/>
      <c r="J159" s="4" t="s">
        <v>68</v>
      </c>
      <c r="K159" s="7">
        <v>0</v>
      </c>
      <c r="L159" s="4" t="s">
        <v>1033</v>
      </c>
      <c r="M159" s="4" t="s">
        <v>201</v>
      </c>
      <c r="N159" s="4"/>
    </row>
    <row r="160" spans="1:14" ht="10.5" hidden="1" x14ac:dyDescent="0.25">
      <c r="A160" s="8" t="s">
        <v>240</v>
      </c>
      <c r="B160" s="4" t="s">
        <v>241</v>
      </c>
      <c r="C160" s="5">
        <v>44440</v>
      </c>
      <c r="D160" s="4" t="s">
        <v>2109</v>
      </c>
      <c r="E160" s="4"/>
      <c r="F160" s="4"/>
      <c r="G160" s="6">
        <v>68.990220703199995</v>
      </c>
      <c r="H160" s="6">
        <f t="shared" si="2"/>
        <v>157267.73163445672</v>
      </c>
      <c r="I160" s="4"/>
      <c r="J160" s="4" t="s">
        <v>68</v>
      </c>
      <c r="K160" s="7">
        <v>0</v>
      </c>
      <c r="L160" s="4" t="s">
        <v>1033</v>
      </c>
      <c r="M160" s="4" t="s">
        <v>201</v>
      </c>
      <c r="N160" s="4"/>
    </row>
    <row r="161" spans="1:16" ht="10.5" hidden="1" x14ac:dyDescent="0.25">
      <c r="A161" s="8" t="s">
        <v>240</v>
      </c>
      <c r="B161" s="4" t="s">
        <v>249</v>
      </c>
      <c r="C161" s="5">
        <v>44467</v>
      </c>
      <c r="D161" s="4" t="s">
        <v>2110</v>
      </c>
      <c r="E161" s="4" t="s">
        <v>2111</v>
      </c>
      <c r="F161" s="4" t="s">
        <v>2111</v>
      </c>
      <c r="G161" s="6">
        <v>90082.782415974041</v>
      </c>
      <c r="H161" s="6">
        <f t="shared" si="2"/>
        <v>247350.51405043076</v>
      </c>
      <c r="I161" s="4" t="s">
        <v>252</v>
      </c>
      <c r="J161" s="4" t="s">
        <v>68</v>
      </c>
      <c r="K161" s="7">
        <v>-66629.77</v>
      </c>
      <c r="L161" s="4" t="s">
        <v>1033</v>
      </c>
      <c r="M161" s="4" t="s">
        <v>186</v>
      </c>
      <c r="N161" s="4"/>
    </row>
    <row r="162" spans="1:16" ht="10.5" hidden="1" x14ac:dyDescent="0.25">
      <c r="A162" s="8" t="s">
        <v>240</v>
      </c>
      <c r="B162" s="4" t="s">
        <v>21</v>
      </c>
      <c r="C162" s="5">
        <v>44469</v>
      </c>
      <c r="D162" s="4" t="s">
        <v>2112</v>
      </c>
      <c r="E162" s="4" t="s">
        <v>2113</v>
      </c>
      <c r="F162" s="4" t="s">
        <v>2113</v>
      </c>
      <c r="G162" s="6">
        <v>-3126.3551845747406</v>
      </c>
      <c r="H162" s="6">
        <f t="shared" si="2"/>
        <v>244224.15886585604</v>
      </c>
      <c r="I162" s="4"/>
      <c r="J162" s="4" t="s">
        <v>68</v>
      </c>
      <c r="K162" s="7">
        <v>2312.41</v>
      </c>
      <c r="L162" s="4" t="s">
        <v>1033</v>
      </c>
      <c r="M162" s="4" t="s">
        <v>186</v>
      </c>
      <c r="N162" s="4" t="s">
        <v>39</v>
      </c>
    </row>
    <row r="163" spans="1:16" ht="10.5" hidden="1" x14ac:dyDescent="0.25">
      <c r="A163" s="8" t="s">
        <v>240</v>
      </c>
      <c r="B163" s="4" t="s">
        <v>241</v>
      </c>
      <c r="C163" s="5">
        <v>44469</v>
      </c>
      <c r="D163" s="4" t="s">
        <v>2114</v>
      </c>
      <c r="E163" s="4"/>
      <c r="F163" s="4"/>
      <c r="G163" s="6">
        <v>1133.784400068</v>
      </c>
      <c r="H163" s="6">
        <f t="shared" si="2"/>
        <v>245357.94326592403</v>
      </c>
      <c r="I163" s="4"/>
      <c r="J163" s="4" t="s">
        <v>68</v>
      </c>
      <c r="K163" s="7">
        <v>0</v>
      </c>
      <c r="L163" s="4" t="s">
        <v>1033</v>
      </c>
      <c r="M163" s="4" t="s">
        <v>201</v>
      </c>
      <c r="N163" s="4"/>
    </row>
    <row r="164" spans="1:16" ht="10.5" hidden="1" x14ac:dyDescent="0.25">
      <c r="A164" s="8" t="s">
        <v>240</v>
      </c>
      <c r="B164" s="4" t="s">
        <v>21</v>
      </c>
      <c r="C164" s="5">
        <v>44469</v>
      </c>
      <c r="D164" s="4" t="s">
        <v>2115</v>
      </c>
      <c r="E164" s="4" t="s">
        <v>2116</v>
      </c>
      <c r="F164" s="4" t="s">
        <v>2116</v>
      </c>
      <c r="G164" s="6">
        <v>-2406.18603936</v>
      </c>
      <c r="H164" s="6">
        <f t="shared" si="2"/>
        <v>242951.75722656402</v>
      </c>
      <c r="I164" s="4"/>
      <c r="J164" s="4" t="s">
        <v>68</v>
      </c>
      <c r="K164" s="7">
        <v>2116</v>
      </c>
      <c r="L164" s="4" t="s">
        <v>1033</v>
      </c>
      <c r="M164" s="4" t="s">
        <v>38</v>
      </c>
      <c r="N164" s="4" t="s">
        <v>39</v>
      </c>
    </row>
    <row r="165" spans="1:16" ht="10.5" hidden="1" x14ac:dyDescent="0.25">
      <c r="A165" s="8" t="s">
        <v>240</v>
      </c>
      <c r="B165" s="4" t="s">
        <v>21</v>
      </c>
      <c r="C165" s="5">
        <v>44469</v>
      </c>
      <c r="D165" s="4" t="s">
        <v>2115</v>
      </c>
      <c r="E165" s="4" t="s">
        <v>2116</v>
      </c>
      <c r="F165" s="4" t="s">
        <v>2116</v>
      </c>
      <c r="G165" s="6">
        <v>-133.04525831999999</v>
      </c>
      <c r="H165" s="6">
        <f t="shared" si="2"/>
        <v>242818.71196824402</v>
      </c>
      <c r="I165" s="4"/>
      <c r="J165" s="4" t="s">
        <v>68</v>
      </c>
      <c r="K165" s="7">
        <v>117</v>
      </c>
      <c r="L165" s="4" t="s">
        <v>1033</v>
      </c>
      <c r="M165" s="4" t="s">
        <v>38</v>
      </c>
      <c r="N165" s="4" t="s">
        <v>39</v>
      </c>
    </row>
    <row r="166" spans="1:16" ht="10.5" hidden="1" x14ac:dyDescent="0.25">
      <c r="A166" s="8" t="s">
        <v>240</v>
      </c>
      <c r="B166" s="4" t="s">
        <v>241</v>
      </c>
      <c r="C166" s="5">
        <v>44469</v>
      </c>
      <c r="D166" s="4" t="s">
        <v>2117</v>
      </c>
      <c r="E166" s="4"/>
      <c r="F166" s="4"/>
      <c r="G166" s="6">
        <v>-656.82283468560001</v>
      </c>
      <c r="H166" s="6">
        <f t="shared" si="2"/>
        <v>242161.88913355843</v>
      </c>
      <c r="I166" s="4"/>
      <c r="J166" s="4" t="s">
        <v>68</v>
      </c>
      <c r="K166" s="7">
        <v>0</v>
      </c>
      <c r="L166" s="4" t="s">
        <v>1033</v>
      </c>
      <c r="M166" s="4" t="s">
        <v>201</v>
      </c>
      <c r="N166" s="4"/>
    </row>
    <row r="167" spans="1:16" ht="10.5" hidden="1" x14ac:dyDescent="0.25">
      <c r="A167" s="8" t="s">
        <v>240</v>
      </c>
      <c r="B167" s="4" t="s">
        <v>21</v>
      </c>
      <c r="C167" s="5">
        <v>44469</v>
      </c>
      <c r="D167" s="4" t="s">
        <v>2118</v>
      </c>
      <c r="E167" s="4" t="s">
        <v>2119</v>
      </c>
      <c r="F167" s="4" t="s">
        <v>2120</v>
      </c>
      <c r="G167" s="6">
        <v>-5597.0207038992003</v>
      </c>
      <c r="H167" s="6">
        <f t="shared" si="2"/>
        <v>236564.86842965923</v>
      </c>
      <c r="I167" s="4"/>
      <c r="J167" s="4" t="s">
        <v>68</v>
      </c>
      <c r="K167" s="7">
        <v>7740</v>
      </c>
      <c r="L167" s="4" t="s">
        <v>1033</v>
      </c>
      <c r="M167" s="4" t="s">
        <v>201</v>
      </c>
      <c r="N167" s="4" t="s">
        <v>198</v>
      </c>
    </row>
    <row r="168" spans="1:16" ht="10.5" x14ac:dyDescent="0.25">
      <c r="A168" s="8" t="s">
        <v>240</v>
      </c>
      <c r="B168" s="4" t="s">
        <v>21</v>
      </c>
      <c r="C168" s="5">
        <v>44469</v>
      </c>
      <c r="D168" s="4" t="s">
        <v>2121</v>
      </c>
      <c r="E168" s="4" t="s">
        <v>2122</v>
      </c>
      <c r="F168" s="4" t="s">
        <v>2122</v>
      </c>
      <c r="G168" s="6">
        <v>-28511.652758362703</v>
      </c>
      <c r="H168" s="6">
        <f t="shared" si="2"/>
        <v>208053.21567129652</v>
      </c>
      <c r="I168" s="4"/>
      <c r="J168" s="4" t="s">
        <v>68</v>
      </c>
      <c r="K168" s="7">
        <v>2124843</v>
      </c>
      <c r="L168" s="4" t="s">
        <v>1033</v>
      </c>
      <c r="M168" s="4" t="s">
        <v>204</v>
      </c>
      <c r="N168" s="4" t="s">
        <v>198</v>
      </c>
      <c r="P168" s="4" t="s">
        <v>778</v>
      </c>
    </row>
    <row r="169" spans="1:16" ht="10.5" hidden="1" x14ac:dyDescent="0.25">
      <c r="A169" s="8" t="s">
        <v>240</v>
      </c>
      <c r="B169" s="4" t="s">
        <v>241</v>
      </c>
      <c r="C169" s="5">
        <v>44469</v>
      </c>
      <c r="D169" s="4" t="s">
        <v>2123</v>
      </c>
      <c r="E169" s="4"/>
      <c r="F169" s="4"/>
      <c r="G169" s="6">
        <v>-320.94610007040001</v>
      </c>
      <c r="H169" s="6">
        <f t="shared" si="2"/>
        <v>207732.26957122612</v>
      </c>
      <c r="I169" s="4"/>
      <c r="J169" s="4" t="s">
        <v>68</v>
      </c>
      <c r="K169" s="7">
        <v>0</v>
      </c>
      <c r="L169" s="4" t="s">
        <v>1033</v>
      </c>
      <c r="M169" s="4" t="s">
        <v>201</v>
      </c>
      <c r="N169" s="4"/>
    </row>
    <row r="170" spans="1:16" ht="10.5" hidden="1" x14ac:dyDescent="0.25">
      <c r="A170" s="8" t="s">
        <v>240</v>
      </c>
      <c r="B170" s="4" t="s">
        <v>21</v>
      </c>
      <c r="C170" s="5">
        <v>44469</v>
      </c>
      <c r="D170" s="4" t="s">
        <v>2124</v>
      </c>
      <c r="E170" s="4" t="s">
        <v>2014</v>
      </c>
      <c r="F170" s="4" t="s">
        <v>2014</v>
      </c>
      <c r="G170" s="6">
        <v>-20455.378787600144</v>
      </c>
      <c r="H170" s="6">
        <f t="shared" si="2"/>
        <v>187276.89078362598</v>
      </c>
      <c r="I170" s="4"/>
      <c r="J170" s="4" t="s">
        <v>68</v>
      </c>
      <c r="K170" s="7">
        <v>15129.83</v>
      </c>
      <c r="L170" s="4" t="s">
        <v>1033</v>
      </c>
      <c r="M170" s="4" t="s">
        <v>186</v>
      </c>
      <c r="N170" s="4" t="s">
        <v>118</v>
      </c>
    </row>
    <row r="171" spans="1:16" ht="10.5" hidden="1" x14ac:dyDescent="0.25">
      <c r="A171" s="8" t="s">
        <v>240</v>
      </c>
      <c r="B171" s="4" t="s">
        <v>21</v>
      </c>
      <c r="C171" s="5">
        <v>44469</v>
      </c>
      <c r="D171" s="4" t="s">
        <v>2125</v>
      </c>
      <c r="E171" s="4" t="s">
        <v>1113</v>
      </c>
      <c r="F171" s="4" t="s">
        <v>1113</v>
      </c>
      <c r="G171" s="6">
        <v>-100989.3110376</v>
      </c>
      <c r="H171" s="6">
        <f t="shared" si="2"/>
        <v>86287.579746025978</v>
      </c>
      <c r="I171" s="4"/>
      <c r="J171" s="4" t="s">
        <v>68</v>
      </c>
      <c r="K171" s="7">
        <v>88810</v>
      </c>
      <c r="L171" s="4" t="s">
        <v>1033</v>
      </c>
      <c r="M171" s="4" t="s">
        <v>61</v>
      </c>
      <c r="N171" s="4" t="s">
        <v>118</v>
      </c>
    </row>
    <row r="172" spans="1:16" ht="10.5" hidden="1" x14ac:dyDescent="0.25">
      <c r="A172" s="8" t="s">
        <v>240</v>
      </c>
      <c r="B172" s="4" t="s">
        <v>241</v>
      </c>
      <c r="C172" s="5">
        <v>44470</v>
      </c>
      <c r="D172" s="4" t="s">
        <v>2126</v>
      </c>
      <c r="E172" s="4"/>
      <c r="F172" s="4"/>
      <c r="G172" s="6">
        <v>-1133.784400068</v>
      </c>
      <c r="H172" s="6">
        <f t="shared" si="2"/>
        <v>85153.795345957973</v>
      </c>
      <c r="I172" s="4"/>
      <c r="J172" s="4" t="s">
        <v>68</v>
      </c>
      <c r="K172" s="7">
        <v>0</v>
      </c>
      <c r="L172" s="4" t="s">
        <v>2127</v>
      </c>
      <c r="M172" s="4" t="s">
        <v>201</v>
      </c>
      <c r="N172" s="4"/>
    </row>
    <row r="173" spans="1:16" ht="10.5" hidden="1" x14ac:dyDescent="0.25">
      <c r="A173" s="8" t="s">
        <v>240</v>
      </c>
      <c r="B173" s="4" t="s">
        <v>241</v>
      </c>
      <c r="C173" s="5">
        <v>44470</v>
      </c>
      <c r="D173" s="4" t="s">
        <v>2128</v>
      </c>
      <c r="E173" s="4"/>
      <c r="F173" s="4"/>
      <c r="G173" s="6">
        <v>656.82283468560001</v>
      </c>
      <c r="H173" s="6">
        <f t="shared" si="2"/>
        <v>85810.618180643578</v>
      </c>
      <c r="I173" s="4"/>
      <c r="J173" s="4" t="s">
        <v>68</v>
      </c>
      <c r="K173" s="7">
        <v>0</v>
      </c>
      <c r="L173" s="4" t="s">
        <v>2127</v>
      </c>
      <c r="M173" s="4" t="s">
        <v>201</v>
      </c>
      <c r="N173" s="4"/>
    </row>
    <row r="174" spans="1:16" ht="10.5" hidden="1" x14ac:dyDescent="0.25">
      <c r="A174" s="8" t="s">
        <v>240</v>
      </c>
      <c r="B174" s="4" t="s">
        <v>241</v>
      </c>
      <c r="C174" s="5">
        <v>44470</v>
      </c>
      <c r="D174" s="4" t="s">
        <v>2129</v>
      </c>
      <c r="E174" s="4"/>
      <c r="F174" s="4"/>
      <c r="G174" s="6">
        <v>320.94610007040001</v>
      </c>
      <c r="H174" s="6">
        <f t="shared" si="2"/>
        <v>86131.564280713981</v>
      </c>
      <c r="I174" s="4"/>
      <c r="J174" s="4" t="s">
        <v>68</v>
      </c>
      <c r="K174" s="7">
        <v>0</v>
      </c>
      <c r="L174" s="4" t="s">
        <v>2127</v>
      </c>
      <c r="M174" s="4" t="s">
        <v>201</v>
      </c>
      <c r="N174" s="4"/>
    </row>
    <row r="175" spans="1:16" ht="10.5" hidden="1" x14ac:dyDescent="0.25">
      <c r="A175" s="8" t="s">
        <v>240</v>
      </c>
      <c r="B175" s="4" t="s">
        <v>241</v>
      </c>
      <c r="C175" s="5">
        <v>44500</v>
      </c>
      <c r="D175" s="4" t="s">
        <v>2130</v>
      </c>
      <c r="E175" s="4"/>
      <c r="F175" s="4"/>
      <c r="G175" s="6">
        <v>1133.784400068</v>
      </c>
      <c r="H175" s="6">
        <f t="shared" si="2"/>
        <v>87265.348680781986</v>
      </c>
      <c r="I175" s="4"/>
      <c r="J175" s="4" t="s">
        <v>68</v>
      </c>
      <c r="K175" s="7">
        <v>0</v>
      </c>
      <c r="L175" s="4" t="s">
        <v>2127</v>
      </c>
      <c r="M175" s="4" t="s">
        <v>201</v>
      </c>
      <c r="N175" s="4"/>
    </row>
    <row r="176" spans="1:16" ht="10.5" hidden="1" x14ac:dyDescent="0.25">
      <c r="A176" s="8" t="s">
        <v>240</v>
      </c>
      <c r="B176" s="4" t="s">
        <v>241</v>
      </c>
      <c r="C176" s="5">
        <v>44500</v>
      </c>
      <c r="D176" s="4" t="s">
        <v>2131</v>
      </c>
      <c r="E176" s="4"/>
      <c r="F176" s="4"/>
      <c r="G176" s="6">
        <v>-532.38571829279999</v>
      </c>
      <c r="H176" s="6">
        <f t="shared" si="2"/>
        <v>86732.962962489182</v>
      </c>
      <c r="I176" s="4"/>
      <c r="J176" s="4" t="s">
        <v>68</v>
      </c>
      <c r="K176" s="7">
        <v>0</v>
      </c>
      <c r="L176" s="4" t="s">
        <v>2127</v>
      </c>
      <c r="M176" s="4" t="s">
        <v>201</v>
      </c>
      <c r="N176" s="4"/>
    </row>
    <row r="177" spans="1:14" ht="10.5" hidden="1" x14ac:dyDescent="0.25">
      <c r="A177" s="8" t="s">
        <v>240</v>
      </c>
      <c r="B177" s="4" t="s">
        <v>241</v>
      </c>
      <c r="C177" s="5">
        <v>44500</v>
      </c>
      <c r="D177" s="4" t="s">
        <v>2132</v>
      </c>
      <c r="E177" s="4"/>
      <c r="F177" s="4"/>
      <c r="G177" s="6">
        <v>-570.77552958240005</v>
      </c>
      <c r="H177" s="6">
        <f t="shared" si="2"/>
        <v>86162.18743290678</v>
      </c>
      <c r="I177" s="4"/>
      <c r="J177" s="4" t="s">
        <v>68</v>
      </c>
      <c r="K177" s="7">
        <v>0</v>
      </c>
      <c r="L177" s="4" t="s">
        <v>2127</v>
      </c>
      <c r="M177" s="4" t="s">
        <v>201</v>
      </c>
      <c r="N177" s="4"/>
    </row>
    <row r="178" spans="1:14" ht="10.5" hidden="1" x14ac:dyDescent="0.25">
      <c r="A178" s="8" t="s">
        <v>240</v>
      </c>
      <c r="B178" s="4" t="s">
        <v>241</v>
      </c>
      <c r="C178" s="5">
        <v>44501</v>
      </c>
      <c r="D178" s="4" t="s">
        <v>2133</v>
      </c>
      <c r="E178" s="4"/>
      <c r="F178" s="4"/>
      <c r="G178" s="6">
        <v>-1133.784400068</v>
      </c>
      <c r="H178" s="6">
        <f t="shared" ref="H178:H212" si="3">H177+G178</f>
        <v>85028.403032838774</v>
      </c>
      <c r="I178" s="4"/>
      <c r="J178" s="4" t="s">
        <v>68</v>
      </c>
      <c r="K178" s="7">
        <v>0</v>
      </c>
      <c r="L178" s="4" t="s">
        <v>1133</v>
      </c>
      <c r="M178" s="4" t="s">
        <v>201</v>
      </c>
      <c r="N178" s="4"/>
    </row>
    <row r="179" spans="1:14" ht="10.5" hidden="1" x14ac:dyDescent="0.25">
      <c r="A179" s="8" t="s">
        <v>240</v>
      </c>
      <c r="B179" s="4" t="s">
        <v>241</v>
      </c>
      <c r="C179" s="5">
        <v>44501</v>
      </c>
      <c r="D179" s="4" t="s">
        <v>2134</v>
      </c>
      <c r="E179" s="4"/>
      <c r="F179" s="4"/>
      <c r="G179" s="6">
        <v>532.38571829279999</v>
      </c>
      <c r="H179" s="6">
        <f t="shared" si="3"/>
        <v>85560.788751131578</v>
      </c>
      <c r="I179" s="4"/>
      <c r="J179" s="4" t="s">
        <v>68</v>
      </c>
      <c r="K179" s="7">
        <v>0</v>
      </c>
      <c r="L179" s="4" t="s">
        <v>1133</v>
      </c>
      <c r="M179" s="4" t="s">
        <v>201</v>
      </c>
      <c r="N179" s="4"/>
    </row>
    <row r="180" spans="1:14" ht="10.5" hidden="1" x14ac:dyDescent="0.25">
      <c r="A180" s="8" t="s">
        <v>240</v>
      </c>
      <c r="B180" s="4" t="s">
        <v>241</v>
      </c>
      <c r="C180" s="5">
        <v>44501</v>
      </c>
      <c r="D180" s="4" t="s">
        <v>2135</v>
      </c>
      <c r="E180" s="4"/>
      <c r="F180" s="4"/>
      <c r="G180" s="6">
        <v>570.77552958240005</v>
      </c>
      <c r="H180" s="6">
        <f t="shared" si="3"/>
        <v>86131.564280713981</v>
      </c>
      <c r="I180" s="4"/>
      <c r="J180" s="4" t="s">
        <v>68</v>
      </c>
      <c r="K180" s="7">
        <v>0</v>
      </c>
      <c r="L180" s="4" t="s">
        <v>1133</v>
      </c>
      <c r="M180" s="4" t="s">
        <v>201</v>
      </c>
      <c r="N180" s="4"/>
    </row>
    <row r="181" spans="1:14" ht="10.5" hidden="1" x14ac:dyDescent="0.25">
      <c r="A181" s="8" t="s">
        <v>240</v>
      </c>
      <c r="B181" s="4" t="s">
        <v>241</v>
      </c>
      <c r="C181" s="5">
        <v>44530</v>
      </c>
      <c r="D181" s="4" t="s">
        <v>2136</v>
      </c>
      <c r="E181" s="4"/>
      <c r="F181" s="4"/>
      <c r="G181" s="6">
        <v>1133.784400068</v>
      </c>
      <c r="H181" s="6">
        <f t="shared" si="3"/>
        <v>87265.348680781986</v>
      </c>
      <c r="I181" s="4"/>
      <c r="J181" s="4" t="s">
        <v>68</v>
      </c>
      <c r="K181" s="7">
        <v>0</v>
      </c>
      <c r="L181" s="4" t="s">
        <v>1133</v>
      </c>
      <c r="M181" s="4" t="s">
        <v>201</v>
      </c>
      <c r="N181" s="4"/>
    </row>
    <row r="182" spans="1:14" ht="10.5" hidden="1" x14ac:dyDescent="0.25">
      <c r="A182" s="8" t="s">
        <v>240</v>
      </c>
      <c r="B182" s="4" t="s">
        <v>21</v>
      </c>
      <c r="C182" s="5">
        <v>44530</v>
      </c>
      <c r="D182" s="4" t="s">
        <v>2137</v>
      </c>
      <c r="E182" s="4" t="s">
        <v>2138</v>
      </c>
      <c r="F182" s="4" t="s">
        <v>2138</v>
      </c>
      <c r="G182" s="6">
        <v>-4756.6522696800002</v>
      </c>
      <c r="H182" s="6">
        <f t="shared" si="3"/>
        <v>82508.696411101992</v>
      </c>
      <c r="I182" s="4"/>
      <c r="J182" s="4" t="s">
        <v>68</v>
      </c>
      <c r="K182" s="7">
        <v>4183</v>
      </c>
      <c r="L182" s="4" t="s">
        <v>1133</v>
      </c>
      <c r="M182" s="4" t="s">
        <v>38</v>
      </c>
      <c r="N182" s="4" t="s">
        <v>39</v>
      </c>
    </row>
    <row r="183" spans="1:14" ht="10.5" hidden="1" x14ac:dyDescent="0.25">
      <c r="A183" s="8" t="s">
        <v>240</v>
      </c>
      <c r="B183" s="4" t="s">
        <v>21</v>
      </c>
      <c r="C183" s="5">
        <v>44530</v>
      </c>
      <c r="D183" s="4" t="s">
        <v>2137</v>
      </c>
      <c r="E183" s="4" t="s">
        <v>2138</v>
      </c>
      <c r="F183" s="4" t="s">
        <v>2138</v>
      </c>
      <c r="G183" s="6">
        <v>-261.54196080000003</v>
      </c>
      <c r="H183" s="6">
        <f t="shared" si="3"/>
        <v>82247.154450301998</v>
      </c>
      <c r="I183" s="4"/>
      <c r="J183" s="4" t="s">
        <v>68</v>
      </c>
      <c r="K183" s="7">
        <v>230</v>
      </c>
      <c r="L183" s="4" t="s">
        <v>1133</v>
      </c>
      <c r="M183" s="4" t="s">
        <v>38</v>
      </c>
      <c r="N183" s="4" t="s">
        <v>39</v>
      </c>
    </row>
    <row r="184" spans="1:14" ht="10.5" hidden="1" x14ac:dyDescent="0.25">
      <c r="A184" s="8" t="s">
        <v>240</v>
      </c>
      <c r="B184" s="4" t="s">
        <v>241</v>
      </c>
      <c r="C184" s="5">
        <v>44530</v>
      </c>
      <c r="D184" s="4" t="s">
        <v>2139</v>
      </c>
      <c r="E184" s="4"/>
      <c r="F184" s="4"/>
      <c r="G184" s="6">
        <v>-402.52444906080001</v>
      </c>
      <c r="H184" s="6">
        <f t="shared" si="3"/>
        <v>81844.630001241196</v>
      </c>
      <c r="I184" s="4"/>
      <c r="J184" s="4" t="s">
        <v>68</v>
      </c>
      <c r="K184" s="7">
        <v>0</v>
      </c>
      <c r="L184" s="4" t="s">
        <v>1133</v>
      </c>
      <c r="M184" s="4" t="s">
        <v>201</v>
      </c>
      <c r="N184" s="4"/>
    </row>
    <row r="185" spans="1:14" ht="10.5" hidden="1" x14ac:dyDescent="0.25">
      <c r="A185" s="8" t="s">
        <v>240</v>
      </c>
      <c r="B185" s="4" t="s">
        <v>241</v>
      </c>
      <c r="C185" s="5">
        <v>44530</v>
      </c>
      <c r="D185" s="4" t="s">
        <v>2140</v>
      </c>
      <c r="E185" s="4"/>
      <c r="F185" s="4"/>
      <c r="G185" s="6">
        <v>-831.47600755200006</v>
      </c>
      <c r="H185" s="6">
        <f t="shared" si="3"/>
        <v>81013.153993689193</v>
      </c>
      <c r="I185" s="4"/>
      <c r="J185" s="4" t="s">
        <v>68</v>
      </c>
      <c r="K185" s="7">
        <v>0</v>
      </c>
      <c r="L185" s="4" t="s">
        <v>1133</v>
      </c>
      <c r="M185" s="4" t="s">
        <v>201</v>
      </c>
      <c r="N185" s="4"/>
    </row>
    <row r="186" spans="1:14" ht="10.5" hidden="1" x14ac:dyDescent="0.25">
      <c r="A186" s="8" t="s">
        <v>240</v>
      </c>
      <c r="B186" s="4" t="s">
        <v>241</v>
      </c>
      <c r="C186" s="5">
        <v>44531</v>
      </c>
      <c r="D186" s="4" t="s">
        <v>2141</v>
      </c>
      <c r="E186" s="4"/>
      <c r="F186" s="4"/>
      <c r="G186" s="6">
        <v>-1133.784400068</v>
      </c>
      <c r="H186" s="6">
        <f t="shared" si="3"/>
        <v>79879.369593621188</v>
      </c>
      <c r="I186" s="4"/>
      <c r="J186" s="4" t="s">
        <v>68</v>
      </c>
      <c r="K186" s="7">
        <v>0</v>
      </c>
      <c r="L186" s="4" t="s">
        <v>1036</v>
      </c>
      <c r="M186" s="4" t="s">
        <v>201</v>
      </c>
      <c r="N186" s="4"/>
    </row>
    <row r="187" spans="1:14" ht="10.5" hidden="1" x14ac:dyDescent="0.25">
      <c r="A187" s="8" t="s">
        <v>240</v>
      </c>
      <c r="B187" s="4" t="s">
        <v>241</v>
      </c>
      <c r="C187" s="5">
        <v>44531</v>
      </c>
      <c r="D187" s="4" t="s">
        <v>2142</v>
      </c>
      <c r="E187" s="4"/>
      <c r="F187" s="4"/>
      <c r="G187" s="6">
        <v>402.52444906080001</v>
      </c>
      <c r="H187" s="6">
        <f t="shared" si="3"/>
        <v>80281.89404268199</v>
      </c>
      <c r="I187" s="4"/>
      <c r="J187" s="4" t="s">
        <v>68</v>
      </c>
      <c r="K187" s="7">
        <v>0</v>
      </c>
      <c r="L187" s="4" t="s">
        <v>1036</v>
      </c>
      <c r="M187" s="4" t="s">
        <v>201</v>
      </c>
      <c r="N187" s="4"/>
    </row>
    <row r="188" spans="1:14" ht="10.5" hidden="1" x14ac:dyDescent="0.25">
      <c r="A188" s="8" t="s">
        <v>240</v>
      </c>
      <c r="B188" s="4" t="s">
        <v>241</v>
      </c>
      <c r="C188" s="5">
        <v>44531</v>
      </c>
      <c r="D188" s="4" t="s">
        <v>2143</v>
      </c>
      <c r="E188" s="4"/>
      <c r="F188" s="4"/>
      <c r="G188" s="6">
        <v>831.47600755200006</v>
      </c>
      <c r="H188" s="6">
        <f t="shared" si="3"/>
        <v>81113.370050233993</v>
      </c>
      <c r="I188" s="4"/>
      <c r="J188" s="4" t="s">
        <v>68</v>
      </c>
      <c r="K188" s="7">
        <v>0</v>
      </c>
      <c r="L188" s="4" t="s">
        <v>1036</v>
      </c>
      <c r="M188" s="4" t="s">
        <v>201</v>
      </c>
      <c r="N188" s="4"/>
    </row>
    <row r="189" spans="1:14" ht="10.5" hidden="1" x14ac:dyDescent="0.25">
      <c r="A189" s="8" t="s">
        <v>240</v>
      </c>
      <c r="B189" s="4" t="s">
        <v>241</v>
      </c>
      <c r="C189" s="5">
        <v>44561</v>
      </c>
      <c r="D189" s="4" t="s">
        <v>2144</v>
      </c>
      <c r="E189" s="4"/>
      <c r="F189" s="4"/>
      <c r="G189" s="6">
        <v>873.89129075999995</v>
      </c>
      <c r="H189" s="6">
        <f t="shared" si="3"/>
        <v>81987.261340993995</v>
      </c>
      <c r="I189" s="4"/>
      <c r="J189" s="4" t="s">
        <v>68</v>
      </c>
      <c r="K189" s="7">
        <v>0</v>
      </c>
      <c r="L189" s="4" t="s">
        <v>1036</v>
      </c>
      <c r="M189" s="4" t="s">
        <v>201</v>
      </c>
      <c r="N189" s="4"/>
    </row>
    <row r="190" spans="1:14" ht="10.5" hidden="1" x14ac:dyDescent="0.25">
      <c r="A190" s="8" t="s">
        <v>240</v>
      </c>
      <c r="B190" s="4" t="s">
        <v>21</v>
      </c>
      <c r="C190" s="5">
        <v>44561</v>
      </c>
      <c r="D190" s="4" t="s">
        <v>2145</v>
      </c>
      <c r="E190" s="4" t="s">
        <v>2146</v>
      </c>
      <c r="F190" s="4" t="s">
        <v>2146</v>
      </c>
      <c r="G190" s="6">
        <v>-6511.4055130247998</v>
      </c>
      <c r="H190" s="6">
        <f t="shared" si="3"/>
        <v>75475.855827969193</v>
      </c>
      <c r="I190" s="4"/>
      <c r="J190" s="4" t="s">
        <v>68</v>
      </c>
      <c r="K190" s="7">
        <v>58929</v>
      </c>
      <c r="L190" s="4" t="s">
        <v>1036</v>
      </c>
      <c r="M190" s="4" t="s">
        <v>193</v>
      </c>
      <c r="N190" s="4" t="s">
        <v>39</v>
      </c>
    </row>
    <row r="191" spans="1:14" ht="10.5" hidden="1" x14ac:dyDescent="0.25">
      <c r="A191" s="8" t="s">
        <v>240</v>
      </c>
      <c r="B191" s="4" t="s">
        <v>21</v>
      </c>
      <c r="C191" s="5">
        <v>44561</v>
      </c>
      <c r="D191" s="4" t="s">
        <v>2147</v>
      </c>
      <c r="E191" s="4" t="s">
        <v>2148</v>
      </c>
      <c r="F191" s="4" t="s">
        <v>2148</v>
      </c>
      <c r="G191" s="6">
        <v>-5311.5760821599997</v>
      </c>
      <c r="H191" s="6">
        <f t="shared" si="3"/>
        <v>70164.279745809195</v>
      </c>
      <c r="I191" s="4"/>
      <c r="J191" s="4" t="s">
        <v>68</v>
      </c>
      <c r="K191" s="7">
        <v>4671</v>
      </c>
      <c r="L191" s="4" t="s">
        <v>1036</v>
      </c>
      <c r="M191" s="4" t="s">
        <v>38</v>
      </c>
      <c r="N191" s="4" t="s">
        <v>39</v>
      </c>
    </row>
    <row r="192" spans="1:14" ht="10.5" hidden="1" x14ac:dyDescent="0.25">
      <c r="A192" s="8" t="s">
        <v>240</v>
      </c>
      <c r="B192" s="4" t="s">
        <v>21</v>
      </c>
      <c r="C192" s="5">
        <v>44561</v>
      </c>
      <c r="D192" s="4" t="s">
        <v>2147</v>
      </c>
      <c r="E192" s="4" t="s">
        <v>2148</v>
      </c>
      <c r="F192" s="4" t="s">
        <v>2148</v>
      </c>
      <c r="G192" s="6">
        <v>-292.24471272</v>
      </c>
      <c r="H192" s="6">
        <f t="shared" si="3"/>
        <v>69872.035033089196</v>
      </c>
      <c r="I192" s="4"/>
      <c r="J192" s="4" t="s">
        <v>68</v>
      </c>
      <c r="K192" s="7">
        <v>257</v>
      </c>
      <c r="L192" s="4" t="s">
        <v>1036</v>
      </c>
      <c r="M192" s="4" t="s">
        <v>38</v>
      </c>
      <c r="N192" s="4" t="s">
        <v>39</v>
      </c>
    </row>
    <row r="193" spans="1:16" ht="10.5" hidden="1" x14ac:dyDescent="0.25">
      <c r="A193" s="8" t="s">
        <v>240</v>
      </c>
      <c r="B193" s="4" t="s">
        <v>21</v>
      </c>
      <c r="C193" s="5">
        <v>44561</v>
      </c>
      <c r="D193" s="4" t="s">
        <v>2149</v>
      </c>
      <c r="E193" s="4" t="s">
        <v>2150</v>
      </c>
      <c r="F193" s="4" t="s">
        <v>2150</v>
      </c>
      <c r="G193" s="6">
        <v>-100555.6078757361</v>
      </c>
      <c r="H193" s="6">
        <f t="shared" si="3"/>
        <v>-30683.5728426469</v>
      </c>
      <c r="I193" s="4"/>
      <c r="J193" s="4" t="s">
        <v>68</v>
      </c>
      <c r="K193" s="7">
        <v>74376</v>
      </c>
      <c r="L193" s="4" t="s">
        <v>1036</v>
      </c>
      <c r="M193" s="4" t="s">
        <v>186</v>
      </c>
      <c r="N193" s="4" t="s">
        <v>39</v>
      </c>
    </row>
    <row r="194" spans="1:16" ht="10.5" hidden="1" x14ac:dyDescent="0.25">
      <c r="A194" s="8" t="s">
        <v>240</v>
      </c>
      <c r="B194" s="4" t="s">
        <v>21</v>
      </c>
      <c r="C194" s="5">
        <v>44561</v>
      </c>
      <c r="D194" s="4" t="s">
        <v>2151</v>
      </c>
      <c r="E194" s="4" t="s">
        <v>2152</v>
      </c>
      <c r="F194" s="4" t="s">
        <v>2152</v>
      </c>
      <c r="G194" s="6">
        <v>-23543.5638270216</v>
      </c>
      <c r="H194" s="6">
        <f t="shared" si="3"/>
        <v>-54227.1366696685</v>
      </c>
      <c r="I194" s="4"/>
      <c r="J194" s="4" t="s">
        <v>68</v>
      </c>
      <c r="K194" s="7">
        <v>213072</v>
      </c>
      <c r="L194" s="4" t="s">
        <v>1036</v>
      </c>
      <c r="M194" s="4" t="s">
        <v>193</v>
      </c>
      <c r="N194" s="4" t="s">
        <v>39</v>
      </c>
    </row>
    <row r="195" spans="1:16" ht="10.5" hidden="1" x14ac:dyDescent="0.25">
      <c r="A195" s="8" t="s">
        <v>240</v>
      </c>
      <c r="B195" s="4" t="s">
        <v>21</v>
      </c>
      <c r="C195" s="5">
        <v>44561</v>
      </c>
      <c r="D195" s="4" t="s">
        <v>2153</v>
      </c>
      <c r="E195" s="4" t="s">
        <v>2154</v>
      </c>
      <c r="F195" s="4" t="s">
        <v>2155</v>
      </c>
      <c r="G195" s="6">
        <v>-6921.0029664167996</v>
      </c>
      <c r="H195" s="6">
        <f t="shared" si="3"/>
        <v>-61148.139636085296</v>
      </c>
      <c r="I195" s="4"/>
      <c r="J195" s="4" t="s">
        <v>68</v>
      </c>
      <c r="K195" s="7">
        <v>9334</v>
      </c>
      <c r="L195" s="4" t="s">
        <v>1036</v>
      </c>
      <c r="M195" s="4" t="s">
        <v>201</v>
      </c>
      <c r="N195" s="4" t="s">
        <v>198</v>
      </c>
    </row>
    <row r="196" spans="1:16" ht="10.5" hidden="1" x14ac:dyDescent="0.25">
      <c r="A196" s="8" t="s">
        <v>240</v>
      </c>
      <c r="B196" s="4" t="s">
        <v>21</v>
      </c>
      <c r="C196" s="5">
        <v>44561</v>
      </c>
      <c r="D196" s="4" t="s">
        <v>2156</v>
      </c>
      <c r="E196" s="4" t="s">
        <v>2157</v>
      </c>
      <c r="F196" s="4" t="s">
        <v>2158</v>
      </c>
      <c r="G196" s="6">
        <v>14793.427357886399</v>
      </c>
      <c r="H196" s="6">
        <f t="shared" si="3"/>
        <v>-46354.712278198895</v>
      </c>
      <c r="I196" s="4"/>
      <c r="J196" s="4" t="s">
        <v>68</v>
      </c>
      <c r="K196" s="7">
        <v>-19951.14</v>
      </c>
      <c r="L196" s="4" t="s">
        <v>1036</v>
      </c>
      <c r="M196" s="4" t="s">
        <v>201</v>
      </c>
      <c r="N196" s="4" t="s">
        <v>198</v>
      </c>
    </row>
    <row r="197" spans="1:16" ht="10.5" x14ac:dyDescent="0.25">
      <c r="A197" s="8" t="s">
        <v>240</v>
      </c>
      <c r="B197" s="4" t="s">
        <v>21</v>
      </c>
      <c r="C197" s="5">
        <v>44561</v>
      </c>
      <c r="D197" s="4" t="s">
        <v>2159</v>
      </c>
      <c r="E197" s="4" t="s">
        <v>2160</v>
      </c>
      <c r="F197" s="4" t="s">
        <v>2160</v>
      </c>
      <c r="G197" s="6">
        <v>-32816.10329894755</v>
      </c>
      <c r="H197" s="6">
        <f t="shared" si="3"/>
        <v>-79170.815577146452</v>
      </c>
      <c r="I197" s="4"/>
      <c r="J197" s="4" t="s">
        <v>68</v>
      </c>
      <c r="K197" s="7">
        <v>2445634</v>
      </c>
      <c r="L197" s="4" t="s">
        <v>1036</v>
      </c>
      <c r="M197" s="4" t="s">
        <v>204</v>
      </c>
      <c r="N197" s="4" t="s">
        <v>198</v>
      </c>
      <c r="P197" s="4" t="s">
        <v>778</v>
      </c>
    </row>
    <row r="198" spans="1:16" ht="10.5" hidden="1" x14ac:dyDescent="0.25">
      <c r="A198" s="8" t="s">
        <v>240</v>
      </c>
      <c r="B198" s="4" t="s">
        <v>21</v>
      </c>
      <c r="C198" s="5">
        <v>44561</v>
      </c>
      <c r="D198" s="4" t="s">
        <v>2161</v>
      </c>
      <c r="E198" s="4" t="s">
        <v>185</v>
      </c>
      <c r="F198" s="4" t="s">
        <v>185</v>
      </c>
      <c r="G198" s="6">
        <v>1426.3494448330321</v>
      </c>
      <c r="H198" s="6">
        <f t="shared" si="3"/>
        <v>-77744.466132313421</v>
      </c>
      <c r="I198" s="4"/>
      <c r="J198" s="4" t="s">
        <v>68</v>
      </c>
      <c r="K198" s="7">
        <v>-1055</v>
      </c>
      <c r="L198" s="4" t="s">
        <v>1036</v>
      </c>
      <c r="M198" s="4" t="s">
        <v>186</v>
      </c>
      <c r="N198" s="4" t="s">
        <v>39</v>
      </c>
    </row>
    <row r="199" spans="1:16" ht="10.5" hidden="1" x14ac:dyDescent="0.25">
      <c r="A199" s="8" t="s">
        <v>240</v>
      </c>
      <c r="B199" s="4" t="s">
        <v>21</v>
      </c>
      <c r="C199" s="5">
        <v>44561</v>
      </c>
      <c r="D199" s="4" t="s">
        <v>2162</v>
      </c>
      <c r="E199" s="4" t="s">
        <v>2163</v>
      </c>
      <c r="F199" s="4" t="s">
        <v>2164</v>
      </c>
      <c r="G199" s="6">
        <v>-2001.7398254568</v>
      </c>
      <c r="H199" s="6">
        <f t="shared" si="3"/>
        <v>-79746.205957770217</v>
      </c>
      <c r="I199" s="4"/>
      <c r="J199" s="4" t="s">
        <v>68</v>
      </c>
      <c r="K199" s="7">
        <v>18116</v>
      </c>
      <c r="L199" s="4" t="s">
        <v>1036</v>
      </c>
      <c r="M199" s="4" t="s">
        <v>193</v>
      </c>
      <c r="N199" s="4" t="s">
        <v>39</v>
      </c>
    </row>
    <row r="200" spans="1:16" ht="10.5" hidden="1" x14ac:dyDescent="0.25">
      <c r="A200" s="8" t="s">
        <v>240</v>
      </c>
      <c r="B200" s="4" t="s">
        <v>21</v>
      </c>
      <c r="C200" s="5">
        <v>44561</v>
      </c>
      <c r="D200" s="4" t="s">
        <v>2165</v>
      </c>
      <c r="E200" s="4" t="s">
        <v>2166</v>
      </c>
      <c r="F200" s="4" t="s">
        <v>2166</v>
      </c>
      <c r="G200" s="6">
        <v>-594399.59147640003</v>
      </c>
      <c r="H200" s="6">
        <f t="shared" si="3"/>
        <v>-674145.79743417026</v>
      </c>
      <c r="I200" s="4"/>
      <c r="J200" s="4" t="s">
        <v>68</v>
      </c>
      <c r="K200" s="7">
        <v>522715</v>
      </c>
      <c r="L200" s="4" t="s">
        <v>1036</v>
      </c>
      <c r="M200" s="4" t="s">
        <v>61</v>
      </c>
      <c r="N200" s="4" t="s">
        <v>181</v>
      </c>
    </row>
    <row r="201" spans="1:16" ht="10.5" hidden="1" x14ac:dyDescent="0.25">
      <c r="A201" s="8" t="s">
        <v>240</v>
      </c>
      <c r="B201" s="4" t="s">
        <v>21</v>
      </c>
      <c r="C201" s="5">
        <v>44561</v>
      </c>
      <c r="D201" s="4" t="s">
        <v>1138</v>
      </c>
      <c r="E201" s="4" t="s">
        <v>1035</v>
      </c>
      <c r="F201" s="4" t="s">
        <v>1139</v>
      </c>
      <c r="G201" s="6">
        <v>-55812.20007947657</v>
      </c>
      <c r="H201" s="6">
        <f t="shared" si="3"/>
        <v>-729957.99751364684</v>
      </c>
      <c r="I201" s="4"/>
      <c r="J201" s="4" t="s">
        <v>68</v>
      </c>
      <c r="K201" s="7">
        <v>55812.2</v>
      </c>
      <c r="L201" s="4" t="s">
        <v>1036</v>
      </c>
      <c r="M201" s="4" t="s">
        <v>27</v>
      </c>
      <c r="N201" s="4" t="s">
        <v>118</v>
      </c>
    </row>
    <row r="202" spans="1:16" ht="10.5" hidden="1" x14ac:dyDescent="0.25">
      <c r="A202" s="8" t="s">
        <v>240</v>
      </c>
      <c r="B202" s="4" t="s">
        <v>21</v>
      </c>
      <c r="C202" s="5">
        <v>44561</v>
      </c>
      <c r="D202" s="4" t="s">
        <v>1138</v>
      </c>
      <c r="E202" s="4" t="s">
        <v>1035</v>
      </c>
      <c r="F202" s="4" t="s">
        <v>1035</v>
      </c>
      <c r="G202" s="6">
        <v>-45288.78006449122</v>
      </c>
      <c r="H202" s="6">
        <f t="shared" si="3"/>
        <v>-775246.77757813805</v>
      </c>
      <c r="I202" s="4"/>
      <c r="J202" s="4" t="s">
        <v>68</v>
      </c>
      <c r="K202" s="7">
        <v>45288.78</v>
      </c>
      <c r="L202" s="4" t="s">
        <v>1036</v>
      </c>
      <c r="M202" s="4" t="s">
        <v>27</v>
      </c>
      <c r="N202" s="4" t="s">
        <v>118</v>
      </c>
    </row>
    <row r="203" spans="1:16" ht="10.5" hidden="1" x14ac:dyDescent="0.25">
      <c r="A203" s="8" t="s">
        <v>240</v>
      </c>
      <c r="B203" s="4" t="s">
        <v>21</v>
      </c>
      <c r="C203" s="5">
        <v>44561</v>
      </c>
      <c r="D203" s="4" t="s">
        <v>1034</v>
      </c>
      <c r="E203" s="4" t="s">
        <v>1035</v>
      </c>
      <c r="F203" s="4" t="s">
        <v>2167</v>
      </c>
      <c r="G203" s="6">
        <v>-71024.571976735984</v>
      </c>
      <c r="H203" s="6">
        <f t="shared" si="3"/>
        <v>-846271.349554874</v>
      </c>
      <c r="I203" s="4"/>
      <c r="J203" s="4" t="s">
        <v>68</v>
      </c>
      <c r="K203" s="7">
        <v>89769.62</v>
      </c>
      <c r="L203" s="4" t="s">
        <v>1036</v>
      </c>
      <c r="M203" s="4" t="s">
        <v>212</v>
      </c>
      <c r="N203" s="4" t="s">
        <v>118</v>
      </c>
    </row>
    <row r="204" spans="1:16" ht="10.5" hidden="1" x14ac:dyDescent="0.25">
      <c r="A204" s="8" t="s">
        <v>240</v>
      </c>
      <c r="B204" s="4" t="s">
        <v>241</v>
      </c>
      <c r="C204" s="5">
        <v>44561</v>
      </c>
      <c r="D204" s="4" t="s">
        <v>2168</v>
      </c>
      <c r="E204" s="4"/>
      <c r="F204" s="4"/>
      <c r="G204" s="6">
        <v>-1117.8303404592</v>
      </c>
      <c r="H204" s="6">
        <f t="shared" si="3"/>
        <v>-847389.17989533325</v>
      </c>
      <c r="I204" s="4"/>
      <c r="J204" s="4" t="s">
        <v>68</v>
      </c>
      <c r="K204" s="7">
        <v>0</v>
      </c>
      <c r="L204" s="4" t="s">
        <v>1036</v>
      </c>
      <c r="M204" s="4" t="s">
        <v>201</v>
      </c>
      <c r="N204" s="4"/>
    </row>
    <row r="205" spans="1:16" ht="10.5" hidden="1" x14ac:dyDescent="0.25">
      <c r="A205" s="8" t="s">
        <v>240</v>
      </c>
      <c r="B205" s="4" t="s">
        <v>21</v>
      </c>
      <c r="C205" s="5">
        <v>44561</v>
      </c>
      <c r="D205" s="4" t="s">
        <v>2169</v>
      </c>
      <c r="E205" s="4" t="s">
        <v>2170</v>
      </c>
      <c r="F205" s="4" t="s">
        <v>2170</v>
      </c>
      <c r="G205" s="6">
        <v>85539.003988080003</v>
      </c>
      <c r="H205" s="6">
        <f t="shared" si="3"/>
        <v>-761850.17590725329</v>
      </c>
      <c r="I205" s="4"/>
      <c r="J205" s="4" t="s">
        <v>68</v>
      </c>
      <c r="K205" s="7">
        <v>-75223</v>
      </c>
      <c r="L205" s="4" t="s">
        <v>1036</v>
      </c>
      <c r="M205" s="4" t="s">
        <v>61</v>
      </c>
      <c r="N205" s="4" t="s">
        <v>181</v>
      </c>
    </row>
    <row r="206" spans="1:16" ht="10.5" hidden="1" x14ac:dyDescent="0.25">
      <c r="A206" s="8" t="s">
        <v>240</v>
      </c>
      <c r="B206" s="4" t="s">
        <v>21</v>
      </c>
      <c r="C206" s="5">
        <v>44561</v>
      </c>
      <c r="D206" s="4" t="s">
        <v>1145</v>
      </c>
      <c r="E206" s="4" t="s">
        <v>1146</v>
      </c>
      <c r="F206" s="4" t="s">
        <v>2171</v>
      </c>
      <c r="G206" s="6">
        <v>1122.3561535199999</v>
      </c>
      <c r="H206" s="6">
        <f t="shared" si="3"/>
        <v>-760727.81975373323</v>
      </c>
      <c r="I206" s="4"/>
      <c r="J206" s="4" t="s">
        <v>68</v>
      </c>
      <c r="K206" s="7">
        <v>-987</v>
      </c>
      <c r="L206" s="4" t="s">
        <v>1036</v>
      </c>
      <c r="M206" s="4" t="s">
        <v>61</v>
      </c>
      <c r="N206" s="4" t="s">
        <v>181</v>
      </c>
    </row>
    <row r="207" spans="1:16" ht="10.5" hidden="1" x14ac:dyDescent="0.25">
      <c r="A207" s="8" t="s">
        <v>240</v>
      </c>
      <c r="B207" s="4" t="s">
        <v>21</v>
      </c>
      <c r="C207" s="5">
        <v>44561</v>
      </c>
      <c r="D207" s="4" t="s">
        <v>1148</v>
      </c>
      <c r="E207" s="4" t="s">
        <v>1149</v>
      </c>
      <c r="F207" s="4" t="s">
        <v>1150</v>
      </c>
      <c r="G207" s="6">
        <v>173621.78782967999</v>
      </c>
      <c r="H207" s="6">
        <f t="shared" si="3"/>
        <v>-587106.03192405321</v>
      </c>
      <c r="I207" s="4"/>
      <c r="J207" s="4" t="s">
        <v>68</v>
      </c>
      <c r="K207" s="7">
        <v>-152683</v>
      </c>
      <c r="L207" s="4" t="s">
        <v>1036</v>
      </c>
      <c r="M207" s="4" t="s">
        <v>61</v>
      </c>
      <c r="N207" s="4" t="s">
        <v>181</v>
      </c>
    </row>
    <row r="208" spans="1:16" ht="10.5" hidden="1" x14ac:dyDescent="0.25">
      <c r="A208" s="8" t="s">
        <v>240</v>
      </c>
      <c r="B208" s="4" t="s">
        <v>21</v>
      </c>
      <c r="C208" s="5">
        <v>44561</v>
      </c>
      <c r="D208" s="4" t="s">
        <v>1148</v>
      </c>
      <c r="E208" s="4" t="s">
        <v>1149</v>
      </c>
      <c r="F208" s="4" t="s">
        <v>1150</v>
      </c>
      <c r="G208" s="6">
        <v>335238.93611531518</v>
      </c>
      <c r="H208" s="6">
        <f t="shared" si="3"/>
        <v>-251867.09580873803</v>
      </c>
      <c r="I208" s="4"/>
      <c r="J208" s="4" t="s">
        <v>68</v>
      </c>
      <c r="K208" s="7">
        <v>-294809.12</v>
      </c>
      <c r="L208" s="4" t="s">
        <v>1036</v>
      </c>
      <c r="M208" s="4" t="s">
        <v>61</v>
      </c>
      <c r="N208" s="4" t="s">
        <v>181</v>
      </c>
    </row>
    <row r="209" spans="1:14" ht="10.5" hidden="1" x14ac:dyDescent="0.25">
      <c r="A209" s="8" t="s">
        <v>240</v>
      </c>
      <c r="B209" s="4" t="s">
        <v>1151</v>
      </c>
      <c r="C209" s="5">
        <v>44561</v>
      </c>
      <c r="D209" s="4" t="s">
        <v>1152</v>
      </c>
      <c r="E209" s="4" t="s">
        <v>1153</v>
      </c>
      <c r="F209" s="4"/>
      <c r="G209" s="6">
        <v>594399.59147640003</v>
      </c>
      <c r="H209" s="6">
        <f t="shared" si="3"/>
        <v>342532.49566766201</v>
      </c>
      <c r="I209" s="4"/>
      <c r="J209" s="4" t="s">
        <v>68</v>
      </c>
      <c r="K209" s="7">
        <v>-522715</v>
      </c>
      <c r="L209" s="4" t="s">
        <v>1036</v>
      </c>
      <c r="M209" s="4" t="s">
        <v>61</v>
      </c>
      <c r="N209" s="4"/>
    </row>
    <row r="210" spans="1:14" ht="10.5" hidden="1" x14ac:dyDescent="0.25">
      <c r="A210" s="8" t="s">
        <v>240</v>
      </c>
      <c r="B210" s="4" t="s">
        <v>1151</v>
      </c>
      <c r="C210" s="5">
        <v>44561</v>
      </c>
      <c r="D210" s="4" t="s">
        <v>1154</v>
      </c>
      <c r="E210" s="4"/>
      <c r="F210" s="4"/>
      <c r="G210" s="6">
        <v>-594399.59147640003</v>
      </c>
      <c r="H210" s="6">
        <f t="shared" si="3"/>
        <v>-251867.09580873803</v>
      </c>
      <c r="I210" s="4"/>
      <c r="J210" s="4" t="s">
        <v>68</v>
      </c>
      <c r="K210" s="7">
        <v>522715</v>
      </c>
      <c r="L210" s="4" t="s">
        <v>1036</v>
      </c>
      <c r="M210" s="4" t="s">
        <v>61</v>
      </c>
      <c r="N210" s="4"/>
    </row>
    <row r="211" spans="1:14" ht="10.5" hidden="1" x14ac:dyDescent="0.25">
      <c r="A211" s="8" t="s">
        <v>240</v>
      </c>
      <c r="B211" s="4" t="s">
        <v>21</v>
      </c>
      <c r="C211" s="5">
        <v>44561</v>
      </c>
      <c r="D211" s="4" t="s">
        <v>2172</v>
      </c>
      <c r="E211" s="4" t="s">
        <v>2014</v>
      </c>
      <c r="F211" s="4" t="s">
        <v>2014</v>
      </c>
      <c r="G211" s="6">
        <v>75001.928896204612</v>
      </c>
      <c r="H211" s="6">
        <f t="shared" si="3"/>
        <v>-176865.1669125334</v>
      </c>
      <c r="I211" s="4"/>
      <c r="J211" s="4" t="s">
        <v>68</v>
      </c>
      <c r="K211" s="7">
        <v>-55475.21</v>
      </c>
      <c r="L211" s="4" t="s">
        <v>1036</v>
      </c>
      <c r="M211" s="4" t="s">
        <v>186</v>
      </c>
      <c r="N211" s="4" t="s">
        <v>118</v>
      </c>
    </row>
    <row r="212" spans="1:14" ht="10.5" hidden="1" x14ac:dyDescent="0.25">
      <c r="A212" s="8" t="s">
        <v>240</v>
      </c>
      <c r="B212" s="4" t="s">
        <v>21</v>
      </c>
      <c r="C212" s="5">
        <v>44561</v>
      </c>
      <c r="D212" s="4" t="s">
        <v>2173</v>
      </c>
      <c r="E212" s="4" t="s">
        <v>1113</v>
      </c>
      <c r="F212" s="4" t="s">
        <v>1113</v>
      </c>
      <c r="G212" s="6">
        <v>-157240.16397192</v>
      </c>
      <c r="H212" s="6">
        <f t="shared" si="3"/>
        <v>-334105.33088445337</v>
      </c>
      <c r="I212" s="4"/>
      <c r="J212" s="4" t="s">
        <v>68</v>
      </c>
      <c r="K212" s="7">
        <v>138277</v>
      </c>
      <c r="L212" s="4" t="s">
        <v>1036</v>
      </c>
      <c r="M212" s="4" t="s">
        <v>61</v>
      </c>
      <c r="N212" s="4" t="s">
        <v>118</v>
      </c>
    </row>
    <row r="213" spans="1:14" ht="10.5" hidden="1" x14ac:dyDescent="0.25">
      <c r="A213" s="9" t="s">
        <v>303</v>
      </c>
      <c r="B213" s="10"/>
      <c r="C213" s="11"/>
      <c r="D213" s="10"/>
      <c r="E213" s="10"/>
      <c r="F213" s="10"/>
      <c r="G213" s="12">
        <f>SUM(G49:G212)</f>
        <v>-208712.05552076717</v>
      </c>
      <c r="H213" s="12">
        <f>H212</f>
        <v>-334105.33088445337</v>
      </c>
      <c r="I213" s="10"/>
      <c r="J213" s="10"/>
      <c r="K213" s="13"/>
      <c r="L213" s="10"/>
      <c r="M213" s="10"/>
      <c r="N213" s="10"/>
    </row>
    <row r="214" spans="1:14" ht="10.5" hidden="1" x14ac:dyDescent="0.2">
      <c r="A214" s="10" t="s">
        <v>304</v>
      </c>
      <c r="B214" s="10"/>
      <c r="C214" s="11"/>
      <c r="D214" s="10"/>
      <c r="E214" s="10"/>
      <c r="F214" s="10"/>
      <c r="G214" s="12">
        <f>SUM(G48,G213)</f>
        <v>-208712.05552076717</v>
      </c>
      <c r="H214" s="12">
        <f>H48+H213</f>
        <v>-334105.33088445337</v>
      </c>
      <c r="I214" s="10"/>
      <c r="J214" s="10"/>
      <c r="K214" s="13"/>
      <c r="L214" s="10"/>
      <c r="M214" s="10"/>
      <c r="N214" s="10"/>
    </row>
    <row r="215" spans="1:14" ht="10.5" hidden="1" x14ac:dyDescent="0.2">
      <c r="A215" s="10" t="s">
        <v>218</v>
      </c>
      <c r="B215" s="10"/>
      <c r="C215" s="11"/>
      <c r="D215" s="10"/>
      <c r="E215" s="10"/>
      <c r="F215" s="10"/>
      <c r="G215" s="12">
        <f>SUM(G47,G214)</f>
        <v>-176724.18670821621</v>
      </c>
      <c r="H215" s="12">
        <f>0+H47+H214</f>
        <v>-139786.65450847134</v>
      </c>
      <c r="I215" s="10"/>
      <c r="J215" s="10"/>
      <c r="K215" s="13"/>
      <c r="L215" s="10"/>
      <c r="M215" s="10"/>
      <c r="N215" s="10"/>
    </row>
  </sheetData>
  <autoFilter ref="A7:P215" xr:uid="{B25FBE07-B9CA-4450-8725-2E9F67F1416C}">
    <filterColumn colId="12">
      <filters>
        <filter val="207 :  Ivalua India"/>
      </filters>
    </filterColumn>
  </autoFilter>
  <mergeCells count="6">
    <mergeCell ref="A6:N6"/>
    <mergeCell ref="A1:N1"/>
    <mergeCell ref="A2:N2"/>
    <mergeCell ref="A3:N3"/>
    <mergeCell ref="A4:N4"/>
    <mergeCell ref="A5:N5"/>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2B56E-18D8-4ACF-9355-CC6C9E565F5A}">
  <sheetPr codeName="Sheet24">
    <tabColor rgb="FFFFFF00"/>
  </sheetPr>
  <dimension ref="C4:M38"/>
  <sheetViews>
    <sheetView zoomScale="110" zoomScaleNormal="110" workbookViewId="0">
      <selection activeCell="Q47" sqref="Q47"/>
    </sheetView>
  </sheetViews>
  <sheetFormatPr defaultRowHeight="10" x14ac:dyDescent="0.2"/>
  <cols>
    <col min="7" max="7" width="12.109375" bestFit="1" customWidth="1"/>
    <col min="12" max="12" width="12.6640625" customWidth="1"/>
  </cols>
  <sheetData>
    <row r="4" spans="3:12" x14ac:dyDescent="0.2">
      <c r="L4" s="67"/>
    </row>
    <row r="5" spans="3:12" ht="10.5" x14ac:dyDescent="0.25">
      <c r="C5" s="82" t="s">
        <v>3861</v>
      </c>
      <c r="L5" s="67"/>
    </row>
    <row r="6" spans="3:12" x14ac:dyDescent="0.2">
      <c r="L6" s="67"/>
    </row>
    <row r="7" spans="3:12" x14ac:dyDescent="0.2">
      <c r="C7" t="s">
        <v>3782</v>
      </c>
      <c r="G7" t="s">
        <v>3784</v>
      </c>
      <c r="J7" t="s">
        <v>243</v>
      </c>
      <c r="L7" s="67" t="s">
        <v>961</v>
      </c>
    </row>
    <row r="8" spans="3:12" x14ac:dyDescent="0.2">
      <c r="L8" s="67"/>
    </row>
    <row r="9" spans="3:12" x14ac:dyDescent="0.2">
      <c r="D9" t="s">
        <v>878</v>
      </c>
      <c r="F9" t="s">
        <v>956</v>
      </c>
      <c r="G9" s="26">
        <f>'France RTP'!H11</f>
        <v>-33507.881174999988</v>
      </c>
      <c r="H9" t="s">
        <v>3783</v>
      </c>
      <c r="J9" s="26">
        <f>'Tax Payable Proof'!C45</f>
        <v>1.0047900000000001</v>
      </c>
      <c r="L9" s="67">
        <f>G9/J9</f>
        <v>-33348.14356731256</v>
      </c>
    </row>
    <row r="10" spans="3:12" x14ac:dyDescent="0.2">
      <c r="D10" t="s">
        <v>880</v>
      </c>
      <c r="F10" t="s">
        <v>868</v>
      </c>
      <c r="G10" s="26">
        <f>'Canada RTP'!M31</f>
        <v>34908.6</v>
      </c>
      <c r="H10" t="s">
        <v>3785</v>
      </c>
      <c r="J10" s="26">
        <f>'Tax Payable Proof'!E45</f>
        <v>0.76932999999999996</v>
      </c>
      <c r="L10" s="67">
        <f>G10*J10</f>
        <v>26856.233237999997</v>
      </c>
    </row>
    <row r="11" spans="3:12" x14ac:dyDescent="0.2">
      <c r="D11" t="s">
        <v>946</v>
      </c>
      <c r="F11" t="s">
        <v>956</v>
      </c>
      <c r="G11" s="26">
        <f>'Germany RTP_1'!V68</f>
        <v>16922</v>
      </c>
      <c r="H11" t="s">
        <v>3785</v>
      </c>
      <c r="J11" s="26">
        <f>'Tax Payable Proof'!G45</f>
        <v>1.0204081632653061</v>
      </c>
      <c r="L11" s="67">
        <f t="shared" ref="L11:L14" si="0">G11/J11</f>
        <v>16583.560000000001</v>
      </c>
    </row>
    <row r="12" spans="3:12" x14ac:dyDescent="0.2">
      <c r="D12" t="s">
        <v>870</v>
      </c>
      <c r="F12" t="s">
        <v>3825</v>
      </c>
      <c r="G12" s="26">
        <f>'Sweden RTP'!S9</f>
        <v>-58928.858614412195</v>
      </c>
      <c r="H12" t="s">
        <v>3783</v>
      </c>
      <c r="J12" s="26">
        <f>'Tax Payable Proof'!K45</f>
        <v>11.235955056179776</v>
      </c>
      <c r="L12" s="67">
        <f t="shared" si="0"/>
        <v>-5244.6684166826853</v>
      </c>
    </row>
    <row r="13" spans="3:12" x14ac:dyDescent="0.2">
      <c r="D13" t="s">
        <v>949</v>
      </c>
      <c r="F13" t="s">
        <v>3827</v>
      </c>
      <c r="G13" s="26">
        <f>India!T6</f>
        <v>-990044</v>
      </c>
      <c r="H13" t="s">
        <v>3783</v>
      </c>
      <c r="J13" s="246">
        <f>'Tax Payable Proof'!J45</f>
        <v>83.333333333333329</v>
      </c>
      <c r="L13" s="67">
        <f t="shared" si="0"/>
        <v>-11880.528</v>
      </c>
    </row>
    <row r="14" spans="3:12" x14ac:dyDescent="0.2">
      <c r="D14" t="s">
        <v>3789</v>
      </c>
      <c r="F14" t="s">
        <v>961</v>
      </c>
      <c r="G14" s="26">
        <f>'Global TARF'!R33</f>
        <v>0</v>
      </c>
      <c r="H14" t="s">
        <v>3783</v>
      </c>
      <c r="J14">
        <v>1</v>
      </c>
      <c r="L14" s="67">
        <f t="shared" si="0"/>
        <v>0</v>
      </c>
    </row>
    <row r="15" spans="3:12" x14ac:dyDescent="0.2">
      <c r="L15" s="67"/>
    </row>
    <row r="16" spans="3:12" x14ac:dyDescent="0.2">
      <c r="L16" s="67"/>
    </row>
    <row r="17" spans="3:13" x14ac:dyDescent="0.2">
      <c r="C17" t="s">
        <v>3865</v>
      </c>
      <c r="L17" s="67"/>
    </row>
    <row r="18" spans="3:13" x14ac:dyDescent="0.2">
      <c r="L18" s="67"/>
    </row>
    <row r="19" spans="3:13" x14ac:dyDescent="0.2">
      <c r="G19" s="83"/>
      <c r="J19" s="26"/>
      <c r="L19" s="67"/>
    </row>
    <row r="20" spans="3:13" x14ac:dyDescent="0.2">
      <c r="L20" s="67"/>
    </row>
    <row r="21" spans="3:13" x14ac:dyDescent="0.2">
      <c r="L21" s="67"/>
    </row>
    <row r="22" spans="3:13" x14ac:dyDescent="0.2">
      <c r="L22" s="67"/>
    </row>
    <row r="23" spans="3:13" x14ac:dyDescent="0.2">
      <c r="L23" s="67"/>
    </row>
    <row r="24" spans="3:13" x14ac:dyDescent="0.2">
      <c r="C24" t="s">
        <v>3860</v>
      </c>
      <c r="L24" s="67"/>
    </row>
    <row r="25" spans="3:13" x14ac:dyDescent="0.2">
      <c r="D25" t="s">
        <v>3863</v>
      </c>
      <c r="G25" s="26">
        <f>'Global TARF'!Q63</f>
        <v>0</v>
      </c>
      <c r="L25" s="67">
        <f>G25</f>
        <v>0</v>
      </c>
      <c r="M25" t="s">
        <v>3864</v>
      </c>
    </row>
    <row r="26" spans="3:13" x14ac:dyDescent="0.2">
      <c r="L26" s="67"/>
    </row>
    <row r="27" spans="3:13" x14ac:dyDescent="0.2">
      <c r="L27" s="67"/>
    </row>
    <row r="28" spans="3:13" x14ac:dyDescent="0.2">
      <c r="C28" t="s">
        <v>795</v>
      </c>
      <c r="L28" s="67">
        <f>'Global TARF'!R32</f>
        <v>0</v>
      </c>
    </row>
    <row r="29" spans="3:13" x14ac:dyDescent="0.2">
      <c r="L29" s="67"/>
    </row>
    <row r="30" spans="3:13" x14ac:dyDescent="0.2">
      <c r="L30" s="67"/>
    </row>
    <row r="31" spans="3:13" x14ac:dyDescent="0.2">
      <c r="C31" t="s">
        <v>3862</v>
      </c>
      <c r="L31" s="67">
        <f>'Global TARF'!Q30+'Global TARF'!Q29</f>
        <v>102429.32978684433</v>
      </c>
    </row>
    <row r="32" spans="3:13" x14ac:dyDescent="0.2">
      <c r="L32" s="67"/>
    </row>
    <row r="33" spans="3:12" x14ac:dyDescent="0.2">
      <c r="L33" s="67"/>
    </row>
    <row r="34" spans="3:12" x14ac:dyDescent="0.2">
      <c r="I34" s="14" t="s">
        <v>3828</v>
      </c>
      <c r="J34" s="14"/>
      <c r="K34" s="14"/>
      <c r="L34" s="245">
        <f>SUM(L9:L29)</f>
        <v>-7033.546745995247</v>
      </c>
    </row>
    <row r="35" spans="3:12" x14ac:dyDescent="0.2">
      <c r="L35" s="67"/>
    </row>
    <row r="37" spans="3:12" x14ac:dyDescent="0.2">
      <c r="C37" t="s">
        <v>3787</v>
      </c>
    </row>
    <row r="38" spans="3:12" x14ac:dyDescent="0.2">
      <c r="C38" t="s">
        <v>3788</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EF6CD-302A-4A64-A6C8-7049BF125C6B}">
  <sheetPr codeName="Sheet25"/>
  <dimension ref="A3:AB41"/>
  <sheetViews>
    <sheetView workbookViewId="0">
      <selection activeCell="Q47" sqref="Q47"/>
    </sheetView>
  </sheetViews>
  <sheetFormatPr defaultRowHeight="10" x14ac:dyDescent="0.2"/>
  <cols>
    <col min="1" max="1" width="15.88671875" customWidth="1"/>
    <col min="3" max="4" width="18" customWidth="1"/>
    <col min="5" max="5" width="18.109375" customWidth="1"/>
    <col min="6" max="6" width="17.88671875" customWidth="1"/>
    <col min="7" max="8" width="19.33203125" customWidth="1"/>
    <col min="9" max="9" width="17.33203125" hidden="1" customWidth="1"/>
    <col min="10" max="12" width="19.33203125" hidden="1" customWidth="1"/>
    <col min="13" max="20" width="19.33203125" customWidth="1"/>
    <col min="21" max="21" width="9" customWidth="1"/>
  </cols>
  <sheetData>
    <row r="3" spans="1:22" ht="30" x14ac:dyDescent="0.2">
      <c r="A3" t="s">
        <v>827</v>
      </c>
      <c r="C3" s="142" t="s">
        <v>3666</v>
      </c>
      <c r="D3" s="142" t="s">
        <v>3831</v>
      </c>
      <c r="E3" s="142" t="s">
        <v>3667</v>
      </c>
      <c r="F3" s="142" t="s">
        <v>3668</v>
      </c>
      <c r="G3" s="138" t="s">
        <v>3669</v>
      </c>
      <c r="H3" s="142" t="s">
        <v>3670</v>
      </c>
      <c r="I3" s="134" t="s">
        <v>3671</v>
      </c>
      <c r="J3" s="138" t="s">
        <v>3676</v>
      </c>
      <c r="K3" s="89" t="s">
        <v>877</v>
      </c>
      <c r="L3" s="17"/>
      <c r="M3" s="142" t="s">
        <v>3672</v>
      </c>
      <c r="N3" s="131" t="s">
        <v>3675</v>
      </c>
      <c r="O3" s="131" t="s">
        <v>3673</v>
      </c>
      <c r="P3" s="131" t="s">
        <v>3680</v>
      </c>
      <c r="Q3" s="131" t="s">
        <v>3759</v>
      </c>
      <c r="R3" s="131" t="s">
        <v>3758</v>
      </c>
      <c r="S3" s="131" t="s">
        <v>3681</v>
      </c>
      <c r="T3" s="131"/>
      <c r="U3" s="131"/>
    </row>
    <row r="4" spans="1:22" x14ac:dyDescent="0.2">
      <c r="C4" s="130"/>
      <c r="D4" s="130"/>
      <c r="E4" s="130"/>
      <c r="F4" s="130"/>
      <c r="G4" s="141"/>
      <c r="H4" s="130"/>
      <c r="I4" s="141"/>
      <c r="J4" s="141"/>
      <c r="K4" s="84"/>
      <c r="M4" s="130"/>
      <c r="N4" s="137"/>
      <c r="O4" s="137"/>
      <c r="P4" s="137"/>
      <c r="Q4" s="137"/>
      <c r="R4" s="137"/>
      <c r="S4" s="137"/>
      <c r="T4" s="137"/>
      <c r="U4" s="137"/>
    </row>
    <row r="5" spans="1:22" hidden="1" x14ac:dyDescent="0.2">
      <c r="C5" s="130"/>
      <c r="D5" s="130"/>
      <c r="E5" s="130"/>
      <c r="F5" s="130"/>
      <c r="G5" s="141"/>
      <c r="H5" s="130"/>
      <c r="I5" s="141"/>
      <c r="J5" s="141"/>
      <c r="K5" s="84"/>
      <c r="M5" s="130"/>
      <c r="N5" s="137"/>
      <c r="O5" s="137"/>
      <c r="P5" s="137"/>
      <c r="Q5" s="137"/>
      <c r="R5" s="137"/>
      <c r="S5" s="137"/>
      <c r="T5" s="137"/>
      <c r="U5" s="137"/>
    </row>
    <row r="6" spans="1:22" s="139" customFormat="1" hidden="1" x14ac:dyDescent="0.2">
      <c r="A6" s="139" t="s">
        <v>3679</v>
      </c>
      <c r="C6" s="136"/>
      <c r="D6" s="136"/>
      <c r="E6" s="132"/>
      <c r="F6" s="136"/>
      <c r="G6" s="129"/>
      <c r="H6" s="132"/>
      <c r="I6" s="129"/>
      <c r="J6" s="129"/>
      <c r="K6" s="143"/>
      <c r="M6" s="136"/>
      <c r="N6" s="135"/>
      <c r="O6" s="135"/>
      <c r="P6" s="135"/>
      <c r="Q6" s="135"/>
      <c r="R6" s="135"/>
      <c r="S6" s="135"/>
      <c r="T6" s="135"/>
      <c r="U6" s="135"/>
    </row>
    <row r="7" spans="1:22" hidden="1" x14ac:dyDescent="0.2">
      <c r="C7" s="130"/>
      <c r="D7" s="130"/>
      <c r="E7" s="133"/>
      <c r="F7" s="130"/>
      <c r="G7" s="141"/>
      <c r="H7" s="133"/>
      <c r="I7" s="141"/>
      <c r="J7" s="141"/>
      <c r="K7" s="84"/>
      <c r="M7" s="130"/>
      <c r="N7" s="137"/>
      <c r="O7" s="137"/>
      <c r="P7" s="137"/>
      <c r="Q7" s="137"/>
      <c r="R7" s="137"/>
      <c r="S7" s="137"/>
      <c r="T7" s="137"/>
      <c r="U7" s="137"/>
    </row>
    <row r="8" spans="1:22" hidden="1" x14ac:dyDescent="0.2">
      <c r="A8" t="s">
        <v>878</v>
      </c>
      <c r="H8" s="83">
        <f>-S8</f>
        <v>0</v>
      </c>
      <c r="O8" s="83"/>
      <c r="P8" s="83"/>
      <c r="Q8" s="83"/>
      <c r="R8" s="83"/>
      <c r="S8" s="83"/>
      <c r="T8" s="83"/>
      <c r="U8" s="83"/>
      <c r="V8" t="s">
        <v>3786</v>
      </c>
    </row>
    <row r="9" spans="1:22" hidden="1" x14ac:dyDescent="0.2">
      <c r="A9" t="s">
        <v>878</v>
      </c>
      <c r="D9" s="83">
        <f>-E9</f>
        <v>333404.21435256</v>
      </c>
      <c r="E9" s="83">
        <f>-'Tax Payable Proof'!C51</f>
        <v>-333404.21435256</v>
      </c>
      <c r="H9" s="83"/>
      <c r="O9" s="83"/>
      <c r="P9" s="83"/>
      <c r="Q9" s="83"/>
      <c r="R9" s="83"/>
      <c r="S9" s="83"/>
      <c r="T9" s="83"/>
      <c r="U9" s="83"/>
      <c r="V9" t="s">
        <v>3761</v>
      </c>
    </row>
    <row r="10" spans="1:22" hidden="1" x14ac:dyDescent="0.2"/>
    <row r="11" spans="1:22" s="139" customFormat="1" hidden="1" x14ac:dyDescent="0.2">
      <c r="A11" s="139" t="s">
        <v>3678</v>
      </c>
      <c r="D11" s="140">
        <f t="shared" ref="D11:O11" si="0">SUM(D6:D10)</f>
        <v>333404.21435256</v>
      </c>
      <c r="E11" s="140">
        <f t="shared" si="0"/>
        <v>-333404.21435256</v>
      </c>
      <c r="F11" s="140">
        <f t="shared" si="0"/>
        <v>0</v>
      </c>
      <c r="G11" s="140">
        <f t="shared" si="0"/>
        <v>0</v>
      </c>
      <c r="H11" s="140">
        <f t="shared" si="0"/>
        <v>0</v>
      </c>
      <c r="I11" s="140">
        <f t="shared" si="0"/>
        <v>0</v>
      </c>
      <c r="J11" s="140">
        <f t="shared" si="0"/>
        <v>0</v>
      </c>
      <c r="K11" s="140">
        <f t="shared" si="0"/>
        <v>0</v>
      </c>
      <c r="L11" s="140">
        <f t="shared" si="0"/>
        <v>0</v>
      </c>
      <c r="M11" s="140">
        <f t="shared" si="0"/>
        <v>0</v>
      </c>
      <c r="N11" s="140">
        <f t="shared" si="0"/>
        <v>0</v>
      </c>
      <c r="O11" s="140">
        <f t="shared" si="0"/>
        <v>0</v>
      </c>
      <c r="P11" s="140"/>
      <c r="Q11" s="140"/>
      <c r="R11" s="140"/>
      <c r="S11" s="140"/>
      <c r="T11" s="140"/>
      <c r="U11" s="140"/>
    </row>
    <row r="12" spans="1:22" hidden="1" x14ac:dyDescent="0.2">
      <c r="C12" s="130"/>
      <c r="D12" s="130"/>
      <c r="E12" s="130"/>
      <c r="F12" s="130"/>
      <c r="G12" s="141"/>
      <c r="H12" s="130"/>
      <c r="I12" s="141"/>
      <c r="J12" s="141"/>
      <c r="K12" s="84"/>
      <c r="M12" s="130"/>
      <c r="N12" s="137"/>
      <c r="O12" s="137"/>
      <c r="P12" s="137"/>
      <c r="Q12" s="137"/>
      <c r="R12" s="137"/>
      <c r="S12" s="137"/>
      <c r="T12" s="137"/>
      <c r="U12" s="137"/>
    </row>
    <row r="13" spans="1:22" hidden="1" x14ac:dyDescent="0.2">
      <c r="C13" s="130"/>
      <c r="D13" s="130"/>
      <c r="E13" s="130"/>
      <c r="F13" s="130"/>
      <c r="G13" s="141"/>
      <c r="H13" s="130"/>
      <c r="I13" s="141"/>
      <c r="J13" s="141"/>
      <c r="K13" s="84"/>
      <c r="M13" s="130"/>
      <c r="N13" s="137"/>
      <c r="O13" s="137"/>
      <c r="P13" s="137"/>
      <c r="Q13" s="137"/>
      <c r="R13" s="137"/>
      <c r="S13" s="137"/>
      <c r="T13" s="137"/>
      <c r="U13" s="137"/>
    </row>
    <row r="14" spans="1:22" s="139" customFormat="1" hidden="1" x14ac:dyDescent="0.2">
      <c r="A14" s="139" t="s">
        <v>3679</v>
      </c>
      <c r="C14" s="136"/>
      <c r="D14" s="136"/>
      <c r="E14" s="132"/>
      <c r="F14" s="136"/>
      <c r="G14" s="129"/>
      <c r="H14" s="132"/>
      <c r="I14" s="129"/>
      <c r="J14" s="129"/>
      <c r="K14" s="143"/>
      <c r="M14" s="136"/>
      <c r="N14" s="135"/>
      <c r="O14" s="135"/>
      <c r="P14" s="135"/>
      <c r="Q14" s="135"/>
      <c r="R14" s="135"/>
      <c r="S14" s="135"/>
      <c r="T14" s="135"/>
      <c r="U14" s="135"/>
    </row>
    <row r="15" spans="1:22" hidden="1" x14ac:dyDescent="0.2">
      <c r="C15" s="130"/>
      <c r="D15" s="130"/>
      <c r="E15" s="133"/>
      <c r="F15" s="130"/>
      <c r="G15" s="141"/>
      <c r="H15" s="133"/>
      <c r="I15" s="141"/>
      <c r="J15" s="141"/>
      <c r="K15" s="84"/>
      <c r="M15" s="130"/>
      <c r="N15" s="137"/>
      <c r="O15" s="137"/>
      <c r="P15" s="137"/>
      <c r="Q15" s="137"/>
      <c r="R15" s="137"/>
      <c r="S15" s="137"/>
      <c r="T15" s="137"/>
      <c r="U15" s="137"/>
    </row>
    <row r="16" spans="1:22" hidden="1" x14ac:dyDescent="0.2">
      <c r="A16" t="s">
        <v>879</v>
      </c>
      <c r="E16" s="83">
        <f>'Tax Payable Proof'!D51</f>
        <v>0</v>
      </c>
      <c r="H16" s="83"/>
      <c r="O16" s="83">
        <f>-E16</f>
        <v>0</v>
      </c>
      <c r="V16" t="s">
        <v>3677</v>
      </c>
    </row>
    <row r="17" spans="1:22" hidden="1" x14ac:dyDescent="0.2">
      <c r="A17" t="s">
        <v>879</v>
      </c>
      <c r="E17" s="83"/>
      <c r="H17" s="83">
        <f>'Tax Payable Proof'!E49</f>
        <v>0</v>
      </c>
      <c r="O17" s="83">
        <f>-E17</f>
        <v>0</v>
      </c>
      <c r="P17" s="83"/>
      <c r="Q17" s="83"/>
      <c r="R17" s="83"/>
      <c r="S17" s="83"/>
      <c r="T17" s="83"/>
      <c r="U17" s="83"/>
    </row>
    <row r="18" spans="1:22" hidden="1" x14ac:dyDescent="0.2">
      <c r="A18" t="s">
        <v>879</v>
      </c>
      <c r="H18" s="83">
        <f>-'Tax Payable Proof'!E50</f>
        <v>0</v>
      </c>
      <c r="O18" s="83">
        <f>-H18</f>
        <v>0</v>
      </c>
      <c r="P18" s="83"/>
      <c r="Q18" s="83"/>
      <c r="R18" s="83"/>
      <c r="S18" s="83"/>
      <c r="T18" s="83"/>
      <c r="U18" s="83"/>
    </row>
    <row r="19" spans="1:22" hidden="1" x14ac:dyDescent="0.2"/>
    <row r="20" spans="1:22" s="139" customFormat="1" hidden="1" x14ac:dyDescent="0.2">
      <c r="A20" s="139" t="s">
        <v>3678</v>
      </c>
      <c r="E20" s="140">
        <f>SUM(E14:E19)</f>
        <v>0</v>
      </c>
      <c r="F20" s="140">
        <f t="shared" ref="F20" si="1">SUM(F14:F19)</f>
        <v>0</v>
      </c>
      <c r="G20" s="140">
        <f t="shared" ref="G20" si="2">SUM(G14:G19)</f>
        <v>0</v>
      </c>
      <c r="H20" s="140">
        <f t="shared" ref="H20" si="3">SUM(H14:H19)</f>
        <v>0</v>
      </c>
      <c r="I20" s="140">
        <f t="shared" ref="I20" si="4">SUM(I14:I19)</f>
        <v>0</v>
      </c>
      <c r="J20" s="140">
        <f t="shared" ref="J20" si="5">SUM(J14:J19)</f>
        <v>0</v>
      </c>
      <c r="K20" s="140">
        <f t="shared" ref="K20" si="6">SUM(K14:K19)</f>
        <v>0</v>
      </c>
      <c r="L20" s="140">
        <f t="shared" ref="L20" si="7">SUM(L14:L19)</f>
        <v>0</v>
      </c>
      <c r="M20" s="140">
        <f t="shared" ref="M20" si="8">SUM(M14:M19)</f>
        <v>0</v>
      </c>
      <c r="N20" s="140">
        <f t="shared" ref="N20" si="9">SUM(N14:N19)</f>
        <v>0</v>
      </c>
      <c r="O20" s="140">
        <f t="shared" ref="O20" si="10">SUM(O14:O19)</f>
        <v>0</v>
      </c>
      <c r="P20" s="140"/>
      <c r="Q20" s="140"/>
      <c r="R20" s="140"/>
      <c r="S20" s="140"/>
      <c r="T20" s="140"/>
      <c r="U20" s="140"/>
    </row>
    <row r="21" spans="1:22" hidden="1" x14ac:dyDescent="0.2">
      <c r="C21" s="130"/>
      <c r="D21" s="130"/>
      <c r="E21" s="130"/>
      <c r="F21" s="130"/>
      <c r="G21" s="141"/>
      <c r="H21" s="130"/>
      <c r="I21" s="141"/>
      <c r="J21" s="141"/>
      <c r="K21" s="84"/>
      <c r="M21" s="130"/>
      <c r="N21" s="137"/>
      <c r="O21" s="137"/>
      <c r="P21" s="137"/>
      <c r="Q21" s="137"/>
      <c r="R21" s="137"/>
      <c r="S21" s="137"/>
      <c r="T21" s="137"/>
      <c r="U21" s="137"/>
    </row>
    <row r="22" spans="1:22" hidden="1" x14ac:dyDescent="0.2">
      <c r="C22" s="130"/>
      <c r="D22" s="130"/>
      <c r="E22" s="130"/>
      <c r="F22" s="130"/>
      <c r="G22" s="141"/>
      <c r="H22" s="130"/>
      <c r="I22" s="141"/>
      <c r="J22" s="141"/>
      <c r="K22" s="84"/>
      <c r="M22" s="130"/>
      <c r="N22" s="137"/>
      <c r="O22" s="137"/>
      <c r="P22" s="137"/>
      <c r="Q22" s="137"/>
      <c r="R22" s="137"/>
      <c r="S22" s="137"/>
      <c r="T22" s="137"/>
      <c r="U22" s="137"/>
    </row>
    <row r="23" spans="1:22" hidden="1" x14ac:dyDescent="0.2">
      <c r="C23" s="130"/>
      <c r="D23" s="130"/>
      <c r="E23" s="130"/>
      <c r="F23" s="130"/>
      <c r="G23" s="141"/>
      <c r="H23" s="130"/>
      <c r="I23" s="141"/>
      <c r="J23" s="141"/>
      <c r="K23" s="84"/>
      <c r="M23" s="130"/>
      <c r="N23" s="137"/>
      <c r="O23" s="137"/>
      <c r="P23" s="137"/>
      <c r="Q23" s="137"/>
      <c r="R23" s="137"/>
      <c r="S23" s="137"/>
      <c r="T23" s="137"/>
      <c r="U23" s="137"/>
    </row>
    <row r="24" spans="1:22" hidden="1" x14ac:dyDescent="0.2">
      <c r="C24" s="130"/>
      <c r="D24" s="130"/>
      <c r="E24" s="130"/>
      <c r="F24" s="130"/>
      <c r="G24" s="141"/>
      <c r="H24" s="130"/>
      <c r="I24" s="141"/>
      <c r="J24" s="141"/>
      <c r="K24" s="84"/>
      <c r="M24" s="130"/>
      <c r="N24" s="137"/>
      <c r="O24" s="137"/>
      <c r="P24" s="137"/>
      <c r="Q24" s="137"/>
      <c r="R24" s="137"/>
      <c r="S24" s="137"/>
      <c r="T24" s="137"/>
      <c r="U24" s="137"/>
    </row>
    <row r="25" spans="1:22" s="139" customFormat="1" hidden="1" x14ac:dyDescent="0.2">
      <c r="A25" s="139" t="s">
        <v>3679</v>
      </c>
      <c r="C25" s="136"/>
      <c r="D25" s="136"/>
      <c r="E25" s="132">
        <f>'Tax Payable Proof'!E51</f>
        <v>0</v>
      </c>
      <c r="F25" s="136"/>
      <c r="G25" s="129"/>
      <c r="H25" s="132" t="e">
        <f>'Tax Payable Proof'!E52</f>
        <v>#REF!</v>
      </c>
      <c r="I25" s="129"/>
      <c r="J25" s="129"/>
      <c r="K25" s="143"/>
      <c r="M25" s="136"/>
      <c r="N25" s="135"/>
      <c r="O25" s="135"/>
      <c r="P25" s="135"/>
      <c r="Q25" s="135"/>
      <c r="R25" s="135"/>
      <c r="S25" s="135"/>
      <c r="T25" s="135"/>
      <c r="U25" s="135"/>
    </row>
    <row r="26" spans="1:22" hidden="1" x14ac:dyDescent="0.2">
      <c r="C26" s="130"/>
      <c r="D26" s="130"/>
      <c r="E26" s="133"/>
      <c r="F26" s="130"/>
      <c r="G26" s="141"/>
      <c r="H26" s="133"/>
      <c r="I26" s="141"/>
      <c r="J26" s="141"/>
      <c r="K26" s="84"/>
      <c r="M26" s="130"/>
      <c r="N26" s="137"/>
      <c r="O26" s="137"/>
      <c r="P26" s="137"/>
      <c r="Q26" s="137"/>
      <c r="R26" s="137"/>
      <c r="S26" s="137"/>
      <c r="T26" s="137"/>
      <c r="U26" s="137"/>
    </row>
    <row r="27" spans="1:22" hidden="1" x14ac:dyDescent="0.2">
      <c r="A27" t="s">
        <v>880</v>
      </c>
      <c r="E27" s="83">
        <f>-E25</f>
        <v>0</v>
      </c>
      <c r="H27" s="83">
        <f>-E27</f>
        <v>0</v>
      </c>
      <c r="V27" t="s">
        <v>808</v>
      </c>
    </row>
    <row r="28" spans="1:22" hidden="1" x14ac:dyDescent="0.2">
      <c r="A28" t="s">
        <v>880</v>
      </c>
      <c r="E28" s="83"/>
      <c r="H28" s="83">
        <f>'Tax Payable Proof'!E56</f>
        <v>0</v>
      </c>
      <c r="O28" s="83">
        <f>-E28</f>
        <v>0</v>
      </c>
      <c r="P28" s="83"/>
      <c r="Q28" s="83"/>
      <c r="R28" s="83"/>
      <c r="S28" s="83"/>
      <c r="T28" s="83"/>
      <c r="U28" s="83"/>
      <c r="V28" t="s">
        <v>3674</v>
      </c>
    </row>
    <row r="29" spans="1:22" hidden="1" x14ac:dyDescent="0.2">
      <c r="A29" t="s">
        <v>880</v>
      </c>
      <c r="H29" s="83" t="e">
        <f>-'Tax Payable Proof'!E57</f>
        <v>#REF!</v>
      </c>
      <c r="O29" s="83" t="e">
        <f>-H29</f>
        <v>#REF!</v>
      </c>
      <c r="P29" s="83"/>
      <c r="Q29" s="83"/>
      <c r="R29" s="83"/>
      <c r="S29" s="83"/>
      <c r="T29" s="83"/>
      <c r="U29" s="83"/>
      <c r="V29" t="s">
        <v>3677</v>
      </c>
    </row>
    <row r="30" spans="1:22" hidden="1" x14ac:dyDescent="0.2"/>
    <row r="31" spans="1:22" s="139" customFormat="1" hidden="1" x14ac:dyDescent="0.2">
      <c r="A31" s="139" t="s">
        <v>3678</v>
      </c>
      <c r="E31" s="140">
        <f>SUM(E25:E30)</f>
        <v>0</v>
      </c>
      <c r="F31" s="140">
        <f t="shared" ref="F31:O31" si="11">SUM(F25:F30)</f>
        <v>0</v>
      </c>
      <c r="G31" s="140">
        <f t="shared" si="11"/>
        <v>0</v>
      </c>
      <c r="H31" s="140" t="e">
        <f t="shared" si="11"/>
        <v>#REF!</v>
      </c>
      <c r="I31" s="140">
        <f t="shared" si="11"/>
        <v>0</v>
      </c>
      <c r="J31" s="140">
        <f t="shared" si="11"/>
        <v>0</v>
      </c>
      <c r="K31" s="140">
        <f t="shared" si="11"/>
        <v>0</v>
      </c>
      <c r="L31" s="140">
        <f t="shared" si="11"/>
        <v>0</v>
      </c>
      <c r="M31" s="140">
        <f t="shared" si="11"/>
        <v>0</v>
      </c>
      <c r="N31" s="140">
        <f t="shared" si="11"/>
        <v>0</v>
      </c>
      <c r="O31" s="140" t="e">
        <f t="shared" si="11"/>
        <v>#REF!</v>
      </c>
      <c r="P31" s="140"/>
      <c r="Q31" s="140"/>
      <c r="R31" s="140"/>
      <c r="S31" s="140"/>
      <c r="T31" s="140"/>
      <c r="U31" s="140"/>
    </row>
    <row r="32" spans="1:22" hidden="1" x14ac:dyDescent="0.2"/>
    <row r="33" spans="1:28" hidden="1" x14ac:dyDescent="0.2"/>
    <row r="35" spans="1:28" s="139" customFormat="1" x14ac:dyDescent="0.2">
      <c r="A35" s="139" t="s">
        <v>3679</v>
      </c>
      <c r="C35" s="136"/>
      <c r="D35" s="136"/>
      <c r="E35" s="132"/>
      <c r="F35" s="136"/>
      <c r="G35" s="129"/>
      <c r="H35" s="132"/>
      <c r="I35" s="129"/>
      <c r="J35" s="129"/>
      <c r="K35" s="143"/>
      <c r="M35" s="136"/>
      <c r="N35" s="135"/>
      <c r="O35" s="135"/>
      <c r="P35" s="135"/>
      <c r="Q35" s="135"/>
      <c r="R35" s="135"/>
      <c r="S35" s="135"/>
      <c r="T35" s="135"/>
      <c r="U35" s="135"/>
    </row>
    <row r="36" spans="1:28" x14ac:dyDescent="0.2">
      <c r="C36" s="130"/>
      <c r="D36" s="130"/>
      <c r="E36" s="133"/>
      <c r="F36" s="130"/>
      <c r="G36" s="141"/>
      <c r="H36" s="133"/>
      <c r="I36" s="141"/>
      <c r="J36" s="141"/>
      <c r="K36" s="84"/>
      <c r="M36" s="130"/>
      <c r="N36" s="137"/>
      <c r="O36" s="137"/>
      <c r="P36" s="137"/>
      <c r="Q36" s="137"/>
      <c r="R36" s="137"/>
      <c r="S36" s="137"/>
      <c r="T36" s="137"/>
      <c r="U36" s="137"/>
    </row>
    <row r="37" spans="1:28" x14ac:dyDescent="0.2">
      <c r="A37" t="s">
        <v>946</v>
      </c>
      <c r="E37" s="83"/>
      <c r="H37" s="83" t="e">
        <f>-R37</f>
        <v>#REF!</v>
      </c>
      <c r="R37" s="83" t="e">
        <f>-'Tax Payable Proof'!G56</f>
        <v>#REF!</v>
      </c>
      <c r="V37" t="s">
        <v>3760</v>
      </c>
    </row>
    <row r="38" spans="1:28" x14ac:dyDescent="0.2">
      <c r="A38" t="s">
        <v>946</v>
      </c>
      <c r="E38" s="83"/>
      <c r="H38" s="83">
        <f>-R38</f>
        <v>46471.8</v>
      </c>
      <c r="O38" s="83">
        <f>-E38</f>
        <v>0</v>
      </c>
      <c r="P38" s="83"/>
      <c r="Q38" s="83"/>
      <c r="R38" s="83">
        <f>-'Germany RTP_1'!L94</f>
        <v>-46471.8</v>
      </c>
      <c r="S38" s="83"/>
      <c r="T38" s="83"/>
      <c r="U38" s="83"/>
      <c r="V38" t="s">
        <v>3840</v>
      </c>
    </row>
    <row r="39" spans="1:28" x14ac:dyDescent="0.2">
      <c r="A39" t="s">
        <v>946</v>
      </c>
      <c r="H39" s="83">
        <f>-R39</f>
        <v>-71246.61</v>
      </c>
      <c r="O39" s="83"/>
      <c r="P39" s="83"/>
      <c r="Q39" s="83"/>
      <c r="R39" s="83">
        <f>SUMIFS('18-22'!$K:$K,'18-22'!$A:$A,'18-22'!$A$2220,'18-22'!$M:$M,'18-22'!$M$2220)</f>
        <v>71246.61</v>
      </c>
      <c r="S39" s="83"/>
      <c r="T39" s="83"/>
      <c r="U39" s="83"/>
      <c r="V39" t="s">
        <v>3760</v>
      </c>
      <c r="AB39" t="s">
        <v>3841</v>
      </c>
    </row>
    <row r="41" spans="1:28" s="139" customFormat="1" x14ac:dyDescent="0.2">
      <c r="A41" s="139" t="s">
        <v>3678</v>
      </c>
      <c r="E41" s="140">
        <f>SUM(E35:E40)</f>
        <v>0</v>
      </c>
      <c r="F41" s="140">
        <f t="shared" ref="F41:O41" si="12">SUM(F35:F40)</f>
        <v>0</v>
      </c>
      <c r="G41" s="140">
        <f t="shared" si="12"/>
        <v>0</v>
      </c>
      <c r="H41" s="140" t="e">
        <f t="shared" si="12"/>
        <v>#REF!</v>
      </c>
      <c r="I41" s="140">
        <f t="shared" si="12"/>
        <v>0</v>
      </c>
      <c r="J41" s="140">
        <f t="shared" si="12"/>
        <v>0</v>
      </c>
      <c r="K41" s="140">
        <f t="shared" si="12"/>
        <v>0</v>
      </c>
      <c r="L41" s="140">
        <f t="shared" si="12"/>
        <v>0</v>
      </c>
      <c r="M41" s="140">
        <f t="shared" si="12"/>
        <v>0</v>
      </c>
      <c r="N41" s="140">
        <f t="shared" si="12"/>
        <v>0</v>
      </c>
      <c r="O41" s="140">
        <f t="shared" si="12"/>
        <v>0</v>
      </c>
      <c r="P41" s="140"/>
      <c r="Q41" s="140"/>
      <c r="R41" s="140"/>
      <c r="S41" s="140"/>
      <c r="T41" s="140"/>
      <c r="U41" s="140"/>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5F2C2-09F6-4080-A9E3-AAED75216918}">
  <sheetPr codeName="Sheet26"/>
  <dimension ref="B2:M32"/>
  <sheetViews>
    <sheetView workbookViewId="0">
      <selection activeCell="Q47" sqref="Q47"/>
    </sheetView>
  </sheetViews>
  <sheetFormatPr defaultRowHeight="10" x14ac:dyDescent="0.2"/>
  <cols>
    <col min="2" max="2" width="26.88671875" customWidth="1"/>
    <col min="5" max="5" width="12.109375" bestFit="1" customWidth="1"/>
    <col min="6" max="6" width="9.44140625" bestFit="1" customWidth="1"/>
    <col min="7" max="7" width="12.109375" bestFit="1" customWidth="1"/>
    <col min="13" max="13" width="10.44140625" bestFit="1" customWidth="1"/>
  </cols>
  <sheetData>
    <row r="2" spans="2:13" x14ac:dyDescent="0.2">
      <c r="E2" t="s">
        <v>3790</v>
      </c>
      <c r="G2" t="s">
        <v>3791</v>
      </c>
    </row>
    <row r="3" spans="2:13" x14ac:dyDescent="0.2">
      <c r="E3" t="s">
        <v>3792</v>
      </c>
      <c r="G3" t="s">
        <v>3793</v>
      </c>
      <c r="J3" t="s">
        <v>3763</v>
      </c>
      <c r="M3" t="s">
        <v>3657</v>
      </c>
    </row>
    <row r="5" spans="2:13" x14ac:dyDescent="0.2">
      <c r="E5" s="24"/>
      <c r="F5" s="24"/>
      <c r="G5" s="24"/>
    </row>
    <row r="6" spans="2:13" x14ac:dyDescent="0.2">
      <c r="B6" t="s">
        <v>527</v>
      </c>
      <c r="E6" s="24">
        <v>410149</v>
      </c>
      <c r="F6" s="24"/>
      <c r="G6" s="24">
        <v>410149</v>
      </c>
    </row>
    <row r="7" spans="2:13" x14ac:dyDescent="0.2">
      <c r="E7" s="24"/>
      <c r="F7" s="24"/>
      <c r="G7" s="24"/>
    </row>
    <row r="8" spans="2:13" x14ac:dyDescent="0.2">
      <c r="B8" t="s">
        <v>3794</v>
      </c>
      <c r="E8" s="24">
        <v>67787</v>
      </c>
      <c r="F8" s="24"/>
      <c r="G8" s="24">
        <v>67787</v>
      </c>
    </row>
    <row r="9" spans="2:13" x14ac:dyDescent="0.2">
      <c r="E9" s="24"/>
      <c r="F9" s="24"/>
      <c r="G9" s="24"/>
    </row>
    <row r="10" spans="2:13" x14ac:dyDescent="0.2">
      <c r="B10" t="s">
        <v>795</v>
      </c>
      <c r="E10" s="24">
        <v>174</v>
      </c>
      <c r="F10" s="24"/>
      <c r="G10" s="24">
        <v>174</v>
      </c>
    </row>
    <row r="11" spans="2:13" x14ac:dyDescent="0.2">
      <c r="B11" t="s">
        <v>3795</v>
      </c>
      <c r="E11" s="24">
        <v>463</v>
      </c>
      <c r="F11" s="24"/>
      <c r="G11" s="24">
        <v>463</v>
      </c>
    </row>
    <row r="12" spans="2:13" x14ac:dyDescent="0.2">
      <c r="E12" s="24"/>
      <c r="F12" s="24"/>
      <c r="G12" s="24"/>
    </row>
    <row r="13" spans="2:13" x14ac:dyDescent="0.2">
      <c r="B13" t="s">
        <v>3796</v>
      </c>
      <c r="E13" s="24">
        <v>75462</v>
      </c>
      <c r="F13" s="24"/>
      <c r="G13" s="24">
        <v>75462</v>
      </c>
    </row>
    <row r="14" spans="2:13" x14ac:dyDescent="0.2">
      <c r="E14" s="24"/>
      <c r="F14" s="24"/>
      <c r="G14" s="24"/>
    </row>
    <row r="15" spans="2:13" x14ac:dyDescent="0.2">
      <c r="B15" t="s">
        <v>3797</v>
      </c>
      <c r="E15" s="24">
        <v>-116591</v>
      </c>
      <c r="F15" s="24"/>
      <c r="G15" s="24">
        <v>-129726</v>
      </c>
    </row>
    <row r="16" spans="2:13" x14ac:dyDescent="0.2">
      <c r="E16" s="24"/>
      <c r="F16" s="24"/>
      <c r="G16" s="24"/>
    </row>
    <row r="17" spans="2:13" x14ac:dyDescent="0.2">
      <c r="B17" t="s">
        <v>3798</v>
      </c>
      <c r="E17" s="24"/>
      <c r="F17" s="24"/>
      <c r="G17" s="24">
        <v>-3600</v>
      </c>
    </row>
    <row r="18" spans="2:13" x14ac:dyDescent="0.2">
      <c r="E18" s="24"/>
      <c r="F18" s="24"/>
      <c r="G18" s="24"/>
    </row>
    <row r="19" spans="2:13" x14ac:dyDescent="0.2">
      <c r="B19" t="s">
        <v>3799</v>
      </c>
      <c r="E19" s="24">
        <v>-54457</v>
      </c>
      <c r="F19" s="24"/>
      <c r="G19" s="24">
        <v>-54457</v>
      </c>
    </row>
    <row r="20" spans="2:13" x14ac:dyDescent="0.2">
      <c r="E20" s="24"/>
      <c r="F20" s="24"/>
      <c r="G20" s="24"/>
    </row>
    <row r="21" spans="2:13" x14ac:dyDescent="0.2">
      <c r="B21" t="s">
        <v>3746</v>
      </c>
      <c r="E21" s="24">
        <v>382987</v>
      </c>
      <c r="F21" s="24"/>
      <c r="G21" s="24">
        <v>366252</v>
      </c>
    </row>
    <row r="22" spans="2:13" x14ac:dyDescent="0.2">
      <c r="E22" s="24"/>
      <c r="F22" s="24"/>
      <c r="G22" s="24"/>
    </row>
    <row r="23" spans="2:13" x14ac:dyDescent="0.2">
      <c r="B23" t="s">
        <v>3800</v>
      </c>
      <c r="E23" s="24">
        <v>-228163</v>
      </c>
      <c r="F23" s="24"/>
      <c r="G23" s="24">
        <v>-265449</v>
      </c>
    </row>
    <row r="24" spans="2:13" x14ac:dyDescent="0.2">
      <c r="E24" s="24"/>
      <c r="F24" s="24"/>
      <c r="G24" s="24"/>
    </row>
    <row r="25" spans="2:13" x14ac:dyDescent="0.2">
      <c r="B25" t="s">
        <v>3801</v>
      </c>
      <c r="E25" s="24">
        <v>154824</v>
      </c>
      <c r="F25" s="24"/>
      <c r="G25" s="24">
        <v>100803</v>
      </c>
    </row>
    <row r="26" spans="2:13" x14ac:dyDescent="0.2">
      <c r="E26" s="24"/>
      <c r="F26" s="24"/>
      <c r="G26" s="24"/>
    </row>
    <row r="27" spans="2:13" x14ac:dyDescent="0.2">
      <c r="B27" t="s">
        <v>864</v>
      </c>
      <c r="C27" t="s">
        <v>3790</v>
      </c>
      <c r="D27">
        <v>0.15</v>
      </c>
      <c r="E27" s="24">
        <v>23223.599999999999</v>
      </c>
      <c r="F27" s="24">
        <v>0.11499657748281301</v>
      </c>
      <c r="G27" s="24">
        <v>11592</v>
      </c>
    </row>
    <row r="28" spans="2:13" x14ac:dyDescent="0.2">
      <c r="E28" s="24"/>
      <c r="F28" s="24"/>
      <c r="G28" s="24"/>
    </row>
    <row r="29" spans="2:13" x14ac:dyDescent="0.2">
      <c r="B29" t="s">
        <v>3802</v>
      </c>
      <c r="E29" s="24"/>
      <c r="F29" s="24"/>
      <c r="G29" s="24">
        <v>93</v>
      </c>
    </row>
    <row r="30" spans="2:13" x14ac:dyDescent="0.2">
      <c r="E30" s="24"/>
      <c r="F30" s="24"/>
      <c r="G30" s="24"/>
    </row>
    <row r="31" spans="2:13" x14ac:dyDescent="0.2">
      <c r="B31" t="s">
        <v>3803</v>
      </c>
      <c r="E31" s="24">
        <v>23223.599999999999</v>
      </c>
      <c r="F31" s="24"/>
      <c r="G31" s="24">
        <v>11685</v>
      </c>
      <c r="J31" s="83">
        <f>BS_2023!D172</f>
        <v>0</v>
      </c>
      <c r="M31" s="26">
        <f>E31+G31-J31</f>
        <v>34908.6</v>
      </c>
    </row>
    <row r="32" spans="2:13" x14ac:dyDescent="0.2">
      <c r="E32" s="24"/>
      <c r="F32" s="24"/>
      <c r="G32" s="24"/>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5DCA2-1020-4841-AA62-BFA2ACA9FBBD}">
  <sheetPr codeName="Sheet27"/>
  <dimension ref="A1:S28"/>
  <sheetViews>
    <sheetView workbookViewId="0">
      <selection activeCell="Q47" sqref="Q47"/>
    </sheetView>
  </sheetViews>
  <sheetFormatPr defaultRowHeight="10" x14ac:dyDescent="0.2"/>
  <cols>
    <col min="2" max="2" width="50.33203125" customWidth="1"/>
    <col min="3" max="3" width="23.6640625" customWidth="1"/>
    <col min="17" max="17" width="10.109375" bestFit="1" customWidth="1"/>
    <col min="19" max="19" width="11.109375" bestFit="1" customWidth="1"/>
  </cols>
  <sheetData>
    <row r="1" spans="1:19" ht="21" x14ac:dyDescent="0.5">
      <c r="A1" s="833"/>
      <c r="B1" s="834"/>
      <c r="C1" s="835"/>
      <c r="G1" s="205"/>
    </row>
    <row r="2" spans="1:19" ht="21" x14ac:dyDescent="0.5">
      <c r="A2" s="836" t="s">
        <v>3804</v>
      </c>
      <c r="B2" s="837"/>
      <c r="C2" s="838"/>
      <c r="G2" s="205"/>
    </row>
    <row r="3" spans="1:19" ht="16" thickBot="1" x14ac:dyDescent="0.4">
      <c r="A3" s="206"/>
      <c r="B3" s="207"/>
      <c r="C3" s="208"/>
      <c r="G3" s="205"/>
    </row>
    <row r="4" spans="1:19" ht="16" thickBot="1" x14ac:dyDescent="0.25">
      <c r="A4" s="209"/>
      <c r="B4" s="210" t="s">
        <v>3805</v>
      </c>
      <c r="C4" s="211" t="s">
        <v>3806</v>
      </c>
      <c r="G4" s="205"/>
    </row>
    <row r="5" spans="1:19" ht="13" x14ac:dyDescent="0.3">
      <c r="A5" s="212"/>
      <c r="B5" s="213"/>
      <c r="C5" s="214"/>
      <c r="G5" s="205"/>
    </row>
    <row r="6" spans="1:19" ht="15.5" x14ac:dyDescent="0.35">
      <c r="A6" s="206"/>
      <c r="B6" s="215" t="s">
        <v>3807</v>
      </c>
      <c r="C6" s="216">
        <v>1112633.3709979991</v>
      </c>
      <c r="D6" s="217"/>
      <c r="E6" s="217" t="s">
        <v>5</v>
      </c>
      <c r="F6" s="217"/>
      <c r="G6" s="218"/>
      <c r="H6" s="217"/>
      <c r="I6" s="217"/>
    </row>
    <row r="7" spans="1:19" ht="15.5" x14ac:dyDescent="0.35">
      <c r="A7" s="206"/>
      <c r="B7" s="215" t="s">
        <v>3808</v>
      </c>
      <c r="C7" s="219">
        <f>+G11</f>
        <v>9639.16</v>
      </c>
      <c r="D7" s="217"/>
      <c r="E7" s="217">
        <v>640200</v>
      </c>
      <c r="F7" s="217"/>
      <c r="G7" s="218">
        <v>4639.16</v>
      </c>
      <c r="H7" s="217" t="s">
        <v>3809</v>
      </c>
      <c r="I7" s="217"/>
      <c r="O7" t="s">
        <v>3824</v>
      </c>
      <c r="Q7" t="s">
        <v>3763</v>
      </c>
      <c r="S7" t="s">
        <v>3657</v>
      </c>
    </row>
    <row r="8" spans="1:19" ht="15.5" x14ac:dyDescent="0.35">
      <c r="A8" s="206"/>
      <c r="B8" s="220"/>
      <c r="C8" s="221"/>
      <c r="D8" s="217"/>
      <c r="E8" s="217">
        <v>760350</v>
      </c>
      <c r="F8" s="217"/>
      <c r="G8" s="218">
        <v>5000</v>
      </c>
      <c r="H8" s="217" t="s">
        <v>3810</v>
      </c>
      <c r="I8" s="217"/>
    </row>
    <row r="9" spans="1:19" ht="15.5" x14ac:dyDescent="0.35">
      <c r="A9" s="222"/>
      <c r="B9" s="223" t="s">
        <v>3811</v>
      </c>
      <c r="C9" s="224">
        <v>0</v>
      </c>
      <c r="D9" s="225"/>
      <c r="E9" s="217"/>
      <c r="F9" s="217"/>
      <c r="G9" s="218"/>
      <c r="H9" s="217"/>
      <c r="I9" s="217"/>
      <c r="O9" s="239">
        <f>C13</f>
        <v>231188.14138558781</v>
      </c>
      <c r="Q9" s="83">
        <f>'18-22'!K693+'18-22'!K697+'18-22'!K702</f>
        <v>290117</v>
      </c>
      <c r="S9" s="26">
        <f>O9-Q9</f>
        <v>-58928.858614412195</v>
      </c>
    </row>
    <row r="10" spans="1:19" ht="15.5" x14ac:dyDescent="0.35">
      <c r="A10" s="226"/>
      <c r="B10" s="227"/>
      <c r="C10" s="228"/>
      <c r="D10" s="225"/>
      <c r="E10" s="217"/>
      <c r="F10" s="217"/>
      <c r="G10" s="218"/>
      <c r="H10" s="217"/>
      <c r="I10" s="217"/>
    </row>
    <row r="11" spans="1:19" ht="15.5" x14ac:dyDescent="0.35">
      <c r="A11" s="206"/>
      <c r="B11" s="215" t="s">
        <v>3812</v>
      </c>
      <c r="C11" s="216">
        <f>SUM(C6:C9)</f>
        <v>1122272.530997999</v>
      </c>
      <c r="D11" s="217"/>
      <c r="E11" s="217"/>
      <c r="F11" s="217"/>
      <c r="G11" s="229">
        <f>SUM(G7:G10)</f>
        <v>9639.16</v>
      </c>
      <c r="H11" s="217" t="s">
        <v>3813</v>
      </c>
      <c r="I11" s="217"/>
    </row>
    <row r="12" spans="1:19" ht="15.5" x14ac:dyDescent="0.35">
      <c r="A12" s="206"/>
      <c r="B12" s="230"/>
      <c r="C12" s="221"/>
      <c r="D12" s="217"/>
      <c r="E12" s="217"/>
      <c r="F12" s="217"/>
      <c r="G12" s="218"/>
      <c r="H12" s="217"/>
      <c r="I12" s="217"/>
    </row>
    <row r="13" spans="1:19" ht="15.5" x14ac:dyDescent="0.35">
      <c r="A13" s="206"/>
      <c r="B13" s="215" t="s">
        <v>3814</v>
      </c>
      <c r="C13" s="216">
        <f>+C11*20.6%</f>
        <v>231188.14138558781</v>
      </c>
      <c r="D13" s="217"/>
      <c r="E13" s="217"/>
      <c r="F13" s="217"/>
      <c r="G13" s="218"/>
      <c r="H13" s="217"/>
      <c r="I13" s="217"/>
    </row>
    <row r="14" spans="1:19" ht="15.5" x14ac:dyDescent="0.35">
      <c r="A14" s="206"/>
      <c r="B14" s="215"/>
      <c r="C14" s="216"/>
      <c r="D14" s="217"/>
      <c r="E14" s="217"/>
      <c r="F14" s="217"/>
      <c r="G14" s="218"/>
      <c r="H14" s="217"/>
      <c r="I14" s="217"/>
    </row>
    <row r="15" spans="1:19" ht="15.5" x14ac:dyDescent="0.35">
      <c r="A15" s="206"/>
      <c r="B15" s="215" t="s">
        <v>3815</v>
      </c>
      <c r="C15" s="231">
        <f>G21</f>
        <v>3203347.7699999996</v>
      </c>
      <c r="D15" s="217"/>
      <c r="E15" s="217"/>
      <c r="F15" s="217"/>
      <c r="G15" s="218"/>
      <c r="H15" s="217"/>
      <c r="I15" s="217"/>
    </row>
    <row r="16" spans="1:19" ht="15.5" x14ac:dyDescent="0.35">
      <c r="A16" s="206"/>
      <c r="B16" s="215"/>
      <c r="C16" s="216"/>
      <c r="D16" s="217"/>
      <c r="E16" s="217"/>
      <c r="F16" s="217"/>
      <c r="G16" s="218"/>
      <c r="H16" s="217"/>
      <c r="I16" s="217"/>
    </row>
    <row r="17" spans="1:9" ht="15.5" x14ac:dyDescent="0.35">
      <c r="A17" s="206"/>
      <c r="B17" s="215" t="s">
        <v>3816</v>
      </c>
      <c r="C17" s="216">
        <f>C15*24.26%</f>
        <v>777132.16900199989</v>
      </c>
      <c r="D17" s="217"/>
      <c r="E17" s="217" t="s">
        <v>3817</v>
      </c>
      <c r="F17" s="217"/>
      <c r="G17" s="218"/>
      <c r="H17" s="217"/>
      <c r="I17" s="217"/>
    </row>
    <row r="18" spans="1:9" ht="15.5" x14ac:dyDescent="0.35">
      <c r="A18" s="206"/>
      <c r="B18" s="215"/>
      <c r="C18" s="216"/>
      <c r="D18" s="217"/>
      <c r="E18" s="217"/>
      <c r="F18" s="217"/>
      <c r="G18" s="218"/>
      <c r="H18" s="217"/>
      <c r="I18" s="217"/>
    </row>
    <row r="19" spans="1:9" ht="15.5" x14ac:dyDescent="0.35">
      <c r="A19" s="206"/>
      <c r="B19" s="215" t="s">
        <v>3818</v>
      </c>
      <c r="C19" s="216"/>
      <c r="D19" s="217"/>
      <c r="E19" s="217"/>
      <c r="F19" s="217"/>
      <c r="G19" s="218"/>
      <c r="H19" s="217"/>
      <c r="I19" s="217"/>
    </row>
    <row r="20" spans="1:9" ht="16" thickBot="1" x14ac:dyDescent="0.4">
      <c r="A20" s="232"/>
      <c r="B20" s="233"/>
      <c r="C20" s="234"/>
      <c r="D20" s="217"/>
      <c r="E20" s="217"/>
      <c r="F20" s="217"/>
      <c r="G20" s="218">
        <v>3203347.7699999996</v>
      </c>
      <c r="H20" s="217" t="s">
        <v>3819</v>
      </c>
      <c r="I20" s="217"/>
    </row>
    <row r="21" spans="1:9" ht="16" thickBot="1" x14ac:dyDescent="0.4">
      <c r="A21" s="235"/>
      <c r="B21" s="236" t="s">
        <v>3820</v>
      </c>
      <c r="C21" s="237">
        <f>+C13+C17-C19</f>
        <v>1008320.3103875876</v>
      </c>
      <c r="D21" s="217"/>
      <c r="E21" s="217"/>
      <c r="F21" s="217"/>
      <c r="G21" s="238">
        <f>SUM(G19:G20)</f>
        <v>3203347.7699999996</v>
      </c>
      <c r="H21" s="217"/>
      <c r="I21" s="217"/>
    </row>
    <row r="22" spans="1:9" ht="15.5" x14ac:dyDescent="0.35">
      <c r="A22" s="217"/>
      <c r="B22" s="217"/>
      <c r="C22" s="217"/>
      <c r="D22" s="217"/>
      <c r="E22" s="217"/>
      <c r="F22" s="217"/>
      <c r="G22" s="218"/>
      <c r="H22" s="217"/>
      <c r="I22" s="217"/>
    </row>
    <row r="23" spans="1:9" ht="15.5" x14ac:dyDescent="0.35">
      <c r="B23" t="s">
        <v>3821</v>
      </c>
      <c r="C23" s="239">
        <f>+C13</f>
        <v>231188.14138558781</v>
      </c>
      <c r="E23" s="217"/>
      <c r="F23" s="217"/>
      <c r="G23" s="218"/>
      <c r="H23" s="217"/>
    </row>
    <row r="24" spans="1:9" ht="15.5" x14ac:dyDescent="0.35">
      <c r="B24" t="s">
        <v>3822</v>
      </c>
      <c r="C24" s="239">
        <v>213072</v>
      </c>
      <c r="D24" t="s">
        <v>2151</v>
      </c>
      <c r="E24" s="217"/>
      <c r="F24" s="217"/>
      <c r="G24" s="218"/>
      <c r="H24" s="217"/>
    </row>
    <row r="25" spans="1:9" ht="15.5" x14ac:dyDescent="0.35">
      <c r="B25" s="14" t="s">
        <v>3823</v>
      </c>
      <c r="C25" s="240">
        <f>C23-C24</f>
        <v>18116.141385587805</v>
      </c>
      <c r="E25" s="217"/>
      <c r="F25" s="217"/>
      <c r="G25" s="218"/>
      <c r="H25" s="217"/>
    </row>
    <row r="26" spans="1:9" x14ac:dyDescent="0.2">
      <c r="G26" s="205"/>
    </row>
    <row r="27" spans="1:9" x14ac:dyDescent="0.2">
      <c r="G27" s="205"/>
    </row>
    <row r="28" spans="1:9" x14ac:dyDescent="0.2">
      <c r="G28" s="205"/>
    </row>
  </sheetData>
  <mergeCells count="2">
    <mergeCell ref="A1:C1"/>
    <mergeCell ref="A2:C2"/>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9F94D-B21B-4FDD-BE11-F4615E4207CE}">
  <sheetPr codeName="Sheet28"/>
  <dimension ref="A4:X112"/>
  <sheetViews>
    <sheetView topLeftCell="B38" zoomScale="110" zoomScaleNormal="110" workbookViewId="0">
      <selection activeCell="Q47" sqref="Q47"/>
    </sheetView>
  </sheetViews>
  <sheetFormatPr defaultRowHeight="10" x14ac:dyDescent="0.2"/>
  <cols>
    <col min="1" max="1" width="152.6640625" customWidth="1"/>
    <col min="2" max="2" width="11.109375" bestFit="1" customWidth="1"/>
    <col min="3" max="3" width="13.109375" customWidth="1"/>
    <col min="4" max="4" width="17" customWidth="1"/>
    <col min="5" max="5" width="11.109375" bestFit="1" customWidth="1"/>
    <col min="7" max="7" width="12.109375" customWidth="1"/>
    <col min="9" max="9" width="11.33203125" bestFit="1" customWidth="1"/>
    <col min="11" max="11" width="10.88671875" bestFit="1" customWidth="1"/>
    <col min="12" max="13" width="10.44140625" bestFit="1" customWidth="1"/>
    <col min="14" max="14" width="10.88671875" bestFit="1" customWidth="1"/>
    <col min="15" max="15" width="10.44140625" bestFit="1" customWidth="1"/>
    <col min="18" max="18" width="11.109375" bestFit="1" customWidth="1"/>
    <col min="20" max="20" width="10.88671875" bestFit="1" customWidth="1"/>
    <col min="22" max="22" width="11.44140625" bestFit="1" customWidth="1"/>
    <col min="24" max="24" width="11.44140625" customWidth="1"/>
  </cols>
  <sheetData>
    <row r="4" spans="1:8" x14ac:dyDescent="0.2">
      <c r="A4" s="111" t="s">
        <v>1003</v>
      </c>
    </row>
    <row r="6" spans="1:8" ht="27" x14ac:dyDescent="0.2">
      <c r="A6" s="101" t="s">
        <v>963</v>
      </c>
    </row>
    <row r="7" spans="1:8" ht="13.5" x14ac:dyDescent="0.2">
      <c r="A7" s="101"/>
      <c r="B7">
        <v>2021</v>
      </c>
    </row>
    <row r="8" spans="1:8" ht="13.5" x14ac:dyDescent="0.2">
      <c r="A8" s="101" t="s">
        <v>964</v>
      </c>
      <c r="B8" s="24"/>
      <c r="C8" s="24"/>
      <c r="D8" s="24" t="s">
        <v>1004</v>
      </c>
      <c r="E8" s="24"/>
    </row>
    <row r="9" spans="1:8" ht="13.5" x14ac:dyDescent="0.2">
      <c r="A9" s="101"/>
      <c r="B9" s="24"/>
      <c r="C9" s="24">
        <v>21442.87</v>
      </c>
      <c r="D9" s="24">
        <v>1710.25</v>
      </c>
      <c r="E9" s="26">
        <f>C9-D9</f>
        <v>19732.62</v>
      </c>
      <c r="F9" t="s">
        <v>1005</v>
      </c>
      <c r="H9" t="s">
        <v>1007</v>
      </c>
    </row>
    <row r="10" spans="1:8" ht="13.5" x14ac:dyDescent="0.2">
      <c r="A10" s="101" t="s">
        <v>965</v>
      </c>
      <c r="B10" s="24">
        <v>17956</v>
      </c>
      <c r="C10" s="24">
        <v>39299</v>
      </c>
      <c r="D10" s="92">
        <v>21443</v>
      </c>
      <c r="E10" s="147" t="s">
        <v>1005</v>
      </c>
      <c r="G10" s="24">
        <f>C10-D10</f>
        <v>17856</v>
      </c>
      <c r="H10" t="s">
        <v>1008</v>
      </c>
    </row>
    <row r="11" spans="1:8" ht="13.5" x14ac:dyDescent="0.2">
      <c r="A11" s="101" t="s">
        <v>966</v>
      </c>
      <c r="B11" s="24">
        <v>19346</v>
      </c>
      <c r="C11" s="24">
        <v>42581</v>
      </c>
      <c r="D11" s="24">
        <v>23235</v>
      </c>
      <c r="G11" s="24">
        <f>C11-D11</f>
        <v>19346</v>
      </c>
      <c r="H11" t="s">
        <v>1006</v>
      </c>
    </row>
    <row r="12" spans="1:8" ht="13.5" x14ac:dyDescent="0.2">
      <c r="A12" s="101" t="s">
        <v>967</v>
      </c>
      <c r="B12" s="24">
        <v>-36160</v>
      </c>
      <c r="C12" s="24">
        <v>78169</v>
      </c>
      <c r="D12" s="24">
        <v>42009</v>
      </c>
      <c r="G12" s="24"/>
    </row>
    <row r="13" spans="1:8" ht="13.5" x14ac:dyDescent="0.2">
      <c r="A13" s="103"/>
      <c r="B13" s="24"/>
      <c r="C13" s="24"/>
      <c r="D13" s="24"/>
      <c r="G13" s="24">
        <f>SUM(G10:G12)</f>
        <v>37202</v>
      </c>
      <c r="H13" t="s">
        <v>3832</v>
      </c>
    </row>
    <row r="14" spans="1:8" ht="13.5" x14ac:dyDescent="0.2">
      <c r="A14" s="103" t="s">
        <v>968</v>
      </c>
      <c r="B14" s="24"/>
      <c r="C14" s="24"/>
      <c r="D14" s="24"/>
      <c r="E14" s="24"/>
    </row>
    <row r="15" spans="1:8" ht="13.5" x14ac:dyDescent="0.2">
      <c r="A15" s="103"/>
      <c r="B15" s="24"/>
      <c r="C15" s="24"/>
      <c r="D15" s="24"/>
      <c r="E15" s="24"/>
    </row>
    <row r="16" spans="1:8" ht="40.5" x14ac:dyDescent="0.2">
      <c r="A16" s="101" t="s">
        <v>969</v>
      </c>
      <c r="B16" s="24"/>
      <c r="C16" s="24"/>
      <c r="D16" s="24"/>
      <c r="E16" s="24"/>
    </row>
    <row r="21" spans="1:1" ht="15.5" x14ac:dyDescent="0.2">
      <c r="A21" s="102" t="s">
        <v>970</v>
      </c>
    </row>
    <row r="22" spans="1:1" x14ac:dyDescent="0.2">
      <c r="A22" s="104" t="s">
        <v>971</v>
      </c>
    </row>
    <row r="23" spans="1:1" ht="15.5" x14ac:dyDescent="0.2">
      <c r="A23" s="102" t="s">
        <v>972</v>
      </c>
    </row>
    <row r="24" spans="1:1" ht="15.5" x14ac:dyDescent="0.2">
      <c r="A24" s="102" t="s">
        <v>973</v>
      </c>
    </row>
    <row r="25" spans="1:1" x14ac:dyDescent="0.2">
      <c r="A25" s="104" t="s">
        <v>974</v>
      </c>
    </row>
    <row r="26" spans="1:1" x14ac:dyDescent="0.2">
      <c r="A26" s="104" t="s">
        <v>975</v>
      </c>
    </row>
    <row r="27" spans="1:1" x14ac:dyDescent="0.2">
      <c r="A27" s="100"/>
    </row>
    <row r="28" spans="1:1" x14ac:dyDescent="0.2">
      <c r="A28" s="100"/>
    </row>
    <row r="29" spans="1:1" x14ac:dyDescent="0.2">
      <c r="A29" s="100"/>
    </row>
    <row r="30" spans="1:1" ht="13.5" x14ac:dyDescent="0.2">
      <c r="A30" s="105" t="s">
        <v>976</v>
      </c>
    </row>
    <row r="31" spans="1:1" ht="13.5" x14ac:dyDescent="0.2">
      <c r="A31" s="105"/>
    </row>
    <row r="32" spans="1:1" ht="13.5" x14ac:dyDescent="0.2">
      <c r="A32" s="105" t="s">
        <v>977</v>
      </c>
    </row>
    <row r="33" spans="1:18" ht="13.5" x14ac:dyDescent="0.2">
      <c r="A33" s="105"/>
    </row>
    <row r="34" spans="1:18" ht="13.5" x14ac:dyDescent="0.2">
      <c r="A34" s="105" t="s">
        <v>978</v>
      </c>
    </row>
    <row r="35" spans="1:18" ht="13.5" x14ac:dyDescent="0.2">
      <c r="A35" s="105"/>
    </row>
    <row r="36" spans="1:18" ht="13.5" x14ac:dyDescent="0.2">
      <c r="A36" s="106" t="s">
        <v>979</v>
      </c>
    </row>
    <row r="37" spans="1:18" ht="13.5" x14ac:dyDescent="0.2">
      <c r="A37" s="105"/>
      <c r="B37" s="24"/>
    </row>
    <row r="38" spans="1:18" ht="13.5" x14ac:dyDescent="0.2">
      <c r="A38" s="105" t="s">
        <v>980</v>
      </c>
      <c r="B38" s="24">
        <v>23235.8</v>
      </c>
      <c r="C38" s="110">
        <v>44648</v>
      </c>
      <c r="D38">
        <v>2020</v>
      </c>
      <c r="R38" s="26" t="e">
        <f>#REF!</f>
        <v>#REF!</v>
      </c>
    </row>
    <row r="39" spans="1:18" ht="13.5" x14ac:dyDescent="0.2">
      <c r="A39" s="105"/>
      <c r="B39" s="24"/>
      <c r="R39" s="83" t="e">
        <f>+#REF!</f>
        <v>#REF!</v>
      </c>
    </row>
    <row r="40" spans="1:18" ht="27" x14ac:dyDescent="0.2">
      <c r="A40" s="105" t="s">
        <v>981</v>
      </c>
      <c r="B40" s="24">
        <v>23235</v>
      </c>
      <c r="C40" s="110">
        <v>44648</v>
      </c>
      <c r="D40">
        <v>2021</v>
      </c>
      <c r="G40" t="s">
        <v>1006</v>
      </c>
      <c r="I40" t="s">
        <v>952</v>
      </c>
      <c r="K40" t="s">
        <v>3749</v>
      </c>
      <c r="N40" t="s">
        <v>3753</v>
      </c>
      <c r="R40" t="e">
        <f>+#REF!</f>
        <v>#REF!</v>
      </c>
    </row>
    <row r="41" spans="1:18" ht="13.5" x14ac:dyDescent="0.2">
      <c r="A41" s="105"/>
      <c r="B41" s="24"/>
      <c r="K41" s="24"/>
    </row>
    <row r="42" spans="1:18" ht="13.5" x14ac:dyDescent="0.2">
      <c r="A42" s="106" t="s">
        <v>982</v>
      </c>
      <c r="B42" s="24"/>
      <c r="G42">
        <v>2020</v>
      </c>
      <c r="K42" s="183">
        <v>23235.8</v>
      </c>
      <c r="L42" t="s">
        <v>3750</v>
      </c>
      <c r="M42" t="s">
        <v>3837</v>
      </c>
    </row>
    <row r="43" spans="1:18" ht="13.5" x14ac:dyDescent="0.2">
      <c r="A43" s="105"/>
      <c r="B43" s="24"/>
      <c r="K43" s="183"/>
    </row>
    <row r="44" spans="1:18" ht="13.5" x14ac:dyDescent="0.2">
      <c r="A44" s="105" t="s">
        <v>983</v>
      </c>
      <c r="B44" s="99">
        <v>7745</v>
      </c>
      <c r="C44" s="112">
        <v>44696</v>
      </c>
      <c r="D44" s="14" t="s">
        <v>3683</v>
      </c>
      <c r="G44">
        <v>2021</v>
      </c>
      <c r="I44" s="24">
        <v>42581</v>
      </c>
      <c r="K44" s="183">
        <v>23235.8</v>
      </c>
      <c r="L44" t="s">
        <v>3750</v>
      </c>
      <c r="M44" t="s">
        <v>3837</v>
      </c>
      <c r="N44" s="26">
        <f>I44-K44</f>
        <v>19345.2</v>
      </c>
    </row>
    <row r="45" spans="1:18" ht="13.5" x14ac:dyDescent="0.2">
      <c r="A45" s="105" t="s">
        <v>984</v>
      </c>
      <c r="B45" s="24">
        <v>7745</v>
      </c>
      <c r="C45" s="110">
        <v>44788</v>
      </c>
      <c r="K45" s="183"/>
    </row>
    <row r="46" spans="1:18" ht="13.5" x14ac:dyDescent="0.2">
      <c r="A46" s="105" t="s">
        <v>985</v>
      </c>
      <c r="B46" s="24">
        <v>7745</v>
      </c>
      <c r="C46" s="110">
        <v>44880</v>
      </c>
      <c r="G46">
        <v>2022</v>
      </c>
      <c r="K46" s="183">
        <f>B44</f>
        <v>7745</v>
      </c>
      <c r="L46" t="s">
        <v>3683</v>
      </c>
      <c r="M46" t="s">
        <v>3839</v>
      </c>
    </row>
    <row r="47" spans="1:18" ht="13.5" x14ac:dyDescent="0.2">
      <c r="A47" s="105"/>
      <c r="B47" s="24"/>
      <c r="K47" s="24"/>
    </row>
    <row r="48" spans="1:18" ht="13.5" x14ac:dyDescent="0.2">
      <c r="A48" s="106" t="s">
        <v>986</v>
      </c>
      <c r="K48" s="24"/>
    </row>
    <row r="49" spans="1:24" ht="13.5" x14ac:dyDescent="0.2">
      <c r="A49" s="105"/>
    </row>
    <row r="50" spans="1:24" ht="13.5" x14ac:dyDescent="0.2">
      <c r="A50" s="105" t="s">
        <v>987</v>
      </c>
    </row>
    <row r="51" spans="1:24" ht="13.5" x14ac:dyDescent="0.2">
      <c r="A51" s="105" t="s">
        <v>988</v>
      </c>
    </row>
    <row r="52" spans="1:24" ht="13.5" x14ac:dyDescent="0.2">
      <c r="A52" s="105" t="s">
        <v>989</v>
      </c>
    </row>
    <row r="53" spans="1:24" ht="13.5" x14ac:dyDescent="0.2">
      <c r="A53" s="105" t="s">
        <v>990</v>
      </c>
      <c r="R53" t="s">
        <v>3754</v>
      </c>
    </row>
    <row r="54" spans="1:24" ht="13.5" x14ac:dyDescent="0.2">
      <c r="A54" s="105"/>
    </row>
    <row r="55" spans="1:24" ht="27" x14ac:dyDescent="0.2">
      <c r="A55" s="105" t="s">
        <v>991</v>
      </c>
      <c r="R55">
        <v>2021</v>
      </c>
      <c r="T55">
        <v>2022</v>
      </c>
      <c r="V55" t="s">
        <v>779</v>
      </c>
    </row>
    <row r="56" spans="1:24" ht="13.5" x14ac:dyDescent="0.2">
      <c r="A56" s="105"/>
    </row>
    <row r="57" spans="1:24" ht="13.5" x14ac:dyDescent="0.2">
      <c r="A57" s="105" t="s">
        <v>992</v>
      </c>
      <c r="Q57" t="s">
        <v>3755</v>
      </c>
      <c r="R57" s="26">
        <f>-N83</f>
        <v>-17856.13</v>
      </c>
      <c r="T57" s="26">
        <f>K85+K86</f>
        <v>10720</v>
      </c>
    </row>
    <row r="58" spans="1:24" ht="13.5" x14ac:dyDescent="0.2">
      <c r="A58" s="105"/>
    </row>
    <row r="59" spans="1:24" x14ac:dyDescent="0.2">
      <c r="A59" s="100"/>
      <c r="Q59" t="s">
        <v>1006</v>
      </c>
      <c r="R59" s="26">
        <f>-N44</f>
        <v>-19345.2</v>
      </c>
      <c r="T59" s="26">
        <f>K46</f>
        <v>7745</v>
      </c>
    </row>
    <row r="60" spans="1:24" ht="13.5" x14ac:dyDescent="0.2">
      <c r="A60" s="105" t="s">
        <v>993</v>
      </c>
    </row>
    <row r="61" spans="1:24" x14ac:dyDescent="0.2">
      <c r="A61" s="100"/>
      <c r="R61" s="26">
        <f>SUM(R57:R60)</f>
        <v>-37201.33</v>
      </c>
      <c r="T61" s="26">
        <f>SUM(T57:T60)</f>
        <v>18465</v>
      </c>
      <c r="V61" s="26">
        <f>'Tax Payable Proof'!G17</f>
        <v>-58058.677714746678</v>
      </c>
      <c r="X61" s="26">
        <f>SUM(R61:W61)</f>
        <v>-76795.00771474668</v>
      </c>
    </row>
    <row r="62" spans="1:24" ht="13.5" x14ac:dyDescent="0.2">
      <c r="A62" s="105"/>
      <c r="R62" t="s">
        <v>3756</v>
      </c>
      <c r="T62" t="s">
        <v>3757</v>
      </c>
    </row>
    <row r="63" spans="1:24" ht="13.5" x14ac:dyDescent="0.2">
      <c r="A63" s="105" t="s">
        <v>994</v>
      </c>
    </row>
    <row r="64" spans="1:24" x14ac:dyDescent="0.2">
      <c r="A64" s="100"/>
    </row>
    <row r="65" spans="1:22" ht="27" x14ac:dyDescent="0.2">
      <c r="A65" s="105" t="s">
        <v>995</v>
      </c>
    </row>
    <row r="66" spans="1:22" x14ac:dyDescent="0.2">
      <c r="A66" s="100"/>
      <c r="R66" t="s">
        <v>3652</v>
      </c>
      <c r="T66" t="s">
        <v>947</v>
      </c>
    </row>
    <row r="67" spans="1:22" ht="13.5" x14ac:dyDescent="0.2">
      <c r="A67" s="105"/>
    </row>
    <row r="68" spans="1:22" ht="13.5" x14ac:dyDescent="0.2">
      <c r="A68" s="105" t="s">
        <v>996</v>
      </c>
      <c r="R68" s="26">
        <f>I83+I44</f>
        <v>81880</v>
      </c>
      <c r="T68" s="24">
        <f>SUMIF('18-22'!$P:$P,"2021 Tax Provision - Germany",'18-22'!$K:$K)</f>
        <v>64958</v>
      </c>
      <c r="V68" s="26">
        <f>R68-T68</f>
        <v>16922</v>
      </c>
    </row>
    <row r="69" spans="1:22" ht="13.5" x14ac:dyDescent="0.2">
      <c r="A69" s="105"/>
    </row>
    <row r="70" spans="1:22" ht="13.5" x14ac:dyDescent="0.2">
      <c r="A70" s="105" t="s">
        <v>997</v>
      </c>
    </row>
    <row r="71" spans="1:22" ht="13.5" x14ac:dyDescent="0.2">
      <c r="A71" s="107" t="s">
        <v>998</v>
      </c>
    </row>
    <row r="72" spans="1:22" ht="13.5" x14ac:dyDescent="0.2">
      <c r="A72" s="107" t="s">
        <v>999</v>
      </c>
    </row>
    <row r="73" spans="1:22" ht="13.5" x14ac:dyDescent="0.2">
      <c r="A73" s="108" t="s">
        <v>1000</v>
      </c>
    </row>
    <row r="74" spans="1:22" ht="13.5" x14ac:dyDescent="0.2">
      <c r="A74" s="109" t="s">
        <v>1001</v>
      </c>
    </row>
    <row r="75" spans="1:22" ht="13.5" x14ac:dyDescent="0.2">
      <c r="A75" s="109" t="s">
        <v>1002</v>
      </c>
    </row>
    <row r="78" spans="1:22" ht="15.5" x14ac:dyDescent="0.2">
      <c r="A78" s="102"/>
    </row>
    <row r="79" spans="1:22" x14ac:dyDescent="0.2">
      <c r="A79" s="104" t="s">
        <v>1009</v>
      </c>
      <c r="G79" t="s">
        <v>3748</v>
      </c>
      <c r="I79" t="s">
        <v>952</v>
      </c>
      <c r="K79" t="s">
        <v>3749</v>
      </c>
      <c r="N79" t="s">
        <v>3752</v>
      </c>
    </row>
    <row r="80" spans="1:22" x14ac:dyDescent="0.2">
      <c r="A80" s="100"/>
    </row>
    <row r="81" spans="1:15" ht="13.5" x14ac:dyDescent="0.2">
      <c r="A81" s="101" t="s">
        <v>1010</v>
      </c>
      <c r="G81">
        <v>2020</v>
      </c>
      <c r="K81" s="24">
        <v>21442.87</v>
      </c>
      <c r="L81" t="s">
        <v>3750</v>
      </c>
    </row>
    <row r="82" spans="1:15" ht="13.5" x14ac:dyDescent="0.2">
      <c r="A82" s="101"/>
      <c r="K82" s="24"/>
    </row>
    <row r="83" spans="1:15" ht="13.5" x14ac:dyDescent="0.2">
      <c r="A83" s="101" t="s">
        <v>1011</v>
      </c>
      <c r="G83">
        <v>2021</v>
      </c>
      <c r="I83" s="24">
        <v>39299</v>
      </c>
      <c r="K83" s="24">
        <v>21442.87</v>
      </c>
      <c r="L83" t="s">
        <v>3750</v>
      </c>
      <c r="N83" s="26">
        <f>I83-K83</f>
        <v>17856.13</v>
      </c>
    </row>
    <row r="84" spans="1:15" ht="13.5" x14ac:dyDescent="0.2">
      <c r="A84" s="101" t="s">
        <v>1012</v>
      </c>
      <c r="K84" s="24"/>
    </row>
    <row r="85" spans="1:15" ht="13.5" x14ac:dyDescent="0.2">
      <c r="A85" s="101"/>
      <c r="G85">
        <v>2022</v>
      </c>
      <c r="K85" s="18">
        <f>5360</f>
        <v>5360</v>
      </c>
      <c r="L85" t="s">
        <v>3750</v>
      </c>
      <c r="M85" t="s">
        <v>3839</v>
      </c>
    </row>
    <row r="86" spans="1:15" ht="13.5" x14ac:dyDescent="0.2">
      <c r="A86" s="101" t="s">
        <v>1013</v>
      </c>
      <c r="K86" s="183">
        <v>5360</v>
      </c>
      <c r="L86" t="s">
        <v>882</v>
      </c>
      <c r="M86" t="s">
        <v>3839</v>
      </c>
    </row>
    <row r="87" spans="1:15" x14ac:dyDescent="0.2">
      <c r="A87" s="100"/>
      <c r="K87" s="24"/>
    </row>
    <row r="88" spans="1:15" ht="27" x14ac:dyDescent="0.2">
      <c r="A88" s="101" t="s">
        <v>1014</v>
      </c>
    </row>
    <row r="89" spans="1:15" x14ac:dyDescent="0.2">
      <c r="A89" s="100"/>
    </row>
    <row r="90" spans="1:15" ht="28" x14ac:dyDescent="0.2">
      <c r="A90" s="101" t="s">
        <v>1015</v>
      </c>
      <c r="B90" t="s">
        <v>3751</v>
      </c>
      <c r="K90" s="26">
        <f>K81+K83</f>
        <v>42885.74</v>
      </c>
      <c r="L90">
        <v>1710.25</v>
      </c>
      <c r="M90" s="26">
        <f>K90-L90</f>
        <v>41175.49</v>
      </c>
      <c r="N90" t="s">
        <v>3833</v>
      </c>
    </row>
    <row r="91" spans="1:15" x14ac:dyDescent="0.2">
      <c r="A91" s="100"/>
    </row>
    <row r="92" spans="1:15" ht="14.5" x14ac:dyDescent="0.2">
      <c r="A92" s="101" t="s">
        <v>1016</v>
      </c>
      <c r="B92" t="s">
        <v>3747</v>
      </c>
      <c r="J92" t="s">
        <v>3834</v>
      </c>
      <c r="K92">
        <v>44183.21</v>
      </c>
      <c r="L92" t="s">
        <v>3835</v>
      </c>
    </row>
    <row r="93" spans="1:15" x14ac:dyDescent="0.2">
      <c r="A93" s="100"/>
    </row>
    <row r="94" spans="1:15" ht="13.5" x14ac:dyDescent="0.2">
      <c r="A94" s="101" t="s">
        <v>1017</v>
      </c>
      <c r="K94" s="26">
        <f>K42+K44</f>
        <v>46471.6</v>
      </c>
      <c r="L94" s="24">
        <v>46471.8</v>
      </c>
      <c r="N94" t="s">
        <v>3838</v>
      </c>
      <c r="O94">
        <v>220250</v>
      </c>
    </row>
    <row r="95" spans="1:15" x14ac:dyDescent="0.2">
      <c r="A95" s="100"/>
      <c r="L95" t="s">
        <v>3836</v>
      </c>
    </row>
    <row r="96" spans="1:15" ht="14.5" x14ac:dyDescent="0.2">
      <c r="A96" s="113" t="s">
        <v>1018</v>
      </c>
      <c r="B96" s="15" t="s">
        <v>948</v>
      </c>
    </row>
    <row r="97" spans="1:2" x14ac:dyDescent="0.2">
      <c r="A97" s="100"/>
    </row>
    <row r="98" spans="1:2" ht="14.5" x14ac:dyDescent="0.2">
      <c r="A98" s="113" t="s">
        <v>1019</v>
      </c>
      <c r="B98" s="15" t="s">
        <v>948</v>
      </c>
    </row>
    <row r="99" spans="1:2" x14ac:dyDescent="0.2">
      <c r="A99" s="100"/>
    </row>
    <row r="100" spans="1:2" ht="14.5" x14ac:dyDescent="0.2">
      <c r="A100" s="113" t="s">
        <v>1020</v>
      </c>
    </row>
    <row r="101" spans="1:2" x14ac:dyDescent="0.2">
      <c r="A101" s="100"/>
    </row>
    <row r="102" spans="1:2" ht="14.5" x14ac:dyDescent="0.2">
      <c r="A102" s="113" t="s">
        <v>1021</v>
      </c>
    </row>
    <row r="103" spans="1:2" x14ac:dyDescent="0.2">
      <c r="A103" s="100"/>
    </row>
    <row r="104" spans="1:2" ht="13.5" x14ac:dyDescent="0.2">
      <c r="A104" s="101"/>
    </row>
    <row r="105" spans="1:2" x14ac:dyDescent="0.2">
      <c r="A105" s="100"/>
    </row>
    <row r="106" spans="1:2" ht="27" x14ac:dyDescent="0.2">
      <c r="A106" s="101" t="s">
        <v>1022</v>
      </c>
    </row>
    <row r="107" spans="1:2" x14ac:dyDescent="0.2">
      <c r="A107" s="100"/>
    </row>
    <row r="108" spans="1:2" ht="13.5" x14ac:dyDescent="0.2">
      <c r="A108" s="107" t="s">
        <v>998</v>
      </c>
    </row>
    <row r="109" spans="1:2" ht="13.5" x14ac:dyDescent="0.2">
      <c r="A109" s="107" t="s">
        <v>999</v>
      </c>
    </row>
    <row r="110" spans="1:2" ht="13.5" x14ac:dyDescent="0.2">
      <c r="A110" s="108" t="s">
        <v>1000</v>
      </c>
    </row>
    <row r="111" spans="1:2" ht="13.5" x14ac:dyDescent="0.2">
      <c r="A111" s="109" t="s">
        <v>1001</v>
      </c>
    </row>
    <row r="112" spans="1:2" ht="13.5" x14ac:dyDescent="0.2">
      <c r="A112" s="109" t="s">
        <v>1002</v>
      </c>
    </row>
  </sheetData>
  <hyperlinks>
    <hyperlink ref="A22" r:id="rId1" display="mailto:peter.friedl@alb-friedl.de" xr:uid="{5BCEC04E-4B16-4F7D-A22B-A0108174FEF1}"/>
    <hyperlink ref="A25" r:id="rId2" display="mailto:cbv@ivalua.com" xr:uid="{17CF46D6-65CC-40CB-AF92-3E6A275A4A68}"/>
    <hyperlink ref="A26" r:id="rId3" display="mailto:jow@ivalua.com" xr:uid="{C9AE4910-D199-4171-BBAF-20068FEDE903}"/>
    <hyperlink ref="A79" r:id="rId4" display="mailto:peter.friedl@alb-friedl.de" xr:uid="{81564CE5-7B8C-4DEE-8D4C-5A938A2D3931}"/>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46F7D-4DE2-4A93-AF91-E551FA99CEB2}">
  <sheetPr codeName="Sheet29"/>
  <dimension ref="P4:T6"/>
  <sheetViews>
    <sheetView topLeftCell="A10" workbookViewId="0">
      <selection activeCell="Q47" sqref="Q47"/>
    </sheetView>
  </sheetViews>
  <sheetFormatPr defaultRowHeight="10" x14ac:dyDescent="0.2"/>
  <cols>
    <col min="16" max="16" width="13" bestFit="1" customWidth="1"/>
    <col min="18" max="18" width="11.6640625" bestFit="1" customWidth="1"/>
    <col min="20" max="20" width="12.109375" bestFit="1" customWidth="1"/>
  </cols>
  <sheetData>
    <row r="4" spans="16:20" x14ac:dyDescent="0.2">
      <c r="P4" t="s">
        <v>3824</v>
      </c>
      <c r="R4" t="s">
        <v>3763</v>
      </c>
      <c r="T4" t="s">
        <v>3657</v>
      </c>
    </row>
    <row r="6" spans="16:20" x14ac:dyDescent="0.2">
      <c r="P6" s="24">
        <v>7896553</v>
      </c>
      <c r="R6" s="83">
        <f>'18-22'!K2259+'18-22'!K2277+'18-22'!K2286+'18-22'!K2297</f>
        <v>8886597</v>
      </c>
      <c r="T6" s="26">
        <f>P6-R6</f>
        <v>-990044</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B8A5E-7AC2-45B5-92CA-BD78B3CD9536}">
  <sheetPr codeName="Sheet30"/>
  <dimension ref="B2:U113"/>
  <sheetViews>
    <sheetView topLeftCell="A63" workbookViewId="0">
      <selection activeCell="Q47" sqref="Q47"/>
    </sheetView>
  </sheetViews>
  <sheetFormatPr defaultColWidth="10.33203125" defaultRowHeight="10" x14ac:dyDescent="0.2"/>
  <cols>
    <col min="2" max="2" width="10.44140625" customWidth="1"/>
    <col min="3" max="3" width="37.109375" bestFit="1" customWidth="1"/>
    <col min="4" max="4" width="18.44140625" bestFit="1" customWidth="1"/>
    <col min="5" max="5" width="12.33203125" bestFit="1" customWidth="1"/>
    <col min="6" max="6" width="12.109375" bestFit="1" customWidth="1"/>
    <col min="7" max="18" width="12.88671875" bestFit="1" customWidth="1"/>
    <col min="19" max="19" width="12.33203125" bestFit="1" customWidth="1"/>
    <col min="20" max="20" width="29.33203125" bestFit="1" customWidth="1"/>
    <col min="21" max="21" width="15" bestFit="1" customWidth="1"/>
  </cols>
  <sheetData>
    <row r="2" spans="2:19" x14ac:dyDescent="0.2">
      <c r="B2" s="149" t="s">
        <v>7</v>
      </c>
      <c r="C2" s="150">
        <v>44742</v>
      </c>
      <c r="D2">
        <f>MONTH(C2)</f>
        <v>6</v>
      </c>
      <c r="E2">
        <f>YEAR(C2)</f>
        <v>2022</v>
      </c>
    </row>
    <row r="4" spans="2:19" ht="15.5" x14ac:dyDescent="0.35">
      <c r="B4" s="151" t="s">
        <v>3684</v>
      </c>
    </row>
    <row r="7" spans="2:19" ht="20" x14ac:dyDescent="0.2">
      <c r="B7" s="826" t="s">
        <v>5</v>
      </c>
      <c r="C7" s="827"/>
      <c r="D7" s="149" t="s">
        <v>3685</v>
      </c>
      <c r="E7" s="149" t="s">
        <v>3686</v>
      </c>
      <c r="F7" s="152" t="s">
        <v>3687</v>
      </c>
      <c r="G7" s="153">
        <v>44592</v>
      </c>
      <c r="H7" s="153">
        <v>44620</v>
      </c>
      <c r="I7" s="153">
        <v>44651</v>
      </c>
      <c r="J7" s="153">
        <v>44681</v>
      </c>
      <c r="K7" s="153">
        <v>44712</v>
      </c>
      <c r="L7" s="153">
        <v>44742</v>
      </c>
      <c r="M7" s="153">
        <v>44773</v>
      </c>
      <c r="N7" s="153">
        <v>44804</v>
      </c>
      <c r="O7" s="153">
        <v>44834</v>
      </c>
      <c r="P7" s="153">
        <v>44865</v>
      </c>
      <c r="Q7" s="153">
        <v>44895</v>
      </c>
      <c r="R7" s="153">
        <v>44926</v>
      </c>
      <c r="S7" s="154" t="s">
        <v>218</v>
      </c>
    </row>
    <row r="8" spans="2:19" ht="14.5" x14ac:dyDescent="0.35">
      <c r="B8" s="155">
        <v>619306</v>
      </c>
      <c r="C8" s="155" t="s">
        <v>3688</v>
      </c>
      <c r="D8" s="149" t="s">
        <v>3689</v>
      </c>
      <c r="E8" s="149"/>
      <c r="F8" s="156"/>
      <c r="G8" s="157">
        <v>17700.45</v>
      </c>
      <c r="H8" s="157">
        <v>10103.840000000002</v>
      </c>
      <c r="I8" s="157">
        <v>10268.42</v>
      </c>
      <c r="J8" s="157">
        <v>13270.019999999997</v>
      </c>
      <c r="K8" s="157">
        <v>10922.13</v>
      </c>
      <c r="L8" s="157">
        <v>11110.35</v>
      </c>
      <c r="M8" s="157"/>
      <c r="N8" s="157"/>
      <c r="O8" s="157"/>
      <c r="P8" s="157"/>
      <c r="Q8" s="157"/>
      <c r="R8" s="157"/>
      <c r="S8" s="157">
        <f>SUM(G8:R8)</f>
        <v>73375.209999999992</v>
      </c>
    </row>
    <row r="9" spans="2:19" x14ac:dyDescent="0.2">
      <c r="B9" s="149"/>
      <c r="C9" s="149"/>
      <c r="D9" s="149" t="s">
        <v>3690</v>
      </c>
      <c r="E9" s="149"/>
      <c r="F9" s="156"/>
      <c r="G9" s="157"/>
      <c r="H9" s="157"/>
      <c r="I9" s="157"/>
      <c r="J9" s="157"/>
      <c r="K9" s="157"/>
      <c r="L9" s="157"/>
      <c r="M9" s="157"/>
      <c r="N9" s="157"/>
      <c r="O9" s="157"/>
      <c r="P9" s="157"/>
      <c r="Q9" s="157"/>
      <c r="R9" s="157"/>
      <c r="S9" s="157">
        <f>SUM(G9:R9)</f>
        <v>0</v>
      </c>
    </row>
    <row r="10" spans="2:19" x14ac:dyDescent="0.2">
      <c r="B10" s="149"/>
      <c r="C10" s="149"/>
      <c r="D10" s="149" t="s">
        <v>3691</v>
      </c>
      <c r="E10" s="149"/>
      <c r="F10" s="156"/>
      <c r="G10" s="157"/>
      <c r="H10" s="157"/>
      <c r="I10" s="157"/>
      <c r="J10" s="157"/>
      <c r="K10" s="157"/>
      <c r="L10" s="157"/>
      <c r="M10" s="157"/>
      <c r="N10" s="157"/>
      <c r="O10" s="157"/>
      <c r="P10" s="157"/>
      <c r="Q10" s="157"/>
      <c r="R10" s="157"/>
      <c r="S10" s="157">
        <f>SUM(G10:R10)</f>
        <v>0</v>
      </c>
    </row>
    <row r="11" spans="2:19" x14ac:dyDescent="0.2">
      <c r="B11" s="158"/>
      <c r="C11" s="159"/>
      <c r="D11" s="159"/>
      <c r="E11" s="159"/>
      <c r="F11" s="160"/>
      <c r="G11" s="160"/>
      <c r="H11" s="160"/>
      <c r="I11" s="160"/>
      <c r="J11" s="160"/>
      <c r="K11" s="160"/>
      <c r="L11" s="160"/>
      <c r="M11" s="160"/>
      <c r="N11" s="160"/>
      <c r="O11" s="160"/>
      <c r="P11" s="160"/>
      <c r="Q11" s="160"/>
      <c r="R11" s="160"/>
      <c r="S11" s="161">
        <f>SUM(S8:S10)</f>
        <v>73375.209999999992</v>
      </c>
    </row>
    <row r="12" spans="2:19" x14ac:dyDescent="0.2">
      <c r="F12" s="83"/>
      <c r="G12" s="83"/>
      <c r="H12" s="83"/>
      <c r="I12" s="83"/>
      <c r="J12" s="83"/>
      <c r="K12" s="83"/>
      <c r="L12" s="83"/>
      <c r="M12" s="83"/>
      <c r="N12" s="83"/>
      <c r="O12" s="83"/>
      <c r="P12" s="83"/>
      <c r="Q12" s="83"/>
      <c r="R12" s="83"/>
      <c r="S12" s="83"/>
    </row>
    <row r="13" spans="2:19" ht="14.5" x14ac:dyDescent="0.35">
      <c r="B13" s="155">
        <v>619303</v>
      </c>
      <c r="C13" s="155" t="s">
        <v>3692</v>
      </c>
      <c r="D13" s="149" t="s">
        <v>3689</v>
      </c>
      <c r="E13" s="149"/>
      <c r="F13" s="156"/>
      <c r="G13" s="157">
        <v>28675.989999999994</v>
      </c>
      <c r="H13" s="157">
        <v>16401.900000000005</v>
      </c>
      <c r="I13" s="157">
        <v>16637.420000000006</v>
      </c>
      <c r="J13" s="157">
        <v>21495.389999999996</v>
      </c>
      <c r="K13" s="157">
        <v>17696.970000000005</v>
      </c>
      <c r="L13" s="157">
        <v>18034.62</v>
      </c>
      <c r="M13" s="157"/>
      <c r="N13" s="157"/>
      <c r="O13" s="157"/>
      <c r="P13" s="157"/>
      <c r="Q13" s="157"/>
      <c r="R13" s="157"/>
      <c r="S13" s="157">
        <f t="shared" ref="S13:S15" si="0">SUM(G13:R13)</f>
        <v>118942.29</v>
      </c>
    </row>
    <row r="14" spans="2:19" ht="14.5" x14ac:dyDescent="0.35">
      <c r="B14" s="155"/>
      <c r="C14" s="155"/>
      <c r="D14" s="149" t="s">
        <v>3690</v>
      </c>
      <c r="E14" s="149"/>
      <c r="F14" s="156"/>
      <c r="G14" s="157"/>
      <c r="H14" s="157"/>
      <c r="I14" s="157"/>
      <c r="J14" s="157"/>
      <c r="K14" s="157"/>
      <c r="L14" s="157"/>
      <c r="M14" s="157"/>
      <c r="N14" s="157"/>
      <c r="O14" s="157"/>
      <c r="P14" s="157"/>
      <c r="Q14" s="157"/>
      <c r="R14" s="157"/>
      <c r="S14" s="157">
        <f t="shared" si="0"/>
        <v>0</v>
      </c>
    </row>
    <row r="15" spans="2:19" x14ac:dyDescent="0.2">
      <c r="B15" s="149"/>
      <c r="C15" s="149"/>
      <c r="D15" s="149" t="s">
        <v>3691</v>
      </c>
      <c r="E15" s="149"/>
      <c r="F15" s="156"/>
      <c r="G15" s="157"/>
      <c r="H15" s="157"/>
      <c r="I15" s="157"/>
      <c r="J15" s="157"/>
      <c r="K15" s="157"/>
      <c r="L15" s="157"/>
      <c r="M15" s="157"/>
      <c r="N15" s="157"/>
      <c r="O15" s="157"/>
      <c r="P15" s="157"/>
      <c r="Q15" s="157"/>
      <c r="R15" s="157"/>
      <c r="S15" s="157">
        <f t="shared" si="0"/>
        <v>0</v>
      </c>
    </row>
    <row r="16" spans="2:19" x14ac:dyDescent="0.2">
      <c r="B16" s="158"/>
      <c r="C16" s="159"/>
      <c r="D16" s="159"/>
      <c r="E16" s="159"/>
      <c r="F16" s="160"/>
      <c r="G16" s="160"/>
      <c r="H16" s="160"/>
      <c r="I16" s="160"/>
      <c r="J16" s="160"/>
      <c r="K16" s="160"/>
      <c r="L16" s="160"/>
      <c r="M16" s="160"/>
      <c r="N16" s="160"/>
      <c r="O16" s="160"/>
      <c r="P16" s="160"/>
      <c r="Q16" s="160"/>
      <c r="R16" s="160"/>
      <c r="S16" s="161">
        <f>SUM(S13:S15)</f>
        <v>118942.29</v>
      </c>
    </row>
    <row r="17" spans="2:19" x14ac:dyDescent="0.2">
      <c r="F17" s="83"/>
      <c r="G17" s="83"/>
      <c r="H17" s="83"/>
      <c r="I17" s="83"/>
      <c r="J17" s="83"/>
      <c r="K17" s="83"/>
      <c r="L17" s="83"/>
      <c r="M17" s="83"/>
      <c r="N17" s="83"/>
      <c r="O17" s="83"/>
      <c r="P17" s="83"/>
      <c r="Q17" s="83"/>
      <c r="R17" s="83"/>
      <c r="S17" s="83"/>
    </row>
    <row r="18" spans="2:19" ht="14.5" x14ac:dyDescent="0.35">
      <c r="B18" s="155">
        <v>619304</v>
      </c>
      <c r="C18" s="155" t="s">
        <v>3693</v>
      </c>
      <c r="D18" s="149" t="s">
        <v>3689</v>
      </c>
      <c r="E18" s="149"/>
      <c r="F18" s="156"/>
      <c r="G18" s="157">
        <v>11713.4</v>
      </c>
      <c r="H18" s="157">
        <v>6686.26</v>
      </c>
      <c r="I18" s="157">
        <v>6795.1299999999992</v>
      </c>
      <c r="J18" s="157">
        <v>8781.5599999999959</v>
      </c>
      <c r="K18" s="157">
        <v>7227.73</v>
      </c>
      <c r="L18" s="157">
        <v>7352.2</v>
      </c>
      <c r="M18" s="157"/>
      <c r="N18" s="157"/>
      <c r="O18" s="157"/>
      <c r="P18" s="157"/>
      <c r="Q18" s="157"/>
      <c r="R18" s="162"/>
      <c r="S18" s="157">
        <f t="shared" ref="S18:S20" si="1">SUM(G18:R18)</f>
        <v>48556.28</v>
      </c>
    </row>
    <row r="19" spans="2:19" ht="14.5" x14ac:dyDescent="0.35">
      <c r="B19" s="155"/>
      <c r="C19" s="155"/>
      <c r="D19" s="149" t="s">
        <v>3690</v>
      </c>
      <c r="E19" s="149"/>
      <c r="F19" s="156"/>
      <c r="G19" s="157"/>
      <c r="H19" s="157"/>
      <c r="I19" s="157"/>
      <c r="J19" s="157"/>
      <c r="K19" s="157"/>
      <c r="L19" s="157"/>
      <c r="M19" s="157"/>
      <c r="N19" s="157"/>
      <c r="O19" s="157"/>
      <c r="P19" s="157"/>
      <c r="Q19" s="157"/>
      <c r="R19" s="157"/>
      <c r="S19" s="163">
        <f t="shared" si="1"/>
        <v>0</v>
      </c>
    </row>
    <row r="20" spans="2:19" x14ac:dyDescent="0.2">
      <c r="B20" s="149"/>
      <c r="C20" s="149"/>
      <c r="D20" s="149" t="s">
        <v>3691</v>
      </c>
      <c r="E20" s="149"/>
      <c r="F20" s="156"/>
      <c r="G20" s="157"/>
      <c r="H20" s="157"/>
      <c r="I20" s="157"/>
      <c r="J20" s="157"/>
      <c r="K20" s="157"/>
      <c r="L20" s="157"/>
      <c r="M20" s="157"/>
      <c r="N20" s="157"/>
      <c r="O20" s="157"/>
      <c r="P20" s="157"/>
      <c r="Q20" s="157"/>
      <c r="R20" s="157"/>
      <c r="S20" s="157">
        <f t="shared" si="1"/>
        <v>0</v>
      </c>
    </row>
    <row r="21" spans="2:19" x14ac:dyDescent="0.2">
      <c r="B21" s="158"/>
      <c r="C21" s="159"/>
      <c r="D21" s="159"/>
      <c r="E21" s="159"/>
      <c r="F21" s="160"/>
      <c r="G21" s="160"/>
      <c r="H21" s="160"/>
      <c r="I21" s="160"/>
      <c r="J21" s="160"/>
      <c r="K21" s="160"/>
      <c r="L21" s="160"/>
      <c r="M21" s="160"/>
      <c r="N21" s="160"/>
      <c r="O21" s="160"/>
      <c r="P21" s="160"/>
      <c r="Q21" s="160"/>
      <c r="R21" s="160"/>
      <c r="S21" s="161">
        <f>SUM(S18:S20)</f>
        <v>48556.28</v>
      </c>
    </row>
    <row r="22" spans="2:19" x14ac:dyDescent="0.2">
      <c r="F22" s="83"/>
      <c r="G22" s="83"/>
      <c r="H22" s="83"/>
      <c r="I22" s="83"/>
      <c r="J22" s="83"/>
      <c r="K22" s="83"/>
      <c r="L22" s="83"/>
      <c r="M22" s="83"/>
      <c r="N22" s="83"/>
      <c r="O22" s="83"/>
      <c r="P22" s="83"/>
      <c r="Q22" s="83"/>
      <c r="R22" s="83"/>
      <c r="S22" s="83"/>
    </row>
    <row r="23" spans="2:19" ht="14.5" x14ac:dyDescent="0.35">
      <c r="B23" s="155">
        <v>619307</v>
      </c>
      <c r="C23" s="155" t="s">
        <v>3694</v>
      </c>
      <c r="D23" s="149" t="s">
        <v>3689</v>
      </c>
      <c r="E23" s="149"/>
      <c r="F23" s="156"/>
      <c r="G23" s="157">
        <v>520.68999999999994</v>
      </c>
      <c r="H23" s="157">
        <v>297.24</v>
      </c>
      <c r="I23" s="157">
        <v>302.05</v>
      </c>
      <c r="J23" s="157">
        <v>390.34000000000003</v>
      </c>
      <c r="K23" s="157">
        <v>321.29000000000002</v>
      </c>
      <c r="L23" s="157">
        <v>326.83999999999997</v>
      </c>
      <c r="M23" s="157"/>
      <c r="N23" s="157"/>
      <c r="O23" s="157"/>
      <c r="P23" s="157"/>
      <c r="Q23" s="157"/>
      <c r="R23" s="162"/>
      <c r="S23" s="157">
        <f t="shared" ref="S23:S25" si="2">SUM(G23:R23)</f>
        <v>2158.4500000000003</v>
      </c>
    </row>
    <row r="24" spans="2:19" ht="14.5" x14ac:dyDescent="0.35">
      <c r="B24" s="155"/>
      <c r="C24" s="155"/>
      <c r="D24" s="149" t="s">
        <v>3690</v>
      </c>
      <c r="E24" s="149"/>
      <c r="F24" s="156"/>
      <c r="G24" s="157"/>
      <c r="H24" s="157"/>
      <c r="I24" s="157"/>
      <c r="J24" s="157"/>
      <c r="K24" s="157"/>
      <c r="L24" s="157"/>
      <c r="M24" s="157"/>
      <c r="N24" s="157"/>
      <c r="O24" s="157"/>
      <c r="P24" s="157"/>
      <c r="Q24" s="157"/>
      <c r="R24" s="157"/>
      <c r="S24" s="163">
        <f t="shared" si="2"/>
        <v>0</v>
      </c>
    </row>
    <row r="25" spans="2:19" x14ac:dyDescent="0.2">
      <c r="B25" s="149"/>
      <c r="C25" s="149"/>
      <c r="D25" s="149" t="s">
        <v>3691</v>
      </c>
      <c r="E25" s="149"/>
      <c r="F25" s="156"/>
      <c r="G25" s="157"/>
      <c r="H25" s="157"/>
      <c r="I25" s="157"/>
      <c r="J25" s="157"/>
      <c r="K25" s="157"/>
      <c r="L25" s="157"/>
      <c r="M25" s="157"/>
      <c r="N25" s="157"/>
      <c r="O25" s="157"/>
      <c r="P25" s="157"/>
      <c r="Q25" s="157"/>
      <c r="R25" s="157"/>
      <c r="S25" s="157">
        <f t="shared" si="2"/>
        <v>0</v>
      </c>
    </row>
    <row r="26" spans="2:19" x14ac:dyDescent="0.2">
      <c r="B26" s="158"/>
      <c r="C26" s="159"/>
      <c r="D26" s="159"/>
      <c r="E26" s="159"/>
      <c r="F26" s="160"/>
      <c r="G26" s="160"/>
      <c r="H26" s="160"/>
      <c r="I26" s="160"/>
      <c r="J26" s="160"/>
      <c r="K26" s="160"/>
      <c r="L26" s="160"/>
      <c r="M26" s="160"/>
      <c r="N26" s="160"/>
      <c r="O26" s="160"/>
      <c r="P26" s="160"/>
      <c r="Q26" s="160"/>
      <c r="R26" s="160"/>
      <c r="S26" s="161">
        <f>SUM(S23:S25)</f>
        <v>2158.4500000000003</v>
      </c>
    </row>
    <row r="27" spans="2:19" x14ac:dyDescent="0.2">
      <c r="F27" s="83"/>
      <c r="G27" s="83"/>
      <c r="H27" s="83"/>
      <c r="I27" s="83"/>
      <c r="J27" s="83"/>
      <c r="K27" s="83"/>
      <c r="L27" s="83"/>
      <c r="M27" s="83"/>
      <c r="N27" s="83"/>
      <c r="O27" s="83"/>
      <c r="P27" s="83"/>
      <c r="Q27" s="83"/>
      <c r="R27" s="83"/>
      <c r="S27" s="83"/>
    </row>
    <row r="28" spans="2:19" ht="14.5" x14ac:dyDescent="0.35">
      <c r="B28" s="155">
        <v>619512</v>
      </c>
      <c r="C28" s="155" t="s">
        <v>3695</v>
      </c>
      <c r="D28" s="149" t="s">
        <v>3689</v>
      </c>
      <c r="E28" s="149"/>
      <c r="F28" s="156"/>
      <c r="G28" s="157">
        <v>22778.799999999999</v>
      </c>
      <c r="H28" s="157">
        <v>11996</v>
      </c>
      <c r="I28" s="157">
        <v>4360</v>
      </c>
      <c r="J28" s="157">
        <v>679.01</v>
      </c>
      <c r="K28" s="157">
        <v>3565.01</v>
      </c>
      <c r="L28" s="157">
        <v>4619</v>
      </c>
      <c r="M28" s="157"/>
      <c r="N28" s="157"/>
      <c r="O28" s="157"/>
      <c r="P28" s="157"/>
      <c r="Q28" s="157"/>
      <c r="R28" s="162"/>
      <c r="S28" s="157">
        <f t="shared" ref="S28:S30" si="3">SUM(G28:R28)</f>
        <v>47997.820000000007</v>
      </c>
    </row>
    <row r="29" spans="2:19" ht="14.5" x14ac:dyDescent="0.35">
      <c r="B29" s="155"/>
      <c r="C29" s="155"/>
      <c r="D29" s="149" t="s">
        <v>3690</v>
      </c>
      <c r="E29" s="149"/>
      <c r="F29" s="156"/>
      <c r="G29" s="157"/>
      <c r="H29" s="157"/>
      <c r="I29" s="157"/>
      <c r="J29" s="157"/>
      <c r="K29" s="157"/>
      <c r="L29" s="157"/>
      <c r="M29" s="157"/>
      <c r="N29" s="157"/>
      <c r="O29" s="157"/>
      <c r="P29" s="157"/>
      <c r="Q29" s="157"/>
      <c r="R29" s="157"/>
      <c r="S29" s="163">
        <f t="shared" si="3"/>
        <v>0</v>
      </c>
    </row>
    <row r="30" spans="2:19" x14ac:dyDescent="0.2">
      <c r="B30" s="149"/>
      <c r="C30" s="149"/>
      <c r="D30" s="149" t="s">
        <v>3691</v>
      </c>
      <c r="E30" s="149"/>
      <c r="F30" s="156"/>
      <c r="G30" s="157"/>
      <c r="H30" s="157"/>
      <c r="I30" s="157"/>
      <c r="J30" s="157"/>
      <c r="K30" s="157"/>
      <c r="L30" s="157"/>
      <c r="M30" s="157"/>
      <c r="N30" s="157"/>
      <c r="O30" s="157"/>
      <c r="P30" s="157"/>
      <c r="Q30" s="157"/>
      <c r="R30" s="157"/>
      <c r="S30" s="157">
        <f t="shared" si="3"/>
        <v>0</v>
      </c>
    </row>
    <row r="31" spans="2:19" x14ac:dyDescent="0.2">
      <c r="B31" s="158"/>
      <c r="C31" s="159"/>
      <c r="D31" s="159"/>
      <c r="E31" s="159"/>
      <c r="F31" s="160"/>
      <c r="G31" s="160"/>
      <c r="H31" s="160"/>
      <c r="I31" s="160"/>
      <c r="J31" s="160"/>
      <c r="K31" s="160"/>
      <c r="L31" s="160"/>
      <c r="M31" s="160"/>
      <c r="N31" s="160"/>
      <c r="O31" s="160"/>
      <c r="P31" s="160"/>
      <c r="Q31" s="160"/>
      <c r="R31" s="160"/>
      <c r="S31" s="161">
        <f>SUM(S28:S30)</f>
        <v>47997.820000000007</v>
      </c>
    </row>
    <row r="32" spans="2:19" x14ac:dyDescent="0.2">
      <c r="F32" s="83"/>
      <c r="G32" s="83"/>
      <c r="H32" s="83"/>
      <c r="I32" s="83"/>
      <c r="J32" s="83"/>
      <c r="K32" s="83"/>
      <c r="L32" s="83"/>
      <c r="M32" s="83"/>
      <c r="N32" s="83"/>
      <c r="O32" s="83"/>
      <c r="P32" s="83"/>
      <c r="Q32" s="83"/>
      <c r="R32" s="83"/>
      <c r="S32" s="83"/>
    </row>
    <row r="33" spans="2:20" ht="14.5" x14ac:dyDescent="0.35">
      <c r="B33" s="155">
        <v>670200</v>
      </c>
      <c r="C33" s="155" t="s">
        <v>3696</v>
      </c>
      <c r="D33" s="149" t="s">
        <v>3697</v>
      </c>
      <c r="E33" s="164" t="s">
        <v>3698</v>
      </c>
      <c r="F33" s="157"/>
      <c r="G33" s="157">
        <v>10155.67</v>
      </c>
      <c r="H33" s="165">
        <v>10155.67</v>
      </c>
      <c r="I33" s="157">
        <v>10155.66</v>
      </c>
      <c r="J33" s="157">
        <v>10155.66</v>
      </c>
      <c r="K33" s="157">
        <v>10155.67</v>
      </c>
      <c r="L33" s="157">
        <f>10863.2+1415.08+2122.59</f>
        <v>14400.87</v>
      </c>
      <c r="M33" s="157"/>
      <c r="N33" s="157"/>
      <c r="O33" s="157"/>
      <c r="P33" s="157"/>
      <c r="Q33" s="157"/>
      <c r="R33" s="162"/>
      <c r="S33" s="157">
        <f t="shared" ref="S33:S41" si="4">SUM(G33:R33)</f>
        <v>65179.200000000004</v>
      </c>
      <c r="T33" t="s">
        <v>3699</v>
      </c>
    </row>
    <row r="34" spans="2:20" ht="14.5" x14ac:dyDescent="0.35">
      <c r="B34" s="155"/>
      <c r="C34" s="155"/>
      <c r="D34" s="149" t="s">
        <v>3690</v>
      </c>
      <c r="E34" s="164" t="s">
        <v>3698</v>
      </c>
      <c r="F34" s="157"/>
      <c r="G34" s="165"/>
      <c r="H34" s="157"/>
      <c r="I34" s="157"/>
      <c r="J34" s="157"/>
      <c r="K34" s="157"/>
      <c r="L34" s="157"/>
      <c r="M34" s="157"/>
      <c r="N34" s="157"/>
      <c r="O34" s="157"/>
      <c r="P34" s="157"/>
      <c r="Q34" s="157"/>
      <c r="R34" s="157"/>
      <c r="S34" s="163">
        <f t="shared" si="4"/>
        <v>0</v>
      </c>
    </row>
    <row r="35" spans="2:20" x14ac:dyDescent="0.2">
      <c r="B35" s="149"/>
      <c r="C35" s="149"/>
      <c r="D35" s="166" t="s">
        <v>3691</v>
      </c>
      <c r="E35" s="167" t="s">
        <v>3698</v>
      </c>
      <c r="F35" s="168"/>
      <c r="G35" s="169"/>
      <c r="H35" s="168"/>
      <c r="I35" s="168"/>
      <c r="J35" s="168"/>
      <c r="K35" s="168"/>
      <c r="L35" s="168"/>
      <c r="M35" s="168"/>
      <c r="N35" s="168"/>
      <c r="O35" s="168"/>
      <c r="P35" s="168"/>
      <c r="Q35" s="168"/>
      <c r="R35" s="168"/>
      <c r="S35" s="168">
        <f t="shared" si="4"/>
        <v>0</v>
      </c>
    </row>
    <row r="36" spans="2:20" ht="14.5" x14ac:dyDescent="0.35">
      <c r="B36" s="155"/>
      <c r="C36" s="155"/>
      <c r="D36" s="149" t="s">
        <v>3697</v>
      </c>
      <c r="E36" s="164" t="s">
        <v>3700</v>
      </c>
      <c r="F36" s="157"/>
      <c r="G36" s="165"/>
      <c r="H36" s="157"/>
      <c r="I36" s="157"/>
      <c r="J36" s="157"/>
      <c r="K36" s="157"/>
      <c r="L36" s="157"/>
      <c r="M36" s="157"/>
      <c r="N36" s="157"/>
      <c r="O36" s="157"/>
      <c r="P36" s="157"/>
      <c r="Q36" s="157"/>
      <c r="R36" s="157"/>
      <c r="S36" s="157">
        <f t="shared" si="4"/>
        <v>0</v>
      </c>
    </row>
    <row r="37" spans="2:20" ht="14.5" x14ac:dyDescent="0.35">
      <c r="B37" s="155"/>
      <c r="C37" s="155"/>
      <c r="D37" s="149" t="s">
        <v>3690</v>
      </c>
      <c r="E37" s="164" t="s">
        <v>3700</v>
      </c>
      <c r="F37" s="157"/>
      <c r="G37" s="165"/>
      <c r="H37" s="157"/>
      <c r="I37" s="157">
        <v>391.06</v>
      </c>
      <c r="J37" s="157"/>
      <c r="K37" s="157"/>
      <c r="L37" s="157"/>
      <c r="M37" s="157"/>
      <c r="N37" s="157"/>
      <c r="O37" s="157"/>
      <c r="P37" s="157"/>
      <c r="Q37" s="157"/>
      <c r="R37" s="157"/>
      <c r="S37" s="157">
        <f t="shared" si="4"/>
        <v>391.06</v>
      </c>
    </row>
    <row r="38" spans="2:20" x14ac:dyDescent="0.2">
      <c r="B38" s="149"/>
      <c r="C38" s="149"/>
      <c r="D38" s="166" t="s">
        <v>3691</v>
      </c>
      <c r="E38" s="167" t="s">
        <v>3700</v>
      </c>
      <c r="F38" s="168">
        <v>9071.0399999999991</v>
      </c>
      <c r="G38" s="169">
        <f t="shared" ref="G38:L38" si="5">$F$38/12</f>
        <v>755.92</v>
      </c>
      <c r="H38" s="169">
        <f t="shared" si="5"/>
        <v>755.92</v>
      </c>
      <c r="I38" s="169">
        <f t="shared" si="5"/>
        <v>755.92</v>
      </c>
      <c r="J38" s="169">
        <f t="shared" si="5"/>
        <v>755.92</v>
      </c>
      <c r="K38" s="169">
        <f t="shared" si="5"/>
        <v>755.92</v>
      </c>
      <c r="L38" s="169">
        <f t="shared" si="5"/>
        <v>755.92</v>
      </c>
      <c r="M38" s="168"/>
      <c r="N38" s="168"/>
      <c r="O38" s="168"/>
      <c r="P38" s="168"/>
      <c r="Q38" s="168"/>
      <c r="R38" s="168"/>
      <c r="S38" s="168">
        <f t="shared" si="4"/>
        <v>4535.5199999999995</v>
      </c>
    </row>
    <row r="39" spans="2:20" ht="14.5" x14ac:dyDescent="0.35">
      <c r="B39" s="155"/>
      <c r="C39" s="155"/>
      <c r="D39" s="149" t="s">
        <v>3697</v>
      </c>
      <c r="E39" s="164" t="s">
        <v>3701</v>
      </c>
      <c r="F39" s="157"/>
      <c r="G39" s="165">
        <v>1250</v>
      </c>
      <c r="H39" s="157">
        <v>1250</v>
      </c>
      <c r="I39" s="157">
        <v>1250</v>
      </c>
      <c r="J39" s="157"/>
      <c r="K39" s="157"/>
      <c r="L39" s="157"/>
      <c r="M39" s="157"/>
      <c r="N39" s="157"/>
      <c r="O39" s="157"/>
      <c r="P39" s="157"/>
      <c r="Q39" s="157"/>
      <c r="R39" s="157"/>
      <c r="S39" s="157">
        <f t="shared" si="4"/>
        <v>3750</v>
      </c>
    </row>
    <row r="40" spans="2:20" ht="14.5" x14ac:dyDescent="0.35">
      <c r="B40" s="155"/>
      <c r="C40" s="155"/>
      <c r="D40" s="149" t="s">
        <v>3690</v>
      </c>
      <c r="E40" s="164" t="s">
        <v>3701</v>
      </c>
      <c r="F40" s="157"/>
      <c r="G40" s="165"/>
      <c r="H40" s="157"/>
      <c r="I40" s="157"/>
      <c r="J40" s="157">
        <v>-3750</v>
      </c>
      <c r="K40" s="157"/>
      <c r="L40" s="157"/>
      <c r="M40" s="157"/>
      <c r="N40" s="157"/>
      <c r="O40" s="157"/>
      <c r="P40" s="157"/>
      <c r="Q40" s="157"/>
      <c r="R40" s="157"/>
      <c r="S40" s="157">
        <f t="shared" si="4"/>
        <v>-3750</v>
      </c>
      <c r="T40" t="s">
        <v>3702</v>
      </c>
    </row>
    <row r="41" spans="2:20" x14ac:dyDescent="0.2">
      <c r="B41" s="149"/>
      <c r="C41" s="149"/>
      <c r="D41" s="166" t="s">
        <v>3691</v>
      </c>
      <c r="E41" s="167" t="s">
        <v>3701</v>
      </c>
      <c r="F41" s="168">
        <v>8776.83</v>
      </c>
      <c r="G41" s="169">
        <f t="shared" ref="G41:L41" si="6">$F$41/12</f>
        <v>731.40250000000003</v>
      </c>
      <c r="H41" s="169">
        <f t="shared" si="6"/>
        <v>731.40250000000003</v>
      </c>
      <c r="I41" s="169">
        <f t="shared" si="6"/>
        <v>731.40250000000003</v>
      </c>
      <c r="J41" s="169">
        <f t="shared" si="6"/>
        <v>731.40250000000003</v>
      </c>
      <c r="K41" s="169">
        <f t="shared" si="6"/>
        <v>731.40250000000003</v>
      </c>
      <c r="L41" s="169">
        <f t="shared" si="6"/>
        <v>731.40250000000003</v>
      </c>
      <c r="M41" s="168"/>
      <c r="N41" s="168"/>
      <c r="O41" s="168"/>
      <c r="P41" s="168"/>
      <c r="Q41" s="168"/>
      <c r="R41" s="168"/>
      <c r="S41" s="168">
        <f t="shared" si="4"/>
        <v>4388.415</v>
      </c>
    </row>
    <row r="42" spans="2:20" x14ac:dyDescent="0.2">
      <c r="B42" s="158"/>
      <c r="C42" s="159"/>
      <c r="D42" s="159"/>
      <c r="E42" s="159"/>
      <c r="F42" s="160"/>
      <c r="G42" s="160"/>
      <c r="H42" s="160"/>
      <c r="I42" s="160"/>
      <c r="J42" s="160"/>
      <c r="K42" s="160"/>
      <c r="L42" s="160"/>
      <c r="M42" s="160"/>
      <c r="N42" s="160"/>
      <c r="O42" s="160"/>
      <c r="P42" s="160"/>
      <c r="Q42" s="160"/>
      <c r="R42" s="160"/>
      <c r="S42" s="161">
        <f>SUM(S33:S41)</f>
        <v>74494.195000000007</v>
      </c>
    </row>
    <row r="43" spans="2:20" x14ac:dyDescent="0.2">
      <c r="F43" s="83"/>
      <c r="G43" s="83"/>
      <c r="H43" s="83"/>
      <c r="I43" s="83"/>
      <c r="J43" s="83"/>
      <c r="K43" s="83"/>
      <c r="L43" s="83"/>
      <c r="M43" s="83"/>
      <c r="N43" s="83"/>
      <c r="O43" s="83"/>
      <c r="P43" s="83"/>
      <c r="Q43" s="83"/>
      <c r="R43" s="83"/>
      <c r="S43" s="83"/>
    </row>
    <row r="44" spans="2:20" ht="14.5" x14ac:dyDescent="0.35">
      <c r="B44" s="155">
        <v>669100</v>
      </c>
      <c r="C44" s="155" t="s">
        <v>3703</v>
      </c>
      <c r="D44" s="149" t="s">
        <v>3704</v>
      </c>
      <c r="E44" s="164" t="s">
        <v>3698</v>
      </c>
      <c r="F44" s="157"/>
      <c r="G44" s="157"/>
      <c r="H44" s="157"/>
      <c r="I44" s="157"/>
      <c r="J44" s="157"/>
      <c r="K44" s="157"/>
      <c r="L44" s="157"/>
      <c r="M44" s="157"/>
      <c r="N44" s="157"/>
      <c r="O44" s="157"/>
      <c r="P44" s="157"/>
      <c r="Q44" s="157"/>
      <c r="R44" s="162"/>
      <c r="S44" s="157">
        <f t="shared" ref="S44:S55" si="7">SUM(G44:R44)</f>
        <v>0</v>
      </c>
    </row>
    <row r="45" spans="2:20" ht="14.5" x14ac:dyDescent="0.35">
      <c r="B45" s="155"/>
      <c r="C45" s="155"/>
      <c r="D45" s="149" t="s">
        <v>3705</v>
      </c>
      <c r="E45" s="164" t="s">
        <v>3698</v>
      </c>
      <c r="F45" s="157"/>
      <c r="G45" s="157"/>
      <c r="H45" s="157"/>
      <c r="I45" s="157"/>
      <c r="J45" s="157"/>
      <c r="K45" s="157"/>
      <c r="L45" s="157"/>
      <c r="M45" s="157"/>
      <c r="N45" s="157"/>
      <c r="O45" s="157"/>
      <c r="P45" s="157"/>
      <c r="Q45" s="157"/>
      <c r="R45" s="157"/>
      <c r="S45" s="163">
        <f t="shared" si="7"/>
        <v>0</v>
      </c>
    </row>
    <row r="46" spans="2:20" x14ac:dyDescent="0.2">
      <c r="B46" s="149"/>
      <c r="C46" s="149"/>
      <c r="D46" s="166" t="s">
        <v>3706</v>
      </c>
      <c r="E46" s="167" t="s">
        <v>3698</v>
      </c>
      <c r="F46" s="168">
        <v>58985.04</v>
      </c>
      <c r="G46" s="168">
        <f>$F46/12</f>
        <v>4915.42</v>
      </c>
      <c r="H46" s="168">
        <f t="shared" ref="H46:L46" si="8">$F46/12</f>
        <v>4915.42</v>
      </c>
      <c r="I46" s="168">
        <f t="shared" si="8"/>
        <v>4915.42</v>
      </c>
      <c r="J46" s="168">
        <f t="shared" si="8"/>
        <v>4915.42</v>
      </c>
      <c r="K46" s="168">
        <f t="shared" si="8"/>
        <v>4915.42</v>
      </c>
      <c r="L46" s="168">
        <f t="shared" si="8"/>
        <v>4915.42</v>
      </c>
      <c r="M46" s="168"/>
      <c r="N46" s="168"/>
      <c r="O46" s="168"/>
      <c r="P46" s="168"/>
      <c r="Q46" s="168"/>
      <c r="R46" s="168"/>
      <c r="S46" s="168">
        <f t="shared" si="7"/>
        <v>29492.519999999997</v>
      </c>
    </row>
    <row r="47" spans="2:20" x14ac:dyDescent="0.2">
      <c r="B47" s="149"/>
      <c r="C47" s="149"/>
      <c r="D47" s="149" t="s">
        <v>3704</v>
      </c>
      <c r="E47" s="164" t="s">
        <v>3700</v>
      </c>
      <c r="F47" s="157"/>
      <c r="G47" s="157"/>
      <c r="H47" s="157"/>
      <c r="I47" s="157"/>
      <c r="J47" s="157"/>
      <c r="K47" s="157"/>
      <c r="L47" s="157"/>
      <c r="M47" s="157"/>
      <c r="N47" s="157"/>
      <c r="O47" s="157"/>
      <c r="P47" s="157"/>
      <c r="Q47" s="157"/>
      <c r="R47" s="157"/>
      <c r="S47" s="157">
        <f t="shared" si="7"/>
        <v>0</v>
      </c>
    </row>
    <row r="48" spans="2:20" x14ac:dyDescent="0.2">
      <c r="B48" s="149"/>
      <c r="C48" s="149"/>
      <c r="D48" s="149" t="s">
        <v>3705</v>
      </c>
      <c r="E48" s="164" t="s">
        <v>3700</v>
      </c>
      <c r="F48" s="157"/>
      <c r="G48" s="157"/>
      <c r="H48" s="157"/>
      <c r="I48" s="157">
        <v>3550</v>
      </c>
      <c r="J48" s="157"/>
      <c r="K48" s="157"/>
      <c r="L48" s="157"/>
      <c r="M48" s="157"/>
      <c r="N48" s="157"/>
      <c r="O48" s="157"/>
      <c r="P48" s="157"/>
      <c r="Q48" s="157"/>
      <c r="R48" s="157"/>
      <c r="S48" s="157">
        <f t="shared" si="7"/>
        <v>3550</v>
      </c>
    </row>
    <row r="49" spans="2:21" x14ac:dyDescent="0.2">
      <c r="B49" s="149"/>
      <c r="C49" s="149"/>
      <c r="D49" s="166" t="s">
        <v>3706</v>
      </c>
      <c r="E49" s="167" t="s">
        <v>3700</v>
      </c>
      <c r="F49" s="168">
        <v>6906</v>
      </c>
      <c r="G49" s="168">
        <f t="shared" ref="G49:L49" si="9">$F49/12</f>
        <v>575.5</v>
      </c>
      <c r="H49" s="168">
        <f t="shared" si="9"/>
        <v>575.5</v>
      </c>
      <c r="I49" s="168">
        <f t="shared" si="9"/>
        <v>575.5</v>
      </c>
      <c r="J49" s="168">
        <f t="shared" si="9"/>
        <v>575.5</v>
      </c>
      <c r="K49" s="168">
        <f t="shared" si="9"/>
        <v>575.5</v>
      </c>
      <c r="L49" s="168">
        <f t="shared" si="9"/>
        <v>575.5</v>
      </c>
      <c r="M49" s="168"/>
      <c r="N49" s="168"/>
      <c r="O49" s="168"/>
      <c r="P49" s="168"/>
      <c r="Q49" s="168"/>
      <c r="R49" s="168"/>
      <c r="S49" s="168">
        <f t="shared" si="7"/>
        <v>3453</v>
      </c>
    </row>
    <row r="50" spans="2:21" x14ac:dyDescent="0.2">
      <c r="B50" s="149"/>
      <c r="C50" s="149"/>
      <c r="D50" s="149" t="s">
        <v>3704</v>
      </c>
      <c r="E50" s="164" t="s">
        <v>3701</v>
      </c>
      <c r="F50" s="157"/>
      <c r="G50" s="157"/>
      <c r="H50" s="157"/>
      <c r="I50" s="157"/>
      <c r="J50" s="157">
        <v>-1414</v>
      </c>
      <c r="K50" s="157"/>
      <c r="L50" s="157"/>
      <c r="M50" s="157"/>
      <c r="N50" s="157"/>
      <c r="O50" s="157"/>
      <c r="P50" s="157"/>
      <c r="Q50" s="157"/>
      <c r="R50" s="157"/>
      <c r="S50" s="157">
        <f t="shared" si="7"/>
        <v>-1414</v>
      </c>
    </row>
    <row r="51" spans="2:21" x14ac:dyDescent="0.2">
      <c r="B51" s="149"/>
      <c r="C51" s="149"/>
      <c r="D51" s="149" t="s">
        <v>3705</v>
      </c>
      <c r="E51" s="164" t="s">
        <v>3701</v>
      </c>
      <c r="F51" s="157"/>
      <c r="G51" s="157"/>
      <c r="H51" s="157"/>
      <c r="I51" s="157"/>
      <c r="J51" s="157"/>
      <c r="K51" s="157"/>
      <c r="L51" s="157"/>
      <c r="M51" s="157"/>
      <c r="N51" s="157"/>
      <c r="O51" s="157"/>
      <c r="P51" s="157"/>
      <c r="Q51" s="157"/>
      <c r="R51" s="157"/>
      <c r="S51" s="157">
        <f t="shared" si="7"/>
        <v>0</v>
      </c>
    </row>
    <row r="52" spans="2:21" x14ac:dyDescent="0.2">
      <c r="B52" s="149"/>
      <c r="C52" s="149"/>
      <c r="D52" s="166" t="s">
        <v>3706</v>
      </c>
      <c r="E52" s="167" t="s">
        <v>3701</v>
      </c>
      <c r="F52" s="168">
        <v>4217.04</v>
      </c>
      <c r="G52" s="168">
        <f t="shared" ref="G52:L52" si="10">$F52/12</f>
        <v>351.42</v>
      </c>
      <c r="H52" s="168">
        <f t="shared" si="10"/>
        <v>351.42</v>
      </c>
      <c r="I52" s="168">
        <f t="shared" si="10"/>
        <v>351.42</v>
      </c>
      <c r="J52" s="168">
        <f t="shared" si="10"/>
        <v>351.42</v>
      </c>
      <c r="K52" s="168">
        <f t="shared" si="10"/>
        <v>351.42</v>
      </c>
      <c r="L52" s="168">
        <f t="shared" si="10"/>
        <v>351.42</v>
      </c>
      <c r="M52" s="168"/>
      <c r="N52" s="168"/>
      <c r="O52" s="168"/>
      <c r="P52" s="168"/>
      <c r="Q52" s="168"/>
      <c r="R52" s="168"/>
      <c r="S52" s="168">
        <f t="shared" si="7"/>
        <v>2108.52</v>
      </c>
      <c r="T52" s="157">
        <f>SUM(S44:S52)</f>
        <v>37190.039999999994</v>
      </c>
      <c r="U52" s="149" t="s">
        <v>3707</v>
      </c>
    </row>
    <row r="53" spans="2:21" x14ac:dyDescent="0.2">
      <c r="B53" s="149"/>
      <c r="C53" s="149"/>
      <c r="D53" s="149" t="s">
        <v>3708</v>
      </c>
      <c r="E53" s="164" t="s">
        <v>3698</v>
      </c>
      <c r="F53" s="157"/>
      <c r="G53" s="157"/>
      <c r="H53" s="157"/>
      <c r="I53" s="157"/>
      <c r="J53" s="157"/>
      <c r="K53" s="157">
        <f>-105903+76305</f>
        <v>-29598</v>
      </c>
      <c r="L53" s="157"/>
      <c r="M53" s="157"/>
      <c r="N53" s="157"/>
      <c r="O53" s="157"/>
      <c r="P53" s="157"/>
      <c r="Q53" s="157"/>
      <c r="R53" s="162"/>
      <c r="S53" s="157">
        <f t="shared" si="7"/>
        <v>-29598</v>
      </c>
    </row>
    <row r="54" spans="2:21" x14ac:dyDescent="0.2">
      <c r="B54" s="149"/>
      <c r="C54" s="149"/>
      <c r="D54" s="149" t="s">
        <v>3709</v>
      </c>
      <c r="E54" s="164" t="s">
        <v>3698</v>
      </c>
      <c r="F54" s="157"/>
      <c r="G54" s="157"/>
      <c r="H54" s="157"/>
      <c r="I54" s="157"/>
      <c r="J54" s="157"/>
      <c r="K54" s="157"/>
      <c r="L54" s="157"/>
      <c r="M54" s="157"/>
      <c r="N54" s="157"/>
      <c r="O54" s="157"/>
      <c r="P54" s="157"/>
      <c r="Q54" s="157"/>
      <c r="R54" s="162"/>
      <c r="S54" s="157">
        <f t="shared" si="7"/>
        <v>0</v>
      </c>
    </row>
    <row r="55" spans="2:21" x14ac:dyDescent="0.2">
      <c r="B55" s="149"/>
      <c r="C55" s="149"/>
      <c r="D55" s="166" t="s">
        <v>3710</v>
      </c>
      <c r="E55" s="167" t="s">
        <v>3698</v>
      </c>
      <c r="F55" s="168">
        <v>294803</v>
      </c>
      <c r="G55" s="168">
        <f t="shared" ref="G55:L55" si="11">$F55/12</f>
        <v>24566.916666666668</v>
      </c>
      <c r="H55" s="168">
        <f t="shared" si="11"/>
        <v>24566.916666666668</v>
      </c>
      <c r="I55" s="168">
        <f t="shared" si="11"/>
        <v>24566.916666666668</v>
      </c>
      <c r="J55" s="168">
        <f t="shared" si="11"/>
        <v>24566.916666666668</v>
      </c>
      <c r="K55" s="168">
        <f t="shared" si="11"/>
        <v>24566.916666666668</v>
      </c>
      <c r="L55" s="168">
        <f t="shared" si="11"/>
        <v>24566.916666666668</v>
      </c>
      <c r="M55" s="168"/>
      <c r="N55" s="168"/>
      <c r="O55" s="168"/>
      <c r="P55" s="168"/>
      <c r="Q55" s="168"/>
      <c r="R55" s="168"/>
      <c r="S55" s="170">
        <f t="shared" si="7"/>
        <v>147401.5</v>
      </c>
    </row>
    <row r="56" spans="2:21" x14ac:dyDescent="0.2">
      <c r="B56" s="158"/>
      <c r="C56" s="159"/>
      <c r="D56" s="159"/>
      <c r="E56" s="159"/>
      <c r="F56" s="160"/>
      <c r="G56" s="160"/>
      <c r="H56" s="160"/>
      <c r="I56" s="160"/>
      <c r="J56" s="160"/>
      <c r="K56" s="160"/>
      <c r="L56" s="160"/>
      <c r="M56" s="160"/>
      <c r="N56" s="160"/>
      <c r="O56" s="160"/>
      <c r="P56" s="160"/>
      <c r="Q56" s="160"/>
      <c r="R56" s="160"/>
      <c r="S56" s="161">
        <f>SUM(S44:S55)</f>
        <v>154993.53999999998</v>
      </c>
      <c r="T56" s="157">
        <f>+S56</f>
        <v>154993.53999999998</v>
      </c>
      <c r="U56" s="149" t="s">
        <v>3711</v>
      </c>
    </row>
    <row r="57" spans="2:21" x14ac:dyDescent="0.2">
      <c r="F57" s="83"/>
      <c r="G57" s="83"/>
      <c r="H57" s="83"/>
      <c r="I57" s="83"/>
      <c r="J57" s="83"/>
      <c r="K57" s="83"/>
      <c r="L57" s="83"/>
      <c r="M57" s="83"/>
      <c r="N57" s="83"/>
      <c r="O57" s="83"/>
      <c r="P57" s="83"/>
      <c r="Q57" s="83"/>
      <c r="R57" s="83"/>
      <c r="S57" s="83"/>
    </row>
    <row r="58" spans="2:21" ht="14.5" x14ac:dyDescent="0.35">
      <c r="B58" s="155">
        <v>619305</v>
      </c>
      <c r="C58" s="155" t="s">
        <v>3712</v>
      </c>
      <c r="D58" s="149" t="s">
        <v>3697</v>
      </c>
      <c r="E58" s="164" t="s">
        <v>3698</v>
      </c>
      <c r="F58" s="157"/>
      <c r="G58" s="157"/>
      <c r="H58" s="157"/>
      <c r="I58" s="157"/>
      <c r="J58" s="157"/>
      <c r="K58" s="157"/>
      <c r="L58" s="157"/>
      <c r="M58" s="157"/>
      <c r="N58" s="157"/>
      <c r="O58" s="157"/>
      <c r="P58" s="157"/>
      <c r="Q58" s="157"/>
      <c r="R58" s="162"/>
      <c r="S58" s="157">
        <f t="shared" ref="S58:S60" si="12">SUM(G58:R58)</f>
        <v>0</v>
      </c>
    </row>
    <row r="59" spans="2:21" ht="14.5" x14ac:dyDescent="0.35">
      <c r="B59" s="155"/>
      <c r="C59" s="155"/>
      <c r="D59" s="149" t="s">
        <v>3690</v>
      </c>
      <c r="E59" s="164" t="s">
        <v>3698</v>
      </c>
      <c r="F59" s="157"/>
      <c r="G59" s="157"/>
      <c r="H59" s="157"/>
      <c r="I59" s="157"/>
      <c r="J59" s="157"/>
      <c r="K59" s="157"/>
      <c r="L59" s="157"/>
      <c r="M59" s="157"/>
      <c r="N59" s="157"/>
      <c r="O59" s="157"/>
      <c r="P59" s="157"/>
      <c r="Q59" s="157"/>
      <c r="R59" s="157"/>
      <c r="S59" s="163">
        <f t="shared" si="12"/>
        <v>0</v>
      </c>
    </row>
    <row r="60" spans="2:21" x14ac:dyDescent="0.2">
      <c r="B60" s="149"/>
      <c r="C60" s="149"/>
      <c r="D60" s="166" t="s">
        <v>3691</v>
      </c>
      <c r="E60" s="167" t="s">
        <v>3698</v>
      </c>
      <c r="F60" s="168">
        <v>19600</v>
      </c>
      <c r="G60" s="168">
        <f t="shared" ref="G60:L60" si="13">$F60/12</f>
        <v>1633.3333333333333</v>
      </c>
      <c r="H60" s="168">
        <f t="shared" si="13"/>
        <v>1633.3333333333333</v>
      </c>
      <c r="I60" s="168">
        <f t="shared" si="13"/>
        <v>1633.3333333333333</v>
      </c>
      <c r="J60" s="168">
        <f t="shared" si="13"/>
        <v>1633.3333333333333</v>
      </c>
      <c r="K60" s="168">
        <f t="shared" si="13"/>
        <v>1633.3333333333333</v>
      </c>
      <c r="L60" s="168">
        <f t="shared" si="13"/>
        <v>1633.3333333333333</v>
      </c>
      <c r="M60" s="168"/>
      <c r="N60" s="168"/>
      <c r="O60" s="168"/>
      <c r="P60" s="168"/>
      <c r="Q60" s="168"/>
      <c r="R60" s="168"/>
      <c r="S60" s="168">
        <f t="shared" si="12"/>
        <v>9800</v>
      </c>
    </row>
    <row r="61" spans="2:21" x14ac:dyDescent="0.2">
      <c r="B61" s="158"/>
      <c r="C61" s="159"/>
      <c r="D61" s="159"/>
      <c r="E61" s="159"/>
      <c r="F61" s="160"/>
      <c r="G61" s="160"/>
      <c r="H61" s="160"/>
      <c r="I61" s="160"/>
      <c r="J61" s="160"/>
      <c r="K61" s="160"/>
      <c r="L61" s="160"/>
      <c r="M61" s="160"/>
      <c r="N61" s="160"/>
      <c r="O61" s="160"/>
      <c r="P61" s="160"/>
      <c r="Q61" s="160"/>
      <c r="R61" s="160"/>
      <c r="S61" s="161">
        <f>SUM(S58:S60)</f>
        <v>9800</v>
      </c>
    </row>
    <row r="62" spans="2:21" x14ac:dyDescent="0.2">
      <c r="F62" s="83"/>
      <c r="G62" s="83"/>
      <c r="H62" s="83"/>
      <c r="I62" s="83"/>
      <c r="J62" s="83"/>
      <c r="K62" s="83"/>
      <c r="L62" s="83"/>
      <c r="M62" s="83"/>
      <c r="N62" s="83"/>
      <c r="O62" s="83"/>
      <c r="P62" s="83"/>
      <c r="Q62" s="83"/>
      <c r="R62" s="83"/>
      <c r="S62" s="83"/>
    </row>
    <row r="63" spans="2:21" ht="14.5" x14ac:dyDescent="0.35">
      <c r="B63" s="155">
        <v>669120</v>
      </c>
      <c r="C63" s="155" t="s">
        <v>3713</v>
      </c>
      <c r="D63" s="149" t="s">
        <v>3697</v>
      </c>
      <c r="E63" s="164" t="s">
        <v>3698</v>
      </c>
      <c r="F63" s="157"/>
      <c r="G63" s="157"/>
      <c r="H63" s="157"/>
      <c r="I63" s="157"/>
      <c r="J63" s="157"/>
      <c r="K63" s="157"/>
      <c r="L63" s="157"/>
      <c r="M63" s="157"/>
      <c r="N63" s="157"/>
      <c r="O63" s="157"/>
      <c r="P63" s="157"/>
      <c r="Q63" s="157"/>
      <c r="R63" s="162"/>
      <c r="S63" s="157">
        <f t="shared" ref="S63:S65" si="14">SUM(G63:R63)</f>
        <v>0</v>
      </c>
    </row>
    <row r="64" spans="2:21" ht="14.5" x14ac:dyDescent="0.35">
      <c r="B64" s="155"/>
      <c r="C64" s="155"/>
      <c r="D64" s="149" t="s">
        <v>3690</v>
      </c>
      <c r="E64" s="164" t="s">
        <v>3698</v>
      </c>
      <c r="F64" s="157"/>
      <c r="G64" s="157"/>
      <c r="H64" s="157"/>
      <c r="I64" s="157"/>
      <c r="J64" s="157"/>
      <c r="K64" s="157"/>
      <c r="L64" s="157"/>
      <c r="M64" s="157"/>
      <c r="N64" s="157"/>
      <c r="O64" s="157"/>
      <c r="P64" s="157"/>
      <c r="Q64" s="157"/>
      <c r="R64" s="157"/>
      <c r="S64" s="163">
        <f t="shared" si="14"/>
        <v>0</v>
      </c>
    </row>
    <row r="65" spans="2:21" ht="14.5" x14ac:dyDescent="0.35">
      <c r="B65" s="149"/>
      <c r="C65" s="149"/>
      <c r="D65" s="166" t="s">
        <v>3691</v>
      </c>
      <c r="E65" s="167" t="s">
        <v>3698</v>
      </c>
      <c r="F65" s="168">
        <v>70613</v>
      </c>
      <c r="G65" s="168">
        <v>3037.5</v>
      </c>
      <c r="H65" s="168">
        <v>3037.5</v>
      </c>
      <c r="I65" s="168">
        <v>3037.5</v>
      </c>
      <c r="J65" s="168">
        <v>3037.5</v>
      </c>
      <c r="K65" s="168">
        <v>3037.5</v>
      </c>
      <c r="L65" s="168">
        <v>20119</v>
      </c>
      <c r="M65" s="168"/>
      <c r="N65" s="168"/>
      <c r="O65" s="168"/>
      <c r="P65" s="168"/>
      <c r="Q65" s="168"/>
      <c r="R65" s="168"/>
      <c r="S65" s="168">
        <f t="shared" si="14"/>
        <v>35306.5</v>
      </c>
      <c r="T65" s="171" t="s">
        <v>3714</v>
      </c>
      <c r="U65" s="172" t="s">
        <v>3715</v>
      </c>
    </row>
    <row r="66" spans="2:21" ht="14.5" x14ac:dyDescent="0.35">
      <c r="B66" s="158"/>
      <c r="C66" s="159"/>
      <c r="D66" s="159"/>
      <c r="E66" s="159"/>
      <c r="F66" s="160"/>
      <c r="G66" s="160"/>
      <c r="H66" s="160"/>
      <c r="I66" s="160"/>
      <c r="J66" s="160"/>
      <c r="K66" s="160"/>
      <c r="L66" s="160"/>
      <c r="M66" s="160"/>
      <c r="N66" s="160"/>
      <c r="O66" s="160"/>
      <c r="P66" s="160"/>
      <c r="Q66" s="160"/>
      <c r="R66" s="160"/>
      <c r="S66" s="161">
        <f>SUM(S63:S65)</f>
        <v>35306.5</v>
      </c>
      <c r="U66" s="171">
        <f>(70613/12*6)-(36450/12*5)</f>
        <v>20119</v>
      </c>
    </row>
    <row r="67" spans="2:21" x14ac:dyDescent="0.2">
      <c r="F67" s="83"/>
      <c r="G67" s="83"/>
      <c r="H67" s="83"/>
      <c r="I67" s="83"/>
      <c r="J67" s="83"/>
      <c r="K67" s="83"/>
      <c r="L67" s="83"/>
      <c r="M67" s="83"/>
      <c r="N67" s="83"/>
      <c r="O67" s="83"/>
      <c r="P67" s="83"/>
      <c r="Q67" s="83"/>
      <c r="R67" s="83"/>
      <c r="S67" s="83"/>
    </row>
    <row r="68" spans="2:21" ht="14.5" x14ac:dyDescent="0.35">
      <c r="B68" s="155">
        <v>669130</v>
      </c>
      <c r="C68" s="155" t="s">
        <v>3716</v>
      </c>
      <c r="D68" s="149" t="s">
        <v>3697</v>
      </c>
      <c r="E68" s="149" t="s">
        <v>3698</v>
      </c>
      <c r="F68" s="157"/>
      <c r="G68" s="157"/>
      <c r="H68" s="157"/>
      <c r="I68" s="157">
        <v>12409.77</v>
      </c>
      <c r="J68" s="157">
        <v>4136.59</v>
      </c>
      <c r="K68" s="157">
        <v>4136.59</v>
      </c>
      <c r="L68" s="157">
        <v>4136.59</v>
      </c>
      <c r="M68" s="157"/>
      <c r="N68" s="157"/>
      <c r="O68" s="157"/>
      <c r="P68" s="157"/>
      <c r="Q68" s="157"/>
      <c r="R68" s="162"/>
      <c r="S68" s="157">
        <f t="shared" ref="S68:S76" si="15">SUM(G68:R68)</f>
        <v>24819.54</v>
      </c>
    </row>
    <row r="69" spans="2:21" ht="14.5" x14ac:dyDescent="0.35">
      <c r="B69" s="155"/>
      <c r="C69" s="155"/>
      <c r="D69" s="149" t="s">
        <v>3690</v>
      </c>
      <c r="E69" s="149" t="s">
        <v>3698</v>
      </c>
      <c r="F69" s="157"/>
      <c r="G69" s="157"/>
      <c r="H69" s="157"/>
      <c r="I69" s="157"/>
      <c r="J69" s="157"/>
      <c r="K69" s="157"/>
      <c r="L69" s="157"/>
      <c r="M69" s="157"/>
      <c r="N69" s="157"/>
      <c r="O69" s="157"/>
      <c r="P69" s="157"/>
      <c r="Q69" s="157"/>
      <c r="R69" s="157"/>
      <c r="S69" s="163">
        <f t="shared" si="15"/>
        <v>0</v>
      </c>
    </row>
    <row r="70" spans="2:21" x14ac:dyDescent="0.2">
      <c r="B70" s="149"/>
      <c r="C70" s="149"/>
      <c r="D70" s="166" t="s">
        <v>3691</v>
      </c>
      <c r="E70" s="166" t="s">
        <v>3698</v>
      </c>
      <c r="F70" s="168">
        <v>48851.88</v>
      </c>
      <c r="G70" s="168">
        <f>$F$70/12</f>
        <v>4070.99</v>
      </c>
      <c r="H70" s="168">
        <f>$F$70/12</f>
        <v>4070.99</v>
      </c>
      <c r="I70" s="168">
        <v>-8141.98</v>
      </c>
      <c r="J70" s="168"/>
      <c r="K70" s="168"/>
      <c r="L70" s="168"/>
      <c r="M70" s="168"/>
      <c r="N70" s="168"/>
      <c r="O70" s="168"/>
      <c r="P70" s="168"/>
      <c r="Q70" s="168"/>
      <c r="R70" s="168"/>
      <c r="S70" s="168">
        <f t="shared" si="15"/>
        <v>0</v>
      </c>
    </row>
    <row r="71" spans="2:21" x14ac:dyDescent="0.2">
      <c r="B71" s="149"/>
      <c r="C71" s="149"/>
      <c r="D71" s="149" t="s">
        <v>3697</v>
      </c>
      <c r="E71" s="149" t="s">
        <v>3700</v>
      </c>
      <c r="F71" s="157"/>
      <c r="G71" s="157"/>
      <c r="H71" s="157"/>
      <c r="I71" s="157"/>
      <c r="J71" s="157"/>
      <c r="K71" s="157"/>
      <c r="L71" s="157"/>
      <c r="M71" s="157"/>
      <c r="N71" s="157"/>
      <c r="O71" s="157"/>
      <c r="P71" s="157"/>
      <c r="Q71" s="157"/>
      <c r="R71" s="162"/>
      <c r="S71" s="157">
        <f t="shared" si="15"/>
        <v>0</v>
      </c>
    </row>
    <row r="72" spans="2:21" x14ac:dyDescent="0.2">
      <c r="B72" s="149"/>
      <c r="C72" s="149"/>
      <c r="D72" s="149" t="s">
        <v>3690</v>
      </c>
      <c r="E72" s="149" t="s">
        <v>3700</v>
      </c>
      <c r="F72" s="157"/>
      <c r="G72" s="157"/>
      <c r="H72" s="157"/>
      <c r="I72" s="157"/>
      <c r="J72" s="157"/>
      <c r="K72" s="157"/>
      <c r="L72" s="157"/>
      <c r="M72" s="157"/>
      <c r="N72" s="157"/>
      <c r="O72" s="157"/>
      <c r="P72" s="157"/>
      <c r="Q72" s="157"/>
      <c r="R72" s="157"/>
      <c r="S72" s="163">
        <f t="shared" si="15"/>
        <v>0</v>
      </c>
    </row>
    <row r="73" spans="2:21" x14ac:dyDescent="0.2">
      <c r="B73" s="149"/>
      <c r="C73" s="149"/>
      <c r="D73" s="166" t="s">
        <v>3691</v>
      </c>
      <c r="E73" s="166" t="s">
        <v>3700</v>
      </c>
      <c r="F73" s="168">
        <f>543.72*12</f>
        <v>6524.64</v>
      </c>
      <c r="G73" s="168">
        <f t="shared" ref="G73:L73" si="16">$F$73/12</f>
        <v>543.72</v>
      </c>
      <c r="H73" s="168">
        <f t="shared" si="16"/>
        <v>543.72</v>
      </c>
      <c r="I73" s="168">
        <f t="shared" si="16"/>
        <v>543.72</v>
      </c>
      <c r="J73" s="168">
        <f t="shared" si="16"/>
        <v>543.72</v>
      </c>
      <c r="K73" s="168">
        <f t="shared" si="16"/>
        <v>543.72</v>
      </c>
      <c r="L73" s="168">
        <f t="shared" si="16"/>
        <v>543.72</v>
      </c>
      <c r="M73" s="168"/>
      <c r="N73" s="168"/>
      <c r="O73" s="168"/>
      <c r="P73" s="168"/>
      <c r="Q73" s="168"/>
      <c r="R73" s="168"/>
      <c r="S73" s="168">
        <f t="shared" si="15"/>
        <v>3262.3200000000006</v>
      </c>
    </row>
    <row r="74" spans="2:21" x14ac:dyDescent="0.2">
      <c r="B74" s="149"/>
      <c r="C74" s="149"/>
      <c r="D74" s="149" t="s">
        <v>3697</v>
      </c>
      <c r="E74" s="149" t="s">
        <v>3701</v>
      </c>
      <c r="F74" s="157"/>
      <c r="G74" s="157"/>
      <c r="H74" s="157"/>
      <c r="I74" s="157"/>
      <c r="J74" s="157"/>
      <c r="K74" s="157"/>
      <c r="L74" s="157"/>
      <c r="M74" s="157"/>
      <c r="N74" s="157"/>
      <c r="O74" s="157"/>
      <c r="P74" s="157"/>
      <c r="Q74" s="157"/>
      <c r="R74" s="162"/>
      <c r="S74" s="157">
        <f t="shared" si="15"/>
        <v>0</v>
      </c>
    </row>
    <row r="75" spans="2:21" x14ac:dyDescent="0.2">
      <c r="B75" s="149"/>
      <c r="C75" s="149"/>
      <c r="D75" s="149" t="s">
        <v>3690</v>
      </c>
      <c r="E75" s="149" t="s">
        <v>3701</v>
      </c>
      <c r="F75" s="157"/>
      <c r="G75" s="157"/>
      <c r="H75" s="157"/>
      <c r="I75" s="157"/>
      <c r="J75" s="157"/>
      <c r="K75" s="157"/>
      <c r="L75" s="157"/>
      <c r="M75" s="157"/>
      <c r="N75" s="157"/>
      <c r="O75" s="157"/>
      <c r="P75" s="157"/>
      <c r="Q75" s="157"/>
      <c r="R75" s="157"/>
      <c r="S75" s="163">
        <f t="shared" si="15"/>
        <v>0</v>
      </c>
    </row>
    <row r="76" spans="2:21" x14ac:dyDescent="0.2">
      <c r="B76" s="149"/>
      <c r="C76" s="149"/>
      <c r="D76" s="166" t="s">
        <v>3691</v>
      </c>
      <c r="E76" s="166" t="s">
        <v>3701</v>
      </c>
      <c r="F76" s="168">
        <v>6000</v>
      </c>
      <c r="G76" s="168">
        <f t="shared" ref="G76:L76" si="17">$F$76/12</f>
        <v>500</v>
      </c>
      <c r="H76" s="168">
        <f t="shared" si="17"/>
        <v>500</v>
      </c>
      <c r="I76" s="168">
        <f t="shared" si="17"/>
        <v>500</v>
      </c>
      <c r="J76" s="168">
        <f t="shared" si="17"/>
        <v>500</v>
      </c>
      <c r="K76" s="168">
        <f t="shared" si="17"/>
        <v>500</v>
      </c>
      <c r="L76" s="168">
        <f t="shared" si="17"/>
        <v>500</v>
      </c>
      <c r="M76" s="168"/>
      <c r="N76" s="168"/>
      <c r="O76" s="168"/>
      <c r="P76" s="168"/>
      <c r="Q76" s="168"/>
      <c r="R76" s="168"/>
      <c r="S76" s="168">
        <f t="shared" si="15"/>
        <v>3000</v>
      </c>
    </row>
    <row r="77" spans="2:21" x14ac:dyDescent="0.2">
      <c r="B77" s="158"/>
      <c r="C77" s="159"/>
      <c r="D77" s="159"/>
      <c r="E77" s="159"/>
      <c r="F77" s="160"/>
      <c r="G77" s="160"/>
      <c r="H77" s="160"/>
      <c r="I77" s="160"/>
      <c r="J77" s="160"/>
      <c r="K77" s="160"/>
      <c r="L77" s="160"/>
      <c r="M77" s="160"/>
      <c r="N77" s="160"/>
      <c r="O77" s="160"/>
      <c r="P77" s="160"/>
      <c r="Q77" s="160"/>
      <c r="R77" s="160"/>
      <c r="S77" s="161">
        <f>SUM(S68:S76)</f>
        <v>31081.86</v>
      </c>
    </row>
    <row r="78" spans="2:21" x14ac:dyDescent="0.2">
      <c r="F78" s="83"/>
      <c r="G78" s="83"/>
      <c r="H78" s="83"/>
      <c r="I78" s="83"/>
      <c r="J78" s="83"/>
      <c r="K78" s="83"/>
      <c r="L78" s="83"/>
      <c r="M78" s="83"/>
      <c r="N78" s="83"/>
      <c r="O78" s="83"/>
      <c r="P78" s="83"/>
      <c r="Q78" s="83"/>
      <c r="R78" s="83"/>
      <c r="S78" s="83"/>
    </row>
    <row r="79" spans="2:21" ht="14.5" x14ac:dyDescent="0.35">
      <c r="B79" s="155">
        <v>669110</v>
      </c>
      <c r="C79" s="155" t="s">
        <v>3717</v>
      </c>
      <c r="D79" s="149" t="s">
        <v>3697</v>
      </c>
      <c r="E79" s="149"/>
      <c r="F79" s="156"/>
      <c r="G79" s="157"/>
      <c r="H79" s="157"/>
      <c r="I79" s="157"/>
      <c r="J79" s="157"/>
      <c r="K79" s="157"/>
      <c r="L79" s="157"/>
      <c r="M79" s="157"/>
      <c r="N79" s="157"/>
      <c r="O79" s="157"/>
      <c r="P79" s="157"/>
      <c r="Q79" s="157"/>
      <c r="R79" s="162"/>
      <c r="S79" s="157">
        <f t="shared" ref="S79:S81" si="18">SUM(G79:R79)</f>
        <v>0</v>
      </c>
    </row>
    <row r="80" spans="2:21" x14ac:dyDescent="0.2">
      <c r="B80" s="149"/>
      <c r="C80" s="149"/>
      <c r="D80" s="149" t="s">
        <v>3690</v>
      </c>
      <c r="E80" s="149"/>
      <c r="F80" s="156"/>
      <c r="G80" s="157"/>
      <c r="H80" s="157"/>
      <c r="I80" s="157"/>
      <c r="J80" s="157"/>
      <c r="K80" s="157"/>
      <c r="L80" s="157"/>
      <c r="M80" s="157"/>
      <c r="N80" s="157"/>
      <c r="O80" s="157"/>
      <c r="P80" s="157"/>
      <c r="Q80" s="157"/>
      <c r="R80" s="157"/>
      <c r="S80" s="163">
        <f t="shared" si="18"/>
        <v>0</v>
      </c>
    </row>
    <row r="81" spans="2:20" x14ac:dyDescent="0.2">
      <c r="B81" s="149"/>
      <c r="C81" s="149"/>
      <c r="D81" s="166" t="s">
        <v>3691</v>
      </c>
      <c r="E81" s="166"/>
      <c r="F81" s="156"/>
      <c r="G81" s="168">
        <v>209.02083333333334</v>
      </c>
      <c r="H81" s="168">
        <v>209.02083333333334</v>
      </c>
      <c r="I81" s="168">
        <v>209.02083333333334</v>
      </c>
      <c r="J81" s="168">
        <v>209.02083333333334</v>
      </c>
      <c r="K81" s="168">
        <v>209.02083333333334</v>
      </c>
      <c r="L81" s="168">
        <v>209.02083333333334</v>
      </c>
      <c r="M81" s="168"/>
      <c r="N81" s="168"/>
      <c r="O81" s="168"/>
      <c r="P81" s="168"/>
      <c r="Q81" s="168"/>
      <c r="R81" s="168"/>
      <c r="S81" s="168">
        <f t="shared" si="18"/>
        <v>1254.125</v>
      </c>
    </row>
    <row r="82" spans="2:20" x14ac:dyDescent="0.2">
      <c r="B82" s="158"/>
      <c r="C82" s="159"/>
      <c r="D82" s="159"/>
      <c r="E82" s="159"/>
      <c r="F82" s="160"/>
      <c r="G82" s="160"/>
      <c r="H82" s="160"/>
      <c r="I82" s="160"/>
      <c r="J82" s="160"/>
      <c r="K82" s="160"/>
      <c r="L82" s="160"/>
      <c r="M82" s="160"/>
      <c r="N82" s="160"/>
      <c r="O82" s="160"/>
      <c r="P82" s="160"/>
      <c r="Q82" s="160"/>
      <c r="R82" s="160"/>
      <c r="S82" s="161">
        <f>SUM(S79:S81)</f>
        <v>1254.125</v>
      </c>
    </row>
    <row r="84" spans="2:20" x14ac:dyDescent="0.2">
      <c r="D84" s="149" t="s">
        <v>1162</v>
      </c>
      <c r="E84" s="173"/>
      <c r="F84" s="173"/>
      <c r="G84" s="174">
        <v>44592</v>
      </c>
      <c r="H84" s="174">
        <v>44620</v>
      </c>
      <c r="I84" s="174">
        <v>44651</v>
      </c>
      <c r="J84" s="174">
        <v>44681</v>
      </c>
      <c r="K84" s="174">
        <v>44712</v>
      </c>
      <c r="L84" s="174">
        <v>44742</v>
      </c>
      <c r="M84" s="174">
        <v>44773</v>
      </c>
      <c r="N84" s="174">
        <v>44804</v>
      </c>
      <c r="O84" s="174">
        <v>44834</v>
      </c>
      <c r="P84" s="174">
        <v>44865</v>
      </c>
      <c r="Q84" s="174">
        <v>44895</v>
      </c>
      <c r="R84" s="174">
        <v>44926</v>
      </c>
      <c r="S84" s="175" t="s">
        <v>218</v>
      </c>
    </row>
    <row r="85" spans="2:20" ht="14.5" x14ac:dyDescent="0.35">
      <c r="B85" s="176">
        <v>220800</v>
      </c>
      <c r="C85" s="149" t="s">
        <v>3718</v>
      </c>
      <c r="D85" s="157">
        <v>53892.53999999995</v>
      </c>
      <c r="E85" s="177"/>
      <c r="F85" s="177"/>
      <c r="G85" s="157"/>
      <c r="H85" s="157">
        <v>-52125.479999999981</v>
      </c>
      <c r="I85" s="157"/>
      <c r="J85" s="157"/>
      <c r="K85" s="157"/>
      <c r="L85" s="157"/>
      <c r="M85" s="157"/>
      <c r="N85" s="157"/>
      <c r="O85" s="157"/>
      <c r="P85" s="157"/>
      <c r="Q85" s="157"/>
      <c r="R85" s="157"/>
      <c r="S85" s="157">
        <f>SUM(D85:R85)</f>
        <v>1767.0599999999686</v>
      </c>
      <c r="T85" t="s">
        <v>3719</v>
      </c>
    </row>
    <row r="86" spans="2:20" x14ac:dyDescent="0.2">
      <c r="B86" s="149"/>
      <c r="C86" s="149" t="s">
        <v>3720</v>
      </c>
      <c r="D86" s="157">
        <v>37209.140000000014</v>
      </c>
      <c r="E86" s="177"/>
      <c r="F86" s="177"/>
      <c r="G86" s="157"/>
      <c r="H86" s="157">
        <v>-37209.140000000014</v>
      </c>
      <c r="I86" s="157"/>
      <c r="J86" s="157"/>
      <c r="K86" s="157"/>
      <c r="L86" s="157"/>
      <c r="M86" s="157"/>
      <c r="N86" s="157"/>
      <c r="O86" s="157"/>
      <c r="P86" s="157"/>
      <c r="Q86" s="157"/>
      <c r="R86" s="157"/>
      <c r="S86" s="157">
        <f t="shared" ref="S86:S111" si="19">SUM(D86:R86)</f>
        <v>0</v>
      </c>
      <c r="T86" t="s">
        <v>3719</v>
      </c>
    </row>
    <row r="87" spans="2:20" x14ac:dyDescent="0.2">
      <c r="B87" s="149"/>
      <c r="C87" s="149" t="s">
        <v>3721</v>
      </c>
      <c r="D87" s="149"/>
      <c r="E87" s="177"/>
      <c r="F87" s="177"/>
      <c r="G87" s="157">
        <v>2615.25</v>
      </c>
      <c r="H87" s="157">
        <v>1510.89</v>
      </c>
      <c r="I87" s="157">
        <v>1510.03</v>
      </c>
      <c r="J87" s="157">
        <v>1951.56</v>
      </c>
      <c r="K87" s="157">
        <v>1606.1399999999999</v>
      </c>
      <c r="L87" s="157">
        <v>1633.88</v>
      </c>
      <c r="M87" s="157"/>
      <c r="N87" s="157"/>
      <c r="O87" s="157"/>
      <c r="P87" s="157"/>
      <c r="Q87" s="157"/>
      <c r="R87" s="157"/>
      <c r="S87" s="157">
        <f t="shared" si="19"/>
        <v>10827.75</v>
      </c>
      <c r="T87" t="s">
        <v>3719</v>
      </c>
    </row>
    <row r="88" spans="2:20" x14ac:dyDescent="0.2">
      <c r="B88" s="149"/>
      <c r="C88" s="149" t="s">
        <v>3722</v>
      </c>
      <c r="D88" s="149"/>
      <c r="E88" s="177"/>
      <c r="F88" s="177"/>
      <c r="G88" s="157">
        <v>2349.89</v>
      </c>
      <c r="H88" s="157">
        <v>1352.0800000000002</v>
      </c>
      <c r="I88" s="157">
        <v>1359.12</v>
      </c>
      <c r="J88" s="157">
        <v>1756.31</v>
      </c>
      <c r="K88" s="157">
        <v>1445.6399999999999</v>
      </c>
      <c r="L88" s="157">
        <v>-1470.58</v>
      </c>
      <c r="M88" s="157"/>
      <c r="N88" s="157"/>
      <c r="O88" s="157"/>
      <c r="P88" s="157"/>
      <c r="Q88" s="157"/>
      <c r="R88" s="157"/>
      <c r="S88" s="157">
        <f t="shared" si="19"/>
        <v>6792.4599999999991</v>
      </c>
      <c r="T88" t="s">
        <v>3719</v>
      </c>
    </row>
    <row r="89" spans="2:20" x14ac:dyDescent="0.2">
      <c r="B89" s="149"/>
      <c r="C89" s="149" t="s">
        <v>3723</v>
      </c>
      <c r="D89" s="157">
        <v>645.02999999999975</v>
      </c>
      <c r="E89" s="177"/>
      <c r="F89" s="177"/>
      <c r="G89" s="157"/>
      <c r="H89" s="157"/>
      <c r="I89" s="157"/>
      <c r="J89" s="157">
        <v>-3697.75</v>
      </c>
      <c r="K89" s="157"/>
      <c r="L89" s="157"/>
      <c r="M89" s="157"/>
      <c r="N89" s="157"/>
      <c r="O89" s="157"/>
      <c r="P89" s="157"/>
      <c r="Q89" s="157"/>
      <c r="R89" s="157"/>
      <c r="S89" s="157">
        <f t="shared" si="19"/>
        <v>-3052.7200000000003</v>
      </c>
      <c r="T89" t="s">
        <v>3719</v>
      </c>
    </row>
    <row r="90" spans="2:20" x14ac:dyDescent="0.2">
      <c r="B90" s="149"/>
      <c r="C90" s="149" t="s">
        <v>3724</v>
      </c>
      <c r="D90" s="149"/>
      <c r="E90" s="177"/>
      <c r="F90" s="177"/>
      <c r="G90" s="157">
        <v>520.69000000000005</v>
      </c>
      <c r="H90" s="157">
        <v>297.24</v>
      </c>
      <c r="I90" s="157">
        <v>302.05</v>
      </c>
      <c r="J90" s="157">
        <v>390.34</v>
      </c>
      <c r="K90" s="157">
        <v>321.29000000000002</v>
      </c>
      <c r="L90" s="157">
        <v>-10.78</v>
      </c>
      <c r="M90" s="157"/>
      <c r="N90" s="157"/>
      <c r="O90" s="157"/>
      <c r="P90" s="157"/>
      <c r="Q90" s="157"/>
      <c r="R90" s="157"/>
      <c r="S90" s="157">
        <f t="shared" si="19"/>
        <v>1820.83</v>
      </c>
      <c r="T90" t="s">
        <v>3719</v>
      </c>
    </row>
    <row r="91" spans="2:20" x14ac:dyDescent="0.2">
      <c r="B91" s="149"/>
      <c r="C91" s="149" t="s">
        <v>3725</v>
      </c>
      <c r="D91" s="157">
        <v>-1231.6300000000001</v>
      </c>
      <c r="E91" s="177"/>
      <c r="F91" s="177"/>
      <c r="G91" s="157"/>
      <c r="H91" s="157"/>
      <c r="I91" s="157"/>
      <c r="J91" s="157"/>
      <c r="K91" s="157"/>
      <c r="L91" s="157"/>
      <c r="M91" s="157"/>
      <c r="N91" s="157"/>
      <c r="O91" s="157"/>
      <c r="P91" s="157"/>
      <c r="Q91" s="157"/>
      <c r="R91" s="157"/>
      <c r="S91" s="157">
        <f t="shared" si="19"/>
        <v>-1231.6300000000001</v>
      </c>
      <c r="T91" t="s">
        <v>3726</v>
      </c>
    </row>
    <row r="92" spans="2:20" x14ac:dyDescent="0.2">
      <c r="B92" s="149"/>
      <c r="C92" s="149" t="s">
        <v>3727</v>
      </c>
      <c r="D92" s="157">
        <v>-7578.5800000000017</v>
      </c>
      <c r="E92" s="177"/>
      <c r="F92" s="177"/>
      <c r="G92" s="157"/>
      <c r="H92" s="157"/>
      <c r="I92" s="157"/>
      <c r="J92" s="157"/>
      <c r="K92" s="157"/>
      <c r="L92" s="157"/>
      <c r="M92" s="157"/>
      <c r="N92" s="157"/>
      <c r="O92" s="157"/>
      <c r="P92" s="157"/>
      <c r="Q92" s="157"/>
      <c r="R92" s="157"/>
      <c r="S92" s="157">
        <f t="shared" si="19"/>
        <v>-7578.5800000000017</v>
      </c>
      <c r="T92" t="s">
        <v>3726</v>
      </c>
    </row>
    <row r="93" spans="2:20" x14ac:dyDescent="0.2">
      <c r="B93" s="149"/>
      <c r="C93" s="149" t="s">
        <v>3728</v>
      </c>
      <c r="D93" s="149"/>
      <c r="E93" s="177"/>
      <c r="F93" s="177"/>
      <c r="G93" s="157">
        <v>-2.2737367544323206E-12</v>
      </c>
      <c r="H93" s="157">
        <v>-433.28000000000065</v>
      </c>
      <c r="I93" s="157">
        <v>-595.96</v>
      </c>
      <c r="J93" s="157">
        <v>-1516.15</v>
      </c>
      <c r="K93" s="157">
        <v>763.91999999999962</v>
      </c>
      <c r="L93" s="157">
        <v>-4170.96</v>
      </c>
      <c r="M93" s="157"/>
      <c r="N93" s="157"/>
      <c r="O93" s="157"/>
      <c r="P93" s="157"/>
      <c r="Q93" s="157"/>
      <c r="R93" s="157"/>
      <c r="S93" s="157">
        <f t="shared" si="19"/>
        <v>-5952.4300000000039</v>
      </c>
      <c r="T93" t="s">
        <v>3726</v>
      </c>
    </row>
    <row r="94" spans="2:20" x14ac:dyDescent="0.2">
      <c r="B94" s="149"/>
      <c r="C94" s="149" t="s">
        <v>3729</v>
      </c>
      <c r="D94" s="157">
        <v>1.6600000000034925</v>
      </c>
      <c r="E94" s="177"/>
      <c r="F94" s="177"/>
      <c r="G94" s="157"/>
      <c r="H94" s="157"/>
      <c r="I94" s="157"/>
      <c r="J94" s="157"/>
      <c r="K94" s="157"/>
      <c r="L94" s="157"/>
      <c r="M94" s="157"/>
      <c r="N94" s="157"/>
      <c r="O94" s="157"/>
      <c r="P94" s="157"/>
      <c r="Q94" s="157"/>
      <c r="R94" s="157"/>
      <c r="S94" s="157">
        <f t="shared" si="19"/>
        <v>1.6600000000034925</v>
      </c>
      <c r="T94" t="s">
        <v>3719</v>
      </c>
    </row>
    <row r="95" spans="2:20" x14ac:dyDescent="0.2">
      <c r="B95" s="149"/>
      <c r="C95" s="149" t="s">
        <v>3730</v>
      </c>
      <c r="D95" s="157">
        <v>83184.28</v>
      </c>
      <c r="E95" s="177"/>
      <c r="F95" s="177"/>
      <c r="G95" s="157"/>
      <c r="H95" s="157"/>
      <c r="I95" s="157"/>
      <c r="J95" s="157"/>
      <c r="K95" s="157"/>
      <c r="L95" s="157"/>
      <c r="M95" s="157"/>
      <c r="N95" s="157"/>
      <c r="O95" s="157"/>
      <c r="P95" s="157"/>
      <c r="Q95" s="157"/>
      <c r="R95" s="157"/>
      <c r="S95" s="157">
        <f t="shared" si="19"/>
        <v>83184.28</v>
      </c>
      <c r="T95" t="s">
        <v>3719</v>
      </c>
    </row>
    <row r="96" spans="2:20" x14ac:dyDescent="0.2">
      <c r="B96" s="149"/>
      <c r="C96" s="149" t="s">
        <v>3731</v>
      </c>
      <c r="D96" s="149"/>
      <c r="E96" s="177"/>
      <c r="F96" s="177"/>
      <c r="G96" s="157">
        <v>11713.4</v>
      </c>
      <c r="H96" s="157">
        <v>6686.26</v>
      </c>
      <c r="I96" s="157">
        <v>6795.13</v>
      </c>
      <c r="J96" s="157">
        <v>8781.56</v>
      </c>
      <c r="K96" s="157">
        <v>7227.73</v>
      </c>
      <c r="L96" s="157">
        <v>7352.2</v>
      </c>
      <c r="M96" s="157"/>
      <c r="N96" s="157"/>
      <c r="O96" s="157"/>
      <c r="P96" s="157"/>
      <c r="Q96" s="157"/>
      <c r="R96" s="157"/>
      <c r="S96" s="157">
        <f t="shared" si="19"/>
        <v>48556.28</v>
      </c>
      <c r="T96" t="s">
        <v>3719</v>
      </c>
    </row>
    <row r="97" spans="2:20" x14ac:dyDescent="0.2">
      <c r="B97" s="149"/>
      <c r="C97" s="178" t="s">
        <v>3732</v>
      </c>
      <c r="D97" s="178"/>
      <c r="E97" s="178"/>
      <c r="F97" s="178"/>
      <c r="G97" s="161">
        <f>+G35+G38+G41</f>
        <v>1487.3225</v>
      </c>
      <c r="H97" s="161">
        <f t="shared" ref="H97:R97" si="20">+H35+H38+H41</f>
        <v>1487.3225</v>
      </c>
      <c r="I97" s="161">
        <f t="shared" si="20"/>
        <v>1487.3225</v>
      </c>
      <c r="J97" s="161">
        <f t="shared" si="20"/>
        <v>1487.3225</v>
      </c>
      <c r="K97" s="161">
        <f t="shared" si="20"/>
        <v>1487.3225</v>
      </c>
      <c r="L97" s="161">
        <f t="shared" si="20"/>
        <v>1487.3225</v>
      </c>
      <c r="M97" s="161">
        <f t="shared" si="20"/>
        <v>0</v>
      </c>
      <c r="N97" s="161">
        <f t="shared" si="20"/>
        <v>0</v>
      </c>
      <c r="O97" s="161">
        <f t="shared" si="20"/>
        <v>0</v>
      </c>
      <c r="P97" s="161">
        <f t="shared" si="20"/>
        <v>0</v>
      </c>
      <c r="Q97" s="161">
        <f t="shared" si="20"/>
        <v>0</v>
      </c>
      <c r="R97" s="161">
        <f t="shared" si="20"/>
        <v>0</v>
      </c>
      <c r="S97" s="161">
        <f t="shared" si="19"/>
        <v>8923.9349999999995</v>
      </c>
      <c r="T97" t="s">
        <v>3733</v>
      </c>
    </row>
    <row r="98" spans="2:20" x14ac:dyDescent="0.2">
      <c r="B98" s="149"/>
      <c r="C98" s="149" t="s">
        <v>3734</v>
      </c>
      <c r="D98" s="157">
        <v>6515</v>
      </c>
      <c r="E98" s="177"/>
      <c r="F98" s="177"/>
      <c r="G98" s="157">
        <f>-D98</f>
        <v>-6515</v>
      </c>
      <c r="H98" s="157"/>
      <c r="I98" s="157"/>
      <c r="J98" s="157"/>
      <c r="K98" s="157"/>
      <c r="L98" s="157"/>
      <c r="M98" s="157"/>
      <c r="N98" s="157"/>
      <c r="O98" s="157"/>
      <c r="P98" s="157"/>
      <c r="Q98" s="157"/>
      <c r="R98" s="157"/>
      <c r="S98" s="157">
        <f t="shared" si="19"/>
        <v>0</v>
      </c>
      <c r="T98" t="s">
        <v>3733</v>
      </c>
    </row>
    <row r="99" spans="2:20" x14ac:dyDescent="0.2">
      <c r="B99" s="149"/>
      <c r="C99" s="178" t="s">
        <v>3735</v>
      </c>
      <c r="D99" s="161"/>
      <c r="E99" s="178"/>
      <c r="F99" s="178"/>
      <c r="G99" s="161">
        <f>+G81</f>
        <v>209.02083333333334</v>
      </c>
      <c r="H99" s="161">
        <f t="shared" ref="H99:R99" si="21">+H81</f>
        <v>209.02083333333334</v>
      </c>
      <c r="I99" s="161">
        <f t="shared" si="21"/>
        <v>209.02083333333334</v>
      </c>
      <c r="J99" s="161">
        <f t="shared" si="21"/>
        <v>209.02083333333334</v>
      </c>
      <c r="K99" s="161">
        <f t="shared" si="21"/>
        <v>209.02083333333334</v>
      </c>
      <c r="L99" s="161">
        <f t="shared" si="21"/>
        <v>209.02083333333334</v>
      </c>
      <c r="M99" s="161">
        <f t="shared" si="21"/>
        <v>0</v>
      </c>
      <c r="N99" s="161">
        <f t="shared" si="21"/>
        <v>0</v>
      </c>
      <c r="O99" s="161">
        <f t="shared" si="21"/>
        <v>0</v>
      </c>
      <c r="P99" s="161">
        <f t="shared" si="21"/>
        <v>0</v>
      </c>
      <c r="Q99" s="161">
        <f t="shared" si="21"/>
        <v>0</v>
      </c>
      <c r="R99" s="161">
        <f t="shared" si="21"/>
        <v>0</v>
      </c>
      <c r="S99" s="161">
        <f t="shared" si="19"/>
        <v>1254.125</v>
      </c>
      <c r="T99" t="s">
        <v>3733</v>
      </c>
    </row>
    <row r="100" spans="2:20" x14ac:dyDescent="0.2">
      <c r="B100" s="149"/>
      <c r="C100" s="149" t="s">
        <v>3736</v>
      </c>
      <c r="D100" s="157">
        <v>6000</v>
      </c>
      <c r="E100" s="177"/>
      <c r="F100" s="177"/>
      <c r="G100" s="157"/>
      <c r="H100" s="157"/>
      <c r="I100" s="157"/>
      <c r="J100" s="157"/>
      <c r="K100" s="157"/>
      <c r="L100" s="157"/>
      <c r="M100" s="157"/>
      <c r="N100" s="157"/>
      <c r="O100" s="157"/>
      <c r="P100" s="157"/>
      <c r="Q100" s="157"/>
      <c r="R100" s="157"/>
      <c r="S100" s="157">
        <f t="shared" si="19"/>
        <v>6000</v>
      </c>
      <c r="T100" t="s">
        <v>3733</v>
      </c>
    </row>
    <row r="101" spans="2:20" x14ac:dyDescent="0.2">
      <c r="B101" s="149"/>
      <c r="C101" s="178" t="s">
        <v>3737</v>
      </c>
      <c r="D101" s="161"/>
      <c r="E101" s="178"/>
      <c r="F101" s="178"/>
      <c r="G101" s="161">
        <f>+G70+G73+G76</f>
        <v>5114.71</v>
      </c>
      <c r="H101" s="161">
        <f t="shared" ref="H101:R101" si="22">+H70+H73+H76</f>
        <v>5114.71</v>
      </c>
      <c r="I101" s="161">
        <f t="shared" si="22"/>
        <v>-7098.2599999999993</v>
      </c>
      <c r="J101" s="161">
        <f t="shared" si="22"/>
        <v>1043.72</v>
      </c>
      <c r="K101" s="161">
        <f t="shared" si="22"/>
        <v>1043.72</v>
      </c>
      <c r="L101" s="161">
        <f t="shared" si="22"/>
        <v>1043.72</v>
      </c>
      <c r="M101" s="161">
        <f t="shared" si="22"/>
        <v>0</v>
      </c>
      <c r="N101" s="161">
        <f t="shared" si="22"/>
        <v>0</v>
      </c>
      <c r="O101" s="161">
        <f t="shared" si="22"/>
        <v>0</v>
      </c>
      <c r="P101" s="161">
        <f t="shared" si="22"/>
        <v>0</v>
      </c>
      <c r="Q101" s="161">
        <f t="shared" si="22"/>
        <v>0</v>
      </c>
      <c r="R101" s="161">
        <f t="shared" si="22"/>
        <v>0</v>
      </c>
      <c r="S101" s="161">
        <f t="shared" si="19"/>
        <v>6262.3200000000015</v>
      </c>
      <c r="T101" t="s">
        <v>3733</v>
      </c>
    </row>
    <row r="102" spans="2:20" x14ac:dyDescent="0.2">
      <c r="B102" s="149"/>
      <c r="C102" s="149" t="s">
        <v>3738</v>
      </c>
      <c r="D102" s="157">
        <v>36540</v>
      </c>
      <c r="E102" s="177"/>
      <c r="F102" s="177"/>
      <c r="G102" s="157"/>
      <c r="H102" s="157"/>
      <c r="I102" s="157"/>
      <c r="J102" s="157"/>
      <c r="K102" s="157">
        <f>-70613</f>
        <v>-70613</v>
      </c>
      <c r="L102" s="157"/>
      <c r="M102" s="157"/>
      <c r="N102" s="157"/>
      <c r="O102" s="157"/>
      <c r="P102" s="157"/>
      <c r="Q102" s="157"/>
      <c r="R102" s="157"/>
      <c r="S102" s="157">
        <f t="shared" si="19"/>
        <v>-34073</v>
      </c>
      <c r="T102" t="s">
        <v>3733</v>
      </c>
    </row>
    <row r="103" spans="2:20" x14ac:dyDescent="0.2">
      <c r="B103" s="149"/>
      <c r="C103" s="178" t="s">
        <v>3739</v>
      </c>
      <c r="D103" s="161"/>
      <c r="E103" s="178"/>
      <c r="F103" s="178"/>
      <c r="G103" s="161">
        <f>+G65</f>
        <v>3037.5</v>
      </c>
      <c r="H103" s="161">
        <f t="shared" ref="H103:R103" si="23">+H65</f>
        <v>3037.5</v>
      </c>
      <c r="I103" s="161">
        <f t="shared" si="23"/>
        <v>3037.5</v>
      </c>
      <c r="J103" s="161">
        <f t="shared" si="23"/>
        <v>3037.5</v>
      </c>
      <c r="K103" s="161">
        <f t="shared" si="23"/>
        <v>3037.5</v>
      </c>
      <c r="L103" s="161">
        <f t="shared" si="23"/>
        <v>20119</v>
      </c>
      <c r="M103" s="161">
        <f t="shared" si="23"/>
        <v>0</v>
      </c>
      <c r="N103" s="161">
        <f t="shared" si="23"/>
        <v>0</v>
      </c>
      <c r="O103" s="161">
        <f t="shared" si="23"/>
        <v>0</v>
      </c>
      <c r="P103" s="161">
        <f t="shared" si="23"/>
        <v>0</v>
      </c>
      <c r="Q103" s="161">
        <f t="shared" si="23"/>
        <v>0</v>
      </c>
      <c r="R103" s="161">
        <f t="shared" si="23"/>
        <v>0</v>
      </c>
      <c r="S103" s="161">
        <f t="shared" si="19"/>
        <v>35306.5</v>
      </c>
      <c r="T103" t="s">
        <v>3733</v>
      </c>
    </row>
    <row r="104" spans="2:20" x14ac:dyDescent="0.2">
      <c r="B104" s="149"/>
      <c r="C104" s="149" t="s">
        <v>3740</v>
      </c>
      <c r="D104" s="157">
        <v>19600</v>
      </c>
      <c r="E104" s="177"/>
      <c r="F104" s="177"/>
      <c r="G104" s="157"/>
      <c r="H104" s="157"/>
      <c r="I104" s="157"/>
      <c r="J104" s="157"/>
      <c r="K104" s="157"/>
      <c r="L104" s="157"/>
      <c r="M104" s="157"/>
      <c r="N104" s="157"/>
      <c r="O104" s="157"/>
      <c r="P104" s="157"/>
      <c r="Q104" s="157"/>
      <c r="R104" s="157"/>
      <c r="S104" s="157">
        <f t="shared" si="19"/>
        <v>19600</v>
      </c>
      <c r="T104" t="s">
        <v>3733</v>
      </c>
    </row>
    <row r="105" spans="2:20" x14ac:dyDescent="0.2">
      <c r="B105" s="149"/>
      <c r="C105" s="178" t="s">
        <v>3741</v>
      </c>
      <c r="D105" s="161"/>
      <c r="E105" s="178"/>
      <c r="F105" s="178"/>
      <c r="G105" s="161">
        <f>+G60</f>
        <v>1633.3333333333333</v>
      </c>
      <c r="H105" s="161">
        <f t="shared" ref="H105:R105" si="24">+H60</f>
        <v>1633.3333333333333</v>
      </c>
      <c r="I105" s="161">
        <f t="shared" si="24"/>
        <v>1633.3333333333333</v>
      </c>
      <c r="J105" s="161">
        <f t="shared" si="24"/>
        <v>1633.3333333333333</v>
      </c>
      <c r="K105" s="161">
        <f t="shared" si="24"/>
        <v>1633.3333333333333</v>
      </c>
      <c r="L105" s="161">
        <f t="shared" si="24"/>
        <v>1633.3333333333333</v>
      </c>
      <c r="M105" s="161">
        <f t="shared" si="24"/>
        <v>0</v>
      </c>
      <c r="N105" s="161">
        <f t="shared" si="24"/>
        <v>0</v>
      </c>
      <c r="O105" s="161">
        <f t="shared" si="24"/>
        <v>0</v>
      </c>
      <c r="P105" s="161">
        <f t="shared" si="24"/>
        <v>0</v>
      </c>
      <c r="Q105" s="161">
        <f t="shared" si="24"/>
        <v>0</v>
      </c>
      <c r="R105" s="161">
        <f t="shared" si="24"/>
        <v>0</v>
      </c>
      <c r="S105" s="161">
        <f t="shared" si="19"/>
        <v>9800</v>
      </c>
      <c r="T105" t="s">
        <v>3733</v>
      </c>
    </row>
    <row r="106" spans="2:20" x14ac:dyDescent="0.2">
      <c r="B106" s="149"/>
      <c r="C106" s="149" t="s">
        <v>86</v>
      </c>
      <c r="D106" s="157">
        <v>105903</v>
      </c>
      <c r="E106" s="177"/>
      <c r="F106" s="177"/>
      <c r="G106" s="157"/>
      <c r="H106" s="157"/>
      <c r="I106" s="157"/>
      <c r="J106" s="157"/>
      <c r="K106" s="181">
        <v>-105903</v>
      </c>
      <c r="L106" s="157"/>
      <c r="M106" s="157"/>
      <c r="N106" s="157"/>
      <c r="O106" s="157"/>
      <c r="P106" s="157"/>
      <c r="Q106" s="157"/>
      <c r="R106" s="157"/>
      <c r="S106" s="157">
        <f t="shared" si="19"/>
        <v>0</v>
      </c>
      <c r="T106" t="s">
        <v>3733</v>
      </c>
    </row>
    <row r="107" spans="2:20" x14ac:dyDescent="0.2">
      <c r="B107" s="149"/>
      <c r="C107" s="178" t="s">
        <v>88</v>
      </c>
      <c r="D107" s="161"/>
      <c r="E107" s="178"/>
      <c r="F107" s="178"/>
      <c r="G107" s="161">
        <f>+G55</f>
        <v>24566.916666666668</v>
      </c>
      <c r="H107" s="161">
        <f t="shared" ref="H107:R107" si="25">+H55</f>
        <v>24566.916666666668</v>
      </c>
      <c r="I107" s="161">
        <f t="shared" si="25"/>
        <v>24566.916666666668</v>
      </c>
      <c r="J107" s="161">
        <f t="shared" si="25"/>
        <v>24566.916666666668</v>
      </c>
      <c r="K107" s="161">
        <f t="shared" si="25"/>
        <v>24566.916666666668</v>
      </c>
      <c r="L107" s="161"/>
      <c r="M107" s="161">
        <f t="shared" si="25"/>
        <v>0</v>
      </c>
      <c r="N107" s="161">
        <f t="shared" si="25"/>
        <v>0</v>
      </c>
      <c r="O107" s="161">
        <f t="shared" si="25"/>
        <v>0</v>
      </c>
      <c r="P107" s="161">
        <f t="shared" si="25"/>
        <v>0</v>
      </c>
      <c r="Q107" s="161">
        <f t="shared" si="25"/>
        <v>0</v>
      </c>
      <c r="R107" s="161">
        <f t="shared" si="25"/>
        <v>0</v>
      </c>
      <c r="S107" s="161">
        <f t="shared" si="19"/>
        <v>122834.58333333334</v>
      </c>
      <c r="T107" t="s">
        <v>3733</v>
      </c>
    </row>
    <row r="108" spans="2:20" x14ac:dyDescent="0.2">
      <c r="B108" s="149"/>
      <c r="C108" s="178" t="s">
        <v>3742</v>
      </c>
      <c r="D108" s="178"/>
      <c r="E108" s="178"/>
      <c r="F108" s="178"/>
      <c r="G108" s="161">
        <f>+G46+G49+G52</f>
        <v>5842.34</v>
      </c>
      <c r="H108" s="161">
        <f t="shared" ref="H108:R108" si="26">+H46+H49+H52</f>
        <v>5842.34</v>
      </c>
      <c r="I108" s="161">
        <f t="shared" si="26"/>
        <v>5842.34</v>
      </c>
      <c r="J108" s="161">
        <f t="shared" si="26"/>
        <v>5842.34</v>
      </c>
      <c r="K108" s="161">
        <f t="shared" si="26"/>
        <v>5842.34</v>
      </c>
      <c r="L108" s="161">
        <f t="shared" si="26"/>
        <v>5842.34</v>
      </c>
      <c r="M108" s="161">
        <f t="shared" si="26"/>
        <v>0</v>
      </c>
      <c r="N108" s="161">
        <f t="shared" si="26"/>
        <v>0</v>
      </c>
      <c r="O108" s="161">
        <f t="shared" si="26"/>
        <v>0</v>
      </c>
      <c r="P108" s="161">
        <f t="shared" si="26"/>
        <v>0</v>
      </c>
      <c r="Q108" s="161">
        <f t="shared" si="26"/>
        <v>0</v>
      </c>
      <c r="R108" s="161">
        <f t="shared" si="26"/>
        <v>0</v>
      </c>
      <c r="S108" s="161">
        <f t="shared" si="19"/>
        <v>35054.04</v>
      </c>
      <c r="T108" t="s">
        <v>3733</v>
      </c>
    </row>
    <row r="109" spans="2:20" x14ac:dyDescent="0.2">
      <c r="B109" s="149"/>
      <c r="C109" s="149" t="s">
        <v>3743</v>
      </c>
      <c r="D109" s="149"/>
      <c r="E109" s="149"/>
      <c r="F109" s="149"/>
      <c r="G109" s="157"/>
      <c r="H109" s="157"/>
      <c r="I109" s="157"/>
      <c r="J109" s="157"/>
      <c r="K109" s="157"/>
      <c r="L109" s="157">
        <f>-3453-29493</f>
        <v>-32946</v>
      </c>
      <c r="M109" s="157"/>
      <c r="N109" s="157"/>
      <c r="O109" s="157"/>
      <c r="P109" s="157"/>
      <c r="Q109" s="157"/>
      <c r="R109" s="157"/>
      <c r="S109" s="157">
        <f t="shared" si="19"/>
        <v>-32946</v>
      </c>
    </row>
    <row r="110" spans="2:20" x14ac:dyDescent="0.2">
      <c r="B110" s="149"/>
      <c r="C110" s="149" t="s">
        <v>3744</v>
      </c>
      <c r="D110" s="149"/>
      <c r="E110" s="177"/>
      <c r="F110" s="177"/>
      <c r="G110" s="157">
        <v>41411.300000000003</v>
      </c>
      <c r="H110" s="157">
        <v>23642.77</v>
      </c>
      <c r="I110" s="157">
        <v>-64995.21</v>
      </c>
      <c r="J110" s="157"/>
      <c r="K110" s="157">
        <v>29.17</v>
      </c>
      <c r="L110" s="157"/>
      <c r="M110" s="157"/>
      <c r="N110" s="157"/>
      <c r="O110" s="157"/>
      <c r="P110" s="157"/>
      <c r="Q110" s="157"/>
      <c r="R110" s="157"/>
      <c r="S110" s="157">
        <f t="shared" si="19"/>
        <v>88.03000000000786</v>
      </c>
      <c r="T110" t="s">
        <v>3719</v>
      </c>
    </row>
    <row r="111" spans="2:20" x14ac:dyDescent="0.2">
      <c r="B111" s="149"/>
      <c r="C111" s="149" t="s">
        <v>3745</v>
      </c>
      <c r="D111" s="157">
        <v>19680</v>
      </c>
      <c r="E111" s="177"/>
      <c r="F111" s="177"/>
      <c r="G111" s="157"/>
      <c r="H111" s="157"/>
      <c r="I111" s="157"/>
      <c r="J111" s="157"/>
      <c r="K111" s="157"/>
      <c r="L111" s="157"/>
      <c r="M111" s="157"/>
      <c r="N111" s="157"/>
      <c r="O111" s="157"/>
      <c r="P111" s="157"/>
      <c r="Q111" s="157"/>
      <c r="R111" s="157"/>
      <c r="S111" s="157">
        <f t="shared" si="19"/>
        <v>19680</v>
      </c>
    </row>
    <row r="112" spans="2:20" x14ac:dyDescent="0.2">
      <c r="C112" s="179"/>
      <c r="D112" s="83"/>
      <c r="E112" s="173"/>
      <c r="F112" s="173"/>
      <c r="G112" s="83"/>
      <c r="H112" s="83"/>
      <c r="I112" s="83"/>
      <c r="J112" s="83"/>
      <c r="K112" s="83"/>
      <c r="M112" s="83"/>
      <c r="N112" s="83"/>
      <c r="O112" s="83"/>
      <c r="P112" s="83"/>
      <c r="Q112" s="83"/>
      <c r="R112" s="83"/>
      <c r="S112" s="157"/>
    </row>
    <row r="113" spans="3:19" x14ac:dyDescent="0.2">
      <c r="C113" s="179"/>
      <c r="K113" s="182">
        <f>'France RTP'!L18</f>
        <v>0</v>
      </c>
      <c r="S113" s="157">
        <f>SUM(S85:S111)</f>
        <v>332919.49333333335</v>
      </c>
    </row>
  </sheetData>
  <mergeCells count="1">
    <mergeCell ref="B7:C7"/>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C735B-18F3-4AB5-9042-62E4CBA39DC3}">
  <sheetPr codeName="Sheet4"/>
  <dimension ref="A2:U33"/>
  <sheetViews>
    <sheetView topLeftCell="A13" zoomScale="140" zoomScaleNormal="140" workbookViewId="0">
      <selection activeCell="I51" sqref="I51"/>
    </sheetView>
  </sheetViews>
  <sheetFormatPr defaultRowHeight="10" x14ac:dyDescent="0.2"/>
  <sheetData>
    <row r="2" spans="2:5" x14ac:dyDescent="0.2">
      <c r="B2" t="s">
        <v>4339</v>
      </c>
    </row>
    <row r="3" spans="2:5" x14ac:dyDescent="0.2">
      <c r="B3" t="s">
        <v>4340</v>
      </c>
    </row>
    <row r="4" spans="2:5" x14ac:dyDescent="0.2">
      <c r="B4" t="s">
        <v>4341</v>
      </c>
    </row>
    <row r="5" spans="2:5" x14ac:dyDescent="0.2">
      <c r="B5" t="s">
        <v>4342</v>
      </c>
    </row>
    <row r="6" spans="2:5" x14ac:dyDescent="0.2">
      <c r="B6" t="s">
        <v>4351</v>
      </c>
    </row>
    <row r="9" spans="2:5" x14ac:dyDescent="0.2">
      <c r="B9" t="s">
        <v>4296</v>
      </c>
    </row>
    <row r="10" spans="2:5" x14ac:dyDescent="0.2">
      <c r="E10" t="s">
        <v>4057</v>
      </c>
    </row>
    <row r="11" spans="2:5" x14ac:dyDescent="0.2">
      <c r="B11" t="s">
        <v>878</v>
      </c>
      <c r="C11" t="s">
        <v>4345</v>
      </c>
    </row>
    <row r="12" spans="2:5" x14ac:dyDescent="0.2">
      <c r="B12" t="s">
        <v>870</v>
      </c>
      <c r="C12" t="s">
        <v>4345</v>
      </c>
    </row>
    <row r="13" spans="2:5" x14ac:dyDescent="0.2">
      <c r="B13" t="s">
        <v>4343</v>
      </c>
      <c r="C13" t="s">
        <v>4345</v>
      </c>
    </row>
    <row r="14" spans="2:5" x14ac:dyDescent="0.2">
      <c r="B14" t="s">
        <v>880</v>
      </c>
      <c r="C14" t="s">
        <v>4345</v>
      </c>
    </row>
    <row r="17" spans="1:21" x14ac:dyDescent="0.2">
      <c r="A17" t="s">
        <v>4347</v>
      </c>
      <c r="B17" t="s">
        <v>4194</v>
      </c>
    </row>
    <row r="18" spans="1:21" x14ac:dyDescent="0.2">
      <c r="B18" t="s">
        <v>38</v>
      </c>
      <c r="I18" s="527"/>
      <c r="J18" s="527"/>
      <c r="L18" s="527"/>
      <c r="M18" s="527"/>
      <c r="N18" s="527"/>
      <c r="O18" s="527"/>
      <c r="P18" s="527"/>
      <c r="Q18" s="527"/>
      <c r="R18" s="527"/>
      <c r="S18" s="527"/>
      <c r="T18" s="527"/>
      <c r="U18" s="527"/>
    </row>
    <row r="19" spans="1:21" x14ac:dyDescent="0.2">
      <c r="B19" t="s">
        <v>186</v>
      </c>
      <c r="E19" t="s">
        <v>4354</v>
      </c>
    </row>
    <row r="20" spans="1:21" x14ac:dyDescent="0.2">
      <c r="B20" t="s">
        <v>308</v>
      </c>
    </row>
    <row r="23" spans="1:21" x14ac:dyDescent="0.2">
      <c r="A23" t="s">
        <v>4348</v>
      </c>
      <c r="B23" s="501" t="s">
        <v>201</v>
      </c>
    </row>
    <row r="24" spans="1:21" x14ac:dyDescent="0.2">
      <c r="B24" s="497" t="s">
        <v>197</v>
      </c>
    </row>
    <row r="25" spans="1:21" x14ac:dyDescent="0.2">
      <c r="B25" s="497" t="s">
        <v>204</v>
      </c>
    </row>
    <row r="29" spans="1:21" x14ac:dyDescent="0.2">
      <c r="B29" t="s">
        <v>4344</v>
      </c>
      <c r="D29" t="s">
        <v>953</v>
      </c>
    </row>
    <row r="31" spans="1:21" s="14" customFormat="1" x14ac:dyDescent="0.2">
      <c r="B31" s="14" t="s">
        <v>4346</v>
      </c>
    </row>
    <row r="32" spans="1:21" x14ac:dyDescent="0.2">
      <c r="B32" t="s">
        <v>4349</v>
      </c>
    </row>
    <row r="33" spans="2:5" x14ac:dyDescent="0.2">
      <c r="B33" t="s">
        <v>4350</v>
      </c>
      <c r="E33" t="s">
        <v>4355</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32F60-6B4B-457F-9DD7-A5A6BB45A6E9}">
  <sheetPr codeName="Sheet31"/>
  <dimension ref="B1:S48"/>
  <sheetViews>
    <sheetView topLeftCell="B1" workbookViewId="0">
      <selection activeCell="Q47" sqref="Q47"/>
    </sheetView>
  </sheetViews>
  <sheetFormatPr defaultColWidth="16.88671875" defaultRowHeight="10" x14ac:dyDescent="0.2"/>
  <cols>
    <col min="1" max="1" width="5.109375" customWidth="1"/>
    <col min="2" max="2" width="15.6640625" customWidth="1"/>
    <col min="3" max="15" width="12.33203125" customWidth="1"/>
    <col min="16" max="16" width="11.44140625" customWidth="1"/>
    <col min="17" max="17" width="10.33203125" customWidth="1"/>
    <col min="18" max="19" width="11.44140625" customWidth="1"/>
    <col min="20" max="26" width="10.33203125" customWidth="1"/>
  </cols>
  <sheetData>
    <row r="1" spans="2:19" ht="14.25" customHeight="1" x14ac:dyDescent="0.2"/>
    <row r="2" spans="2:19" ht="14.25" customHeight="1" x14ac:dyDescent="0.2">
      <c r="B2" s="90" t="s">
        <v>3764</v>
      </c>
      <c r="C2" s="188">
        <v>44561</v>
      </c>
    </row>
    <row r="3" spans="2:19" ht="14.25" customHeight="1" x14ac:dyDescent="0.35">
      <c r="B3" s="90" t="s">
        <v>3765</v>
      </c>
      <c r="C3" s="189">
        <v>635130</v>
      </c>
      <c r="D3" s="189" t="s">
        <v>3880</v>
      </c>
    </row>
    <row r="4" spans="2:19" ht="14.25" customHeight="1" x14ac:dyDescent="0.35">
      <c r="B4" s="90" t="s">
        <v>879</v>
      </c>
      <c r="C4" s="189">
        <v>669100</v>
      </c>
      <c r="D4" s="189" t="s">
        <v>3703</v>
      </c>
    </row>
    <row r="5" spans="2:19" ht="14.25" customHeight="1" x14ac:dyDescent="0.2"/>
    <row r="6" spans="2:19" ht="14.25" customHeight="1" x14ac:dyDescent="0.2">
      <c r="B6" s="190" t="s">
        <v>3766</v>
      </c>
      <c r="C6" s="190" t="s">
        <v>3767</v>
      </c>
      <c r="D6" s="191">
        <v>44227</v>
      </c>
      <c r="E6" s="191">
        <v>44255</v>
      </c>
      <c r="F6" s="191">
        <v>44286</v>
      </c>
      <c r="G6" s="191">
        <v>44316</v>
      </c>
      <c r="H6" s="191">
        <v>44347</v>
      </c>
      <c r="I6" s="191">
        <v>44377</v>
      </c>
      <c r="J6" s="191">
        <v>44408</v>
      </c>
      <c r="K6" s="191">
        <v>44439</v>
      </c>
      <c r="L6" s="191">
        <v>44469</v>
      </c>
      <c r="M6" s="191">
        <v>44500</v>
      </c>
      <c r="N6" s="191">
        <v>44530</v>
      </c>
      <c r="O6" s="191">
        <v>44561</v>
      </c>
      <c r="P6" s="190" t="s">
        <v>3768</v>
      </c>
      <c r="Q6" s="190" t="s">
        <v>3769</v>
      </c>
      <c r="R6" s="190" t="s">
        <v>3770</v>
      </c>
    </row>
    <row r="7" spans="2:19" ht="14.25" customHeight="1" x14ac:dyDescent="0.2">
      <c r="B7" s="190" t="s">
        <v>3771</v>
      </c>
      <c r="C7" s="192"/>
      <c r="D7" s="192">
        <f t="shared" ref="D7:O11" si="0">IF(D$6&lt;=$C$2,$C7/12,0)</f>
        <v>0</v>
      </c>
      <c r="E7" s="192">
        <f t="shared" si="0"/>
        <v>0</v>
      </c>
      <c r="F7" s="192">
        <f t="shared" si="0"/>
        <v>0</v>
      </c>
      <c r="G7" s="192">
        <f t="shared" si="0"/>
        <v>0</v>
      </c>
      <c r="H7" s="192">
        <f t="shared" si="0"/>
        <v>0</v>
      </c>
      <c r="I7" s="192">
        <f t="shared" si="0"/>
        <v>0</v>
      </c>
      <c r="J7" s="192">
        <f t="shared" si="0"/>
        <v>0</v>
      </c>
      <c r="K7" s="192">
        <f t="shared" si="0"/>
        <v>0</v>
      </c>
      <c r="L7" s="192">
        <f t="shared" si="0"/>
        <v>0</v>
      </c>
      <c r="M7" s="192">
        <f t="shared" si="0"/>
        <v>0</v>
      </c>
      <c r="N7" s="192">
        <f t="shared" si="0"/>
        <v>0</v>
      </c>
      <c r="O7" s="192">
        <f t="shared" si="0"/>
        <v>0</v>
      </c>
      <c r="P7" s="192"/>
      <c r="Q7" s="192"/>
      <c r="R7" s="192">
        <f t="shared" ref="R7:R8" si="1">SUM(D7:O7)-P7-Q7</f>
        <v>0</v>
      </c>
    </row>
    <row r="8" spans="2:19" ht="14.25" customHeight="1" x14ac:dyDescent="0.2">
      <c r="B8" s="190" t="s">
        <v>3772</v>
      </c>
      <c r="C8" s="192"/>
      <c r="D8" s="192">
        <f t="shared" si="0"/>
        <v>0</v>
      </c>
      <c r="E8" s="192">
        <f t="shared" si="0"/>
        <v>0</v>
      </c>
      <c r="F8" s="192">
        <f t="shared" si="0"/>
        <v>0</v>
      </c>
      <c r="G8" s="192">
        <f t="shared" si="0"/>
        <v>0</v>
      </c>
      <c r="H8" s="192">
        <f t="shared" si="0"/>
        <v>0</v>
      </c>
      <c r="I8" s="192">
        <f t="shared" si="0"/>
        <v>0</v>
      </c>
      <c r="J8" s="192">
        <f t="shared" si="0"/>
        <v>0</v>
      </c>
      <c r="K8" s="192">
        <f t="shared" si="0"/>
        <v>0</v>
      </c>
      <c r="L8" s="192">
        <f t="shared" si="0"/>
        <v>0</v>
      </c>
      <c r="M8" s="192">
        <f t="shared" si="0"/>
        <v>0</v>
      </c>
      <c r="N8" s="192">
        <f t="shared" si="0"/>
        <v>0</v>
      </c>
      <c r="O8" s="192">
        <f t="shared" si="0"/>
        <v>0</v>
      </c>
      <c r="P8" s="192"/>
      <c r="Q8" s="192"/>
      <c r="R8" s="192">
        <f t="shared" si="1"/>
        <v>0</v>
      </c>
    </row>
    <row r="9" spans="2:19" ht="14.25" customHeight="1" x14ac:dyDescent="0.35">
      <c r="B9" s="190" t="s">
        <v>3773</v>
      </c>
      <c r="C9" s="192">
        <f>3488+3418</f>
        <v>6906</v>
      </c>
      <c r="D9" s="192">
        <f t="shared" si="0"/>
        <v>575.5</v>
      </c>
      <c r="E9" s="192">
        <f t="shared" si="0"/>
        <v>575.5</v>
      </c>
      <c r="F9" s="192">
        <f t="shared" si="0"/>
        <v>575.5</v>
      </c>
      <c r="G9" s="192">
        <f t="shared" si="0"/>
        <v>575.5</v>
      </c>
      <c r="H9" s="192">
        <f t="shared" si="0"/>
        <v>575.5</v>
      </c>
      <c r="I9" s="192">
        <f t="shared" si="0"/>
        <v>575.5</v>
      </c>
      <c r="J9" s="192">
        <f t="shared" si="0"/>
        <v>575.5</v>
      </c>
      <c r="K9" s="192">
        <f t="shared" si="0"/>
        <v>575.5</v>
      </c>
      <c r="L9" s="192">
        <f t="shared" si="0"/>
        <v>575.5</v>
      </c>
      <c r="M9" s="192">
        <f t="shared" si="0"/>
        <v>575.5</v>
      </c>
      <c r="N9" s="192">
        <f t="shared" si="0"/>
        <v>575.5</v>
      </c>
      <c r="O9" s="192">
        <f t="shared" si="0"/>
        <v>575.5</v>
      </c>
      <c r="P9" s="192">
        <f>3488+3418</f>
        <v>6906</v>
      </c>
      <c r="Q9" s="192"/>
      <c r="R9" s="192">
        <f>SUM(D9:O9)-P9-Q9</f>
        <v>0</v>
      </c>
      <c r="S9" s="189" t="s">
        <v>3774</v>
      </c>
    </row>
    <row r="10" spans="2:19" ht="14.25" customHeight="1" x14ac:dyDescent="0.35">
      <c r="B10" s="190" t="s">
        <v>3701</v>
      </c>
      <c r="C10" s="192">
        <f>2077+2140</f>
        <v>4217</v>
      </c>
      <c r="D10" s="192">
        <f t="shared" si="0"/>
        <v>351.41666666666669</v>
      </c>
      <c r="E10" s="192">
        <f t="shared" si="0"/>
        <v>351.41666666666669</v>
      </c>
      <c r="F10" s="192">
        <f t="shared" si="0"/>
        <v>351.41666666666669</v>
      </c>
      <c r="G10" s="192">
        <f t="shared" si="0"/>
        <v>351.41666666666669</v>
      </c>
      <c r="H10" s="192">
        <f t="shared" si="0"/>
        <v>351.41666666666669</v>
      </c>
      <c r="I10" s="192">
        <f t="shared" si="0"/>
        <v>351.41666666666669</v>
      </c>
      <c r="J10" s="192">
        <f t="shared" si="0"/>
        <v>351.41666666666669</v>
      </c>
      <c r="K10" s="192">
        <f t="shared" si="0"/>
        <v>351.41666666666669</v>
      </c>
      <c r="L10" s="192">
        <f t="shared" si="0"/>
        <v>351.41666666666669</v>
      </c>
      <c r="M10" s="192">
        <f t="shared" si="0"/>
        <v>351.41666666666669</v>
      </c>
      <c r="N10" s="192">
        <f t="shared" si="0"/>
        <v>351.41666666666669</v>
      </c>
      <c r="O10" s="192">
        <f t="shared" si="0"/>
        <v>351.41666666666669</v>
      </c>
      <c r="P10" s="192">
        <f>2077+2140</f>
        <v>4217</v>
      </c>
      <c r="Q10" s="192">
        <f>1414+1414</f>
        <v>2828</v>
      </c>
      <c r="R10" s="192">
        <f>SUM(D10:O10)-P10</f>
        <v>0</v>
      </c>
      <c r="S10" s="189" t="s">
        <v>3774</v>
      </c>
    </row>
    <row r="11" spans="2:19" ht="14.25" customHeight="1" x14ac:dyDescent="0.2">
      <c r="B11" s="190" t="s">
        <v>3698</v>
      </c>
      <c r="C11" s="192">
        <f>14748+44237</f>
        <v>58985</v>
      </c>
      <c r="D11" s="192">
        <f t="shared" si="0"/>
        <v>4915.416666666667</v>
      </c>
      <c r="E11" s="192">
        <f t="shared" si="0"/>
        <v>4915.416666666667</v>
      </c>
      <c r="F11" s="192">
        <f t="shared" si="0"/>
        <v>4915.416666666667</v>
      </c>
      <c r="G11" s="192">
        <f t="shared" si="0"/>
        <v>4915.416666666667</v>
      </c>
      <c r="H11" s="192">
        <f t="shared" si="0"/>
        <v>4915.416666666667</v>
      </c>
      <c r="I11" s="192">
        <f t="shared" si="0"/>
        <v>4915.416666666667</v>
      </c>
      <c r="J11" s="192">
        <f t="shared" si="0"/>
        <v>4915.416666666667</v>
      </c>
      <c r="K11" s="192">
        <f t="shared" si="0"/>
        <v>4915.416666666667</v>
      </c>
      <c r="L11" s="192">
        <f t="shared" si="0"/>
        <v>4915.416666666667</v>
      </c>
      <c r="M11" s="192">
        <f t="shared" si="0"/>
        <v>4915.416666666667</v>
      </c>
      <c r="N11" s="192">
        <f t="shared" si="0"/>
        <v>4915.416666666667</v>
      </c>
      <c r="O11" s="192">
        <f t="shared" si="0"/>
        <v>4915.416666666667</v>
      </c>
      <c r="P11" s="192">
        <f>14748+44237</f>
        <v>58985</v>
      </c>
      <c r="Q11" s="192"/>
      <c r="R11" s="192">
        <f>SUM(D11:O11)-P11-Q11</f>
        <v>-7.2759576141834259E-12</v>
      </c>
    </row>
    <row r="12" spans="2:19" ht="14.25" customHeight="1" x14ac:dyDescent="0.2">
      <c r="B12" s="193"/>
      <c r="C12" s="190"/>
      <c r="D12" s="192">
        <f t="shared" ref="D12:R12" si="2">SUM(D7:D11)</f>
        <v>5842.3333333333339</v>
      </c>
      <c r="E12" s="192">
        <f t="shared" si="2"/>
        <v>5842.3333333333339</v>
      </c>
      <c r="F12" s="192">
        <f t="shared" si="2"/>
        <v>5842.3333333333339</v>
      </c>
      <c r="G12" s="192">
        <f t="shared" si="2"/>
        <v>5842.3333333333339</v>
      </c>
      <c r="H12" s="192">
        <f t="shared" si="2"/>
        <v>5842.3333333333339</v>
      </c>
      <c r="I12" s="192">
        <f t="shared" si="2"/>
        <v>5842.3333333333339</v>
      </c>
      <c r="J12" s="192">
        <f t="shared" si="2"/>
        <v>5842.3333333333339</v>
      </c>
      <c r="K12" s="192">
        <f t="shared" si="2"/>
        <v>5842.3333333333339</v>
      </c>
      <c r="L12" s="192">
        <f t="shared" si="2"/>
        <v>5842.3333333333339</v>
      </c>
      <c r="M12" s="192">
        <f t="shared" si="2"/>
        <v>5842.3333333333339</v>
      </c>
      <c r="N12" s="192">
        <f t="shared" si="2"/>
        <v>5842.3333333333339</v>
      </c>
      <c r="O12" s="192">
        <f t="shared" si="2"/>
        <v>5842.3333333333339</v>
      </c>
      <c r="P12" s="192">
        <f t="shared" si="2"/>
        <v>70108</v>
      </c>
      <c r="Q12" s="192">
        <f t="shared" si="2"/>
        <v>2828</v>
      </c>
      <c r="R12" s="192">
        <f t="shared" si="2"/>
        <v>-7.2759576141834259E-12</v>
      </c>
    </row>
    <row r="13" spans="2:19" ht="14.25" customHeight="1" x14ac:dyDescent="0.2">
      <c r="B13" s="193"/>
    </row>
    <row r="14" spans="2:19" ht="14.25" customHeight="1" x14ac:dyDescent="0.2">
      <c r="B14" s="190" t="s">
        <v>799</v>
      </c>
      <c r="C14" s="192">
        <f>+(371583-76780)</f>
        <v>294803</v>
      </c>
      <c r="D14" s="192">
        <f t="shared" ref="D14:O14" si="3">IF(D$6&lt;=$C$2,$C14/12,0)</f>
        <v>24566.916666666668</v>
      </c>
      <c r="E14" s="192">
        <f t="shared" si="3"/>
        <v>24566.916666666668</v>
      </c>
      <c r="F14" s="192">
        <f t="shared" si="3"/>
        <v>24566.916666666668</v>
      </c>
      <c r="G14" s="192">
        <f t="shared" si="3"/>
        <v>24566.916666666668</v>
      </c>
      <c r="H14" s="192">
        <f t="shared" si="3"/>
        <v>24566.916666666668</v>
      </c>
      <c r="I14" s="192">
        <f t="shared" si="3"/>
        <v>24566.916666666668</v>
      </c>
      <c r="J14" s="192">
        <f t="shared" si="3"/>
        <v>24566.916666666668</v>
      </c>
      <c r="K14" s="192">
        <f t="shared" si="3"/>
        <v>24566.916666666668</v>
      </c>
      <c r="L14" s="192">
        <f t="shared" si="3"/>
        <v>24566.916666666668</v>
      </c>
      <c r="M14" s="192">
        <f t="shared" si="3"/>
        <v>24566.916666666668</v>
      </c>
      <c r="N14" s="192">
        <f t="shared" si="3"/>
        <v>24566.916666666668</v>
      </c>
      <c r="O14" s="192">
        <f t="shared" si="3"/>
        <v>24566.916666666668</v>
      </c>
      <c r="P14" s="192">
        <f>94450+94450</f>
        <v>188900</v>
      </c>
      <c r="Q14" s="192"/>
      <c r="R14" s="192">
        <f>SUM(D14:O14)-P14-Q14</f>
        <v>105903</v>
      </c>
    </row>
    <row r="15" spans="2:19" ht="14.25" customHeight="1" x14ac:dyDescent="0.2">
      <c r="B15" s="193"/>
      <c r="C15" s="83"/>
    </row>
    <row r="16" spans="2:19" ht="14.25" customHeight="1" x14ac:dyDescent="0.2">
      <c r="B16" s="193"/>
      <c r="C16" s="83"/>
    </row>
    <row r="17" spans="2:19" ht="14.25" customHeight="1" x14ac:dyDescent="0.2">
      <c r="B17" s="193"/>
      <c r="R17" s="193"/>
      <c r="S17" s="193"/>
    </row>
    <row r="18" spans="2:19" ht="14.25" customHeight="1" x14ac:dyDescent="0.2">
      <c r="B18" s="193"/>
      <c r="R18" s="83"/>
      <c r="S18" s="83"/>
    </row>
    <row r="19" spans="2:19" ht="14.25" customHeight="1" x14ac:dyDescent="0.2"/>
    <row r="20" spans="2:19" ht="14.25" customHeight="1" x14ac:dyDescent="0.2">
      <c r="B20" s="194" t="s">
        <v>3775</v>
      </c>
      <c r="C20" s="194" t="s">
        <v>16</v>
      </c>
      <c r="D20" s="194" t="s">
        <v>5</v>
      </c>
      <c r="E20" s="194" t="s">
        <v>3776</v>
      </c>
      <c r="F20" s="194" t="s">
        <v>3777</v>
      </c>
      <c r="G20" s="194" t="s">
        <v>6</v>
      </c>
      <c r="H20" s="194" t="s">
        <v>7</v>
      </c>
      <c r="I20" s="194" t="s">
        <v>8</v>
      </c>
      <c r="J20" s="194" t="s">
        <v>10</v>
      </c>
      <c r="K20" s="194" t="s">
        <v>9</v>
      </c>
      <c r="L20" s="194" t="s">
        <v>3778</v>
      </c>
      <c r="M20" s="194" t="s">
        <v>3779</v>
      </c>
      <c r="N20" s="194" t="s">
        <v>823</v>
      </c>
      <c r="O20" s="195" t="s">
        <v>3780</v>
      </c>
      <c r="P20" s="195" t="s">
        <v>3781</v>
      </c>
    </row>
    <row r="21" spans="2:19" ht="14.25" customHeight="1" x14ac:dyDescent="0.2">
      <c r="B21" s="196"/>
      <c r="C21" s="197"/>
      <c r="D21" s="197"/>
      <c r="E21" s="197"/>
      <c r="F21" s="197"/>
      <c r="G21" s="197"/>
      <c r="H21" s="196"/>
      <c r="I21" s="197"/>
      <c r="J21" s="197"/>
      <c r="K21" s="197"/>
      <c r="L21" s="197"/>
      <c r="M21" s="197"/>
      <c r="N21" s="197"/>
      <c r="O21" s="198"/>
      <c r="P21" s="198"/>
    </row>
    <row r="22" spans="2:19" ht="14.25" customHeight="1" x14ac:dyDescent="0.2">
      <c r="B22" s="196"/>
      <c r="C22" s="197"/>
      <c r="D22" s="197"/>
      <c r="E22" s="197"/>
      <c r="F22" s="197"/>
      <c r="G22" s="197"/>
      <c r="H22" s="196"/>
      <c r="I22" s="197"/>
      <c r="J22" s="197"/>
      <c r="K22" s="197"/>
      <c r="L22" s="197"/>
      <c r="M22" s="197"/>
      <c r="N22" s="197"/>
      <c r="O22" s="198"/>
      <c r="P22" s="198"/>
    </row>
    <row r="23" spans="2:19" ht="14.25" customHeight="1" x14ac:dyDescent="0.2">
      <c r="B23" s="196"/>
      <c r="C23" s="197"/>
      <c r="D23" s="197"/>
      <c r="E23" s="197"/>
      <c r="F23" s="197"/>
      <c r="G23" s="197"/>
      <c r="H23" s="196"/>
      <c r="I23" s="197"/>
      <c r="J23" s="197"/>
      <c r="K23" s="197"/>
      <c r="L23" s="197"/>
      <c r="M23" s="197"/>
      <c r="N23" s="197"/>
      <c r="O23" s="198"/>
      <c r="P23" s="198"/>
    </row>
    <row r="24" spans="2:19" ht="14.25" customHeight="1" x14ac:dyDescent="0.2">
      <c r="B24" s="196"/>
      <c r="C24" s="197"/>
      <c r="D24" s="197"/>
      <c r="E24" s="197"/>
      <c r="F24" s="197"/>
      <c r="G24" s="197"/>
      <c r="H24" s="196"/>
      <c r="I24" s="197"/>
      <c r="J24" s="197"/>
      <c r="K24" s="197"/>
      <c r="L24" s="197"/>
      <c r="M24" s="197"/>
      <c r="N24" s="197"/>
      <c r="O24" s="198"/>
      <c r="P24" s="198"/>
    </row>
    <row r="25" spans="2:19" ht="14.25" customHeight="1" x14ac:dyDescent="0.2">
      <c r="B25" s="196"/>
      <c r="C25" s="197"/>
      <c r="D25" s="197"/>
      <c r="E25" s="197"/>
      <c r="F25" s="197"/>
      <c r="G25" s="197"/>
      <c r="H25" s="196"/>
      <c r="I25" s="197"/>
      <c r="J25" s="197"/>
      <c r="K25" s="197"/>
      <c r="L25" s="197"/>
      <c r="M25" s="197"/>
      <c r="N25" s="197"/>
      <c r="O25" s="198"/>
      <c r="P25" s="198"/>
    </row>
    <row r="26" spans="2:19" ht="14.25" customHeight="1" x14ac:dyDescent="0.2">
      <c r="B26" s="196"/>
      <c r="C26" s="197"/>
      <c r="D26" s="197"/>
      <c r="E26" s="197"/>
      <c r="F26" s="197"/>
      <c r="G26" s="197"/>
      <c r="H26" s="196"/>
      <c r="I26" s="197"/>
      <c r="J26" s="197"/>
      <c r="K26" s="197"/>
      <c r="L26" s="197"/>
      <c r="M26" s="197"/>
      <c r="N26" s="197"/>
      <c r="O26" s="198"/>
      <c r="P26" s="198"/>
    </row>
    <row r="27" spans="2:19" ht="14.25" customHeight="1" x14ac:dyDescent="0.2">
      <c r="B27" s="196"/>
      <c r="C27" s="197"/>
      <c r="D27" s="197"/>
      <c r="E27" s="197"/>
      <c r="F27" s="197"/>
      <c r="G27" s="197"/>
      <c r="H27" s="196"/>
      <c r="I27" s="197"/>
      <c r="J27" s="197"/>
      <c r="K27" s="197"/>
      <c r="L27" s="197"/>
      <c r="M27" s="197"/>
      <c r="N27" s="197"/>
      <c r="O27" s="198"/>
      <c r="P27" s="198"/>
    </row>
    <row r="28" spans="2:19" ht="14.25" customHeight="1" x14ac:dyDescent="0.2">
      <c r="B28" s="196"/>
      <c r="C28" s="197"/>
      <c r="D28" s="197"/>
      <c r="E28" s="197"/>
      <c r="F28" s="197"/>
      <c r="G28" s="197"/>
      <c r="H28" s="196"/>
      <c r="I28" s="197"/>
      <c r="J28" s="197"/>
      <c r="K28" s="197"/>
      <c r="L28" s="197"/>
      <c r="M28" s="197"/>
      <c r="N28" s="197"/>
      <c r="O28" s="198"/>
      <c r="P28" s="198"/>
    </row>
    <row r="29" spans="2:19" ht="14.25" customHeight="1" x14ac:dyDescent="0.2">
      <c r="B29" s="196"/>
      <c r="C29" s="199"/>
      <c r="D29" s="197"/>
      <c r="E29" s="197"/>
      <c r="F29" s="197"/>
      <c r="G29" s="197"/>
      <c r="H29" s="196"/>
      <c r="I29" s="197"/>
      <c r="J29" s="197"/>
      <c r="K29" s="197"/>
      <c r="L29" s="197"/>
      <c r="M29" s="197"/>
      <c r="O29" s="200"/>
    </row>
    <row r="30" spans="2:19" ht="14.25" customHeight="1" x14ac:dyDescent="0.2">
      <c r="B30" s="196"/>
      <c r="C30" s="199"/>
      <c r="D30" s="197"/>
      <c r="E30" s="197"/>
      <c r="F30" s="197"/>
      <c r="G30" s="197"/>
      <c r="H30" s="196"/>
      <c r="I30" s="197"/>
      <c r="J30" s="197"/>
      <c r="K30" s="197"/>
      <c r="L30" s="197"/>
      <c r="M30" s="197"/>
      <c r="O30" s="200"/>
    </row>
    <row r="31" spans="2:19" ht="14.25" customHeight="1" x14ac:dyDescent="0.2">
      <c r="B31" s="196"/>
      <c r="C31" s="199"/>
      <c r="D31" s="197"/>
      <c r="E31" s="197"/>
      <c r="F31" s="197"/>
      <c r="G31" s="197"/>
      <c r="H31" s="196"/>
      <c r="I31" s="197"/>
      <c r="J31" s="197"/>
      <c r="K31" s="197"/>
      <c r="L31" s="197"/>
      <c r="M31" s="197"/>
      <c r="O31" s="200"/>
    </row>
    <row r="32" spans="2:19" ht="14.25" customHeight="1" x14ac:dyDescent="0.2">
      <c r="B32" s="196"/>
      <c r="C32" s="199"/>
      <c r="D32" s="197"/>
      <c r="E32" s="197"/>
      <c r="F32" s="197"/>
      <c r="G32" s="197"/>
      <c r="H32" s="196"/>
      <c r="I32" s="197"/>
      <c r="J32" s="197"/>
      <c r="K32" s="197"/>
      <c r="L32" s="197"/>
      <c r="M32" s="197"/>
      <c r="O32" s="200"/>
    </row>
    <row r="33" spans="2:15" ht="14.25" customHeight="1" x14ac:dyDescent="0.2">
      <c r="B33" s="196"/>
      <c r="C33" s="199"/>
      <c r="D33" s="197"/>
      <c r="E33" s="197"/>
      <c r="F33" s="197"/>
      <c r="G33" s="197"/>
      <c r="H33" s="196"/>
      <c r="I33" s="197"/>
      <c r="J33" s="197"/>
      <c r="K33" s="197"/>
      <c r="L33" s="197"/>
      <c r="M33" s="197"/>
      <c r="O33" s="200"/>
    </row>
    <row r="34" spans="2:15" ht="14.25" customHeight="1" x14ac:dyDescent="0.2"/>
    <row r="35" spans="2:15" ht="14.25" customHeight="1" x14ac:dyDescent="0.2"/>
    <row r="36" spans="2:15" ht="14.25" customHeight="1" x14ac:dyDescent="0.2"/>
    <row r="37" spans="2:15" ht="14.25" customHeight="1" x14ac:dyDescent="0.2"/>
    <row r="38" spans="2:15" ht="14.25" customHeight="1" x14ac:dyDescent="0.2"/>
    <row r="39" spans="2:15" ht="14.25" customHeight="1" x14ac:dyDescent="0.2"/>
    <row r="40" spans="2:15" ht="14.25" customHeight="1" x14ac:dyDescent="0.2"/>
    <row r="41" spans="2:15" ht="14.25" customHeight="1" x14ac:dyDescent="0.2"/>
    <row r="42" spans="2:15" ht="14.25" customHeight="1" x14ac:dyDescent="0.2"/>
    <row r="43" spans="2:15" ht="14.25" customHeight="1" x14ac:dyDescent="0.2"/>
    <row r="44" spans="2:15" ht="14.25" customHeight="1" x14ac:dyDescent="0.2"/>
    <row r="45" spans="2:15" ht="14.25" customHeight="1" x14ac:dyDescent="0.2"/>
    <row r="46" spans="2:15" ht="14.25" customHeight="1" x14ac:dyDescent="0.2"/>
    <row r="47" spans="2:15" ht="14.25" customHeight="1" x14ac:dyDescent="0.2"/>
    <row r="48" spans="2:15" ht="14.25" customHeight="1" x14ac:dyDescent="0.2"/>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78AE6-7675-452C-B3CE-B84117613847}">
  <sheetPr codeName="Sheet32"/>
  <dimension ref="A2:P50"/>
  <sheetViews>
    <sheetView topLeftCell="D4" zoomScale="140" zoomScaleNormal="140" workbookViewId="0">
      <selection activeCell="Q47" sqref="Q47"/>
    </sheetView>
  </sheetViews>
  <sheetFormatPr defaultRowHeight="10" x14ac:dyDescent="0.2"/>
  <cols>
    <col min="2" max="2" width="29" customWidth="1"/>
    <col min="3" max="3" width="11.44140625" bestFit="1" customWidth="1"/>
    <col min="4" max="4" width="15.88671875" customWidth="1"/>
    <col min="5" max="5" width="26.6640625" customWidth="1"/>
    <col min="6" max="6" width="20.88671875" customWidth="1"/>
    <col min="7" max="7" width="11.44140625" bestFit="1" customWidth="1"/>
    <col min="8" max="8" width="12.109375" bestFit="1" customWidth="1"/>
    <col min="9" max="9" width="10.44140625" bestFit="1" customWidth="1"/>
    <col min="10" max="10" width="12.109375" bestFit="1" customWidth="1"/>
    <col min="11" max="11" width="11.44140625" bestFit="1" customWidth="1"/>
    <col min="12" max="12" width="10.88671875" bestFit="1" customWidth="1"/>
    <col min="13" max="13" width="11.109375" customWidth="1"/>
  </cols>
  <sheetData>
    <row r="2" spans="1:12" x14ac:dyDescent="0.2">
      <c r="A2" s="126"/>
      <c r="B2" s="126"/>
      <c r="C2" s="126"/>
      <c r="D2" s="126"/>
      <c r="E2" s="126"/>
      <c r="F2" s="126"/>
      <c r="G2" s="126"/>
      <c r="H2" s="126"/>
      <c r="I2" s="126"/>
      <c r="J2" s="126"/>
      <c r="K2" s="126"/>
      <c r="L2" s="126"/>
    </row>
    <row r="3" spans="1:12" x14ac:dyDescent="0.2">
      <c r="A3" s="126"/>
      <c r="B3" s="126"/>
      <c r="C3" s="126"/>
      <c r="D3" s="126"/>
      <c r="E3" s="126"/>
      <c r="F3" s="126"/>
      <c r="G3" s="126"/>
      <c r="H3" s="126"/>
      <c r="I3" s="126"/>
      <c r="J3" s="126"/>
      <c r="K3" s="126"/>
      <c r="L3" s="126"/>
    </row>
    <row r="4" spans="1:12" x14ac:dyDescent="0.2">
      <c r="A4" s="126"/>
      <c r="B4" s="126"/>
      <c r="C4" s="126"/>
      <c r="D4" s="126"/>
      <c r="E4" s="126"/>
      <c r="F4" s="126"/>
      <c r="G4" s="126"/>
      <c r="H4" s="126"/>
      <c r="I4" s="126"/>
      <c r="J4" s="126"/>
      <c r="K4" s="126"/>
      <c r="L4" s="126"/>
    </row>
    <row r="5" spans="1:12" x14ac:dyDescent="0.2">
      <c r="A5" s="126"/>
      <c r="B5" s="126" t="s">
        <v>3658</v>
      </c>
      <c r="C5" s="126"/>
      <c r="D5" s="126" t="s">
        <v>3652</v>
      </c>
      <c r="E5" s="126"/>
      <c r="F5" s="121" t="s">
        <v>3653</v>
      </c>
      <c r="G5" s="126"/>
      <c r="H5" s="126" t="s">
        <v>3657</v>
      </c>
      <c r="I5" s="126"/>
      <c r="J5" s="126"/>
      <c r="K5" s="126"/>
      <c r="L5" s="126"/>
    </row>
    <row r="6" spans="1:12" x14ac:dyDescent="0.2">
      <c r="A6" s="126"/>
      <c r="B6" s="126"/>
      <c r="C6" s="126"/>
      <c r="D6" s="126"/>
      <c r="E6" s="126"/>
      <c r="F6" s="126"/>
      <c r="G6" s="126"/>
      <c r="H6" s="126"/>
      <c r="I6" s="126"/>
      <c r="J6" s="126"/>
      <c r="K6" s="126"/>
      <c r="L6" s="126"/>
    </row>
    <row r="7" spans="1:12" x14ac:dyDescent="0.2">
      <c r="A7" s="126"/>
      <c r="B7" s="126" t="s">
        <v>3655</v>
      </c>
      <c r="C7" s="126"/>
      <c r="D7" s="120">
        <v>447492.11882500001</v>
      </c>
      <c r="E7" s="126"/>
      <c r="F7" s="145">
        <f>'18-22'!K2300+'18-22'!K2303</f>
        <v>447492</v>
      </c>
      <c r="G7" s="126"/>
      <c r="H7" s="123"/>
      <c r="I7" s="126"/>
      <c r="J7" s="126"/>
      <c r="K7" s="126"/>
      <c r="L7" s="126"/>
    </row>
    <row r="8" spans="1:12" x14ac:dyDescent="0.2">
      <c r="A8" s="126"/>
      <c r="B8" s="126"/>
      <c r="C8" s="126"/>
      <c r="D8" s="120"/>
      <c r="E8" s="126"/>
      <c r="F8" s="126"/>
      <c r="G8" s="126"/>
      <c r="H8" s="126"/>
      <c r="I8" s="126"/>
      <c r="J8" s="126"/>
      <c r="K8" s="126"/>
      <c r="L8" s="126"/>
    </row>
    <row r="9" spans="1:12" x14ac:dyDescent="0.2">
      <c r="A9" s="126"/>
      <c r="B9" s="126" t="s">
        <v>799</v>
      </c>
      <c r="C9" s="126"/>
      <c r="D9" s="120">
        <f>H23</f>
        <v>265205</v>
      </c>
      <c r="E9" s="126"/>
      <c r="F9" s="203">
        <f>F23</f>
        <v>298713</v>
      </c>
      <c r="G9" s="126"/>
      <c r="H9" s="123">
        <f>D9-F9</f>
        <v>-33508</v>
      </c>
      <c r="I9" s="126"/>
      <c r="J9" s="242" t="s">
        <v>3846</v>
      </c>
      <c r="K9" s="146" t="s">
        <v>3847</v>
      </c>
      <c r="L9" s="126"/>
    </row>
    <row r="10" spans="1:12" x14ac:dyDescent="0.2">
      <c r="A10" s="126"/>
      <c r="B10" s="126"/>
      <c r="C10" s="126"/>
      <c r="D10" s="120"/>
      <c r="E10" s="126"/>
      <c r="F10" s="126"/>
      <c r="G10" s="126"/>
      <c r="H10" s="126"/>
      <c r="I10" s="126"/>
      <c r="J10" s="126"/>
      <c r="K10" s="126"/>
      <c r="L10" s="126"/>
    </row>
    <row r="11" spans="1:12" x14ac:dyDescent="0.2">
      <c r="A11" s="126"/>
      <c r="B11" s="126" t="s">
        <v>3656</v>
      </c>
      <c r="C11" s="126"/>
      <c r="D11" s="120">
        <f>SUM(D6:D10)</f>
        <v>712697.11882500001</v>
      </c>
      <c r="E11" s="126"/>
      <c r="F11" s="120">
        <f>SUM(F6:F10)</f>
        <v>746205</v>
      </c>
      <c r="G11" s="126"/>
      <c r="H11" s="120">
        <f>D11-F11</f>
        <v>-33507.881174999988</v>
      </c>
      <c r="I11" s="126"/>
      <c r="J11" s="126"/>
      <c r="K11" s="126"/>
      <c r="L11" s="126"/>
    </row>
    <row r="12" spans="1:12" x14ac:dyDescent="0.2">
      <c r="A12" s="126"/>
      <c r="B12" s="126"/>
      <c r="C12" s="126"/>
      <c r="D12" s="126"/>
      <c r="E12" s="126"/>
      <c r="F12" s="126"/>
      <c r="G12" s="126"/>
      <c r="H12" s="126"/>
      <c r="I12" s="126"/>
      <c r="J12" s="126"/>
      <c r="K12" s="126"/>
      <c r="L12" s="126"/>
    </row>
    <row r="13" spans="1:12" x14ac:dyDescent="0.2">
      <c r="A13" s="126"/>
      <c r="B13" s="126"/>
      <c r="C13" s="126"/>
      <c r="D13" s="126"/>
      <c r="E13" s="126"/>
      <c r="F13" s="126"/>
      <c r="G13" s="126"/>
      <c r="H13" s="126"/>
      <c r="I13" s="126"/>
      <c r="J13" s="126"/>
      <c r="K13" s="126"/>
      <c r="L13" s="126"/>
    </row>
    <row r="14" spans="1:12" x14ac:dyDescent="0.2">
      <c r="A14" s="126"/>
      <c r="B14" s="126"/>
      <c r="C14" s="126"/>
      <c r="D14" s="126"/>
      <c r="E14" s="126"/>
      <c r="F14" s="126"/>
      <c r="G14" s="126"/>
      <c r="H14" s="126"/>
      <c r="I14" s="126"/>
      <c r="J14" s="126"/>
      <c r="K14" s="126"/>
      <c r="L14" s="126"/>
    </row>
    <row r="15" spans="1:12" x14ac:dyDescent="0.2">
      <c r="A15" s="126"/>
      <c r="B15" s="126"/>
      <c r="C15" s="126"/>
      <c r="D15" s="126"/>
      <c r="E15" s="126"/>
      <c r="F15" s="126"/>
      <c r="G15" s="126"/>
      <c r="H15" s="126"/>
      <c r="I15" s="126"/>
      <c r="J15" s="126"/>
      <c r="K15" s="126"/>
      <c r="L15" s="126"/>
    </row>
    <row r="16" spans="1:12" x14ac:dyDescent="0.2">
      <c r="A16" s="126"/>
      <c r="B16" s="126"/>
      <c r="C16" s="126"/>
      <c r="D16" s="126"/>
      <c r="E16" s="126"/>
      <c r="F16" s="117"/>
      <c r="G16" s="126"/>
      <c r="H16" s="126"/>
      <c r="I16" s="126"/>
      <c r="J16" s="126"/>
      <c r="K16" s="126"/>
      <c r="L16" s="126"/>
    </row>
    <row r="17" spans="1:16" x14ac:dyDescent="0.2">
      <c r="A17" s="126"/>
      <c r="B17" s="126"/>
      <c r="C17" s="126"/>
      <c r="D17" s="123"/>
      <c r="E17" s="126"/>
      <c r="F17" s="120"/>
      <c r="G17" s="204"/>
      <c r="H17" s="126"/>
      <c r="I17" s="126"/>
      <c r="J17" s="126"/>
      <c r="K17" s="126"/>
      <c r="L17" s="145"/>
      <c r="M17" s="26"/>
    </row>
    <row r="18" spans="1:16" x14ac:dyDescent="0.2">
      <c r="A18" s="126"/>
      <c r="B18" s="126"/>
      <c r="C18" s="126"/>
      <c r="D18" s="126"/>
      <c r="E18" s="126"/>
      <c r="F18" s="118">
        <v>132603</v>
      </c>
      <c r="G18" s="125" t="s">
        <v>3659</v>
      </c>
      <c r="H18" s="126" t="s">
        <v>3660</v>
      </c>
      <c r="I18" s="126" t="s">
        <v>3662</v>
      </c>
      <c r="J18" s="126"/>
      <c r="K18" s="146" t="s">
        <v>3829</v>
      </c>
      <c r="L18" s="145"/>
      <c r="M18" s="26" t="s">
        <v>3830</v>
      </c>
      <c r="P18" t="s">
        <v>882</v>
      </c>
    </row>
    <row r="19" spans="1:16" x14ac:dyDescent="0.2">
      <c r="A19" s="126"/>
      <c r="B19" s="126"/>
      <c r="C19" s="126"/>
      <c r="D19" s="126"/>
      <c r="E19" s="126"/>
      <c r="F19" s="124">
        <f>SUM(F17:F18)</f>
        <v>132603</v>
      </c>
      <c r="G19" s="122" t="s">
        <v>3663</v>
      </c>
      <c r="H19" s="122"/>
      <c r="I19" s="122"/>
      <c r="J19" s="122"/>
      <c r="K19" s="122"/>
      <c r="L19" s="122"/>
    </row>
    <row r="20" spans="1:16" x14ac:dyDescent="0.2">
      <c r="A20" s="126"/>
      <c r="B20" s="126"/>
      <c r="C20" s="126"/>
      <c r="D20" s="126"/>
      <c r="E20" s="126"/>
      <c r="F20" s="117"/>
      <c r="G20" s="126"/>
      <c r="H20" s="126"/>
      <c r="I20" s="126"/>
      <c r="J20" s="126"/>
      <c r="K20" s="126"/>
      <c r="L20" s="126"/>
    </row>
    <row r="21" spans="1:16" x14ac:dyDescent="0.2">
      <c r="A21" s="126"/>
      <c r="B21" s="126"/>
      <c r="C21" s="126"/>
      <c r="D21" s="126"/>
      <c r="E21" s="126"/>
      <c r="F21" s="126"/>
      <c r="G21" s="126"/>
      <c r="H21" s="126"/>
      <c r="I21" s="126"/>
      <c r="J21" s="126"/>
      <c r="K21" s="126"/>
      <c r="L21" s="126"/>
    </row>
    <row r="22" spans="1:16" x14ac:dyDescent="0.2">
      <c r="A22" s="126"/>
      <c r="B22" s="126"/>
      <c r="C22" s="126"/>
      <c r="D22" s="126"/>
      <c r="E22" s="126"/>
      <c r="F22" s="180" t="s">
        <v>3763</v>
      </c>
      <c r="G22" s="126"/>
      <c r="H22" s="180" t="s">
        <v>3762</v>
      </c>
      <c r="I22" s="126"/>
      <c r="J22" s="126"/>
      <c r="K22" s="126"/>
      <c r="L22" s="126"/>
    </row>
    <row r="23" spans="1:16" x14ac:dyDescent="0.2">
      <c r="A23" s="126"/>
      <c r="B23" s="126"/>
      <c r="C23" s="126"/>
      <c r="D23" s="126"/>
      <c r="E23" s="126"/>
      <c r="F23" s="202">
        <f>'18-22'!K2364</f>
        <v>298713</v>
      </c>
      <c r="G23" s="117">
        <v>253798</v>
      </c>
      <c r="H23" s="127">
        <f>SUM(G23:G25)</f>
        <v>265205</v>
      </c>
      <c r="I23" s="117"/>
      <c r="J23" s="123"/>
      <c r="K23" s="123"/>
      <c r="L23" s="145"/>
      <c r="M23" s="26"/>
    </row>
    <row r="24" spans="1:16" x14ac:dyDescent="0.2">
      <c r="A24" s="126"/>
      <c r="B24" s="126"/>
      <c r="C24" s="126"/>
      <c r="D24" s="126"/>
      <c r="E24" s="126"/>
      <c r="F24" s="126"/>
      <c r="G24" s="117">
        <v>8781</v>
      </c>
      <c r="H24" s="126"/>
      <c r="J24" s="126"/>
      <c r="K24" s="126"/>
      <c r="L24" s="126"/>
    </row>
    <row r="25" spans="1:16" x14ac:dyDescent="0.2">
      <c r="A25" s="126"/>
      <c r="B25" s="126"/>
      <c r="C25" s="126"/>
      <c r="D25" s="126"/>
      <c r="E25" s="126"/>
      <c r="F25" s="126"/>
      <c r="G25" s="117">
        <v>2626</v>
      </c>
      <c r="H25" s="203">
        <f>F23</f>
        <v>298713</v>
      </c>
      <c r="J25" s="126"/>
      <c r="K25" s="126"/>
      <c r="L25" s="126"/>
    </row>
    <row r="26" spans="1:16" x14ac:dyDescent="0.2">
      <c r="A26" s="126"/>
      <c r="B26" s="126"/>
      <c r="C26" s="126"/>
      <c r="D26" s="126"/>
      <c r="E26" s="126"/>
      <c r="F26" s="126"/>
      <c r="G26" s="126"/>
      <c r="H26" s="126">
        <v>132603</v>
      </c>
      <c r="I26" s="126"/>
      <c r="J26" s="126"/>
      <c r="K26" s="126"/>
      <c r="L26" s="126"/>
    </row>
    <row r="27" spans="1:16" x14ac:dyDescent="0.2">
      <c r="A27" s="126"/>
      <c r="B27" s="126"/>
      <c r="C27" s="126"/>
      <c r="D27" s="126"/>
      <c r="E27" s="126"/>
      <c r="F27" s="126"/>
      <c r="G27" s="126"/>
      <c r="H27" s="126"/>
      <c r="I27" s="126"/>
      <c r="J27" s="126"/>
      <c r="K27" s="126"/>
      <c r="L27" s="126"/>
    </row>
    <row r="28" spans="1:16" x14ac:dyDescent="0.2">
      <c r="A28" s="126"/>
      <c r="B28" s="126"/>
      <c r="C28" s="126"/>
      <c r="D28" s="126"/>
      <c r="E28" s="126"/>
      <c r="F28" s="126"/>
      <c r="G28" s="117"/>
      <c r="H28" s="126"/>
      <c r="I28" s="119"/>
      <c r="J28" s="126"/>
      <c r="K28" s="126"/>
      <c r="L28" s="126"/>
    </row>
    <row r="29" spans="1:16" x14ac:dyDescent="0.2">
      <c r="A29" s="126"/>
      <c r="B29" s="126"/>
      <c r="C29" s="126"/>
      <c r="D29" s="126"/>
      <c r="E29" s="126"/>
      <c r="F29" s="126"/>
      <c r="G29" s="126"/>
      <c r="H29" s="126"/>
      <c r="I29" s="119"/>
      <c r="J29" s="126"/>
      <c r="K29" s="126"/>
      <c r="L29" s="126"/>
    </row>
    <row r="30" spans="1:16" x14ac:dyDescent="0.2">
      <c r="A30" s="126"/>
      <c r="B30" s="126"/>
      <c r="C30" s="126"/>
      <c r="D30" s="126"/>
      <c r="E30" s="126"/>
      <c r="F30" s="145">
        <f>'18-22'!K2042+'18-22'!K2077+'18-22'!K2116+'18-22'!K2137</f>
        <v>375493</v>
      </c>
      <c r="G30" s="126"/>
      <c r="H30" s="126"/>
      <c r="I30" s="126"/>
      <c r="J30" s="126"/>
      <c r="K30" s="126"/>
      <c r="L30" s="126"/>
    </row>
    <row r="31" spans="1:16" x14ac:dyDescent="0.2">
      <c r="A31" s="126"/>
      <c r="B31" s="126"/>
      <c r="C31" s="126"/>
      <c r="D31" s="126"/>
      <c r="E31" s="126"/>
      <c r="F31" s="145">
        <f>'18-22'!K2140</f>
        <v>-76780</v>
      </c>
      <c r="G31" s="126"/>
      <c r="H31" s="126"/>
      <c r="I31" s="126"/>
      <c r="J31" s="126"/>
      <c r="K31" s="126"/>
      <c r="L31" s="126"/>
    </row>
    <row r="32" spans="1:16" x14ac:dyDescent="0.2">
      <c r="A32" s="126"/>
      <c r="B32" s="126"/>
      <c r="C32" s="126"/>
      <c r="D32" s="126"/>
      <c r="E32" s="126"/>
      <c r="F32" s="83">
        <f>SUM(F30:F31)</f>
        <v>298713</v>
      </c>
      <c r="G32" s="126" t="s">
        <v>3848</v>
      </c>
      <c r="H32" s="126"/>
      <c r="I32" s="126"/>
      <c r="J32" s="126"/>
      <c r="K32" s="126"/>
      <c r="L32" s="126"/>
    </row>
    <row r="33" spans="1:12" x14ac:dyDescent="0.2">
      <c r="A33" s="126"/>
      <c r="B33" s="126"/>
      <c r="C33" s="126"/>
      <c r="D33" s="126"/>
      <c r="E33" s="126"/>
      <c r="F33" s="126"/>
      <c r="G33" s="123"/>
      <c r="H33" s="126"/>
      <c r="I33" s="126"/>
      <c r="J33" s="126"/>
      <c r="K33" s="126"/>
      <c r="L33" s="126"/>
    </row>
    <row r="34" spans="1:12" x14ac:dyDescent="0.2">
      <c r="A34" s="126"/>
      <c r="B34" s="126"/>
      <c r="C34" s="126"/>
      <c r="D34" s="126"/>
      <c r="E34" s="126"/>
      <c r="F34" s="126">
        <v>76305</v>
      </c>
      <c r="G34" s="126"/>
      <c r="H34" s="126"/>
      <c r="I34" s="126"/>
      <c r="J34" s="126"/>
      <c r="K34" s="126"/>
      <c r="L34" s="126"/>
    </row>
    <row r="35" spans="1:12" x14ac:dyDescent="0.2">
      <c r="A35" s="126"/>
      <c r="B35" s="126"/>
      <c r="C35" s="126"/>
      <c r="D35" s="126"/>
      <c r="E35" s="126"/>
      <c r="F35" s="126"/>
      <c r="G35" s="126"/>
      <c r="H35" s="126"/>
      <c r="I35" s="126"/>
      <c r="J35" s="126"/>
      <c r="K35" s="126"/>
      <c r="L35" s="126"/>
    </row>
    <row r="36" spans="1:12" x14ac:dyDescent="0.2">
      <c r="A36" s="126"/>
      <c r="B36" s="126"/>
      <c r="C36" s="126"/>
      <c r="D36" s="126"/>
      <c r="E36" s="126"/>
      <c r="F36" s="126"/>
      <c r="G36" s="126"/>
      <c r="H36" s="126"/>
      <c r="I36" s="126"/>
      <c r="J36" s="126"/>
      <c r="K36" s="126"/>
      <c r="L36" s="126"/>
    </row>
    <row r="37" spans="1:12" x14ac:dyDescent="0.2">
      <c r="A37" s="126"/>
      <c r="B37" s="126"/>
      <c r="C37" s="126"/>
      <c r="D37" s="126"/>
      <c r="E37" s="126"/>
      <c r="F37" s="126"/>
      <c r="G37" s="126"/>
      <c r="H37" s="126"/>
      <c r="I37" s="126"/>
      <c r="J37" s="126"/>
      <c r="K37" s="126"/>
      <c r="L37" s="126"/>
    </row>
    <row r="38" spans="1:12" x14ac:dyDescent="0.2">
      <c r="A38" s="126"/>
      <c r="B38" s="126"/>
      <c r="C38" s="126"/>
      <c r="D38" s="126"/>
      <c r="E38" s="126"/>
      <c r="F38" s="126"/>
      <c r="G38" s="126"/>
      <c r="H38" s="126"/>
      <c r="I38" s="126"/>
      <c r="J38" s="126"/>
      <c r="K38" s="126"/>
      <c r="L38" s="126"/>
    </row>
    <row r="39" spans="1:12" x14ac:dyDescent="0.2">
      <c r="A39" s="126"/>
      <c r="B39" s="126"/>
      <c r="C39" s="126"/>
      <c r="D39" s="126"/>
      <c r="E39" s="126"/>
      <c r="F39" s="126"/>
      <c r="G39" s="126"/>
      <c r="H39" s="126"/>
      <c r="I39" s="126"/>
      <c r="J39" s="126"/>
      <c r="K39" s="126"/>
      <c r="L39" s="126"/>
    </row>
    <row r="40" spans="1:12" x14ac:dyDescent="0.2">
      <c r="A40" s="126"/>
      <c r="B40" s="126"/>
      <c r="C40" s="126"/>
      <c r="D40" s="126"/>
      <c r="E40" s="126"/>
      <c r="F40" s="126"/>
      <c r="G40" s="126"/>
      <c r="H40" s="126"/>
      <c r="I40" s="126"/>
      <c r="J40" s="126"/>
      <c r="K40" s="126"/>
      <c r="L40" s="126"/>
    </row>
    <row r="41" spans="1:12" x14ac:dyDescent="0.2">
      <c r="A41" s="126"/>
      <c r="B41" s="126"/>
      <c r="C41" s="117" t="s">
        <v>3664</v>
      </c>
      <c r="D41" s="126"/>
      <c r="E41" s="126"/>
      <c r="F41" s="126"/>
      <c r="G41" s="126"/>
      <c r="H41" s="126"/>
      <c r="I41" s="126"/>
      <c r="J41" s="126"/>
      <c r="K41" s="126"/>
      <c r="L41" s="126"/>
    </row>
    <row r="42" spans="1:12" x14ac:dyDescent="0.2">
      <c r="A42" s="126"/>
      <c r="B42" s="126">
        <v>940125</v>
      </c>
      <c r="C42" s="117">
        <v>370199.15</v>
      </c>
      <c r="D42" s="126"/>
      <c r="E42" s="126"/>
      <c r="F42" s="126"/>
      <c r="G42" s="126"/>
      <c r="H42" s="126"/>
      <c r="I42" s="126"/>
      <c r="J42" s="126"/>
      <c r="K42" s="126"/>
      <c r="L42" s="126"/>
    </row>
    <row r="43" spans="1:12" x14ac:dyDescent="0.2">
      <c r="A43" s="126"/>
      <c r="B43" s="126">
        <v>940150</v>
      </c>
      <c r="C43" s="118">
        <v>494948.34</v>
      </c>
      <c r="D43" s="126"/>
      <c r="E43" s="126"/>
      <c r="F43" s="126"/>
      <c r="G43" s="126"/>
      <c r="H43" s="126"/>
      <c r="I43" s="126"/>
      <c r="J43" s="126"/>
      <c r="K43" s="126"/>
      <c r="L43" s="126"/>
    </row>
    <row r="44" spans="1:12" x14ac:dyDescent="0.2">
      <c r="A44" s="126"/>
      <c r="B44" s="126"/>
      <c r="C44" s="117">
        <f>SUM(C42:C43)</f>
        <v>865147.49</v>
      </c>
      <c r="D44" s="126"/>
      <c r="E44" s="126"/>
      <c r="F44" s="126"/>
      <c r="G44" s="126"/>
      <c r="H44" s="126"/>
      <c r="I44" s="126"/>
      <c r="J44" s="126"/>
      <c r="K44" s="126"/>
      <c r="L44" s="126"/>
    </row>
    <row r="45" spans="1:12" x14ac:dyDescent="0.2">
      <c r="A45" s="126"/>
      <c r="B45" s="126"/>
      <c r="C45" s="117"/>
      <c r="D45" s="126"/>
      <c r="E45" s="126"/>
      <c r="F45" s="126"/>
      <c r="G45" s="126"/>
      <c r="H45" s="126"/>
      <c r="I45" s="126"/>
      <c r="J45" s="126"/>
      <c r="K45" s="126"/>
      <c r="L45" s="126"/>
    </row>
    <row r="46" spans="1:12" x14ac:dyDescent="0.2">
      <c r="A46" s="126"/>
      <c r="B46" s="126"/>
      <c r="C46" s="126"/>
      <c r="D46" s="126"/>
      <c r="E46" s="126"/>
      <c r="F46" s="126"/>
      <c r="G46" s="126"/>
      <c r="H46" s="126"/>
      <c r="I46" s="126"/>
      <c r="J46" s="126"/>
      <c r="K46" s="126"/>
      <c r="L46" s="126"/>
    </row>
    <row r="47" spans="1:12" x14ac:dyDescent="0.2">
      <c r="C47" s="24"/>
    </row>
    <row r="48" spans="1:12" x14ac:dyDescent="0.2">
      <c r="C48" s="24"/>
    </row>
    <row r="49" spans="3:3" x14ac:dyDescent="0.2">
      <c r="C49" s="24"/>
    </row>
    <row r="50" spans="3:3" x14ac:dyDescent="0.2">
      <c r="C50" s="24"/>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E8CD8-E46C-4B80-91CC-5F7CF358C2A4}">
  <sheetPr codeName="Sheet33" filterMode="1"/>
  <dimension ref="A1:Q2376"/>
  <sheetViews>
    <sheetView topLeftCell="D2233" zoomScale="120" zoomScaleNormal="120" workbookViewId="0">
      <selection activeCell="E2373" sqref="E2373"/>
    </sheetView>
  </sheetViews>
  <sheetFormatPr defaultColWidth="9.33203125" defaultRowHeight="10" x14ac:dyDescent="0.2"/>
  <cols>
    <col min="1" max="1" width="36.33203125" customWidth="1"/>
    <col min="3" max="3" width="10.109375" bestFit="1" customWidth="1"/>
    <col min="5" max="5" width="46" customWidth="1"/>
    <col min="6" max="6" width="50.109375" customWidth="1"/>
    <col min="7" max="10" width="15.109375" customWidth="1"/>
    <col min="11" max="11" width="26" customWidth="1"/>
    <col min="12" max="12" width="13.109375" customWidth="1"/>
    <col min="13" max="13" width="23.109375" customWidth="1"/>
    <col min="16" max="16" width="11.44140625" bestFit="1" customWidth="1"/>
  </cols>
  <sheetData>
    <row r="1" spans="1:14" ht="15.5" x14ac:dyDescent="0.35">
      <c r="A1" s="832" t="s">
        <v>0</v>
      </c>
      <c r="B1" s="832"/>
      <c r="C1" s="832"/>
      <c r="D1" s="832"/>
      <c r="E1" s="832"/>
      <c r="F1" s="832"/>
      <c r="G1" s="832"/>
      <c r="H1" s="832"/>
      <c r="I1" s="832"/>
      <c r="J1" s="832"/>
      <c r="K1" s="832"/>
      <c r="L1" s="832"/>
      <c r="M1" s="832"/>
      <c r="N1" s="832"/>
    </row>
    <row r="2" spans="1:14" ht="15.5" x14ac:dyDescent="0.35">
      <c r="A2" s="832" t="s">
        <v>1</v>
      </c>
      <c r="B2" s="832"/>
      <c r="C2" s="832"/>
      <c r="D2" s="832"/>
      <c r="E2" s="832"/>
      <c r="F2" s="832"/>
      <c r="G2" s="832"/>
      <c r="H2" s="832"/>
      <c r="I2" s="832"/>
      <c r="J2" s="832"/>
      <c r="K2" s="832"/>
      <c r="L2" s="832"/>
      <c r="M2" s="832"/>
      <c r="N2" s="832"/>
    </row>
    <row r="3" spans="1:14" ht="18" x14ac:dyDescent="0.4">
      <c r="A3" s="812" t="s">
        <v>2</v>
      </c>
      <c r="B3" s="812"/>
      <c r="C3" s="812"/>
      <c r="D3" s="812"/>
      <c r="E3" s="812"/>
      <c r="F3" s="812"/>
      <c r="G3" s="812"/>
      <c r="H3" s="812"/>
      <c r="I3" s="812"/>
      <c r="J3" s="812"/>
      <c r="K3" s="812"/>
      <c r="L3" s="812"/>
      <c r="M3" s="812"/>
      <c r="N3" s="812"/>
    </row>
    <row r="4" spans="1:14" ht="18" x14ac:dyDescent="0.4">
      <c r="A4" s="812" t="s">
        <v>1038</v>
      </c>
      <c r="B4" s="812"/>
      <c r="C4" s="812"/>
      <c r="D4" s="812"/>
      <c r="E4" s="812"/>
      <c r="F4" s="812"/>
      <c r="G4" s="812"/>
      <c r="H4" s="812"/>
      <c r="I4" s="812"/>
      <c r="J4" s="812"/>
      <c r="K4" s="812"/>
      <c r="L4" s="812"/>
      <c r="M4" s="812"/>
      <c r="N4" s="812"/>
    </row>
    <row r="5" spans="1:14" ht="18" x14ac:dyDescent="0.4">
      <c r="A5" s="812" t="s">
        <v>4</v>
      </c>
      <c r="B5" s="812"/>
      <c r="C5" s="812"/>
      <c r="D5" s="812"/>
      <c r="E5" s="812"/>
      <c r="F5" s="812"/>
      <c r="G5" s="812"/>
      <c r="H5" s="812"/>
      <c r="I5" s="812"/>
      <c r="J5" s="812"/>
      <c r="K5" s="812"/>
      <c r="L5" s="812"/>
      <c r="M5" s="812"/>
      <c r="N5" s="812"/>
    </row>
    <row r="6" spans="1:14" ht="18" x14ac:dyDescent="0.4">
      <c r="A6" s="812" t="s">
        <v>4</v>
      </c>
      <c r="B6" s="812"/>
      <c r="C6" s="812"/>
      <c r="D6" s="812"/>
      <c r="E6" s="812"/>
      <c r="F6" s="812"/>
      <c r="G6" s="812"/>
      <c r="H6" s="812"/>
      <c r="I6" s="812"/>
      <c r="J6" s="812"/>
      <c r="K6" s="812"/>
      <c r="L6" s="812"/>
      <c r="M6" s="812"/>
      <c r="N6" s="812"/>
    </row>
    <row r="7" spans="1:14" x14ac:dyDescent="0.2">
      <c r="A7" s="1" t="s">
        <v>5</v>
      </c>
      <c r="B7" s="1" t="s">
        <v>6</v>
      </c>
      <c r="C7" s="1" t="s">
        <v>7</v>
      </c>
      <c r="D7" s="1" t="s">
        <v>8</v>
      </c>
      <c r="E7" s="1" t="s">
        <v>9</v>
      </c>
      <c r="F7" s="1" t="s">
        <v>10</v>
      </c>
      <c r="G7" s="2" t="s">
        <v>11</v>
      </c>
      <c r="H7" s="2" t="s">
        <v>12</v>
      </c>
      <c r="I7" s="1" t="s">
        <v>13</v>
      </c>
      <c r="J7" s="1" t="s">
        <v>14</v>
      </c>
      <c r="K7" s="2" t="s">
        <v>15</v>
      </c>
      <c r="L7" s="1" t="s">
        <v>16</v>
      </c>
      <c r="M7" s="1" t="s">
        <v>17</v>
      </c>
      <c r="N7" s="1" t="s">
        <v>18</v>
      </c>
    </row>
    <row r="8" spans="1:14" ht="10.5" hidden="1" x14ac:dyDescent="0.2">
      <c r="A8" s="3" t="s">
        <v>219</v>
      </c>
      <c r="B8" s="4"/>
      <c r="C8" s="5"/>
      <c r="D8" s="4"/>
      <c r="E8" s="4"/>
      <c r="F8" s="4"/>
      <c r="G8" s="6">
        <v>0</v>
      </c>
      <c r="H8" s="6">
        <v>0</v>
      </c>
      <c r="I8" s="4"/>
      <c r="J8" s="4"/>
      <c r="K8" s="7">
        <v>0</v>
      </c>
      <c r="L8" s="4"/>
      <c r="M8" s="4"/>
      <c r="N8" s="4"/>
    </row>
    <row r="9" spans="1:14" ht="10.5" hidden="1" x14ac:dyDescent="0.25">
      <c r="A9" s="8" t="s">
        <v>220</v>
      </c>
      <c r="B9" s="4"/>
      <c r="C9" s="5"/>
      <c r="D9" s="4"/>
      <c r="E9" s="4"/>
      <c r="F9" s="4"/>
      <c r="G9" s="6">
        <v>0</v>
      </c>
      <c r="H9" s="6">
        <v>0</v>
      </c>
      <c r="I9" s="4"/>
      <c r="J9" s="4"/>
      <c r="K9" s="7">
        <v>0</v>
      </c>
      <c r="L9" s="4"/>
      <c r="M9" s="4"/>
      <c r="N9" s="4"/>
    </row>
    <row r="10" spans="1:14" ht="10.5" hidden="1" x14ac:dyDescent="0.25">
      <c r="A10" s="8" t="s">
        <v>220</v>
      </c>
      <c r="B10" s="4" t="s">
        <v>21</v>
      </c>
      <c r="C10" s="5">
        <v>43830</v>
      </c>
      <c r="D10" s="4" t="s">
        <v>1023</v>
      </c>
      <c r="E10" s="4" t="s">
        <v>1024</v>
      </c>
      <c r="F10" s="4"/>
      <c r="G10" s="6">
        <v>106315.04543343051</v>
      </c>
      <c r="H10" s="6">
        <f t="shared" ref="H10:H73" si="0">H9+G10</f>
        <v>106315.04543343051</v>
      </c>
      <c r="I10" s="4"/>
      <c r="J10" s="4" t="s">
        <v>68</v>
      </c>
      <c r="K10" s="7">
        <v>136914</v>
      </c>
      <c r="L10" s="4" t="s">
        <v>1025</v>
      </c>
      <c r="M10" s="4" t="s">
        <v>212</v>
      </c>
      <c r="N10" s="4" t="s">
        <v>1026</v>
      </c>
    </row>
    <row r="11" spans="1:14" ht="10.5" hidden="1" x14ac:dyDescent="0.25">
      <c r="A11" s="8" t="s">
        <v>220</v>
      </c>
      <c r="B11" s="4" t="s">
        <v>21</v>
      </c>
      <c r="C11" s="5">
        <v>43830</v>
      </c>
      <c r="D11" s="4" t="s">
        <v>1039</v>
      </c>
      <c r="E11" s="4" t="s">
        <v>1024</v>
      </c>
      <c r="F11" s="4"/>
      <c r="G11" s="6">
        <v>-24041.134468508808</v>
      </c>
      <c r="H11" s="6">
        <f t="shared" si="0"/>
        <v>82273.910964921699</v>
      </c>
      <c r="I11" s="4"/>
      <c r="J11" s="4" t="s">
        <v>68</v>
      </c>
      <c r="K11" s="7">
        <v>-1898971</v>
      </c>
      <c r="L11" s="4" t="s">
        <v>1025</v>
      </c>
      <c r="M11" s="4" t="s">
        <v>204</v>
      </c>
      <c r="N11" s="4" t="s">
        <v>1026</v>
      </c>
    </row>
    <row r="12" spans="1:14" ht="10.5" hidden="1" x14ac:dyDescent="0.25">
      <c r="A12" s="8" t="s">
        <v>220</v>
      </c>
      <c r="B12" s="4" t="s">
        <v>21</v>
      </c>
      <c r="C12" s="5">
        <v>43830</v>
      </c>
      <c r="D12" s="4" t="s">
        <v>1040</v>
      </c>
      <c r="E12" s="4" t="s">
        <v>1041</v>
      </c>
      <c r="F12" s="4" t="s">
        <v>1042</v>
      </c>
      <c r="G12" s="6">
        <v>2548320.8836478777</v>
      </c>
      <c r="H12" s="6">
        <f t="shared" si="0"/>
        <v>2630594.7946127993</v>
      </c>
      <c r="I12" s="4"/>
      <c r="J12" s="4" t="s">
        <v>68</v>
      </c>
      <c r="K12" s="7">
        <v>2431556.8199999998</v>
      </c>
      <c r="L12" s="4" t="s">
        <v>1025</v>
      </c>
      <c r="M12" s="4" t="s">
        <v>61</v>
      </c>
      <c r="N12" s="4" t="s">
        <v>181</v>
      </c>
    </row>
    <row r="13" spans="1:14" ht="10.5" hidden="1" x14ac:dyDescent="0.25">
      <c r="A13" s="8" t="s">
        <v>220</v>
      </c>
      <c r="B13" s="4" t="s">
        <v>21</v>
      </c>
      <c r="C13" s="5">
        <v>43830</v>
      </c>
      <c r="D13" s="4" t="s">
        <v>1043</v>
      </c>
      <c r="E13" s="4" t="s">
        <v>1044</v>
      </c>
      <c r="F13" s="4" t="s">
        <v>1045</v>
      </c>
      <c r="G13" s="6">
        <v>-1884256.9018018725</v>
      </c>
      <c r="H13" s="6">
        <f t="shared" si="0"/>
        <v>746337.89281092677</v>
      </c>
      <c r="I13" s="4"/>
      <c r="J13" s="4" t="s">
        <v>68</v>
      </c>
      <c r="K13" s="7">
        <v>-1797920.25</v>
      </c>
      <c r="L13" s="4" t="s">
        <v>1025</v>
      </c>
      <c r="M13" s="4" t="s">
        <v>61</v>
      </c>
      <c r="N13" s="4" t="s">
        <v>181</v>
      </c>
    </row>
    <row r="14" spans="1:14" ht="10.5" hidden="1" x14ac:dyDescent="0.25">
      <c r="A14" s="8" t="s">
        <v>220</v>
      </c>
      <c r="B14" s="4" t="s">
        <v>21</v>
      </c>
      <c r="C14" s="5">
        <v>43908</v>
      </c>
      <c r="D14" s="4" t="s">
        <v>1046</v>
      </c>
      <c r="E14" s="4" t="s">
        <v>1047</v>
      </c>
      <c r="F14" s="4" t="s">
        <v>1048</v>
      </c>
      <c r="G14" s="6">
        <v>10000.000003122001</v>
      </c>
      <c r="H14" s="6">
        <f t="shared" si="0"/>
        <v>756337.8928140488</v>
      </c>
      <c r="I14" s="4"/>
      <c r="J14" s="4" t="s">
        <v>68</v>
      </c>
      <c r="K14" s="7">
        <v>10000</v>
      </c>
      <c r="L14" s="4" t="s">
        <v>1049</v>
      </c>
      <c r="M14" s="4" t="s">
        <v>27</v>
      </c>
      <c r="N14" s="4"/>
    </row>
    <row r="15" spans="1:14" ht="10.5" hidden="1" x14ac:dyDescent="0.25">
      <c r="A15" s="8" t="s">
        <v>220</v>
      </c>
      <c r="B15" s="4" t="s">
        <v>21</v>
      </c>
      <c r="C15" s="5">
        <v>44104</v>
      </c>
      <c r="D15" s="4" t="s">
        <v>1050</v>
      </c>
      <c r="E15" s="4" t="s">
        <v>1051</v>
      </c>
      <c r="F15" s="4" t="s">
        <v>1051</v>
      </c>
      <c r="G15" s="6">
        <v>31453.766217453645</v>
      </c>
      <c r="H15" s="6">
        <f t="shared" si="0"/>
        <v>787791.65903150244</v>
      </c>
      <c r="I15" s="4"/>
      <c r="J15" s="4" t="s">
        <v>68</v>
      </c>
      <c r="K15" s="7">
        <v>2484483</v>
      </c>
      <c r="L15" s="4" t="s">
        <v>1052</v>
      </c>
      <c r="M15" s="4" t="s">
        <v>204</v>
      </c>
      <c r="N15" s="4"/>
    </row>
    <row r="16" spans="1:14" ht="10.5" hidden="1" x14ac:dyDescent="0.25">
      <c r="A16" s="8" t="s">
        <v>220</v>
      </c>
      <c r="B16" s="4" t="s">
        <v>21</v>
      </c>
      <c r="C16" s="5">
        <v>44195</v>
      </c>
      <c r="D16" s="4" t="s">
        <v>1053</v>
      </c>
      <c r="E16" s="4" t="s">
        <v>1054</v>
      </c>
      <c r="F16" s="4" t="s">
        <v>1055</v>
      </c>
      <c r="G16" s="6">
        <v>13271.000004143207</v>
      </c>
      <c r="H16" s="6">
        <f t="shared" si="0"/>
        <v>801062.65903564566</v>
      </c>
      <c r="I16" s="4"/>
      <c r="J16" s="4" t="s">
        <v>68</v>
      </c>
      <c r="K16" s="7">
        <v>13271</v>
      </c>
      <c r="L16" s="4" t="s">
        <v>1056</v>
      </c>
      <c r="M16" s="4" t="s">
        <v>27</v>
      </c>
      <c r="N16" s="4"/>
    </row>
    <row r="17" spans="1:14" ht="10.5" hidden="1" x14ac:dyDescent="0.25">
      <c r="A17" s="8" t="s">
        <v>220</v>
      </c>
      <c r="B17" s="4" t="s">
        <v>21</v>
      </c>
      <c r="C17" s="5">
        <v>44195</v>
      </c>
      <c r="D17" s="4" t="s">
        <v>1053</v>
      </c>
      <c r="E17" s="4" t="s">
        <v>1054</v>
      </c>
      <c r="F17" s="4" t="s">
        <v>1057</v>
      </c>
      <c r="G17" s="6">
        <v>9165.0000028613122</v>
      </c>
      <c r="H17" s="6">
        <f t="shared" si="0"/>
        <v>810227.65903850691</v>
      </c>
      <c r="I17" s="4"/>
      <c r="J17" s="4" t="s">
        <v>68</v>
      </c>
      <c r="K17" s="7">
        <v>9165</v>
      </c>
      <c r="L17" s="4" t="s">
        <v>1056</v>
      </c>
      <c r="M17" s="4" t="s">
        <v>27</v>
      </c>
      <c r="N17" s="4"/>
    </row>
    <row r="18" spans="1:14" ht="10.5" hidden="1" x14ac:dyDescent="0.25">
      <c r="A18" s="8" t="s">
        <v>220</v>
      </c>
      <c r="B18" s="4" t="s">
        <v>21</v>
      </c>
      <c r="C18" s="5">
        <v>44195</v>
      </c>
      <c r="D18" s="4" t="s">
        <v>1053</v>
      </c>
      <c r="E18" s="4" t="s">
        <v>1054</v>
      </c>
      <c r="F18" s="4" t="s">
        <v>1058</v>
      </c>
      <c r="G18" s="6">
        <v>700.00000021853998</v>
      </c>
      <c r="H18" s="6">
        <f t="shared" si="0"/>
        <v>810927.65903872543</v>
      </c>
      <c r="I18" s="4"/>
      <c r="J18" s="4" t="s">
        <v>68</v>
      </c>
      <c r="K18" s="7">
        <v>700</v>
      </c>
      <c r="L18" s="4" t="s">
        <v>1056</v>
      </c>
      <c r="M18" s="4" t="s">
        <v>27</v>
      </c>
      <c r="N18" s="4"/>
    </row>
    <row r="19" spans="1:14" ht="10.5" hidden="1" x14ac:dyDescent="0.25">
      <c r="A19" s="8" t="s">
        <v>220</v>
      </c>
      <c r="B19" s="4" t="s">
        <v>21</v>
      </c>
      <c r="C19" s="5">
        <v>44195</v>
      </c>
      <c r="D19" s="4" t="s">
        <v>1053</v>
      </c>
      <c r="E19" s="4" t="s">
        <v>1054</v>
      </c>
      <c r="F19" s="4" t="s">
        <v>1059</v>
      </c>
      <c r="G19" s="6">
        <v>8062.0000025169566</v>
      </c>
      <c r="H19" s="6">
        <f t="shared" si="0"/>
        <v>818989.65904124232</v>
      </c>
      <c r="I19" s="4"/>
      <c r="J19" s="4" t="s">
        <v>68</v>
      </c>
      <c r="K19" s="7">
        <v>8062</v>
      </c>
      <c r="L19" s="4" t="s">
        <v>1056</v>
      </c>
      <c r="M19" s="4" t="s">
        <v>27</v>
      </c>
      <c r="N19" s="4"/>
    </row>
    <row r="20" spans="1:14" ht="10.5" hidden="1" x14ac:dyDescent="0.25">
      <c r="A20" s="8" t="s">
        <v>220</v>
      </c>
      <c r="B20" s="4" t="s">
        <v>21</v>
      </c>
      <c r="C20" s="5">
        <v>44195</v>
      </c>
      <c r="D20" s="4" t="s">
        <v>1053</v>
      </c>
      <c r="E20" s="4" t="s">
        <v>1054</v>
      </c>
      <c r="F20" s="4" t="s">
        <v>1060</v>
      </c>
      <c r="G20" s="6">
        <v>250.00000007804999</v>
      </c>
      <c r="H20" s="6">
        <f t="shared" si="0"/>
        <v>819239.65904132032</v>
      </c>
      <c r="I20" s="4"/>
      <c r="J20" s="4" t="s">
        <v>68</v>
      </c>
      <c r="K20" s="7">
        <v>250</v>
      </c>
      <c r="L20" s="4" t="s">
        <v>1056</v>
      </c>
      <c r="M20" s="4" t="s">
        <v>27</v>
      </c>
      <c r="N20" s="4"/>
    </row>
    <row r="21" spans="1:14" ht="10.5" hidden="1" x14ac:dyDescent="0.25">
      <c r="A21" s="8" t="s">
        <v>220</v>
      </c>
      <c r="B21" s="4" t="s">
        <v>21</v>
      </c>
      <c r="C21" s="5">
        <v>44195</v>
      </c>
      <c r="D21" s="4" t="s">
        <v>1053</v>
      </c>
      <c r="E21" s="4" t="s">
        <v>1054</v>
      </c>
      <c r="F21" s="4" t="s">
        <v>1061</v>
      </c>
      <c r="G21" s="6">
        <v>7363.0000022987288</v>
      </c>
      <c r="H21" s="6">
        <f t="shared" si="0"/>
        <v>826602.65904361906</v>
      </c>
      <c r="I21" s="4"/>
      <c r="J21" s="4" t="s">
        <v>68</v>
      </c>
      <c r="K21" s="7">
        <v>7363</v>
      </c>
      <c r="L21" s="4" t="s">
        <v>1056</v>
      </c>
      <c r="M21" s="4" t="s">
        <v>27</v>
      </c>
      <c r="N21" s="4"/>
    </row>
    <row r="22" spans="1:14" ht="10.5" hidden="1" x14ac:dyDescent="0.25">
      <c r="A22" s="8" t="s">
        <v>220</v>
      </c>
      <c r="B22" s="4" t="s">
        <v>21</v>
      </c>
      <c r="C22" s="5">
        <v>44195</v>
      </c>
      <c r="D22" s="4" t="s">
        <v>1053</v>
      </c>
      <c r="E22" s="4" t="s">
        <v>1054</v>
      </c>
      <c r="F22" s="4" t="s">
        <v>1062</v>
      </c>
      <c r="G22" s="6">
        <v>150.00000004683</v>
      </c>
      <c r="H22" s="6">
        <f t="shared" si="0"/>
        <v>826752.65904366586</v>
      </c>
      <c r="I22" s="4"/>
      <c r="J22" s="4" t="s">
        <v>68</v>
      </c>
      <c r="K22" s="7">
        <v>150</v>
      </c>
      <c r="L22" s="4" t="s">
        <v>1056</v>
      </c>
      <c r="M22" s="4" t="s">
        <v>27</v>
      </c>
      <c r="N22" s="4"/>
    </row>
    <row r="23" spans="1:14" ht="10.5" hidden="1" x14ac:dyDescent="0.25">
      <c r="A23" s="8" t="s">
        <v>220</v>
      </c>
      <c r="B23" s="4" t="s">
        <v>21</v>
      </c>
      <c r="C23" s="5">
        <v>44195</v>
      </c>
      <c r="D23" s="4" t="s">
        <v>1053</v>
      </c>
      <c r="E23" s="4" t="s">
        <v>1054</v>
      </c>
      <c r="F23" s="4" t="s">
        <v>1063</v>
      </c>
      <c r="G23" s="6">
        <v>1219.0000003805717</v>
      </c>
      <c r="H23" s="6">
        <f t="shared" si="0"/>
        <v>827971.65904404642</v>
      </c>
      <c r="I23" s="4"/>
      <c r="J23" s="4" t="s">
        <v>68</v>
      </c>
      <c r="K23" s="7">
        <v>1219</v>
      </c>
      <c r="L23" s="4" t="s">
        <v>1056</v>
      </c>
      <c r="M23" s="4" t="s">
        <v>27</v>
      </c>
      <c r="N23" s="4"/>
    </row>
    <row r="24" spans="1:14" ht="10.5" hidden="1" x14ac:dyDescent="0.25">
      <c r="A24" s="8" t="s">
        <v>220</v>
      </c>
      <c r="B24" s="4" t="s">
        <v>21</v>
      </c>
      <c r="C24" s="5">
        <v>44195</v>
      </c>
      <c r="D24" s="4" t="s">
        <v>1053</v>
      </c>
      <c r="E24" s="4" t="s">
        <v>1054</v>
      </c>
      <c r="F24" s="4" t="s">
        <v>1064</v>
      </c>
      <c r="G24" s="6">
        <v>1100.00000034342</v>
      </c>
      <c r="H24" s="6">
        <f t="shared" si="0"/>
        <v>829071.65904438985</v>
      </c>
      <c r="I24" s="4"/>
      <c r="J24" s="4" t="s">
        <v>68</v>
      </c>
      <c r="K24" s="7">
        <v>1100</v>
      </c>
      <c r="L24" s="4" t="s">
        <v>1056</v>
      </c>
      <c r="M24" s="4" t="s">
        <v>27</v>
      </c>
      <c r="N24" s="4"/>
    </row>
    <row r="25" spans="1:14" ht="10.5" hidden="1" x14ac:dyDescent="0.25">
      <c r="A25" s="8" t="s">
        <v>220</v>
      </c>
      <c r="B25" s="4" t="s">
        <v>21</v>
      </c>
      <c r="C25" s="5">
        <v>44195</v>
      </c>
      <c r="D25" s="4" t="s">
        <v>1053</v>
      </c>
      <c r="E25" s="4" t="s">
        <v>1054</v>
      </c>
      <c r="F25" s="4" t="s">
        <v>1065</v>
      </c>
      <c r="G25" s="6">
        <v>37715.000011774624</v>
      </c>
      <c r="H25" s="6">
        <f t="shared" si="0"/>
        <v>866786.65905616444</v>
      </c>
      <c r="I25" s="4"/>
      <c r="J25" s="4" t="s">
        <v>68</v>
      </c>
      <c r="K25" s="7">
        <v>37715</v>
      </c>
      <c r="L25" s="4" t="s">
        <v>1056</v>
      </c>
      <c r="M25" s="4" t="s">
        <v>27</v>
      </c>
      <c r="N25" s="4"/>
    </row>
    <row r="26" spans="1:14" ht="10.5" hidden="1" x14ac:dyDescent="0.25">
      <c r="A26" s="8" t="s">
        <v>220</v>
      </c>
      <c r="B26" s="4" t="s">
        <v>21</v>
      </c>
      <c r="C26" s="5">
        <v>44195</v>
      </c>
      <c r="D26" s="4" t="s">
        <v>1066</v>
      </c>
      <c r="E26" s="4" t="s">
        <v>1067</v>
      </c>
      <c r="F26" s="4" t="s">
        <v>1068</v>
      </c>
      <c r="G26" s="6">
        <v>-800.00000024975998</v>
      </c>
      <c r="H26" s="6">
        <f t="shared" si="0"/>
        <v>865986.65905591473</v>
      </c>
      <c r="I26" s="4"/>
      <c r="J26" s="4" t="s">
        <v>68</v>
      </c>
      <c r="K26" s="7">
        <v>-800</v>
      </c>
      <c r="L26" s="4" t="s">
        <v>1056</v>
      </c>
      <c r="M26" s="4" t="s">
        <v>27</v>
      </c>
      <c r="N26" s="4"/>
    </row>
    <row r="27" spans="1:14" ht="10.5" hidden="1" x14ac:dyDescent="0.25">
      <c r="A27" s="8" t="s">
        <v>220</v>
      </c>
      <c r="B27" s="4" t="s">
        <v>21</v>
      </c>
      <c r="C27" s="5">
        <v>44195</v>
      </c>
      <c r="D27" s="4" t="s">
        <v>1066</v>
      </c>
      <c r="E27" s="4" t="s">
        <v>1067</v>
      </c>
      <c r="F27" s="4" t="s">
        <v>1069</v>
      </c>
      <c r="G27" s="6">
        <v>-3500.0000010927001</v>
      </c>
      <c r="H27" s="6">
        <f t="shared" si="0"/>
        <v>862486.65905482206</v>
      </c>
      <c r="I27" s="4"/>
      <c r="J27" s="4" t="s">
        <v>68</v>
      </c>
      <c r="K27" s="7">
        <v>-3500</v>
      </c>
      <c r="L27" s="4" t="s">
        <v>1056</v>
      </c>
      <c r="M27" s="4" t="s">
        <v>27</v>
      </c>
      <c r="N27" s="4"/>
    </row>
    <row r="28" spans="1:14" ht="10.5" hidden="1" x14ac:dyDescent="0.25">
      <c r="A28" s="8" t="s">
        <v>220</v>
      </c>
      <c r="B28" s="4" t="s">
        <v>21</v>
      </c>
      <c r="C28" s="5">
        <v>44195</v>
      </c>
      <c r="D28" s="4" t="s">
        <v>1066</v>
      </c>
      <c r="E28" s="4" t="s">
        <v>1067</v>
      </c>
      <c r="F28" s="4" t="s">
        <v>1070</v>
      </c>
      <c r="G28" s="6">
        <v>-100.00000003122</v>
      </c>
      <c r="H28" s="6">
        <f t="shared" si="0"/>
        <v>862386.65905479086</v>
      </c>
      <c r="I28" s="4"/>
      <c r="J28" s="4" t="s">
        <v>68</v>
      </c>
      <c r="K28" s="7">
        <v>-100</v>
      </c>
      <c r="L28" s="4" t="s">
        <v>1056</v>
      </c>
      <c r="M28" s="4" t="s">
        <v>27</v>
      </c>
      <c r="N28" s="4"/>
    </row>
    <row r="29" spans="1:14" ht="10.5" hidden="1" x14ac:dyDescent="0.25">
      <c r="A29" s="8" t="s">
        <v>220</v>
      </c>
      <c r="B29" s="4" t="s">
        <v>21</v>
      </c>
      <c r="C29" s="5">
        <v>44195</v>
      </c>
      <c r="D29" s="4" t="s">
        <v>1066</v>
      </c>
      <c r="E29" s="4" t="s">
        <v>1067</v>
      </c>
      <c r="F29" s="4" t="s">
        <v>1071</v>
      </c>
      <c r="G29" s="6">
        <v>-250.00000007804999</v>
      </c>
      <c r="H29" s="6">
        <f t="shared" si="0"/>
        <v>862136.65905471286</v>
      </c>
      <c r="I29" s="4"/>
      <c r="J29" s="4" t="s">
        <v>68</v>
      </c>
      <c r="K29" s="7">
        <v>-250</v>
      </c>
      <c r="L29" s="4" t="s">
        <v>1056</v>
      </c>
      <c r="M29" s="4" t="s">
        <v>27</v>
      </c>
      <c r="N29" s="4"/>
    </row>
    <row r="30" spans="1:14" ht="10.5" hidden="1" x14ac:dyDescent="0.25">
      <c r="A30" s="8" t="s">
        <v>220</v>
      </c>
      <c r="B30" s="4" t="s">
        <v>21</v>
      </c>
      <c r="C30" s="5">
        <v>44195</v>
      </c>
      <c r="D30" s="4" t="s">
        <v>1066</v>
      </c>
      <c r="E30" s="4" t="s">
        <v>1067</v>
      </c>
      <c r="F30" s="4" t="s">
        <v>1072</v>
      </c>
      <c r="G30" s="6">
        <v>-456.00000014236321</v>
      </c>
      <c r="H30" s="6">
        <f t="shared" si="0"/>
        <v>861680.65905457048</v>
      </c>
      <c r="I30" s="4"/>
      <c r="J30" s="4" t="s">
        <v>68</v>
      </c>
      <c r="K30" s="7">
        <v>-456</v>
      </c>
      <c r="L30" s="4" t="s">
        <v>1056</v>
      </c>
      <c r="M30" s="4" t="s">
        <v>27</v>
      </c>
      <c r="N30" s="4"/>
    </row>
    <row r="31" spans="1:14" ht="10.5" hidden="1" x14ac:dyDescent="0.25">
      <c r="A31" s="8" t="s">
        <v>220</v>
      </c>
      <c r="B31" s="4" t="s">
        <v>21</v>
      </c>
      <c r="C31" s="5">
        <v>44195</v>
      </c>
      <c r="D31" s="4" t="s">
        <v>1066</v>
      </c>
      <c r="E31" s="4" t="s">
        <v>1067</v>
      </c>
      <c r="F31" s="4" t="s">
        <v>1073</v>
      </c>
      <c r="G31" s="6">
        <v>-500.00000015609999</v>
      </c>
      <c r="H31" s="6">
        <f t="shared" si="0"/>
        <v>861180.65905441437</v>
      </c>
      <c r="I31" s="4"/>
      <c r="J31" s="4" t="s">
        <v>68</v>
      </c>
      <c r="K31" s="7">
        <v>-500</v>
      </c>
      <c r="L31" s="4" t="s">
        <v>1056</v>
      </c>
      <c r="M31" s="4" t="s">
        <v>27</v>
      </c>
      <c r="N31" s="4"/>
    </row>
    <row r="32" spans="1:14" ht="10.5" hidden="1" x14ac:dyDescent="0.25">
      <c r="A32" s="8" t="s">
        <v>220</v>
      </c>
      <c r="B32" s="4" t="s">
        <v>21</v>
      </c>
      <c r="C32" s="5">
        <v>44195</v>
      </c>
      <c r="D32" s="4" t="s">
        <v>1066</v>
      </c>
      <c r="E32" s="4" t="s">
        <v>1067</v>
      </c>
      <c r="F32" s="4" t="s">
        <v>1074</v>
      </c>
      <c r="G32" s="6">
        <v>-400.00000012487999</v>
      </c>
      <c r="H32" s="6">
        <f t="shared" si="0"/>
        <v>860780.65905428946</v>
      </c>
      <c r="I32" s="4"/>
      <c r="J32" s="4" t="s">
        <v>68</v>
      </c>
      <c r="K32" s="7">
        <v>-400</v>
      </c>
      <c r="L32" s="4" t="s">
        <v>1056</v>
      </c>
      <c r="M32" s="4" t="s">
        <v>27</v>
      </c>
      <c r="N32" s="4"/>
    </row>
    <row r="33" spans="1:14" ht="10.5" hidden="1" x14ac:dyDescent="0.25">
      <c r="A33" s="8" t="s">
        <v>220</v>
      </c>
      <c r="B33" s="4" t="s">
        <v>21</v>
      </c>
      <c r="C33" s="5">
        <v>44195</v>
      </c>
      <c r="D33" s="4" t="s">
        <v>1066</v>
      </c>
      <c r="E33" s="4" t="s">
        <v>1067</v>
      </c>
      <c r="F33" s="4" t="s">
        <v>1075</v>
      </c>
      <c r="G33" s="6">
        <v>-4511.0000014083344</v>
      </c>
      <c r="H33" s="6">
        <f t="shared" si="0"/>
        <v>856269.65905288118</v>
      </c>
      <c r="I33" s="4"/>
      <c r="J33" s="4" t="s">
        <v>68</v>
      </c>
      <c r="K33" s="7">
        <v>-4511</v>
      </c>
      <c r="L33" s="4" t="s">
        <v>1056</v>
      </c>
      <c r="M33" s="4" t="s">
        <v>27</v>
      </c>
      <c r="N33" s="4"/>
    </row>
    <row r="34" spans="1:14" ht="10.5" hidden="1" x14ac:dyDescent="0.25">
      <c r="A34" s="8" t="s">
        <v>220</v>
      </c>
      <c r="B34" s="4" t="s">
        <v>21</v>
      </c>
      <c r="C34" s="5">
        <v>44195</v>
      </c>
      <c r="D34" s="4" t="s">
        <v>1076</v>
      </c>
      <c r="E34" s="4" t="s">
        <v>1077</v>
      </c>
      <c r="F34" s="4" t="s">
        <v>1078</v>
      </c>
      <c r="G34" s="6">
        <v>500.00000015609999</v>
      </c>
      <c r="H34" s="6">
        <f t="shared" si="0"/>
        <v>856769.65905303729</v>
      </c>
      <c r="I34" s="4"/>
      <c r="J34" s="4" t="s">
        <v>68</v>
      </c>
      <c r="K34" s="7">
        <v>500</v>
      </c>
      <c r="L34" s="4" t="s">
        <v>1056</v>
      </c>
      <c r="M34" s="4" t="s">
        <v>27</v>
      </c>
      <c r="N34" s="4"/>
    </row>
    <row r="35" spans="1:14" ht="10.5" hidden="1" x14ac:dyDescent="0.25">
      <c r="A35" s="8" t="s">
        <v>220</v>
      </c>
      <c r="B35" s="4" t="s">
        <v>21</v>
      </c>
      <c r="C35" s="5">
        <v>44195</v>
      </c>
      <c r="D35" s="4" t="s">
        <v>1076</v>
      </c>
      <c r="E35" s="4" t="s">
        <v>1077</v>
      </c>
      <c r="F35" s="4" t="s">
        <v>1079</v>
      </c>
      <c r="G35" s="6">
        <v>2113.610000659869</v>
      </c>
      <c r="H35" s="6">
        <f t="shared" si="0"/>
        <v>858883.26905369712</v>
      </c>
      <c r="I35" s="4"/>
      <c r="J35" s="4" t="s">
        <v>68</v>
      </c>
      <c r="K35" s="7">
        <v>2113.61</v>
      </c>
      <c r="L35" s="4" t="s">
        <v>1056</v>
      </c>
      <c r="M35" s="4" t="s">
        <v>27</v>
      </c>
      <c r="N35" s="4"/>
    </row>
    <row r="36" spans="1:14" ht="10.5" hidden="1" x14ac:dyDescent="0.25">
      <c r="A36" s="8" t="s">
        <v>220</v>
      </c>
      <c r="B36" s="4" t="s">
        <v>21</v>
      </c>
      <c r="C36" s="5">
        <v>44196</v>
      </c>
      <c r="D36" s="4" t="s">
        <v>1080</v>
      </c>
      <c r="E36" s="4" t="s">
        <v>1081</v>
      </c>
      <c r="F36" s="4" t="s">
        <v>1081</v>
      </c>
      <c r="G36" s="6">
        <v>20969.304079153462</v>
      </c>
      <c r="H36" s="6">
        <f t="shared" si="0"/>
        <v>879852.57313285058</v>
      </c>
      <c r="I36" s="4"/>
      <c r="J36" s="4" t="s">
        <v>68</v>
      </c>
      <c r="K36" s="7">
        <v>1656332</v>
      </c>
      <c r="L36" s="4" t="s">
        <v>1056</v>
      </c>
      <c r="M36" s="4" t="s">
        <v>204</v>
      </c>
      <c r="N36" s="4"/>
    </row>
    <row r="37" spans="1:14" ht="10.5" hidden="1" x14ac:dyDescent="0.25">
      <c r="A37" s="8" t="s">
        <v>220</v>
      </c>
      <c r="B37" s="4" t="s">
        <v>21</v>
      </c>
      <c r="C37" s="5">
        <v>44196</v>
      </c>
      <c r="D37" s="4" t="s">
        <v>1082</v>
      </c>
      <c r="E37" s="4" t="s">
        <v>1024</v>
      </c>
      <c r="F37" s="4"/>
      <c r="G37" s="6">
        <v>-32924.703525339144</v>
      </c>
      <c r="H37" s="6">
        <f t="shared" si="0"/>
        <v>846927.86960751144</v>
      </c>
      <c r="I37" s="4"/>
      <c r="J37" s="4" t="s">
        <v>68</v>
      </c>
      <c r="K37" s="7">
        <v>-2600670</v>
      </c>
      <c r="L37" s="4" t="s">
        <v>1056</v>
      </c>
      <c r="M37" s="4" t="s">
        <v>204</v>
      </c>
      <c r="N37" s="4" t="s">
        <v>1026</v>
      </c>
    </row>
    <row r="38" spans="1:14" ht="10.5" hidden="1" x14ac:dyDescent="0.25">
      <c r="A38" s="8" t="s">
        <v>220</v>
      </c>
      <c r="B38" s="4" t="s">
        <v>21</v>
      </c>
      <c r="C38" s="5">
        <v>44196</v>
      </c>
      <c r="D38" s="4" t="s">
        <v>1083</v>
      </c>
      <c r="E38" s="4" t="s">
        <v>1041</v>
      </c>
      <c r="F38" s="4" t="s">
        <v>1042</v>
      </c>
      <c r="G38" s="6">
        <v>880246.91385506</v>
      </c>
      <c r="H38" s="6">
        <f t="shared" si="0"/>
        <v>1727174.7834625714</v>
      </c>
      <c r="I38" s="4"/>
      <c r="J38" s="4" t="s">
        <v>68</v>
      </c>
      <c r="K38" s="7">
        <v>839914</v>
      </c>
      <c r="L38" s="4" t="s">
        <v>1056</v>
      </c>
      <c r="M38" s="4" t="s">
        <v>61</v>
      </c>
      <c r="N38" s="4" t="s">
        <v>181</v>
      </c>
    </row>
    <row r="39" spans="1:14" ht="10.5" hidden="1" x14ac:dyDescent="0.25">
      <c r="A39" s="8" t="s">
        <v>220</v>
      </c>
      <c r="B39" s="4" t="s">
        <v>21</v>
      </c>
      <c r="C39" s="5">
        <v>44196</v>
      </c>
      <c r="D39" s="4" t="s">
        <v>1084</v>
      </c>
      <c r="E39" s="4" t="s">
        <v>1085</v>
      </c>
      <c r="F39" s="4" t="s">
        <v>1086</v>
      </c>
      <c r="G39" s="6">
        <v>-22270.59000695288</v>
      </c>
      <c r="H39" s="6">
        <f t="shared" si="0"/>
        <v>1704904.1934556186</v>
      </c>
      <c r="I39" s="4"/>
      <c r="J39" s="4" t="s">
        <v>68</v>
      </c>
      <c r="K39" s="7">
        <v>-22270.59</v>
      </c>
      <c r="L39" s="4" t="s">
        <v>1056</v>
      </c>
      <c r="M39" s="4" t="s">
        <v>27</v>
      </c>
      <c r="N39" s="4" t="s">
        <v>28</v>
      </c>
    </row>
    <row r="40" spans="1:14" ht="10.5" hidden="1" x14ac:dyDescent="0.25">
      <c r="A40" s="8" t="s">
        <v>220</v>
      </c>
      <c r="B40" s="4" t="s">
        <v>21</v>
      </c>
      <c r="C40" s="5">
        <v>44196</v>
      </c>
      <c r="D40" s="4" t="s">
        <v>1087</v>
      </c>
      <c r="E40" s="4" t="s">
        <v>1088</v>
      </c>
      <c r="F40" s="4" t="s">
        <v>1045</v>
      </c>
      <c r="G40" s="6">
        <v>-594628.46651275107</v>
      </c>
      <c r="H40" s="6">
        <f t="shared" si="0"/>
        <v>1110275.7269428675</v>
      </c>
      <c r="I40" s="4"/>
      <c r="J40" s="4" t="s">
        <v>68</v>
      </c>
      <c r="K40" s="7">
        <v>-567382.59</v>
      </c>
      <c r="L40" s="4" t="s">
        <v>1056</v>
      </c>
      <c r="M40" s="4" t="s">
        <v>61</v>
      </c>
      <c r="N40" s="4" t="s">
        <v>181</v>
      </c>
    </row>
    <row r="41" spans="1:14" ht="10.5" hidden="1" x14ac:dyDescent="0.25">
      <c r="A41" s="8" t="s">
        <v>220</v>
      </c>
      <c r="B41" s="4" t="s">
        <v>21</v>
      </c>
      <c r="C41" s="5">
        <v>44196</v>
      </c>
      <c r="D41" s="4" t="s">
        <v>1089</v>
      </c>
      <c r="E41" s="4" t="s">
        <v>1090</v>
      </c>
      <c r="F41" s="4" t="s">
        <v>1090</v>
      </c>
      <c r="G41" s="6">
        <v>-949682.42918831424</v>
      </c>
      <c r="H41" s="6">
        <f t="shared" si="0"/>
        <v>160593.29775455326</v>
      </c>
      <c r="I41" s="4"/>
      <c r="J41" s="4" t="s">
        <v>68</v>
      </c>
      <c r="K41" s="7">
        <v>-906167.98</v>
      </c>
      <c r="L41" s="4" t="s">
        <v>1056</v>
      </c>
      <c r="M41" s="4" t="s">
        <v>61</v>
      </c>
      <c r="N41" s="4" t="s">
        <v>1091</v>
      </c>
    </row>
    <row r="42" spans="1:14" ht="10.5" hidden="1" x14ac:dyDescent="0.25">
      <c r="A42" s="8" t="s">
        <v>220</v>
      </c>
      <c r="B42" s="4" t="s">
        <v>1092</v>
      </c>
      <c r="C42" s="5">
        <v>44252</v>
      </c>
      <c r="D42" s="4" t="s">
        <v>1093</v>
      </c>
      <c r="E42" s="4" t="s">
        <v>1094</v>
      </c>
      <c r="F42" s="4" t="s">
        <v>1095</v>
      </c>
      <c r="G42" s="6">
        <v>21.527715112885407</v>
      </c>
      <c r="H42" s="6">
        <f t="shared" si="0"/>
        <v>160614.82546966616</v>
      </c>
      <c r="I42" s="4" t="s">
        <v>227</v>
      </c>
      <c r="J42" s="4" t="s">
        <v>68</v>
      </c>
      <c r="K42" s="7">
        <v>1700.44</v>
      </c>
      <c r="L42" s="4" t="s">
        <v>1029</v>
      </c>
      <c r="M42" s="4" t="s">
        <v>204</v>
      </c>
      <c r="N42" s="4"/>
    </row>
    <row r="43" spans="1:14" ht="10.5" hidden="1" x14ac:dyDescent="0.25">
      <c r="A43" s="8" t="s">
        <v>220</v>
      </c>
      <c r="B43" s="4" t="s">
        <v>1092</v>
      </c>
      <c r="C43" s="5">
        <v>44270</v>
      </c>
      <c r="D43" s="4" t="s">
        <v>1096</v>
      </c>
      <c r="E43" s="4" t="s">
        <v>1097</v>
      </c>
      <c r="F43" s="4" t="s">
        <v>1098</v>
      </c>
      <c r="G43" s="6">
        <v>31650.212758000001</v>
      </c>
      <c r="H43" s="6">
        <f t="shared" si="0"/>
        <v>192265.03822766617</v>
      </c>
      <c r="I43" s="4" t="s">
        <v>1099</v>
      </c>
      <c r="J43" s="4" t="s">
        <v>68</v>
      </c>
      <c r="K43" s="7">
        <v>2500000</v>
      </c>
      <c r="L43" s="4" t="s">
        <v>1029</v>
      </c>
      <c r="M43" s="4" t="s">
        <v>204</v>
      </c>
      <c r="N43" s="4"/>
    </row>
    <row r="44" spans="1:14" ht="10.5" hidden="1" x14ac:dyDescent="0.25">
      <c r="A44" s="8" t="s">
        <v>220</v>
      </c>
      <c r="B44" s="4" t="s">
        <v>21</v>
      </c>
      <c r="C44" s="5">
        <v>44286</v>
      </c>
      <c r="D44" s="4" t="s">
        <v>1100</v>
      </c>
      <c r="E44" s="4" t="s">
        <v>1101</v>
      </c>
      <c r="F44" s="4" t="s">
        <v>1102</v>
      </c>
      <c r="G44" s="6">
        <v>-84073.283054607105</v>
      </c>
      <c r="H44" s="6">
        <f t="shared" si="0"/>
        <v>108191.75517305906</v>
      </c>
      <c r="I44" s="4"/>
      <c r="J44" s="4" t="s">
        <v>68</v>
      </c>
      <c r="K44" s="7">
        <v>-6640815</v>
      </c>
      <c r="L44" s="4" t="s">
        <v>1029</v>
      </c>
      <c r="M44" s="4" t="s">
        <v>204</v>
      </c>
      <c r="N44" s="4" t="s">
        <v>198</v>
      </c>
    </row>
    <row r="45" spans="1:14" ht="10.5" hidden="1" x14ac:dyDescent="0.25">
      <c r="A45" s="8" t="s">
        <v>220</v>
      </c>
      <c r="B45" s="4" t="s">
        <v>21</v>
      </c>
      <c r="C45" s="5">
        <v>44286</v>
      </c>
      <c r="D45" s="4" t="s">
        <v>1103</v>
      </c>
      <c r="E45" s="4" t="s">
        <v>1104</v>
      </c>
      <c r="F45" s="4" t="s">
        <v>1104</v>
      </c>
      <c r="G45" s="6">
        <v>24041.134468508808</v>
      </c>
      <c r="H45" s="6">
        <f t="shared" si="0"/>
        <v>132232.88964156786</v>
      </c>
      <c r="I45" s="4"/>
      <c r="J45" s="4" t="s">
        <v>68</v>
      </c>
      <c r="K45" s="7">
        <v>1898971</v>
      </c>
      <c r="L45" s="4" t="s">
        <v>1029</v>
      </c>
      <c r="M45" s="4" t="s">
        <v>204</v>
      </c>
      <c r="N45" s="4" t="s">
        <v>198</v>
      </c>
    </row>
    <row r="46" spans="1:14" ht="10.5" hidden="1" x14ac:dyDescent="0.25">
      <c r="A46" s="8" t="s">
        <v>220</v>
      </c>
      <c r="B46" s="4" t="s">
        <v>21</v>
      </c>
      <c r="C46" s="5">
        <v>44286</v>
      </c>
      <c r="D46" s="4" t="s">
        <v>1105</v>
      </c>
      <c r="E46" s="4" t="s">
        <v>1104</v>
      </c>
      <c r="F46" s="4" t="s">
        <v>1104</v>
      </c>
      <c r="G46" s="6">
        <v>32924.703525339144</v>
      </c>
      <c r="H46" s="6">
        <f t="shared" si="0"/>
        <v>165157.593166907</v>
      </c>
      <c r="I46" s="4"/>
      <c r="J46" s="4" t="s">
        <v>68</v>
      </c>
      <c r="K46" s="7">
        <v>2600670</v>
      </c>
      <c r="L46" s="4" t="s">
        <v>1029</v>
      </c>
      <c r="M46" s="4" t="s">
        <v>204</v>
      </c>
      <c r="N46" s="4" t="s">
        <v>198</v>
      </c>
    </row>
    <row r="47" spans="1:14" ht="10.5" hidden="1" x14ac:dyDescent="0.25">
      <c r="A47" s="8" t="s">
        <v>220</v>
      </c>
      <c r="B47" s="4"/>
      <c r="C47" s="5"/>
      <c r="D47" s="4" t="s">
        <v>1106</v>
      </c>
      <c r="E47" s="4" t="s">
        <v>1107</v>
      </c>
      <c r="F47" s="4" t="s">
        <v>1107</v>
      </c>
      <c r="G47" s="6">
        <v>132276.92892264001</v>
      </c>
      <c r="H47" s="6">
        <f t="shared" si="0"/>
        <v>297434.52208954701</v>
      </c>
      <c r="I47" s="4"/>
      <c r="J47" s="4" t="s">
        <v>68</v>
      </c>
      <c r="K47" s="7">
        <v>126216</v>
      </c>
      <c r="L47" s="4" t="s">
        <v>1029</v>
      </c>
      <c r="M47" s="4" t="s">
        <v>61</v>
      </c>
      <c r="N47" s="4" t="s">
        <v>1108</v>
      </c>
    </row>
    <row r="48" spans="1:14" ht="10.5" hidden="1" x14ac:dyDescent="0.25">
      <c r="A48" s="8" t="s">
        <v>220</v>
      </c>
      <c r="B48" s="4"/>
      <c r="C48" s="5"/>
      <c r="D48" s="4" t="s">
        <v>1109</v>
      </c>
      <c r="E48" s="4" t="s">
        <v>1110</v>
      </c>
      <c r="F48" s="4" t="s">
        <v>1111</v>
      </c>
      <c r="G48" s="6">
        <v>-89948.143984148803</v>
      </c>
      <c r="H48" s="6">
        <f t="shared" si="0"/>
        <v>207486.37810539821</v>
      </c>
      <c r="I48" s="4"/>
      <c r="J48" s="4" t="s">
        <v>68</v>
      </c>
      <c r="K48" s="7">
        <v>-85826.72</v>
      </c>
      <c r="L48" s="4" t="s">
        <v>1029</v>
      </c>
      <c r="M48" s="4" t="s">
        <v>61</v>
      </c>
      <c r="N48" s="4" t="s">
        <v>181</v>
      </c>
    </row>
    <row r="49" spans="1:14" ht="10.5" hidden="1" x14ac:dyDescent="0.25">
      <c r="A49" s="8" t="s">
        <v>220</v>
      </c>
      <c r="B49" s="4" t="s">
        <v>21</v>
      </c>
      <c r="C49" s="5">
        <v>44286</v>
      </c>
      <c r="D49" s="4" t="s">
        <v>1027</v>
      </c>
      <c r="E49" s="4" t="s">
        <v>1028</v>
      </c>
      <c r="F49" s="4" t="s">
        <v>1028</v>
      </c>
      <c r="G49" s="6">
        <v>-33947.442139651612</v>
      </c>
      <c r="H49" s="6">
        <f t="shared" si="0"/>
        <v>173538.93596574658</v>
      </c>
      <c r="I49" s="4"/>
      <c r="J49" s="4" t="s">
        <v>68</v>
      </c>
      <c r="K49" s="7">
        <v>-43717.99</v>
      </c>
      <c r="L49" s="4" t="s">
        <v>1029</v>
      </c>
      <c r="M49" s="4" t="s">
        <v>212</v>
      </c>
      <c r="N49" s="4" t="s">
        <v>118</v>
      </c>
    </row>
    <row r="50" spans="1:14" ht="10.5" hidden="1" x14ac:dyDescent="0.25">
      <c r="A50" s="8" t="s">
        <v>220</v>
      </c>
      <c r="B50" s="4" t="s">
        <v>21</v>
      </c>
      <c r="C50" s="5">
        <v>44286</v>
      </c>
      <c r="D50" s="4" t="s">
        <v>1112</v>
      </c>
      <c r="E50" s="4" t="s">
        <v>1113</v>
      </c>
      <c r="F50" s="4" t="s">
        <v>1113</v>
      </c>
      <c r="G50" s="6">
        <v>-29398.060009178076</v>
      </c>
      <c r="H50" s="6">
        <f t="shared" si="0"/>
        <v>144140.87595656852</v>
      </c>
      <c r="I50" s="4"/>
      <c r="J50" s="4" t="s">
        <v>68</v>
      </c>
      <c r="K50" s="7">
        <v>-29398.06</v>
      </c>
      <c r="L50" s="4" t="s">
        <v>1029</v>
      </c>
      <c r="M50" s="4" t="s">
        <v>27</v>
      </c>
      <c r="N50" s="4" t="s">
        <v>118</v>
      </c>
    </row>
    <row r="51" spans="1:14" ht="10.5" hidden="1" x14ac:dyDescent="0.25">
      <c r="A51" s="8" t="s">
        <v>220</v>
      </c>
      <c r="B51" s="4" t="s">
        <v>1092</v>
      </c>
      <c r="C51" s="5">
        <v>44362</v>
      </c>
      <c r="D51" s="4" t="s">
        <v>1114</v>
      </c>
      <c r="E51" s="4" t="s">
        <v>1115</v>
      </c>
      <c r="F51" s="4" t="s">
        <v>1116</v>
      </c>
      <c r="G51" s="6">
        <v>18990.127654799999</v>
      </c>
      <c r="H51" s="6">
        <f t="shared" si="0"/>
        <v>163131.00361136851</v>
      </c>
      <c r="I51" s="4" t="s">
        <v>1099</v>
      </c>
      <c r="J51" s="4" t="s">
        <v>68</v>
      </c>
      <c r="K51" s="7">
        <v>1500000</v>
      </c>
      <c r="L51" s="4" t="s">
        <v>1031</v>
      </c>
      <c r="M51" s="4" t="s">
        <v>204</v>
      </c>
      <c r="N51" s="4"/>
    </row>
    <row r="52" spans="1:14" ht="10.5" hidden="1" x14ac:dyDescent="0.25">
      <c r="A52" s="8" t="s">
        <v>220</v>
      </c>
      <c r="B52" s="4" t="s">
        <v>21</v>
      </c>
      <c r="C52" s="5">
        <v>44377</v>
      </c>
      <c r="D52" s="4" t="s">
        <v>1117</v>
      </c>
      <c r="E52" s="4" t="s">
        <v>1118</v>
      </c>
      <c r="F52" s="4" t="s">
        <v>1118</v>
      </c>
      <c r="G52" s="6">
        <v>137698.33788281001</v>
      </c>
      <c r="H52" s="6">
        <f t="shared" si="0"/>
        <v>300829.34149417852</v>
      </c>
      <c r="I52" s="4"/>
      <c r="J52" s="4" t="s">
        <v>68</v>
      </c>
      <c r="K52" s="7">
        <v>131389</v>
      </c>
      <c r="L52" s="4" t="s">
        <v>1031</v>
      </c>
      <c r="M52" s="4" t="s">
        <v>61</v>
      </c>
      <c r="N52" s="4" t="s">
        <v>1108</v>
      </c>
    </row>
    <row r="53" spans="1:14" ht="10.5" hidden="1" x14ac:dyDescent="0.25">
      <c r="A53" s="8" t="s">
        <v>220</v>
      </c>
      <c r="B53" s="4" t="s">
        <v>21</v>
      </c>
      <c r="C53" s="5">
        <v>44377</v>
      </c>
      <c r="D53" s="4" t="s">
        <v>1119</v>
      </c>
      <c r="E53" s="4" t="s">
        <v>1120</v>
      </c>
      <c r="F53" s="4" t="s">
        <v>1121</v>
      </c>
      <c r="G53" s="6">
        <v>-93634.691596861507</v>
      </c>
      <c r="H53" s="6">
        <f t="shared" si="0"/>
        <v>207194.64989731699</v>
      </c>
      <c r="I53" s="4"/>
      <c r="J53" s="4" t="s">
        <v>68</v>
      </c>
      <c r="K53" s="7">
        <v>-89344.35</v>
      </c>
      <c r="L53" s="4" t="s">
        <v>1031</v>
      </c>
      <c r="M53" s="4" t="s">
        <v>61</v>
      </c>
      <c r="N53" s="4" t="s">
        <v>181</v>
      </c>
    </row>
    <row r="54" spans="1:14" ht="10.5" hidden="1" x14ac:dyDescent="0.25">
      <c r="A54" s="8" t="s">
        <v>220</v>
      </c>
      <c r="B54" s="4" t="s">
        <v>21</v>
      </c>
      <c r="C54" s="5">
        <v>44377</v>
      </c>
      <c r="D54" s="4" t="s">
        <v>1030</v>
      </c>
      <c r="E54" s="4" t="s">
        <v>1028</v>
      </c>
      <c r="F54" s="4" t="s">
        <v>1028</v>
      </c>
      <c r="G54" s="6">
        <v>-17966.22079151947</v>
      </c>
      <c r="H54" s="6">
        <f t="shared" si="0"/>
        <v>189228.42910579752</v>
      </c>
      <c r="I54" s="4"/>
      <c r="J54" s="4" t="s">
        <v>68</v>
      </c>
      <c r="K54" s="7">
        <v>-23137.15</v>
      </c>
      <c r="L54" s="4" t="s">
        <v>1031</v>
      </c>
      <c r="M54" s="4" t="s">
        <v>212</v>
      </c>
      <c r="N54" s="4" t="s">
        <v>118</v>
      </c>
    </row>
    <row r="55" spans="1:14" ht="10.5" hidden="1" x14ac:dyDescent="0.25">
      <c r="A55" s="8" t="s">
        <v>220</v>
      </c>
      <c r="B55" s="4" t="s">
        <v>21</v>
      </c>
      <c r="C55" s="5">
        <v>44377</v>
      </c>
      <c r="D55" s="4" t="s">
        <v>1122</v>
      </c>
      <c r="E55" s="4" t="s">
        <v>1113</v>
      </c>
      <c r="F55" s="4" t="s">
        <v>1113</v>
      </c>
      <c r="G55" s="6">
        <v>4964.120001549798</v>
      </c>
      <c r="H55" s="6">
        <f t="shared" si="0"/>
        <v>194192.54910734732</v>
      </c>
      <c r="I55" s="4"/>
      <c r="J55" s="4" t="s">
        <v>68</v>
      </c>
      <c r="K55" s="7">
        <v>4964.12</v>
      </c>
      <c r="L55" s="4" t="s">
        <v>1031</v>
      </c>
      <c r="M55" s="4" t="s">
        <v>27</v>
      </c>
      <c r="N55" s="4" t="s">
        <v>118</v>
      </c>
    </row>
    <row r="56" spans="1:14" ht="10.5" hidden="1" x14ac:dyDescent="0.25">
      <c r="A56" s="8" t="s">
        <v>220</v>
      </c>
      <c r="B56" s="4" t="s">
        <v>21</v>
      </c>
      <c r="C56" s="5">
        <v>44454</v>
      </c>
      <c r="D56" s="4" t="s">
        <v>1123</v>
      </c>
      <c r="E56" s="4" t="s">
        <v>1124</v>
      </c>
      <c r="F56" s="4" t="s">
        <v>1124</v>
      </c>
      <c r="G56" s="6">
        <v>44310.297861200001</v>
      </c>
      <c r="H56" s="6">
        <f t="shared" si="0"/>
        <v>238502.84696854732</v>
      </c>
      <c r="I56" s="4"/>
      <c r="J56" s="4" t="s">
        <v>68</v>
      </c>
      <c r="K56" s="7">
        <v>3500000</v>
      </c>
      <c r="L56" s="4" t="s">
        <v>1033</v>
      </c>
      <c r="M56" s="4" t="s">
        <v>204</v>
      </c>
      <c r="N56" s="4" t="s">
        <v>198</v>
      </c>
    </row>
    <row r="57" spans="1:14" ht="10.5" hidden="1" x14ac:dyDescent="0.25">
      <c r="A57" s="8" t="s">
        <v>220</v>
      </c>
      <c r="B57" s="4" t="s">
        <v>21</v>
      </c>
      <c r="C57" s="5">
        <v>44469</v>
      </c>
      <c r="D57" s="4" t="s">
        <v>1125</v>
      </c>
      <c r="E57" s="4" t="s">
        <v>1126</v>
      </c>
      <c r="F57" s="4" t="s">
        <v>1126</v>
      </c>
      <c r="G57" s="6">
        <v>122309.20794445</v>
      </c>
      <c r="H57" s="6">
        <f t="shared" si="0"/>
        <v>360812.05491299729</v>
      </c>
      <c r="I57" s="4"/>
      <c r="J57" s="4" t="s">
        <v>68</v>
      </c>
      <c r="K57" s="7">
        <v>116705</v>
      </c>
      <c r="L57" s="4" t="s">
        <v>1033</v>
      </c>
      <c r="M57" s="4" t="s">
        <v>61</v>
      </c>
      <c r="N57" s="4" t="s">
        <v>1108</v>
      </c>
    </row>
    <row r="58" spans="1:14" ht="10.5" hidden="1" x14ac:dyDescent="0.25">
      <c r="A58" s="8" t="s">
        <v>220</v>
      </c>
      <c r="B58" s="4" t="s">
        <v>21</v>
      </c>
      <c r="C58" s="5">
        <v>44469</v>
      </c>
      <c r="D58" s="4" t="s">
        <v>1127</v>
      </c>
      <c r="E58" s="4" t="s">
        <v>1128</v>
      </c>
      <c r="F58" s="4" t="s">
        <v>1129</v>
      </c>
      <c r="G58" s="6">
        <v>-83170.554847907202</v>
      </c>
      <c r="H58" s="6">
        <f t="shared" si="0"/>
        <v>277641.50006509008</v>
      </c>
      <c r="I58" s="4"/>
      <c r="J58" s="4" t="s">
        <v>68</v>
      </c>
      <c r="K58" s="7">
        <v>-79359.679999999993</v>
      </c>
      <c r="L58" s="4" t="s">
        <v>1033</v>
      </c>
      <c r="M58" s="4" t="s">
        <v>61</v>
      </c>
      <c r="N58" s="4" t="s">
        <v>181</v>
      </c>
    </row>
    <row r="59" spans="1:14" ht="10.5" hidden="1" x14ac:dyDescent="0.25">
      <c r="A59" s="8" t="s">
        <v>220</v>
      </c>
      <c r="B59" s="4" t="s">
        <v>21</v>
      </c>
      <c r="C59" s="5">
        <v>44469</v>
      </c>
      <c r="D59" s="4" t="s">
        <v>1032</v>
      </c>
      <c r="E59" s="4" t="s">
        <v>1028</v>
      </c>
      <c r="F59" s="4" t="s">
        <v>1028</v>
      </c>
      <c r="G59" s="6">
        <v>4886.2259457917608</v>
      </c>
      <c r="H59" s="6">
        <f t="shared" si="0"/>
        <v>282527.72601088183</v>
      </c>
      <c r="I59" s="4"/>
      <c r="J59" s="4" t="s">
        <v>68</v>
      </c>
      <c r="K59" s="7">
        <v>6292.55</v>
      </c>
      <c r="L59" s="4" t="s">
        <v>1033</v>
      </c>
      <c r="M59" s="4" t="s">
        <v>212</v>
      </c>
      <c r="N59" s="4" t="s">
        <v>118</v>
      </c>
    </row>
    <row r="60" spans="1:14" ht="10.5" hidden="1" x14ac:dyDescent="0.25">
      <c r="A60" s="8" t="s">
        <v>220</v>
      </c>
      <c r="B60" s="4" t="s">
        <v>21</v>
      </c>
      <c r="C60" s="5">
        <v>44469</v>
      </c>
      <c r="D60" s="4" t="s">
        <v>1130</v>
      </c>
      <c r="E60" s="4" t="s">
        <v>1113</v>
      </c>
      <c r="F60" s="4" t="s">
        <v>1113</v>
      </c>
      <c r="G60" s="6">
        <v>-76111.220023761925</v>
      </c>
      <c r="H60" s="6">
        <f t="shared" si="0"/>
        <v>206416.50598711992</v>
      </c>
      <c r="I60" s="4"/>
      <c r="J60" s="4" t="s">
        <v>68</v>
      </c>
      <c r="K60" s="7">
        <v>-76111.22</v>
      </c>
      <c r="L60" s="4" t="s">
        <v>1033</v>
      </c>
      <c r="M60" s="4" t="s">
        <v>27</v>
      </c>
      <c r="N60" s="4" t="s">
        <v>118</v>
      </c>
    </row>
    <row r="61" spans="1:14" ht="10.5" hidden="1" x14ac:dyDescent="0.25">
      <c r="A61" s="8" t="s">
        <v>220</v>
      </c>
      <c r="B61" s="4" t="s">
        <v>21</v>
      </c>
      <c r="C61" s="5">
        <v>44505</v>
      </c>
      <c r="D61" s="4" t="s">
        <v>1131</v>
      </c>
      <c r="E61" s="4" t="s">
        <v>1132</v>
      </c>
      <c r="F61" s="4" t="s">
        <v>1132</v>
      </c>
      <c r="G61" s="6">
        <v>-6907.0000021563656</v>
      </c>
      <c r="H61" s="6">
        <f t="shared" si="0"/>
        <v>199509.50598496356</v>
      </c>
      <c r="I61" s="4"/>
      <c r="J61" s="4" t="s">
        <v>68</v>
      </c>
      <c r="K61" s="7">
        <v>-6907</v>
      </c>
      <c r="L61" s="4" t="s">
        <v>1133</v>
      </c>
      <c r="M61" s="4" t="s">
        <v>27</v>
      </c>
      <c r="N61" s="4" t="s">
        <v>28</v>
      </c>
    </row>
    <row r="62" spans="1:14" ht="10.5" hidden="1" x14ac:dyDescent="0.25">
      <c r="A62" s="8" t="s">
        <v>220</v>
      </c>
      <c r="B62" s="4" t="s">
        <v>21</v>
      </c>
      <c r="C62" s="5">
        <v>44560</v>
      </c>
      <c r="D62" s="4" t="s">
        <v>1134</v>
      </c>
      <c r="E62" s="4" t="s">
        <v>1135</v>
      </c>
      <c r="F62" s="4" t="s">
        <v>1135</v>
      </c>
      <c r="G62" s="6">
        <v>31650.212758000001</v>
      </c>
      <c r="H62" s="6">
        <f t="shared" si="0"/>
        <v>231159.71874296357</v>
      </c>
      <c r="I62" s="4"/>
      <c r="J62" s="4" t="s">
        <v>68</v>
      </c>
      <c r="K62" s="7">
        <v>2500000</v>
      </c>
      <c r="L62" s="4" t="s">
        <v>1036</v>
      </c>
      <c r="M62" s="4" t="s">
        <v>204</v>
      </c>
      <c r="N62" s="4" t="s">
        <v>198</v>
      </c>
    </row>
    <row r="63" spans="1:14" ht="10.5" hidden="1" x14ac:dyDescent="0.25">
      <c r="A63" s="8" t="s">
        <v>220</v>
      </c>
      <c r="B63" s="4" t="s">
        <v>21</v>
      </c>
      <c r="C63" s="5">
        <v>44561</v>
      </c>
      <c r="D63" s="4" t="s">
        <v>1136</v>
      </c>
      <c r="E63" s="4" t="s">
        <v>1137</v>
      </c>
      <c r="F63" s="4" t="s">
        <v>1137</v>
      </c>
      <c r="G63" s="6">
        <v>107758.49423809</v>
      </c>
      <c r="H63" s="6">
        <f t="shared" si="0"/>
        <v>338918.21298105357</v>
      </c>
      <c r="I63" s="4"/>
      <c r="J63" s="4" t="s">
        <v>68</v>
      </c>
      <c r="K63" s="7">
        <v>102821</v>
      </c>
      <c r="L63" s="4" t="s">
        <v>1036</v>
      </c>
      <c r="M63" s="4" t="s">
        <v>61</v>
      </c>
      <c r="N63" s="4" t="s">
        <v>1108</v>
      </c>
    </row>
    <row r="64" spans="1:14" ht="10.5" hidden="1" x14ac:dyDescent="0.25">
      <c r="A64" s="8" t="s">
        <v>220</v>
      </c>
      <c r="B64" s="4" t="s">
        <v>21</v>
      </c>
      <c r="C64" s="5">
        <v>44561</v>
      </c>
      <c r="D64" s="4" t="s">
        <v>1138</v>
      </c>
      <c r="E64" s="4" t="s">
        <v>1035</v>
      </c>
      <c r="F64" s="4" t="s">
        <v>1035</v>
      </c>
      <c r="G64" s="6">
        <v>-107726.22003363213</v>
      </c>
      <c r="H64" s="6">
        <f t="shared" si="0"/>
        <v>231191.99294742144</v>
      </c>
      <c r="I64" s="4"/>
      <c r="J64" s="4" t="s">
        <v>68</v>
      </c>
      <c r="K64" s="7">
        <v>-107726.22</v>
      </c>
      <c r="L64" s="4" t="s">
        <v>1036</v>
      </c>
      <c r="M64" s="4" t="s">
        <v>27</v>
      </c>
      <c r="N64" s="4" t="s">
        <v>118</v>
      </c>
    </row>
    <row r="65" spans="1:14" ht="10.5" hidden="1" x14ac:dyDescent="0.25">
      <c r="A65" s="8" t="s">
        <v>220</v>
      </c>
      <c r="B65" s="4" t="s">
        <v>21</v>
      </c>
      <c r="C65" s="5">
        <v>44561</v>
      </c>
      <c r="D65" s="4" t="s">
        <v>1138</v>
      </c>
      <c r="E65" s="4" t="s">
        <v>1035</v>
      </c>
      <c r="F65" s="4" t="s">
        <v>1139</v>
      </c>
      <c r="G65" s="6">
        <v>55812.20001742457</v>
      </c>
      <c r="H65" s="6">
        <f t="shared" si="0"/>
        <v>287004.19296484604</v>
      </c>
      <c r="I65" s="4"/>
      <c r="J65" s="4" t="s">
        <v>68</v>
      </c>
      <c r="K65" s="7">
        <v>55812.2</v>
      </c>
      <c r="L65" s="4" t="s">
        <v>1036</v>
      </c>
      <c r="M65" s="4" t="s">
        <v>27</v>
      </c>
      <c r="N65" s="4" t="s">
        <v>118</v>
      </c>
    </row>
    <row r="66" spans="1:14" ht="10.5" hidden="1" x14ac:dyDescent="0.25">
      <c r="A66" s="8" t="s">
        <v>220</v>
      </c>
      <c r="B66" s="4" t="s">
        <v>21</v>
      </c>
      <c r="C66" s="5">
        <v>44561</v>
      </c>
      <c r="D66" s="4" t="s">
        <v>1034</v>
      </c>
      <c r="E66" s="4" t="s">
        <v>1035</v>
      </c>
      <c r="F66" s="4" t="s">
        <v>1035</v>
      </c>
      <c r="G66" s="6">
        <v>-94336.614975583652</v>
      </c>
      <c r="H66" s="6">
        <f t="shared" si="0"/>
        <v>192667.57798926238</v>
      </c>
      <c r="I66" s="4"/>
      <c r="J66" s="4" t="s">
        <v>68</v>
      </c>
      <c r="K66" s="7">
        <v>-121488.01</v>
      </c>
      <c r="L66" s="4" t="s">
        <v>1036</v>
      </c>
      <c r="M66" s="4" t="s">
        <v>212</v>
      </c>
      <c r="N66" s="4" t="s">
        <v>118</v>
      </c>
    </row>
    <row r="67" spans="1:14" ht="10.5" hidden="1" x14ac:dyDescent="0.25">
      <c r="A67" s="8" t="s">
        <v>220</v>
      </c>
      <c r="B67" s="4" t="s">
        <v>21</v>
      </c>
      <c r="C67" s="5">
        <v>44561</v>
      </c>
      <c r="D67" s="4" t="s">
        <v>1034</v>
      </c>
      <c r="E67" s="4" t="s">
        <v>1035</v>
      </c>
      <c r="F67" s="4" t="s">
        <v>1035</v>
      </c>
      <c r="G67" s="6">
        <v>69706.978313699045</v>
      </c>
      <c r="H67" s="6">
        <f t="shared" si="0"/>
        <v>262374.55630296143</v>
      </c>
      <c r="I67" s="4"/>
      <c r="J67" s="4" t="s">
        <v>68</v>
      </c>
      <c r="K67" s="7">
        <v>89769.62</v>
      </c>
      <c r="L67" s="4" t="s">
        <v>1036</v>
      </c>
      <c r="M67" s="4" t="s">
        <v>212</v>
      </c>
      <c r="N67" s="4" t="s">
        <v>118</v>
      </c>
    </row>
    <row r="68" spans="1:14" ht="10.5" hidden="1" x14ac:dyDescent="0.25">
      <c r="A68" s="8" t="s">
        <v>220</v>
      </c>
      <c r="B68" s="4" t="s">
        <v>21</v>
      </c>
      <c r="C68" s="5">
        <v>44561</v>
      </c>
      <c r="D68" s="4" t="s">
        <v>1140</v>
      </c>
      <c r="E68" s="4" t="s">
        <v>1141</v>
      </c>
      <c r="F68" s="4" t="s">
        <v>1142</v>
      </c>
      <c r="G68" s="6">
        <v>-73275.4197550026</v>
      </c>
      <c r="H68" s="6">
        <f t="shared" si="0"/>
        <v>189099.13654795883</v>
      </c>
      <c r="I68" s="4"/>
      <c r="J68" s="4" t="s">
        <v>68</v>
      </c>
      <c r="K68" s="7">
        <v>-69917.94</v>
      </c>
      <c r="L68" s="4" t="s">
        <v>1036</v>
      </c>
      <c r="M68" s="4" t="s">
        <v>61</v>
      </c>
      <c r="N68" s="4" t="s">
        <v>181</v>
      </c>
    </row>
    <row r="69" spans="1:14" ht="10.5" hidden="1" x14ac:dyDescent="0.25">
      <c r="A69" s="8" t="s">
        <v>220</v>
      </c>
      <c r="B69" s="4" t="s">
        <v>21</v>
      </c>
      <c r="C69" s="5">
        <v>44561</v>
      </c>
      <c r="D69" s="4" t="s">
        <v>1143</v>
      </c>
      <c r="E69" s="4" t="s">
        <v>1144</v>
      </c>
      <c r="F69" s="4" t="s">
        <v>1144</v>
      </c>
      <c r="G69" s="6">
        <v>108380.7248446688</v>
      </c>
      <c r="H69" s="6">
        <f t="shared" si="0"/>
        <v>297479.86139262764</v>
      </c>
      <c r="I69" s="4"/>
      <c r="J69" s="4" t="s">
        <v>68</v>
      </c>
      <c r="K69" s="7">
        <v>103414.72</v>
      </c>
      <c r="L69" s="4" t="s">
        <v>1036</v>
      </c>
      <c r="M69" s="4" t="s">
        <v>61</v>
      </c>
      <c r="N69" s="4" t="s">
        <v>181</v>
      </c>
    </row>
    <row r="70" spans="1:14" ht="10.5" hidden="1" x14ac:dyDescent="0.25">
      <c r="A70" s="8" t="s">
        <v>220</v>
      </c>
      <c r="B70" s="4" t="s">
        <v>21</v>
      </c>
      <c r="C70" s="5">
        <v>44561</v>
      </c>
      <c r="D70" s="4" t="s">
        <v>1145</v>
      </c>
      <c r="E70" s="4" t="s">
        <v>1146</v>
      </c>
      <c r="F70" s="4" t="s">
        <v>1147</v>
      </c>
      <c r="G70" s="6">
        <v>-1034.39602623</v>
      </c>
      <c r="H70" s="6">
        <f t="shared" si="0"/>
        <v>296445.46536639764</v>
      </c>
      <c r="I70" s="4"/>
      <c r="J70" s="4" t="s">
        <v>68</v>
      </c>
      <c r="K70" s="7">
        <v>-987</v>
      </c>
      <c r="L70" s="4" t="s">
        <v>1036</v>
      </c>
      <c r="M70" s="4" t="s">
        <v>61</v>
      </c>
      <c r="N70" s="4" t="s">
        <v>181</v>
      </c>
    </row>
    <row r="71" spans="1:14" ht="10.5" hidden="1" x14ac:dyDescent="0.25">
      <c r="A71" s="8" t="s">
        <v>220</v>
      </c>
      <c r="B71" s="4" t="s">
        <v>21</v>
      </c>
      <c r="C71" s="5">
        <v>44561</v>
      </c>
      <c r="D71" s="4" t="s">
        <v>1148</v>
      </c>
      <c r="E71" s="4" t="s">
        <v>1149</v>
      </c>
      <c r="F71" s="4" t="s">
        <v>1150</v>
      </c>
      <c r="G71" s="6">
        <v>-160014.88193807</v>
      </c>
      <c r="H71" s="6">
        <f t="shared" si="0"/>
        <v>136430.58342832763</v>
      </c>
      <c r="I71" s="4"/>
      <c r="J71" s="4" t="s">
        <v>68</v>
      </c>
      <c r="K71" s="7">
        <v>-152683</v>
      </c>
      <c r="L71" s="4" t="s">
        <v>1036</v>
      </c>
      <c r="M71" s="4" t="s">
        <v>61</v>
      </c>
      <c r="N71" s="4" t="s">
        <v>181</v>
      </c>
    </row>
    <row r="72" spans="1:14" ht="10.5" hidden="1" x14ac:dyDescent="0.25">
      <c r="A72" s="8" t="s">
        <v>220</v>
      </c>
      <c r="B72" s="4" t="s">
        <v>1151</v>
      </c>
      <c r="C72" s="5">
        <v>44561</v>
      </c>
      <c r="D72" s="4" t="s">
        <v>1152</v>
      </c>
      <c r="E72" s="4" t="s">
        <v>1153</v>
      </c>
      <c r="F72" s="4"/>
      <c r="G72" s="6">
        <v>-547815.92588734999</v>
      </c>
      <c r="H72" s="6">
        <f t="shared" si="0"/>
        <v>-411385.34245902236</v>
      </c>
      <c r="I72" s="4"/>
      <c r="J72" s="4" t="s">
        <v>68</v>
      </c>
      <c r="K72" s="7">
        <v>-522715</v>
      </c>
      <c r="L72" s="4" t="s">
        <v>1036</v>
      </c>
      <c r="M72" s="4" t="s">
        <v>61</v>
      </c>
      <c r="N72" s="4"/>
    </row>
    <row r="73" spans="1:14" ht="10.5" hidden="1" x14ac:dyDescent="0.25">
      <c r="A73" s="8" t="s">
        <v>220</v>
      </c>
      <c r="B73" s="4" t="s">
        <v>1151</v>
      </c>
      <c r="C73" s="5">
        <v>44561</v>
      </c>
      <c r="D73" s="4" t="s">
        <v>1154</v>
      </c>
      <c r="E73" s="4"/>
      <c r="F73" s="4"/>
      <c r="G73" s="6">
        <v>547815.92588734999</v>
      </c>
      <c r="H73" s="6">
        <f t="shared" si="0"/>
        <v>136430.58342832763</v>
      </c>
      <c r="I73" s="4"/>
      <c r="J73" s="4" t="s">
        <v>68</v>
      </c>
      <c r="K73" s="7">
        <v>522715</v>
      </c>
      <c r="L73" s="4" t="s">
        <v>1036</v>
      </c>
      <c r="M73" s="4" t="s">
        <v>61</v>
      </c>
      <c r="N73" s="4"/>
    </row>
    <row r="74" spans="1:14" ht="10.5" hidden="1" x14ac:dyDescent="0.25">
      <c r="A74" s="8" t="s">
        <v>220</v>
      </c>
      <c r="B74" s="4" t="s">
        <v>21</v>
      </c>
      <c r="C74" s="5">
        <v>44561</v>
      </c>
      <c r="D74" s="4" t="s">
        <v>1155</v>
      </c>
      <c r="E74" s="4" t="s">
        <v>1156</v>
      </c>
      <c r="F74" s="4" t="s">
        <v>1156</v>
      </c>
      <c r="G74" s="6">
        <v>64416.000020110674</v>
      </c>
      <c r="H74" s="6">
        <f t="shared" ref="H74:H87" si="1">H73+G74</f>
        <v>200846.58344843832</v>
      </c>
      <c r="I74" s="4"/>
      <c r="J74" s="4" t="s">
        <v>68</v>
      </c>
      <c r="K74" s="7">
        <v>64416</v>
      </c>
      <c r="L74" s="4" t="s">
        <v>1036</v>
      </c>
      <c r="M74" s="4" t="s">
        <v>27</v>
      </c>
      <c r="N74" s="4" t="s">
        <v>1026</v>
      </c>
    </row>
    <row r="75" spans="1:14" ht="10.5" hidden="1" x14ac:dyDescent="0.25">
      <c r="A75" s="8" t="s">
        <v>220</v>
      </c>
      <c r="B75" s="4" t="s">
        <v>21</v>
      </c>
      <c r="C75" s="5">
        <v>44561</v>
      </c>
      <c r="D75" s="4" t="s">
        <v>1037</v>
      </c>
      <c r="E75" s="4" t="s">
        <v>1028</v>
      </c>
      <c r="F75" s="4" t="s">
        <v>1028</v>
      </c>
      <c r="G75" s="6">
        <v>47027.436985379318</v>
      </c>
      <c r="H75" s="6">
        <f t="shared" si="1"/>
        <v>247874.02043381764</v>
      </c>
      <c r="I75" s="4"/>
      <c r="J75" s="4" t="s">
        <v>68</v>
      </c>
      <c r="K75" s="7">
        <v>60562.59</v>
      </c>
      <c r="L75" s="4" t="s">
        <v>1036</v>
      </c>
      <c r="M75" s="4" t="s">
        <v>212</v>
      </c>
      <c r="N75" s="4" t="s">
        <v>118</v>
      </c>
    </row>
    <row r="76" spans="1:14" ht="10.5" hidden="1" x14ac:dyDescent="0.25">
      <c r="A76" s="8" t="s">
        <v>220</v>
      </c>
      <c r="B76" s="4" t="s">
        <v>21</v>
      </c>
      <c r="C76" s="5">
        <v>44561</v>
      </c>
      <c r="D76" s="4" t="s">
        <v>1157</v>
      </c>
      <c r="E76" s="4" t="s">
        <v>1158</v>
      </c>
      <c r="F76" s="4" t="s">
        <v>1159</v>
      </c>
      <c r="G76" s="6">
        <v>-98733.310307711494</v>
      </c>
      <c r="H76" s="6">
        <f t="shared" si="1"/>
        <v>149140.71012610616</v>
      </c>
      <c r="I76" s="4"/>
      <c r="J76" s="4" t="s">
        <v>68</v>
      </c>
      <c r="K76" s="7">
        <v>-94209.35</v>
      </c>
      <c r="L76" s="4" t="s">
        <v>1036</v>
      </c>
      <c r="M76" s="4" t="s">
        <v>61</v>
      </c>
      <c r="N76" s="4" t="s">
        <v>181</v>
      </c>
    </row>
    <row r="77" spans="1:14" ht="10.5" hidden="1" x14ac:dyDescent="0.25">
      <c r="A77" s="8" t="s">
        <v>220</v>
      </c>
      <c r="B77" s="4" t="s">
        <v>21</v>
      </c>
      <c r="C77" s="5">
        <v>44561</v>
      </c>
      <c r="D77" s="4" t="s">
        <v>1160</v>
      </c>
      <c r="E77" s="4" t="s">
        <v>1113</v>
      </c>
      <c r="F77" s="4" t="s">
        <v>1113</v>
      </c>
      <c r="G77" s="6">
        <v>37214.16001161826</v>
      </c>
      <c r="H77" s="6">
        <f t="shared" si="1"/>
        <v>186354.87013772441</v>
      </c>
      <c r="I77" s="4"/>
      <c r="J77" s="4" t="s">
        <v>68</v>
      </c>
      <c r="K77" s="7">
        <v>37214.160000000003</v>
      </c>
      <c r="L77" s="4" t="s">
        <v>1036</v>
      </c>
      <c r="M77" s="4" t="s">
        <v>27</v>
      </c>
      <c r="N77" s="4" t="s">
        <v>118</v>
      </c>
    </row>
    <row r="78" spans="1:14" ht="10.5" hidden="1" x14ac:dyDescent="0.25">
      <c r="A78" s="8" t="s">
        <v>220</v>
      </c>
      <c r="B78" s="4" t="s">
        <v>21</v>
      </c>
      <c r="C78" s="5">
        <v>44607</v>
      </c>
      <c r="D78" s="4" t="s">
        <v>29</v>
      </c>
      <c r="E78" s="4" t="s">
        <v>30</v>
      </c>
      <c r="F78" s="4" t="s">
        <v>30</v>
      </c>
      <c r="G78" s="6">
        <v>-8062.0000025169566</v>
      </c>
      <c r="H78" s="6">
        <f t="shared" si="1"/>
        <v>178292.87013520746</v>
      </c>
      <c r="I78" s="4"/>
      <c r="J78" s="4" t="s">
        <v>68</v>
      </c>
      <c r="K78" s="7">
        <v>-8062</v>
      </c>
      <c r="L78" s="4" t="s">
        <v>26</v>
      </c>
      <c r="M78" s="4" t="s">
        <v>27</v>
      </c>
      <c r="N78" s="4" t="s">
        <v>28</v>
      </c>
    </row>
    <row r="79" spans="1:14" ht="10.5" hidden="1" x14ac:dyDescent="0.25">
      <c r="A79" s="8" t="s">
        <v>220</v>
      </c>
      <c r="B79" s="4" t="s">
        <v>21</v>
      </c>
      <c r="C79" s="5">
        <v>44634</v>
      </c>
      <c r="D79" s="4" t="s">
        <v>221</v>
      </c>
      <c r="E79" s="4" t="s">
        <v>222</v>
      </c>
      <c r="F79" s="4" t="s">
        <v>222</v>
      </c>
      <c r="G79" s="6">
        <v>43044.289350879997</v>
      </c>
      <c r="H79" s="6">
        <f t="shared" si="1"/>
        <v>221337.15948608745</v>
      </c>
      <c r="I79" s="4"/>
      <c r="J79" s="4" t="s">
        <v>68</v>
      </c>
      <c r="K79" s="7">
        <v>3400000</v>
      </c>
      <c r="L79" s="4" t="s">
        <v>42</v>
      </c>
      <c r="M79" s="4" t="s">
        <v>204</v>
      </c>
      <c r="N79" s="4" t="s">
        <v>223</v>
      </c>
    </row>
    <row r="80" spans="1:14" ht="10.5" hidden="1" x14ac:dyDescent="0.25">
      <c r="A80" s="8" t="s">
        <v>220</v>
      </c>
      <c r="B80" s="4" t="s">
        <v>224</v>
      </c>
      <c r="C80" s="5">
        <v>44651</v>
      </c>
      <c r="D80" s="4" t="s">
        <v>225</v>
      </c>
      <c r="E80" s="4" t="s">
        <v>226</v>
      </c>
      <c r="F80" s="4" t="s">
        <v>226</v>
      </c>
      <c r="G80" s="6">
        <v>-21.527715112885407</v>
      </c>
      <c r="H80" s="6">
        <f t="shared" si="1"/>
        <v>221315.63177097455</v>
      </c>
      <c r="I80" s="4" t="s">
        <v>227</v>
      </c>
      <c r="J80" s="4" t="s">
        <v>68</v>
      </c>
      <c r="K80" s="7">
        <v>-1700.44</v>
      </c>
      <c r="L80" s="4" t="s">
        <v>42</v>
      </c>
      <c r="M80" s="4" t="s">
        <v>204</v>
      </c>
      <c r="N80" s="4"/>
    </row>
    <row r="81" spans="1:14" ht="10.5" hidden="1" x14ac:dyDescent="0.25">
      <c r="A81" s="8" t="s">
        <v>220</v>
      </c>
      <c r="B81" s="4" t="s">
        <v>21</v>
      </c>
      <c r="C81" s="5">
        <v>44651</v>
      </c>
      <c r="D81" s="4" t="s">
        <v>115</v>
      </c>
      <c r="E81" s="4" t="s">
        <v>116</v>
      </c>
      <c r="F81" s="4" t="s">
        <v>116</v>
      </c>
      <c r="G81" s="6">
        <v>6977</v>
      </c>
      <c r="H81" s="6">
        <f t="shared" si="1"/>
        <v>228292.63177097455</v>
      </c>
      <c r="I81" s="4"/>
      <c r="J81" s="4" t="s">
        <v>68</v>
      </c>
      <c r="K81" s="7">
        <v>6977</v>
      </c>
      <c r="L81" s="4" t="s">
        <v>42</v>
      </c>
      <c r="M81" s="4" t="s">
        <v>117</v>
      </c>
      <c r="N81" s="4" t="s">
        <v>118</v>
      </c>
    </row>
    <row r="82" spans="1:14" ht="10.5" hidden="1" x14ac:dyDescent="0.25">
      <c r="A82" s="8" t="s">
        <v>220</v>
      </c>
      <c r="B82" s="4" t="s">
        <v>21</v>
      </c>
      <c r="C82" s="5">
        <v>44665</v>
      </c>
      <c r="D82" s="4" t="s">
        <v>228</v>
      </c>
      <c r="E82" s="4" t="s">
        <v>229</v>
      </c>
      <c r="F82" s="4" t="s">
        <v>229</v>
      </c>
      <c r="G82" s="6">
        <v>-27057.044726634555</v>
      </c>
      <c r="H82" s="6">
        <f t="shared" si="1"/>
        <v>201235.58704434001</v>
      </c>
      <c r="I82" s="4"/>
      <c r="J82" s="4" t="s">
        <v>68</v>
      </c>
      <c r="K82" s="7">
        <v>-34844.44</v>
      </c>
      <c r="L82" s="4" t="s">
        <v>45</v>
      </c>
      <c r="M82" s="4" t="s">
        <v>212</v>
      </c>
      <c r="N82" s="4" t="s">
        <v>48</v>
      </c>
    </row>
    <row r="83" spans="1:14" ht="10.5" hidden="1" x14ac:dyDescent="0.25">
      <c r="A83" s="8" t="s">
        <v>220</v>
      </c>
      <c r="B83" s="4" t="s">
        <v>21</v>
      </c>
      <c r="C83" s="5">
        <v>44718</v>
      </c>
      <c r="D83" s="4" t="s">
        <v>230</v>
      </c>
      <c r="E83" s="4" t="s">
        <v>231</v>
      </c>
      <c r="F83" s="4" t="s">
        <v>232</v>
      </c>
      <c r="G83" s="6">
        <v>3378.8802961773999</v>
      </c>
      <c r="H83" s="6">
        <f t="shared" si="1"/>
        <v>204614.46734051741</v>
      </c>
      <c r="I83" s="4"/>
      <c r="J83" s="4" t="s">
        <v>68</v>
      </c>
      <c r="K83" s="7">
        <v>4750</v>
      </c>
      <c r="L83" s="4" t="s">
        <v>160</v>
      </c>
      <c r="M83" s="4" t="s">
        <v>201</v>
      </c>
      <c r="N83" s="4" t="s">
        <v>223</v>
      </c>
    </row>
    <row r="84" spans="1:14" ht="10.5" hidden="1" x14ac:dyDescent="0.25">
      <c r="A84" s="8" t="s">
        <v>220</v>
      </c>
      <c r="B84" s="4" t="s">
        <v>21</v>
      </c>
      <c r="C84" s="5">
        <v>44725</v>
      </c>
      <c r="D84" s="4" t="s">
        <v>816</v>
      </c>
      <c r="E84" s="4" t="s">
        <v>817</v>
      </c>
      <c r="F84" s="4" t="s">
        <v>817</v>
      </c>
      <c r="G84" s="6">
        <v>-35377.011978702794</v>
      </c>
      <c r="H84" s="6">
        <f t="shared" si="1"/>
        <v>169237.45536181462</v>
      </c>
      <c r="I84" s="4"/>
      <c r="J84" s="4" t="s">
        <v>68</v>
      </c>
      <c r="K84" s="7">
        <v>-45559.01</v>
      </c>
      <c r="L84" s="4" t="s">
        <v>160</v>
      </c>
      <c r="M84" s="4" t="s">
        <v>212</v>
      </c>
      <c r="N84" s="4" t="s">
        <v>53</v>
      </c>
    </row>
    <row r="85" spans="1:14" ht="10.5" hidden="1" x14ac:dyDescent="0.25">
      <c r="A85" s="8" t="s">
        <v>220</v>
      </c>
      <c r="B85" s="4" t="s">
        <v>21</v>
      </c>
      <c r="C85" s="5">
        <v>44726</v>
      </c>
      <c r="D85" s="4" t="s">
        <v>233</v>
      </c>
      <c r="E85" s="4" t="s">
        <v>234</v>
      </c>
      <c r="F85" s="4" t="s">
        <v>234</v>
      </c>
      <c r="G85" s="6">
        <v>25320.170206399998</v>
      </c>
      <c r="H85" s="6">
        <f t="shared" si="1"/>
        <v>194557.62556821463</v>
      </c>
      <c r="I85" s="4"/>
      <c r="J85" s="4" t="s">
        <v>68</v>
      </c>
      <c r="K85" s="7">
        <v>2000000</v>
      </c>
      <c r="L85" s="4" t="s">
        <v>160</v>
      </c>
      <c r="M85" s="4" t="s">
        <v>204</v>
      </c>
      <c r="N85" s="4" t="s">
        <v>223</v>
      </c>
    </row>
    <row r="86" spans="1:14" ht="10.5" hidden="1" x14ac:dyDescent="0.25">
      <c r="A86" s="8" t="s">
        <v>220</v>
      </c>
      <c r="B86" s="4" t="s">
        <v>21</v>
      </c>
      <c r="C86" s="5">
        <v>44742</v>
      </c>
      <c r="D86" s="4" t="s">
        <v>235</v>
      </c>
      <c r="E86" s="4" t="s">
        <v>236</v>
      </c>
      <c r="F86" s="4" t="s">
        <v>236</v>
      </c>
      <c r="G86" s="6">
        <v>6874.3214090086003</v>
      </c>
      <c r="H86" s="6">
        <f t="shared" si="1"/>
        <v>201431.94697722324</v>
      </c>
      <c r="I86" s="4"/>
      <c r="J86" s="4" t="s">
        <v>68</v>
      </c>
      <c r="K86" s="7">
        <v>9552.5300000000007</v>
      </c>
      <c r="L86" s="4" t="s">
        <v>160</v>
      </c>
      <c r="M86" s="4" t="s">
        <v>201</v>
      </c>
      <c r="N86" s="4" t="s">
        <v>223</v>
      </c>
    </row>
    <row r="87" spans="1:14" ht="10.5" hidden="1" x14ac:dyDescent="0.25">
      <c r="A87" s="8" t="s">
        <v>220</v>
      </c>
      <c r="B87" s="4" t="s">
        <v>241</v>
      </c>
      <c r="C87" s="5">
        <v>44742</v>
      </c>
      <c r="D87" s="4" t="s">
        <v>818</v>
      </c>
      <c r="E87" s="4"/>
      <c r="F87" s="4"/>
      <c r="G87" s="6">
        <v>39.384602498200003</v>
      </c>
      <c r="H87" s="6">
        <f t="shared" si="1"/>
        <v>201471.33157972145</v>
      </c>
      <c r="I87" s="4"/>
      <c r="J87" s="4" t="s">
        <v>68</v>
      </c>
      <c r="K87" s="7">
        <v>0</v>
      </c>
      <c r="L87" s="4" t="s">
        <v>160</v>
      </c>
      <c r="M87" s="4" t="s">
        <v>201</v>
      </c>
      <c r="N87" s="4"/>
    </row>
    <row r="88" spans="1:14" ht="10.5" hidden="1" x14ac:dyDescent="0.25">
      <c r="A88" s="9" t="s">
        <v>237</v>
      </c>
      <c r="B88" s="10"/>
      <c r="C88" s="11"/>
      <c r="D88" s="10"/>
      <c r="E88" s="10"/>
      <c r="F88" s="10"/>
      <c r="G88" s="12">
        <f>SUM(G9:G87)</f>
        <v>201471.33157972145</v>
      </c>
      <c r="H88" s="12">
        <f>H87</f>
        <v>201471.33157972145</v>
      </c>
      <c r="I88" s="10"/>
      <c r="J88" s="10"/>
      <c r="K88" s="13"/>
      <c r="L88" s="10"/>
      <c r="M88" s="10"/>
      <c r="N88" s="10"/>
    </row>
    <row r="89" spans="1:14" ht="10.5" hidden="1" x14ac:dyDescent="0.2">
      <c r="A89" s="10" t="s">
        <v>238</v>
      </c>
      <c r="B89" s="10"/>
      <c r="C89" s="11"/>
      <c r="D89" s="10"/>
      <c r="E89" s="10"/>
      <c r="F89" s="10"/>
      <c r="G89" s="12">
        <f>SUM(G8,G88)</f>
        <v>201471.33157972145</v>
      </c>
      <c r="H89" s="12">
        <f>H8+H88</f>
        <v>201471.33157972145</v>
      </c>
      <c r="I89" s="10"/>
      <c r="J89" s="10"/>
      <c r="K89" s="13"/>
      <c r="L89" s="10"/>
      <c r="M89" s="10"/>
      <c r="N89" s="10"/>
    </row>
    <row r="90" spans="1:14" ht="10.5" hidden="1" x14ac:dyDescent="0.2">
      <c r="A90" s="3" t="s">
        <v>239</v>
      </c>
      <c r="B90" s="4"/>
      <c r="C90" s="5"/>
      <c r="D90" s="4"/>
      <c r="E90" s="4"/>
      <c r="F90" s="4"/>
      <c r="G90" s="6">
        <v>0</v>
      </c>
      <c r="H90" s="6">
        <v>0</v>
      </c>
      <c r="I90" s="4"/>
      <c r="J90" s="4"/>
      <c r="K90" s="7">
        <v>0</v>
      </c>
      <c r="L90" s="4"/>
      <c r="M90" s="4"/>
      <c r="N90" s="4"/>
    </row>
    <row r="91" spans="1:14" ht="10.5" hidden="1" x14ac:dyDescent="0.25">
      <c r="A91" s="8" t="s">
        <v>240</v>
      </c>
      <c r="B91" s="4"/>
      <c r="C91" s="5"/>
      <c r="D91" s="4"/>
      <c r="E91" s="4"/>
      <c r="F91" s="4"/>
      <c r="G91" s="6">
        <v>0</v>
      </c>
      <c r="H91" s="6">
        <v>0</v>
      </c>
      <c r="I91" s="4"/>
      <c r="J91" s="4"/>
      <c r="K91" s="7">
        <v>0</v>
      </c>
      <c r="L91" s="4"/>
      <c r="M91" s="4"/>
      <c r="N91" s="4"/>
    </row>
    <row r="92" spans="1:14" ht="10.5" hidden="1" x14ac:dyDescent="0.25">
      <c r="A92" s="8" t="s">
        <v>240</v>
      </c>
      <c r="B92" s="4" t="s">
        <v>21</v>
      </c>
      <c r="C92" s="5">
        <v>43465</v>
      </c>
      <c r="D92" s="4" t="s">
        <v>1161</v>
      </c>
      <c r="E92" s="4" t="s">
        <v>1162</v>
      </c>
      <c r="F92" s="4" t="s">
        <v>1163</v>
      </c>
      <c r="G92" s="6">
        <v>-18390.855106456376</v>
      </c>
      <c r="H92" s="6">
        <f t="shared" ref="H92:H155" si="2">H91+G92</f>
        <v>-18390.855106456376</v>
      </c>
      <c r="I92" s="4"/>
      <c r="J92" s="4" t="s">
        <v>68</v>
      </c>
      <c r="K92" s="7">
        <v>23684</v>
      </c>
      <c r="L92" s="4" t="s">
        <v>1164</v>
      </c>
      <c r="M92" s="4" t="s">
        <v>212</v>
      </c>
      <c r="N92" s="4"/>
    </row>
    <row r="93" spans="1:14" ht="10.5" hidden="1" x14ac:dyDescent="0.25">
      <c r="A93" s="8" t="s">
        <v>240</v>
      </c>
      <c r="B93" s="4" t="s">
        <v>21</v>
      </c>
      <c r="C93" s="5">
        <v>43465</v>
      </c>
      <c r="D93" s="4" t="s">
        <v>1161</v>
      </c>
      <c r="E93" s="4" t="s">
        <v>1162</v>
      </c>
      <c r="F93" s="4" t="s">
        <v>1165</v>
      </c>
      <c r="G93" s="6">
        <v>-14669.665449254879</v>
      </c>
      <c r="H93" s="6">
        <f t="shared" si="2"/>
        <v>-33060.520555711257</v>
      </c>
      <c r="I93" s="4"/>
      <c r="J93" s="4" t="s">
        <v>68</v>
      </c>
      <c r="K93" s="7">
        <v>18891.8</v>
      </c>
      <c r="L93" s="4" t="s">
        <v>1164</v>
      </c>
      <c r="M93" s="4" t="s">
        <v>212</v>
      </c>
      <c r="N93" s="4"/>
    </row>
    <row r="94" spans="1:14" ht="10.5" hidden="1" x14ac:dyDescent="0.25">
      <c r="A94" s="8" t="s">
        <v>240</v>
      </c>
      <c r="B94" s="4" t="s">
        <v>21</v>
      </c>
      <c r="C94" s="5">
        <v>43465</v>
      </c>
      <c r="D94" s="4" t="s">
        <v>1166</v>
      </c>
      <c r="E94" s="4" t="s">
        <v>1162</v>
      </c>
      <c r="F94" s="4" t="s">
        <v>1167</v>
      </c>
      <c r="G94" s="6">
        <v>-78300.280024445354</v>
      </c>
      <c r="H94" s="6">
        <f t="shared" si="2"/>
        <v>-111360.80058015662</v>
      </c>
      <c r="I94" s="4"/>
      <c r="J94" s="4" t="s">
        <v>68</v>
      </c>
      <c r="K94" s="7">
        <v>78300.28</v>
      </c>
      <c r="L94" s="4" t="s">
        <v>1164</v>
      </c>
      <c r="M94" s="4" t="s">
        <v>27</v>
      </c>
      <c r="N94" s="4" t="s">
        <v>118</v>
      </c>
    </row>
    <row r="95" spans="1:14" ht="10.5" hidden="1" x14ac:dyDescent="0.25">
      <c r="A95" s="8" t="s">
        <v>240</v>
      </c>
      <c r="B95" s="4" t="s">
        <v>21</v>
      </c>
      <c r="C95" s="5">
        <v>43465</v>
      </c>
      <c r="D95" s="4" t="s">
        <v>1168</v>
      </c>
      <c r="E95" s="4" t="s">
        <v>1162</v>
      </c>
      <c r="F95" s="4" t="s">
        <v>1162</v>
      </c>
      <c r="G95" s="6">
        <v>1704865.0469595578</v>
      </c>
      <c r="H95" s="6">
        <f t="shared" si="2"/>
        <v>1593504.2463794011</v>
      </c>
      <c r="I95" s="4"/>
      <c r="J95" s="4" t="s">
        <v>68</v>
      </c>
      <c r="K95" s="7">
        <v>-1626748.13</v>
      </c>
      <c r="L95" s="4" t="s">
        <v>1164</v>
      </c>
      <c r="M95" s="4" t="s">
        <v>61</v>
      </c>
      <c r="N95" s="4"/>
    </row>
    <row r="96" spans="1:14" ht="10.5" hidden="1" x14ac:dyDescent="0.25">
      <c r="A96" s="8" t="s">
        <v>240</v>
      </c>
      <c r="B96" s="4" t="s">
        <v>21</v>
      </c>
      <c r="C96" s="5">
        <v>43466</v>
      </c>
      <c r="D96" s="4" t="s">
        <v>1169</v>
      </c>
      <c r="E96" s="4" t="s">
        <v>1170</v>
      </c>
      <c r="F96" s="4" t="s">
        <v>1171</v>
      </c>
      <c r="G96" s="6">
        <v>-84514.452226180001</v>
      </c>
      <c r="H96" s="6">
        <f t="shared" si="2"/>
        <v>1508989.794153221</v>
      </c>
      <c r="I96" s="4"/>
      <c r="J96" s="4" t="s">
        <v>68</v>
      </c>
      <c r="K96" s="7">
        <v>80642</v>
      </c>
      <c r="L96" s="4" t="s">
        <v>1172</v>
      </c>
      <c r="M96" s="4" t="s">
        <v>61</v>
      </c>
      <c r="N96" s="4"/>
    </row>
    <row r="97" spans="1:14" ht="10.5" hidden="1" x14ac:dyDescent="0.25">
      <c r="A97" s="8" t="s">
        <v>240</v>
      </c>
      <c r="B97" s="4" t="s">
        <v>21</v>
      </c>
      <c r="C97" s="5">
        <v>43585</v>
      </c>
      <c r="D97" s="4" t="s">
        <v>1173</v>
      </c>
      <c r="E97" s="4" t="s">
        <v>1174</v>
      </c>
      <c r="F97" s="4" t="s">
        <v>1175</v>
      </c>
      <c r="G97" s="6">
        <v>1500.0000004683</v>
      </c>
      <c r="H97" s="6">
        <f t="shared" si="2"/>
        <v>1510489.7941536892</v>
      </c>
      <c r="I97" s="4"/>
      <c r="J97" s="4" t="s">
        <v>1176</v>
      </c>
      <c r="K97" s="7">
        <v>-1500</v>
      </c>
      <c r="L97" s="4" t="s">
        <v>1177</v>
      </c>
      <c r="M97" s="4" t="s">
        <v>27</v>
      </c>
      <c r="N97" s="4"/>
    </row>
    <row r="98" spans="1:14" ht="10.5" hidden="1" x14ac:dyDescent="0.25">
      <c r="A98" s="8" t="s">
        <v>240</v>
      </c>
      <c r="B98" s="4" t="s">
        <v>21</v>
      </c>
      <c r="C98" s="5">
        <v>43585</v>
      </c>
      <c r="D98" s="4" t="s">
        <v>1173</v>
      </c>
      <c r="E98" s="4" t="s">
        <v>1174</v>
      </c>
      <c r="F98" s="4" t="s">
        <v>1178</v>
      </c>
      <c r="G98" s="6">
        <v>10000.000003122001</v>
      </c>
      <c r="H98" s="6">
        <f t="shared" si="2"/>
        <v>1520489.7941568112</v>
      </c>
      <c r="I98" s="4"/>
      <c r="J98" s="4" t="s">
        <v>1176</v>
      </c>
      <c r="K98" s="7">
        <v>-10000</v>
      </c>
      <c r="L98" s="4" t="s">
        <v>1177</v>
      </c>
      <c r="M98" s="4" t="s">
        <v>27</v>
      </c>
      <c r="N98" s="4"/>
    </row>
    <row r="99" spans="1:14" ht="10.5" hidden="1" x14ac:dyDescent="0.25">
      <c r="A99" s="8" t="s">
        <v>240</v>
      </c>
      <c r="B99" s="4" t="s">
        <v>21</v>
      </c>
      <c r="C99" s="5">
        <v>43585</v>
      </c>
      <c r="D99" s="4" t="s">
        <v>1173</v>
      </c>
      <c r="E99" s="4" t="s">
        <v>1174</v>
      </c>
      <c r="F99" s="4" t="s">
        <v>1179</v>
      </c>
      <c r="G99" s="6">
        <v>25000.000007805</v>
      </c>
      <c r="H99" s="6">
        <f t="shared" si="2"/>
        <v>1545489.7941646161</v>
      </c>
      <c r="I99" s="4"/>
      <c r="J99" s="4" t="s">
        <v>1176</v>
      </c>
      <c r="K99" s="7">
        <v>-25000</v>
      </c>
      <c r="L99" s="4" t="s">
        <v>1177</v>
      </c>
      <c r="M99" s="4" t="s">
        <v>27</v>
      </c>
      <c r="N99" s="4"/>
    </row>
    <row r="100" spans="1:14" ht="10.5" hidden="1" x14ac:dyDescent="0.25">
      <c r="A100" s="8" t="s">
        <v>240</v>
      </c>
      <c r="B100" s="4" t="s">
        <v>21</v>
      </c>
      <c r="C100" s="5">
        <v>43585</v>
      </c>
      <c r="D100" s="4" t="s">
        <v>1173</v>
      </c>
      <c r="E100" s="4" t="s">
        <v>1174</v>
      </c>
      <c r="F100" s="4" t="s">
        <v>1180</v>
      </c>
      <c r="G100" s="6">
        <v>500.00000015609999</v>
      </c>
      <c r="H100" s="6">
        <f t="shared" si="2"/>
        <v>1545989.7941647721</v>
      </c>
      <c r="I100" s="4"/>
      <c r="J100" s="4" t="s">
        <v>1176</v>
      </c>
      <c r="K100" s="7">
        <v>-500</v>
      </c>
      <c r="L100" s="4" t="s">
        <v>1177</v>
      </c>
      <c r="M100" s="4" t="s">
        <v>27</v>
      </c>
      <c r="N100" s="4"/>
    </row>
    <row r="101" spans="1:14" ht="10.5" hidden="1" x14ac:dyDescent="0.25">
      <c r="A101" s="8" t="s">
        <v>240</v>
      </c>
      <c r="B101" s="4" t="s">
        <v>21</v>
      </c>
      <c r="C101" s="5">
        <v>43585</v>
      </c>
      <c r="D101" s="4" t="s">
        <v>1173</v>
      </c>
      <c r="E101" s="4" t="s">
        <v>1174</v>
      </c>
      <c r="F101" s="4" t="s">
        <v>1181</v>
      </c>
      <c r="G101" s="6">
        <v>950.00000029658997</v>
      </c>
      <c r="H101" s="6">
        <f t="shared" si="2"/>
        <v>1546939.7941650688</v>
      </c>
      <c r="I101" s="4"/>
      <c r="J101" s="4" t="s">
        <v>1176</v>
      </c>
      <c r="K101" s="7">
        <v>-950</v>
      </c>
      <c r="L101" s="4" t="s">
        <v>1177</v>
      </c>
      <c r="M101" s="4" t="s">
        <v>27</v>
      </c>
      <c r="N101" s="4"/>
    </row>
    <row r="102" spans="1:14" ht="10.5" hidden="1" x14ac:dyDescent="0.25">
      <c r="A102" s="8" t="s">
        <v>240</v>
      </c>
      <c r="B102" s="4" t="s">
        <v>21</v>
      </c>
      <c r="C102" s="5">
        <v>43585</v>
      </c>
      <c r="D102" s="4" t="s">
        <v>1173</v>
      </c>
      <c r="E102" s="4" t="s">
        <v>1174</v>
      </c>
      <c r="F102" s="4" t="s">
        <v>1182</v>
      </c>
      <c r="G102" s="6">
        <v>20000.000006244001</v>
      </c>
      <c r="H102" s="6">
        <f t="shared" si="2"/>
        <v>1566939.7941713128</v>
      </c>
      <c r="I102" s="4"/>
      <c r="J102" s="4" t="s">
        <v>1176</v>
      </c>
      <c r="K102" s="7">
        <v>-20000</v>
      </c>
      <c r="L102" s="4" t="s">
        <v>1177</v>
      </c>
      <c r="M102" s="4" t="s">
        <v>27</v>
      </c>
      <c r="N102" s="4"/>
    </row>
    <row r="103" spans="1:14" ht="10.5" hidden="1" x14ac:dyDescent="0.25">
      <c r="A103" s="8" t="s">
        <v>240</v>
      </c>
      <c r="B103" s="4" t="s">
        <v>21</v>
      </c>
      <c r="C103" s="5">
        <v>43616</v>
      </c>
      <c r="D103" s="4" t="s">
        <v>1183</v>
      </c>
      <c r="E103" s="4" t="s">
        <v>1174</v>
      </c>
      <c r="F103" s="4" t="s">
        <v>1184</v>
      </c>
      <c r="G103" s="6">
        <v>550.00000017170998</v>
      </c>
      <c r="H103" s="6">
        <f t="shared" si="2"/>
        <v>1567489.7941714844</v>
      </c>
      <c r="I103" s="4"/>
      <c r="J103" s="4" t="s">
        <v>1176</v>
      </c>
      <c r="K103" s="7">
        <v>-550</v>
      </c>
      <c r="L103" s="4" t="s">
        <v>1185</v>
      </c>
      <c r="M103" s="4" t="s">
        <v>27</v>
      </c>
      <c r="N103" s="4"/>
    </row>
    <row r="104" spans="1:14" ht="10.5" hidden="1" x14ac:dyDescent="0.25">
      <c r="A104" s="8" t="s">
        <v>240</v>
      </c>
      <c r="B104" s="4" t="s">
        <v>21</v>
      </c>
      <c r="C104" s="5">
        <v>43616</v>
      </c>
      <c r="D104" s="4" t="s">
        <v>1183</v>
      </c>
      <c r="E104" s="4" t="s">
        <v>1174</v>
      </c>
      <c r="F104" s="4" t="s">
        <v>1186</v>
      </c>
      <c r="G104" s="6">
        <v>500.00000015609999</v>
      </c>
      <c r="H104" s="6">
        <f t="shared" si="2"/>
        <v>1567989.7941716404</v>
      </c>
      <c r="I104" s="4"/>
      <c r="J104" s="4" t="s">
        <v>1176</v>
      </c>
      <c r="K104" s="7">
        <v>-500</v>
      </c>
      <c r="L104" s="4" t="s">
        <v>1185</v>
      </c>
      <c r="M104" s="4" t="s">
        <v>27</v>
      </c>
      <c r="N104" s="4"/>
    </row>
    <row r="105" spans="1:14" ht="10.5" hidden="1" x14ac:dyDescent="0.25">
      <c r="A105" s="8" t="s">
        <v>240</v>
      </c>
      <c r="B105" s="4" t="s">
        <v>21</v>
      </c>
      <c r="C105" s="5">
        <v>43616</v>
      </c>
      <c r="D105" s="4" t="s">
        <v>1183</v>
      </c>
      <c r="E105" s="4" t="s">
        <v>1174</v>
      </c>
      <c r="F105" s="4" t="s">
        <v>1187</v>
      </c>
      <c r="G105" s="6">
        <v>150.00000004683</v>
      </c>
      <c r="H105" s="6">
        <f t="shared" si="2"/>
        <v>1568139.7941716872</v>
      </c>
      <c r="I105" s="4"/>
      <c r="J105" s="4" t="s">
        <v>1176</v>
      </c>
      <c r="K105" s="7">
        <v>-150</v>
      </c>
      <c r="L105" s="4" t="s">
        <v>1185</v>
      </c>
      <c r="M105" s="4" t="s">
        <v>27</v>
      </c>
      <c r="N105" s="4"/>
    </row>
    <row r="106" spans="1:14" ht="10.5" hidden="1" x14ac:dyDescent="0.25">
      <c r="A106" s="8" t="s">
        <v>240</v>
      </c>
      <c r="B106" s="4" t="s">
        <v>21</v>
      </c>
      <c r="C106" s="5">
        <v>43616</v>
      </c>
      <c r="D106" s="4" t="s">
        <v>1183</v>
      </c>
      <c r="E106" s="4" t="s">
        <v>1174</v>
      </c>
      <c r="F106" s="4" t="s">
        <v>1188</v>
      </c>
      <c r="G106" s="6">
        <v>5000.0000015610003</v>
      </c>
      <c r="H106" s="6">
        <f t="shared" si="2"/>
        <v>1573139.7941732481</v>
      </c>
      <c r="I106" s="4"/>
      <c r="J106" s="4" t="s">
        <v>1176</v>
      </c>
      <c r="K106" s="7">
        <v>-5000</v>
      </c>
      <c r="L106" s="4" t="s">
        <v>1185</v>
      </c>
      <c r="M106" s="4" t="s">
        <v>27</v>
      </c>
      <c r="N106" s="4"/>
    </row>
    <row r="107" spans="1:14" ht="10.5" hidden="1" x14ac:dyDescent="0.25">
      <c r="A107" s="8" t="s">
        <v>240</v>
      </c>
      <c r="B107" s="4" t="s">
        <v>21</v>
      </c>
      <c r="C107" s="5">
        <v>43616</v>
      </c>
      <c r="D107" s="4" t="s">
        <v>1183</v>
      </c>
      <c r="E107" s="4" t="s">
        <v>1174</v>
      </c>
      <c r="F107" s="4" t="s">
        <v>1189</v>
      </c>
      <c r="G107" s="6">
        <v>150.00000004683</v>
      </c>
      <c r="H107" s="6">
        <f t="shared" si="2"/>
        <v>1573289.7941732949</v>
      </c>
      <c r="I107" s="4"/>
      <c r="J107" s="4" t="s">
        <v>1176</v>
      </c>
      <c r="K107" s="7">
        <v>-150</v>
      </c>
      <c r="L107" s="4" t="s">
        <v>1185</v>
      </c>
      <c r="M107" s="4" t="s">
        <v>27</v>
      </c>
      <c r="N107" s="4"/>
    </row>
    <row r="108" spans="1:14" ht="10.5" hidden="1" x14ac:dyDescent="0.25">
      <c r="A108" s="8" t="s">
        <v>240</v>
      </c>
      <c r="B108" s="4" t="s">
        <v>21</v>
      </c>
      <c r="C108" s="5">
        <v>43616</v>
      </c>
      <c r="D108" s="4" t="s">
        <v>1183</v>
      </c>
      <c r="E108" s="4" t="s">
        <v>1174</v>
      </c>
      <c r="F108" s="4" t="s">
        <v>1190</v>
      </c>
      <c r="G108" s="6">
        <v>4000.0000012487999</v>
      </c>
      <c r="H108" s="6">
        <f t="shared" si="2"/>
        <v>1577289.7941745438</v>
      </c>
      <c r="I108" s="4"/>
      <c r="J108" s="4" t="s">
        <v>1176</v>
      </c>
      <c r="K108" s="7">
        <v>-4000</v>
      </c>
      <c r="L108" s="4" t="s">
        <v>1185</v>
      </c>
      <c r="M108" s="4" t="s">
        <v>27</v>
      </c>
      <c r="N108" s="4"/>
    </row>
    <row r="109" spans="1:14" ht="10.5" hidden="1" x14ac:dyDescent="0.25">
      <c r="A109" s="8" t="s">
        <v>240</v>
      </c>
      <c r="B109" s="4" t="s">
        <v>21</v>
      </c>
      <c r="C109" s="5">
        <v>43646</v>
      </c>
      <c r="D109" s="4" t="s">
        <v>1191</v>
      </c>
      <c r="E109" s="4" t="s">
        <v>1192</v>
      </c>
      <c r="F109" s="4" t="s">
        <v>1193</v>
      </c>
      <c r="G109" s="6">
        <v>-129190.50916859</v>
      </c>
      <c r="H109" s="6">
        <f t="shared" si="2"/>
        <v>1448099.2850059539</v>
      </c>
      <c r="I109" s="4"/>
      <c r="J109" s="4" t="s">
        <v>68</v>
      </c>
      <c r="K109" s="7">
        <v>123271</v>
      </c>
      <c r="L109" s="4" t="s">
        <v>1194</v>
      </c>
      <c r="M109" s="4" t="s">
        <v>61</v>
      </c>
      <c r="N109" s="4"/>
    </row>
    <row r="110" spans="1:14" ht="10.5" hidden="1" x14ac:dyDescent="0.25">
      <c r="A110" s="8" t="s">
        <v>240</v>
      </c>
      <c r="B110" s="4" t="s">
        <v>21</v>
      </c>
      <c r="C110" s="5">
        <v>43677</v>
      </c>
      <c r="D110" s="4" t="s">
        <v>1195</v>
      </c>
      <c r="E110" s="4" t="s">
        <v>1174</v>
      </c>
      <c r="F110" s="4" t="s">
        <v>1196</v>
      </c>
      <c r="G110" s="6">
        <v>18791.534097966742</v>
      </c>
      <c r="H110" s="6">
        <f t="shared" si="2"/>
        <v>1466890.8191039206</v>
      </c>
      <c r="I110" s="4"/>
      <c r="J110" s="4" t="s">
        <v>68</v>
      </c>
      <c r="K110" s="7">
        <v>-24200</v>
      </c>
      <c r="L110" s="4" t="s">
        <v>1197</v>
      </c>
      <c r="M110" s="4" t="s">
        <v>212</v>
      </c>
      <c r="N110" s="4"/>
    </row>
    <row r="111" spans="1:14" ht="10.5" hidden="1" x14ac:dyDescent="0.25">
      <c r="A111" s="8" t="s">
        <v>240</v>
      </c>
      <c r="B111" s="4" t="s">
        <v>21</v>
      </c>
      <c r="C111" s="5">
        <v>43677</v>
      </c>
      <c r="D111" s="4" t="s">
        <v>1195</v>
      </c>
      <c r="E111" s="4" t="s">
        <v>1174</v>
      </c>
      <c r="F111" s="4" t="s">
        <v>1198</v>
      </c>
      <c r="G111" s="6">
        <v>14908.98573061824</v>
      </c>
      <c r="H111" s="6">
        <f t="shared" si="2"/>
        <v>1481799.8048345388</v>
      </c>
      <c r="I111" s="4"/>
      <c r="J111" s="4" t="s">
        <v>68</v>
      </c>
      <c r="K111" s="7">
        <v>-19200</v>
      </c>
      <c r="L111" s="4" t="s">
        <v>1197</v>
      </c>
      <c r="M111" s="4" t="s">
        <v>212</v>
      </c>
      <c r="N111" s="4"/>
    </row>
    <row r="112" spans="1:14" ht="10.5" hidden="1" x14ac:dyDescent="0.25">
      <c r="A112" s="8" t="s">
        <v>240</v>
      </c>
      <c r="B112" s="4" t="s">
        <v>21</v>
      </c>
      <c r="C112" s="5">
        <v>43677</v>
      </c>
      <c r="D112" s="4" t="s">
        <v>1195</v>
      </c>
      <c r="E112" s="4" t="s">
        <v>1174</v>
      </c>
      <c r="F112" s="4" t="s">
        <v>1199</v>
      </c>
      <c r="G112" s="6">
        <v>18403.279261231892</v>
      </c>
      <c r="H112" s="6">
        <f t="shared" si="2"/>
        <v>1500203.0840957707</v>
      </c>
      <c r="I112" s="4"/>
      <c r="J112" s="4" t="s">
        <v>68</v>
      </c>
      <c r="K112" s="7">
        <v>-23700</v>
      </c>
      <c r="L112" s="4" t="s">
        <v>1197</v>
      </c>
      <c r="M112" s="4" t="s">
        <v>212</v>
      </c>
      <c r="N112" s="4"/>
    </row>
    <row r="113" spans="1:14" ht="10.5" hidden="1" x14ac:dyDescent="0.25">
      <c r="A113" s="8" t="s">
        <v>240</v>
      </c>
      <c r="B113" s="4" t="s">
        <v>21</v>
      </c>
      <c r="C113" s="5">
        <v>43677</v>
      </c>
      <c r="D113" s="4" t="s">
        <v>1195</v>
      </c>
      <c r="E113" s="4" t="s">
        <v>1174</v>
      </c>
      <c r="F113" s="4" t="s">
        <v>1200</v>
      </c>
      <c r="G113" s="6">
        <v>14520.73089388339</v>
      </c>
      <c r="H113" s="6">
        <f t="shared" si="2"/>
        <v>1514723.8149896541</v>
      </c>
      <c r="I113" s="4"/>
      <c r="J113" s="4" t="s">
        <v>68</v>
      </c>
      <c r="K113" s="7">
        <v>-18700</v>
      </c>
      <c r="L113" s="4" t="s">
        <v>1197</v>
      </c>
      <c r="M113" s="4" t="s">
        <v>212</v>
      </c>
      <c r="N113" s="4"/>
    </row>
    <row r="114" spans="1:14" ht="10.5" hidden="1" x14ac:dyDescent="0.25">
      <c r="A114" s="8" t="s">
        <v>240</v>
      </c>
      <c r="B114" s="4" t="s">
        <v>21</v>
      </c>
      <c r="C114" s="5">
        <v>43677</v>
      </c>
      <c r="D114" s="4" t="s">
        <v>1201</v>
      </c>
      <c r="E114" s="4" t="s">
        <v>1174</v>
      </c>
      <c r="F114" s="4" t="s">
        <v>1202</v>
      </c>
      <c r="G114" s="6">
        <v>-1352.2200004221631</v>
      </c>
      <c r="H114" s="6">
        <f t="shared" si="2"/>
        <v>1513371.594989232</v>
      </c>
      <c r="I114" s="4"/>
      <c r="J114" s="4" t="s">
        <v>68</v>
      </c>
      <c r="K114" s="7">
        <v>1352.22</v>
      </c>
      <c r="L114" s="4" t="s">
        <v>1197</v>
      </c>
      <c r="M114" s="4" t="s">
        <v>27</v>
      </c>
      <c r="N114" s="4"/>
    </row>
    <row r="115" spans="1:14" ht="10.5" hidden="1" x14ac:dyDescent="0.25">
      <c r="A115" s="8" t="s">
        <v>240</v>
      </c>
      <c r="B115" s="4" t="s">
        <v>21</v>
      </c>
      <c r="C115" s="5">
        <v>43708</v>
      </c>
      <c r="D115" s="4" t="s">
        <v>1203</v>
      </c>
      <c r="E115" s="4" t="s">
        <v>1174</v>
      </c>
      <c r="F115" s="4" t="s">
        <v>1204</v>
      </c>
      <c r="G115" s="6">
        <v>-41000.070012800221</v>
      </c>
      <c r="H115" s="6">
        <f t="shared" si="2"/>
        <v>1472371.5249764319</v>
      </c>
      <c r="I115" s="4"/>
      <c r="J115" s="4" t="s">
        <v>68</v>
      </c>
      <c r="K115" s="7">
        <v>41000.07</v>
      </c>
      <c r="L115" s="4" t="s">
        <v>1205</v>
      </c>
      <c r="M115" s="4" t="s">
        <v>27</v>
      </c>
      <c r="N115" s="4"/>
    </row>
    <row r="116" spans="1:14" ht="10.5" hidden="1" x14ac:dyDescent="0.25">
      <c r="A116" s="8" t="s">
        <v>240</v>
      </c>
      <c r="B116" s="4" t="s">
        <v>21</v>
      </c>
      <c r="C116" s="5">
        <v>43830</v>
      </c>
      <c r="D116" s="4" t="s">
        <v>1206</v>
      </c>
      <c r="E116" s="4" t="s">
        <v>1207</v>
      </c>
      <c r="F116" s="4"/>
      <c r="G116" s="6">
        <v>-5461.967345393</v>
      </c>
      <c r="H116" s="6">
        <f t="shared" si="2"/>
        <v>1466909.5576310388</v>
      </c>
      <c r="I116" s="4"/>
      <c r="J116" s="4" t="s">
        <v>68</v>
      </c>
      <c r="K116" s="7">
        <v>5211.7</v>
      </c>
      <c r="L116" s="4" t="s">
        <v>1025</v>
      </c>
      <c r="M116" s="4" t="s">
        <v>38</v>
      </c>
      <c r="N116" s="4"/>
    </row>
    <row r="117" spans="1:14" ht="10.5" hidden="1" x14ac:dyDescent="0.25">
      <c r="A117" s="8" t="s">
        <v>240</v>
      </c>
      <c r="B117" s="4" t="s">
        <v>21</v>
      </c>
      <c r="C117" s="5">
        <v>43830</v>
      </c>
      <c r="D117" s="4" t="s">
        <v>1208</v>
      </c>
      <c r="E117" s="4" t="s">
        <v>1174</v>
      </c>
      <c r="F117" s="4" t="s">
        <v>1209</v>
      </c>
      <c r="G117" s="6">
        <v>500.00000015609999</v>
      </c>
      <c r="H117" s="6">
        <f t="shared" si="2"/>
        <v>1467409.5576311948</v>
      </c>
      <c r="I117" s="4"/>
      <c r="J117" s="4" t="s">
        <v>68</v>
      </c>
      <c r="K117" s="7">
        <v>-500</v>
      </c>
      <c r="L117" s="4" t="s">
        <v>1025</v>
      </c>
      <c r="M117" s="4" t="s">
        <v>27</v>
      </c>
      <c r="N117" s="4"/>
    </row>
    <row r="118" spans="1:14" ht="10.5" hidden="1" x14ac:dyDescent="0.25">
      <c r="A118" s="8" t="s">
        <v>240</v>
      </c>
      <c r="B118" s="4" t="s">
        <v>21</v>
      </c>
      <c r="C118" s="5">
        <v>43830</v>
      </c>
      <c r="D118" s="4" t="s">
        <v>1210</v>
      </c>
      <c r="E118" s="4"/>
      <c r="F118" s="4" t="s">
        <v>1211</v>
      </c>
      <c r="G118" s="6">
        <v>5461.967345393</v>
      </c>
      <c r="H118" s="6">
        <f t="shared" si="2"/>
        <v>1472871.5249765879</v>
      </c>
      <c r="I118" s="4"/>
      <c r="J118" s="4" t="s">
        <v>68</v>
      </c>
      <c r="K118" s="7">
        <v>-5211.7</v>
      </c>
      <c r="L118" s="4" t="s">
        <v>1025</v>
      </c>
      <c r="M118" s="4" t="s">
        <v>38</v>
      </c>
      <c r="N118" s="4"/>
    </row>
    <row r="119" spans="1:14" ht="10.5" hidden="1" x14ac:dyDescent="0.25">
      <c r="A119" s="8" t="s">
        <v>240</v>
      </c>
      <c r="B119" s="4" t="s">
        <v>21</v>
      </c>
      <c r="C119" s="5">
        <v>43830</v>
      </c>
      <c r="D119" s="4" t="s">
        <v>1212</v>
      </c>
      <c r="E119" s="4" t="s">
        <v>1213</v>
      </c>
      <c r="F119" s="4" t="s">
        <v>1213</v>
      </c>
      <c r="G119" s="6">
        <v>-15021.652103874399</v>
      </c>
      <c r="H119" s="6">
        <f t="shared" si="2"/>
        <v>1457849.8728727135</v>
      </c>
      <c r="I119" s="4"/>
      <c r="J119" s="4" t="s">
        <v>68</v>
      </c>
      <c r="K119" s="7">
        <v>21627.03</v>
      </c>
      <c r="L119" s="4" t="s">
        <v>1025</v>
      </c>
      <c r="M119" s="4" t="s">
        <v>201</v>
      </c>
      <c r="N119" s="4"/>
    </row>
    <row r="120" spans="1:14" ht="10.5" hidden="1" x14ac:dyDescent="0.25">
      <c r="A120" s="8" t="s">
        <v>240</v>
      </c>
      <c r="B120" s="4" t="s">
        <v>21</v>
      </c>
      <c r="C120" s="5">
        <v>43830</v>
      </c>
      <c r="D120" s="4" t="s">
        <v>1214</v>
      </c>
      <c r="E120" s="4" t="s">
        <v>1215</v>
      </c>
      <c r="F120" s="4" t="s">
        <v>1216</v>
      </c>
      <c r="G120" s="6">
        <v>-10421.536327636844</v>
      </c>
      <c r="H120" s="6">
        <f t="shared" si="2"/>
        <v>1447428.3365450767</v>
      </c>
      <c r="I120" s="4"/>
      <c r="J120" s="4" t="s">
        <v>68</v>
      </c>
      <c r="K120" s="7">
        <v>13421</v>
      </c>
      <c r="L120" s="4" t="s">
        <v>1025</v>
      </c>
      <c r="M120" s="4" t="s">
        <v>212</v>
      </c>
      <c r="N120" s="4"/>
    </row>
    <row r="121" spans="1:14" ht="10.5" hidden="1" x14ac:dyDescent="0.25">
      <c r="A121" s="8" t="s">
        <v>240</v>
      </c>
      <c r="B121" s="4" t="s">
        <v>21</v>
      </c>
      <c r="C121" s="5">
        <v>43830</v>
      </c>
      <c r="D121" s="4" t="s">
        <v>1214</v>
      </c>
      <c r="E121" s="4" t="s">
        <v>1215</v>
      </c>
      <c r="F121" s="4" t="s">
        <v>1216</v>
      </c>
      <c r="G121" s="6">
        <v>-8128.50326188082</v>
      </c>
      <c r="H121" s="6">
        <f t="shared" si="2"/>
        <v>1439299.833283196</v>
      </c>
      <c r="I121" s="4"/>
      <c r="J121" s="4" t="s">
        <v>68</v>
      </c>
      <c r="K121" s="7">
        <v>10468</v>
      </c>
      <c r="L121" s="4" t="s">
        <v>1025</v>
      </c>
      <c r="M121" s="4" t="s">
        <v>212</v>
      </c>
      <c r="N121" s="4"/>
    </row>
    <row r="122" spans="1:14" ht="10.5" hidden="1" x14ac:dyDescent="0.25">
      <c r="A122" s="8" t="s">
        <v>240</v>
      </c>
      <c r="B122" s="4" t="s">
        <v>21</v>
      </c>
      <c r="C122" s="5">
        <v>43830</v>
      </c>
      <c r="D122" s="4" t="s">
        <v>1217</v>
      </c>
      <c r="E122" s="4" t="s">
        <v>1218</v>
      </c>
      <c r="F122" s="4" t="s">
        <v>1219</v>
      </c>
      <c r="G122" s="6">
        <v>4401.6852179999996</v>
      </c>
      <c r="H122" s="6">
        <f t="shared" si="2"/>
        <v>1443701.5185011961</v>
      </c>
      <c r="I122" s="4"/>
      <c r="J122" s="4" t="s">
        <v>68</v>
      </c>
      <c r="K122" s="7">
        <v>-4200</v>
      </c>
      <c r="L122" s="4" t="s">
        <v>1025</v>
      </c>
      <c r="M122" s="4" t="s">
        <v>61</v>
      </c>
      <c r="N122" s="4"/>
    </row>
    <row r="123" spans="1:14" ht="10.5" hidden="1" x14ac:dyDescent="0.25">
      <c r="A123" s="8" t="s">
        <v>240</v>
      </c>
      <c r="B123" s="4" t="s">
        <v>21</v>
      </c>
      <c r="C123" s="5">
        <v>43830</v>
      </c>
      <c r="D123" s="4" t="s">
        <v>1220</v>
      </c>
      <c r="E123" s="4" t="s">
        <v>1221</v>
      </c>
      <c r="F123" s="4" t="s">
        <v>1221</v>
      </c>
      <c r="G123" s="6">
        <v>-47613.174803688744</v>
      </c>
      <c r="H123" s="6">
        <f t="shared" si="2"/>
        <v>1396088.3436975074</v>
      </c>
      <c r="I123" s="4"/>
      <c r="J123" s="4" t="s">
        <v>68</v>
      </c>
      <c r="K123" s="7">
        <v>3760889</v>
      </c>
      <c r="L123" s="4" t="s">
        <v>1025</v>
      </c>
      <c r="M123" s="4" t="s">
        <v>204</v>
      </c>
      <c r="N123" s="4"/>
    </row>
    <row r="124" spans="1:14" ht="10.5" hidden="1" x14ac:dyDescent="0.25">
      <c r="A124" s="8" t="s">
        <v>240</v>
      </c>
      <c r="B124" s="4" t="s">
        <v>21</v>
      </c>
      <c r="C124" s="5">
        <v>43830</v>
      </c>
      <c r="D124" s="4" t="s">
        <v>1222</v>
      </c>
      <c r="E124" s="4" t="s">
        <v>1192</v>
      </c>
      <c r="F124" s="4" t="s">
        <v>1223</v>
      </c>
      <c r="G124" s="6">
        <v>4243.6123176593001</v>
      </c>
      <c r="H124" s="6">
        <f t="shared" si="2"/>
        <v>1400331.9560151666</v>
      </c>
      <c r="I124" s="4"/>
      <c r="J124" s="4" t="s">
        <v>68</v>
      </c>
      <c r="K124" s="7">
        <v>-4049.17</v>
      </c>
      <c r="L124" s="4" t="s">
        <v>1025</v>
      </c>
      <c r="M124" s="4" t="s">
        <v>61</v>
      </c>
      <c r="N124" s="4"/>
    </row>
    <row r="125" spans="1:14" ht="10.5" hidden="1" x14ac:dyDescent="0.25">
      <c r="A125" s="8" t="s">
        <v>240</v>
      </c>
      <c r="B125" s="4" t="s">
        <v>21</v>
      </c>
      <c r="C125" s="5">
        <v>43830</v>
      </c>
      <c r="D125" s="4" t="s">
        <v>1222</v>
      </c>
      <c r="E125" s="4" t="s">
        <v>1192</v>
      </c>
      <c r="F125" s="4" t="s">
        <v>1224</v>
      </c>
      <c r="G125" s="6">
        <v>1002.4523677908001</v>
      </c>
      <c r="H125" s="6">
        <f t="shared" si="2"/>
        <v>1401334.4083829573</v>
      </c>
      <c r="I125" s="4"/>
      <c r="J125" s="4" t="s">
        <v>68</v>
      </c>
      <c r="K125" s="7">
        <v>-956.52</v>
      </c>
      <c r="L125" s="4" t="s">
        <v>1025</v>
      </c>
      <c r="M125" s="4" t="s">
        <v>61</v>
      </c>
      <c r="N125" s="4"/>
    </row>
    <row r="126" spans="1:14" ht="10.5" hidden="1" x14ac:dyDescent="0.25">
      <c r="A126" s="8" t="s">
        <v>240</v>
      </c>
      <c r="B126" s="4" t="s">
        <v>21</v>
      </c>
      <c r="C126" s="5">
        <v>43830</v>
      </c>
      <c r="D126" s="4" t="s">
        <v>1225</v>
      </c>
      <c r="E126" s="4" t="s">
        <v>1226</v>
      </c>
      <c r="F126" s="4" t="s">
        <v>1226</v>
      </c>
      <c r="G126" s="6">
        <v>1132027.5004058201</v>
      </c>
      <c r="H126" s="6">
        <f t="shared" si="2"/>
        <v>2533361.9087887774</v>
      </c>
      <c r="I126" s="4"/>
      <c r="J126" s="4" t="s">
        <v>68</v>
      </c>
      <c r="K126" s="7">
        <v>-1080158</v>
      </c>
      <c r="L126" s="4" t="s">
        <v>1025</v>
      </c>
      <c r="M126" s="4" t="s">
        <v>61</v>
      </c>
      <c r="N126" s="4"/>
    </row>
    <row r="127" spans="1:14" ht="10.5" hidden="1" x14ac:dyDescent="0.25">
      <c r="A127" s="8" t="s">
        <v>240</v>
      </c>
      <c r="B127" s="4" t="s">
        <v>21</v>
      </c>
      <c r="C127" s="5">
        <v>43830</v>
      </c>
      <c r="D127" s="4" t="s">
        <v>1227</v>
      </c>
      <c r="E127" s="4" t="s">
        <v>1228</v>
      </c>
      <c r="F127" s="4" t="s">
        <v>1228</v>
      </c>
      <c r="G127" s="6">
        <v>-10076.654513301248</v>
      </c>
      <c r="H127" s="6">
        <f t="shared" si="2"/>
        <v>2523285.2542754761</v>
      </c>
      <c r="I127" s="4"/>
      <c r="J127" s="4" t="s">
        <v>68</v>
      </c>
      <c r="K127" s="7">
        <v>8276.9699999999993</v>
      </c>
      <c r="L127" s="4" t="s">
        <v>1056</v>
      </c>
      <c r="M127" s="4" t="s">
        <v>186</v>
      </c>
      <c r="N127" s="4"/>
    </row>
    <row r="128" spans="1:14" ht="10.5" hidden="1" x14ac:dyDescent="0.25">
      <c r="A128" s="8" t="s">
        <v>240</v>
      </c>
      <c r="B128" s="4" t="s">
        <v>21</v>
      </c>
      <c r="C128" s="5">
        <v>43830</v>
      </c>
      <c r="D128" s="4" t="s">
        <v>1229</v>
      </c>
      <c r="E128" s="4" t="s">
        <v>1230</v>
      </c>
      <c r="F128" s="4" t="s">
        <v>1230</v>
      </c>
      <c r="G128" s="6">
        <v>-1132027.5004058201</v>
      </c>
      <c r="H128" s="6">
        <f t="shared" si="2"/>
        <v>1391257.753869656</v>
      </c>
      <c r="I128" s="4"/>
      <c r="J128" s="4" t="s">
        <v>68</v>
      </c>
      <c r="K128" s="7">
        <v>1080158</v>
      </c>
      <c r="L128" s="4" t="s">
        <v>1025</v>
      </c>
      <c r="M128" s="4" t="s">
        <v>61</v>
      </c>
      <c r="N128" s="4"/>
    </row>
    <row r="129" spans="1:14" ht="10.5" hidden="1" x14ac:dyDescent="0.25">
      <c r="A129" s="8" t="s">
        <v>240</v>
      </c>
      <c r="B129" s="4" t="s">
        <v>21</v>
      </c>
      <c r="C129" s="5">
        <v>43830</v>
      </c>
      <c r="D129" s="4" t="s">
        <v>1231</v>
      </c>
      <c r="E129" s="4" t="s">
        <v>1232</v>
      </c>
      <c r="F129" s="4" t="s">
        <v>1232</v>
      </c>
      <c r="G129" s="6">
        <v>1047513.04817964</v>
      </c>
      <c r="H129" s="6">
        <f t="shared" si="2"/>
        <v>2438770.802049296</v>
      </c>
      <c r="I129" s="4"/>
      <c r="J129" s="4" t="s">
        <v>68</v>
      </c>
      <c r="K129" s="7">
        <v>-999516</v>
      </c>
      <c r="L129" s="4" t="s">
        <v>1025</v>
      </c>
      <c r="M129" s="4" t="s">
        <v>61</v>
      </c>
      <c r="N129" s="4"/>
    </row>
    <row r="130" spans="1:14" ht="10.5" hidden="1" x14ac:dyDescent="0.25">
      <c r="A130" s="8" t="s">
        <v>240</v>
      </c>
      <c r="B130" s="4" t="s">
        <v>21</v>
      </c>
      <c r="C130" s="5">
        <v>43830</v>
      </c>
      <c r="D130" s="4" t="s">
        <v>1233</v>
      </c>
      <c r="E130" s="4" t="s">
        <v>1234</v>
      </c>
      <c r="F130" s="4" t="s">
        <v>1213</v>
      </c>
      <c r="G130" s="6">
        <v>15018.8329292943</v>
      </c>
      <c r="H130" s="6">
        <f t="shared" si="2"/>
        <v>2453789.6349785901</v>
      </c>
      <c r="I130" s="4"/>
      <c r="J130" s="4" t="s">
        <v>68</v>
      </c>
      <c r="K130" s="7">
        <v>-21627.03</v>
      </c>
      <c r="L130" s="4" t="s">
        <v>1025</v>
      </c>
      <c r="M130" s="4" t="s">
        <v>201</v>
      </c>
      <c r="N130" s="4" t="s">
        <v>1026</v>
      </c>
    </row>
    <row r="131" spans="1:14" ht="10.5" hidden="1" x14ac:dyDescent="0.25">
      <c r="A131" s="8" t="s">
        <v>240</v>
      </c>
      <c r="B131" s="4" t="s">
        <v>21</v>
      </c>
      <c r="C131" s="5">
        <v>43830</v>
      </c>
      <c r="D131" s="4" t="s">
        <v>1040</v>
      </c>
      <c r="E131" s="4" t="s">
        <v>1041</v>
      </c>
      <c r="F131" s="4" t="s">
        <v>1042</v>
      </c>
      <c r="G131" s="6">
        <v>-2548320.8836478777</v>
      </c>
      <c r="H131" s="6">
        <f t="shared" si="2"/>
        <v>-94531.248669287656</v>
      </c>
      <c r="I131" s="4"/>
      <c r="J131" s="4" t="s">
        <v>68</v>
      </c>
      <c r="K131" s="7">
        <v>2431556.8199999998</v>
      </c>
      <c r="L131" s="4" t="s">
        <v>1025</v>
      </c>
      <c r="M131" s="4" t="s">
        <v>61</v>
      </c>
      <c r="N131" s="4" t="s">
        <v>181</v>
      </c>
    </row>
    <row r="132" spans="1:14" ht="10.5" hidden="1" x14ac:dyDescent="0.25">
      <c r="A132" s="8" t="s">
        <v>240</v>
      </c>
      <c r="B132" s="4" t="s">
        <v>21</v>
      </c>
      <c r="C132" s="5">
        <v>43831</v>
      </c>
      <c r="D132" s="4" t="s">
        <v>1235</v>
      </c>
      <c r="E132" s="4"/>
      <c r="F132" s="4" t="s">
        <v>1236</v>
      </c>
      <c r="G132" s="6">
        <v>55.010000017174121</v>
      </c>
      <c r="H132" s="6">
        <f t="shared" si="2"/>
        <v>-94476.238669270475</v>
      </c>
      <c r="I132" s="4"/>
      <c r="J132" s="4" t="s">
        <v>68</v>
      </c>
      <c r="K132" s="7">
        <v>-55.01</v>
      </c>
      <c r="L132" s="4" t="s">
        <v>1237</v>
      </c>
      <c r="M132" s="4" t="s">
        <v>27</v>
      </c>
      <c r="N132" s="4"/>
    </row>
    <row r="133" spans="1:14" ht="10.5" hidden="1" x14ac:dyDescent="0.25">
      <c r="A133" s="8" t="s">
        <v>240</v>
      </c>
      <c r="B133" s="4" t="s">
        <v>21</v>
      </c>
      <c r="C133" s="5">
        <v>43831</v>
      </c>
      <c r="D133" s="4" t="s">
        <v>1238</v>
      </c>
      <c r="E133" s="4" t="s">
        <v>1239</v>
      </c>
      <c r="F133" s="4" t="s">
        <v>1236</v>
      </c>
      <c r="G133" s="6">
        <v>-55.010000017174121</v>
      </c>
      <c r="H133" s="6">
        <f t="shared" si="2"/>
        <v>-94531.248669287656</v>
      </c>
      <c r="I133" s="4"/>
      <c r="J133" s="4" t="s">
        <v>68</v>
      </c>
      <c r="K133" s="7">
        <v>55.01</v>
      </c>
      <c r="L133" s="4" t="s">
        <v>1237</v>
      </c>
      <c r="M133" s="4" t="s">
        <v>27</v>
      </c>
      <c r="N133" s="4"/>
    </row>
    <row r="134" spans="1:14" ht="10.5" hidden="1" x14ac:dyDescent="0.25">
      <c r="A134" s="8" t="s">
        <v>240</v>
      </c>
      <c r="B134" s="4" t="s">
        <v>21</v>
      </c>
      <c r="C134" s="5">
        <v>43832</v>
      </c>
      <c r="D134" s="4" t="s">
        <v>1240</v>
      </c>
      <c r="E134" s="4" t="s">
        <v>1241</v>
      </c>
      <c r="F134" s="4" t="s">
        <v>1241</v>
      </c>
      <c r="G134" s="6">
        <v>-3811.2000011898567</v>
      </c>
      <c r="H134" s="6">
        <f t="shared" si="2"/>
        <v>-98342.448670477519</v>
      </c>
      <c r="I134" s="4"/>
      <c r="J134" s="4" t="s">
        <v>68</v>
      </c>
      <c r="K134" s="7">
        <v>3811.2</v>
      </c>
      <c r="L134" s="4" t="s">
        <v>1237</v>
      </c>
      <c r="M134" s="4" t="s">
        <v>27</v>
      </c>
      <c r="N134" s="4"/>
    </row>
    <row r="135" spans="1:14" ht="10.5" hidden="1" x14ac:dyDescent="0.25">
      <c r="A135" s="8" t="s">
        <v>240</v>
      </c>
      <c r="B135" s="4" t="s">
        <v>21</v>
      </c>
      <c r="C135" s="5">
        <v>43832</v>
      </c>
      <c r="D135" s="4" t="s">
        <v>1242</v>
      </c>
      <c r="E135" s="4" t="s">
        <v>1243</v>
      </c>
      <c r="F135" s="4" t="s">
        <v>1241</v>
      </c>
      <c r="G135" s="6">
        <v>3811.2000011898567</v>
      </c>
      <c r="H135" s="6">
        <f t="shared" si="2"/>
        <v>-94531.248669287656</v>
      </c>
      <c r="I135" s="4"/>
      <c r="J135" s="4" t="s">
        <v>68</v>
      </c>
      <c r="K135" s="7">
        <v>-3811.2</v>
      </c>
      <c r="L135" s="4" t="s">
        <v>1237</v>
      </c>
      <c r="M135" s="4" t="s">
        <v>27</v>
      </c>
      <c r="N135" s="4"/>
    </row>
    <row r="136" spans="1:14" ht="10.5" hidden="1" x14ac:dyDescent="0.25">
      <c r="A136" s="8" t="s">
        <v>240</v>
      </c>
      <c r="B136" s="4" t="s">
        <v>21</v>
      </c>
      <c r="C136" s="5">
        <v>43837</v>
      </c>
      <c r="D136" s="4" t="s">
        <v>1244</v>
      </c>
      <c r="E136" s="4"/>
      <c r="F136" s="4" t="s">
        <v>1245</v>
      </c>
      <c r="G136" s="6">
        <v>-24263.290007575</v>
      </c>
      <c r="H136" s="6">
        <f t="shared" si="2"/>
        <v>-118794.53867686266</v>
      </c>
      <c r="I136" s="4"/>
      <c r="J136" s="4" t="s">
        <v>68</v>
      </c>
      <c r="K136" s="7">
        <v>24263.29</v>
      </c>
      <c r="L136" s="4" t="s">
        <v>1237</v>
      </c>
      <c r="M136" s="4" t="s">
        <v>27</v>
      </c>
      <c r="N136" s="4"/>
    </row>
    <row r="137" spans="1:14" ht="10.5" hidden="1" x14ac:dyDescent="0.25">
      <c r="A137" s="8" t="s">
        <v>240</v>
      </c>
      <c r="B137" s="4" t="s">
        <v>21</v>
      </c>
      <c r="C137" s="5">
        <v>43837</v>
      </c>
      <c r="D137" s="4" t="s">
        <v>1246</v>
      </c>
      <c r="E137" s="4" t="s">
        <v>1247</v>
      </c>
      <c r="F137" s="4" t="s">
        <v>1245</v>
      </c>
      <c r="G137" s="6">
        <v>24263.290007575</v>
      </c>
      <c r="H137" s="6">
        <f t="shared" si="2"/>
        <v>-94531.248669287656</v>
      </c>
      <c r="I137" s="4"/>
      <c r="J137" s="4" t="s">
        <v>68</v>
      </c>
      <c r="K137" s="7">
        <v>-24263.29</v>
      </c>
      <c r="L137" s="4" t="s">
        <v>1237</v>
      </c>
      <c r="M137" s="4" t="s">
        <v>27</v>
      </c>
      <c r="N137" s="4"/>
    </row>
    <row r="138" spans="1:14" ht="10.5" hidden="1" x14ac:dyDescent="0.25">
      <c r="A138" s="8" t="s">
        <v>240</v>
      </c>
      <c r="B138" s="4" t="s">
        <v>21</v>
      </c>
      <c r="C138" s="5">
        <v>43845</v>
      </c>
      <c r="D138" s="4" t="s">
        <v>1248</v>
      </c>
      <c r="E138" s="4"/>
      <c r="F138" s="4" t="s">
        <v>1249</v>
      </c>
      <c r="G138" s="6">
        <v>-34000.0000106148</v>
      </c>
      <c r="H138" s="6">
        <f t="shared" si="2"/>
        <v>-128531.24867990246</v>
      </c>
      <c r="I138" s="4"/>
      <c r="J138" s="4" t="s">
        <v>68</v>
      </c>
      <c r="K138" s="7">
        <v>34000</v>
      </c>
      <c r="L138" s="4" t="s">
        <v>1237</v>
      </c>
      <c r="M138" s="4" t="s">
        <v>27</v>
      </c>
      <c r="N138" s="4"/>
    </row>
    <row r="139" spans="1:14" ht="10.5" hidden="1" x14ac:dyDescent="0.25">
      <c r="A139" s="8" t="s">
        <v>240</v>
      </c>
      <c r="B139" s="4" t="s">
        <v>21</v>
      </c>
      <c r="C139" s="5">
        <v>43845</v>
      </c>
      <c r="D139" s="4" t="s">
        <v>1250</v>
      </c>
      <c r="E139" s="4"/>
      <c r="F139" s="4" t="s">
        <v>1251</v>
      </c>
      <c r="G139" s="6">
        <v>127.79000003989604</v>
      </c>
      <c r="H139" s="6">
        <f t="shared" si="2"/>
        <v>-128403.45867986257</v>
      </c>
      <c r="I139" s="4"/>
      <c r="J139" s="4" t="s">
        <v>68</v>
      </c>
      <c r="K139" s="7">
        <v>-127.79</v>
      </c>
      <c r="L139" s="4" t="s">
        <v>1237</v>
      </c>
      <c r="M139" s="4" t="s">
        <v>27</v>
      </c>
      <c r="N139" s="4"/>
    </row>
    <row r="140" spans="1:14" ht="10.5" hidden="1" x14ac:dyDescent="0.25">
      <c r="A140" s="8" t="s">
        <v>240</v>
      </c>
      <c r="B140" s="4" t="s">
        <v>21</v>
      </c>
      <c r="C140" s="5">
        <v>43845</v>
      </c>
      <c r="D140" s="4" t="s">
        <v>1252</v>
      </c>
      <c r="E140" s="4"/>
      <c r="F140" s="4" t="s">
        <v>1251</v>
      </c>
      <c r="G140" s="6">
        <v>5.7800000018045159</v>
      </c>
      <c r="H140" s="6">
        <f t="shared" si="2"/>
        <v>-128397.67867986076</v>
      </c>
      <c r="I140" s="4"/>
      <c r="J140" s="4" t="s">
        <v>68</v>
      </c>
      <c r="K140" s="7">
        <v>-5.78</v>
      </c>
      <c r="L140" s="4" t="s">
        <v>1237</v>
      </c>
      <c r="M140" s="4" t="s">
        <v>27</v>
      </c>
      <c r="N140" s="4"/>
    </row>
    <row r="141" spans="1:14" ht="10.5" hidden="1" x14ac:dyDescent="0.25">
      <c r="A141" s="8" t="s">
        <v>240</v>
      </c>
      <c r="B141" s="4" t="s">
        <v>21</v>
      </c>
      <c r="C141" s="5">
        <v>43845</v>
      </c>
      <c r="D141" s="4" t="s">
        <v>1253</v>
      </c>
      <c r="E141" s="4" t="s">
        <v>1254</v>
      </c>
      <c r="F141" s="4" t="s">
        <v>1254</v>
      </c>
      <c r="G141" s="6">
        <v>10774.970003363946</v>
      </c>
      <c r="H141" s="6">
        <f t="shared" si="2"/>
        <v>-117622.70867649681</v>
      </c>
      <c r="I141" s="4"/>
      <c r="J141" s="4" t="s">
        <v>68</v>
      </c>
      <c r="K141" s="7">
        <v>-10774.97</v>
      </c>
      <c r="L141" s="4" t="s">
        <v>1237</v>
      </c>
      <c r="M141" s="4" t="s">
        <v>27</v>
      </c>
      <c r="N141" s="4"/>
    </row>
    <row r="142" spans="1:14" ht="10.5" hidden="1" x14ac:dyDescent="0.25">
      <c r="A142" s="8" t="s">
        <v>240</v>
      </c>
      <c r="B142" s="4" t="s">
        <v>21</v>
      </c>
      <c r="C142" s="5">
        <v>43845</v>
      </c>
      <c r="D142" s="4" t="s">
        <v>1253</v>
      </c>
      <c r="E142" s="4" t="s">
        <v>1254</v>
      </c>
      <c r="F142" s="4" t="s">
        <v>1254</v>
      </c>
      <c r="G142" s="6">
        <v>-10774.970003363946</v>
      </c>
      <c r="H142" s="6">
        <f t="shared" si="2"/>
        <v>-128397.67867986075</v>
      </c>
      <c r="I142" s="4"/>
      <c r="J142" s="4" t="s">
        <v>68</v>
      </c>
      <c r="K142" s="7">
        <v>10774.97</v>
      </c>
      <c r="L142" s="4" t="s">
        <v>1237</v>
      </c>
      <c r="M142" s="4" t="s">
        <v>27</v>
      </c>
      <c r="N142" s="4"/>
    </row>
    <row r="143" spans="1:14" ht="10.5" hidden="1" x14ac:dyDescent="0.25">
      <c r="A143" s="8" t="s">
        <v>240</v>
      </c>
      <c r="B143" s="4" t="s">
        <v>21</v>
      </c>
      <c r="C143" s="5">
        <v>43845</v>
      </c>
      <c r="D143" s="4" t="s">
        <v>1253</v>
      </c>
      <c r="E143" s="4" t="s">
        <v>1254</v>
      </c>
      <c r="F143" s="4" t="s">
        <v>1254</v>
      </c>
      <c r="G143" s="6">
        <v>-10774.970003363946</v>
      </c>
      <c r="H143" s="6">
        <f t="shared" si="2"/>
        <v>-139172.64868322469</v>
      </c>
      <c r="I143" s="4"/>
      <c r="J143" s="4" t="s">
        <v>68</v>
      </c>
      <c r="K143" s="7">
        <v>10774.97</v>
      </c>
      <c r="L143" s="4" t="s">
        <v>1237</v>
      </c>
      <c r="M143" s="4" t="s">
        <v>27</v>
      </c>
      <c r="N143" s="4"/>
    </row>
    <row r="144" spans="1:14" ht="10.5" hidden="1" x14ac:dyDescent="0.25">
      <c r="A144" s="8" t="s">
        <v>240</v>
      </c>
      <c r="B144" s="4" t="s">
        <v>21</v>
      </c>
      <c r="C144" s="5">
        <v>43845</v>
      </c>
      <c r="D144" s="4" t="s">
        <v>1253</v>
      </c>
      <c r="E144" s="4" t="s">
        <v>1254</v>
      </c>
      <c r="F144" s="4" t="s">
        <v>1255</v>
      </c>
      <c r="G144" s="6">
        <v>10774.970003363946</v>
      </c>
      <c r="H144" s="6">
        <f t="shared" si="2"/>
        <v>-128397.67867986075</v>
      </c>
      <c r="I144" s="4"/>
      <c r="J144" s="4" t="s">
        <v>68</v>
      </c>
      <c r="K144" s="7">
        <v>-10774.97</v>
      </c>
      <c r="L144" s="4" t="s">
        <v>1237</v>
      </c>
      <c r="M144" s="4" t="s">
        <v>27</v>
      </c>
      <c r="N144" s="4"/>
    </row>
    <row r="145" spans="1:14" ht="10.5" hidden="1" x14ac:dyDescent="0.25">
      <c r="A145" s="8" t="s">
        <v>240</v>
      </c>
      <c r="B145" s="4" t="s">
        <v>21</v>
      </c>
      <c r="C145" s="5">
        <v>43845</v>
      </c>
      <c r="D145" s="4" t="s">
        <v>1256</v>
      </c>
      <c r="E145" s="4"/>
      <c r="F145" s="4" t="s">
        <v>1257</v>
      </c>
      <c r="G145" s="6">
        <v>-5.7800000018045159</v>
      </c>
      <c r="H145" s="6">
        <f t="shared" si="2"/>
        <v>-128403.45867986255</v>
      </c>
      <c r="I145" s="4"/>
      <c r="J145" s="4" t="s">
        <v>68</v>
      </c>
      <c r="K145" s="7">
        <v>5.78</v>
      </c>
      <c r="L145" s="4" t="s">
        <v>1237</v>
      </c>
      <c r="M145" s="4" t="s">
        <v>27</v>
      </c>
      <c r="N145" s="4"/>
    </row>
    <row r="146" spans="1:14" ht="10.5" hidden="1" x14ac:dyDescent="0.25">
      <c r="A146" s="8" t="s">
        <v>240</v>
      </c>
      <c r="B146" s="4" t="s">
        <v>21</v>
      </c>
      <c r="C146" s="5">
        <v>43845</v>
      </c>
      <c r="D146" s="4" t="s">
        <v>1258</v>
      </c>
      <c r="E146" s="4" t="s">
        <v>1259</v>
      </c>
      <c r="F146" s="4" t="s">
        <v>1251</v>
      </c>
      <c r="G146" s="6">
        <v>-127.79000003989604</v>
      </c>
      <c r="H146" s="6">
        <f t="shared" si="2"/>
        <v>-128531.24867990245</v>
      </c>
      <c r="I146" s="4"/>
      <c r="J146" s="4" t="s">
        <v>68</v>
      </c>
      <c r="K146" s="7">
        <v>127.79</v>
      </c>
      <c r="L146" s="4" t="s">
        <v>1237</v>
      </c>
      <c r="M146" s="4" t="s">
        <v>27</v>
      </c>
      <c r="N146" s="4"/>
    </row>
    <row r="147" spans="1:14" ht="10.5" hidden="1" x14ac:dyDescent="0.25">
      <c r="A147" s="8" t="s">
        <v>240</v>
      </c>
      <c r="B147" s="4" t="s">
        <v>21</v>
      </c>
      <c r="C147" s="5">
        <v>43845</v>
      </c>
      <c r="D147" s="4" t="s">
        <v>1260</v>
      </c>
      <c r="E147" s="4" t="s">
        <v>1261</v>
      </c>
      <c r="F147" s="4" t="s">
        <v>1251</v>
      </c>
      <c r="G147" s="6">
        <v>-5.7800000018045159</v>
      </c>
      <c r="H147" s="6">
        <f t="shared" si="2"/>
        <v>-128537.02867990425</v>
      </c>
      <c r="I147" s="4"/>
      <c r="J147" s="4" t="s">
        <v>68</v>
      </c>
      <c r="K147" s="7">
        <v>5.78</v>
      </c>
      <c r="L147" s="4" t="s">
        <v>1237</v>
      </c>
      <c r="M147" s="4" t="s">
        <v>27</v>
      </c>
      <c r="N147" s="4"/>
    </row>
    <row r="148" spans="1:14" ht="10.5" hidden="1" x14ac:dyDescent="0.25">
      <c r="A148" s="8" t="s">
        <v>240</v>
      </c>
      <c r="B148" s="4" t="s">
        <v>21</v>
      </c>
      <c r="C148" s="5">
        <v>43845</v>
      </c>
      <c r="D148" s="4" t="s">
        <v>1262</v>
      </c>
      <c r="E148" s="4" t="s">
        <v>1263</v>
      </c>
      <c r="F148" s="4" t="s">
        <v>1254</v>
      </c>
      <c r="G148" s="6">
        <v>-10774.970003363946</v>
      </c>
      <c r="H148" s="6">
        <f t="shared" si="2"/>
        <v>-139311.9986832682</v>
      </c>
      <c r="I148" s="4"/>
      <c r="J148" s="4" t="s">
        <v>68</v>
      </c>
      <c r="K148" s="7">
        <v>10774.97</v>
      </c>
      <c r="L148" s="4" t="s">
        <v>1237</v>
      </c>
      <c r="M148" s="4" t="s">
        <v>27</v>
      </c>
      <c r="N148" s="4"/>
    </row>
    <row r="149" spans="1:14" ht="10.5" hidden="1" x14ac:dyDescent="0.25">
      <c r="A149" s="8" t="s">
        <v>240</v>
      </c>
      <c r="B149" s="4" t="s">
        <v>21</v>
      </c>
      <c r="C149" s="5">
        <v>43845</v>
      </c>
      <c r="D149" s="4" t="s">
        <v>1262</v>
      </c>
      <c r="E149" s="4" t="s">
        <v>1263</v>
      </c>
      <c r="F149" s="4" t="s">
        <v>1254</v>
      </c>
      <c r="G149" s="6">
        <v>10774.970003363946</v>
      </c>
      <c r="H149" s="6">
        <f t="shared" si="2"/>
        <v>-128537.02867990427</v>
      </c>
      <c r="I149" s="4"/>
      <c r="J149" s="4" t="s">
        <v>68</v>
      </c>
      <c r="K149" s="7">
        <v>-10774.97</v>
      </c>
      <c r="L149" s="4" t="s">
        <v>1237</v>
      </c>
      <c r="M149" s="4" t="s">
        <v>27</v>
      </c>
      <c r="N149" s="4"/>
    </row>
    <row r="150" spans="1:14" ht="10.5" hidden="1" x14ac:dyDescent="0.25">
      <c r="A150" s="8" t="s">
        <v>240</v>
      </c>
      <c r="B150" s="4" t="s">
        <v>21</v>
      </c>
      <c r="C150" s="5">
        <v>43845</v>
      </c>
      <c r="D150" s="4" t="s">
        <v>1262</v>
      </c>
      <c r="E150" s="4" t="s">
        <v>1263</v>
      </c>
      <c r="F150" s="4" t="s">
        <v>1264</v>
      </c>
      <c r="G150" s="6">
        <v>10774.970003363946</v>
      </c>
      <c r="H150" s="6">
        <f t="shared" si="2"/>
        <v>-117762.05867654033</v>
      </c>
      <c r="I150" s="4"/>
      <c r="J150" s="4" t="s">
        <v>68</v>
      </c>
      <c r="K150" s="7">
        <v>-10774.97</v>
      </c>
      <c r="L150" s="4" t="s">
        <v>1237</v>
      </c>
      <c r="M150" s="4" t="s">
        <v>27</v>
      </c>
      <c r="N150" s="4"/>
    </row>
    <row r="151" spans="1:14" ht="10.5" hidden="1" x14ac:dyDescent="0.25">
      <c r="A151" s="8" t="s">
        <v>240</v>
      </c>
      <c r="B151" s="4" t="s">
        <v>21</v>
      </c>
      <c r="C151" s="5">
        <v>43845</v>
      </c>
      <c r="D151" s="4" t="s">
        <v>1262</v>
      </c>
      <c r="E151" s="4" t="s">
        <v>1263</v>
      </c>
      <c r="F151" s="4" t="s">
        <v>1255</v>
      </c>
      <c r="G151" s="6">
        <v>-10774.970003363946</v>
      </c>
      <c r="H151" s="6">
        <f t="shared" si="2"/>
        <v>-128537.02867990427</v>
      </c>
      <c r="I151" s="4"/>
      <c r="J151" s="4" t="s">
        <v>68</v>
      </c>
      <c r="K151" s="7">
        <v>10774.97</v>
      </c>
      <c r="L151" s="4" t="s">
        <v>1237</v>
      </c>
      <c r="M151" s="4" t="s">
        <v>27</v>
      </c>
      <c r="N151" s="4"/>
    </row>
    <row r="152" spans="1:14" ht="10.5" hidden="1" x14ac:dyDescent="0.25">
      <c r="A152" s="8" t="s">
        <v>240</v>
      </c>
      <c r="B152" s="4" t="s">
        <v>21</v>
      </c>
      <c r="C152" s="5">
        <v>43845</v>
      </c>
      <c r="D152" s="4" t="s">
        <v>1265</v>
      </c>
      <c r="E152" s="4" t="s">
        <v>1239</v>
      </c>
      <c r="F152" s="4" t="s">
        <v>1257</v>
      </c>
      <c r="G152" s="6">
        <v>5.7800000018045159</v>
      </c>
      <c r="H152" s="6">
        <f t="shared" si="2"/>
        <v>-128531.24867990246</v>
      </c>
      <c r="I152" s="4"/>
      <c r="J152" s="4" t="s">
        <v>68</v>
      </c>
      <c r="K152" s="7">
        <v>-5.78</v>
      </c>
      <c r="L152" s="4" t="s">
        <v>1237</v>
      </c>
      <c r="M152" s="4" t="s">
        <v>27</v>
      </c>
      <c r="N152" s="4"/>
    </row>
    <row r="153" spans="1:14" ht="10.5" hidden="1" x14ac:dyDescent="0.25">
      <c r="A153" s="8" t="s">
        <v>240</v>
      </c>
      <c r="B153" s="4" t="s">
        <v>21</v>
      </c>
      <c r="C153" s="5">
        <v>43845</v>
      </c>
      <c r="D153" s="4" t="s">
        <v>1266</v>
      </c>
      <c r="E153" s="4" t="s">
        <v>1267</v>
      </c>
      <c r="F153" s="4" t="s">
        <v>1249</v>
      </c>
      <c r="G153" s="6">
        <v>34000.0000106148</v>
      </c>
      <c r="H153" s="6">
        <f t="shared" si="2"/>
        <v>-94531.248669287656</v>
      </c>
      <c r="I153" s="4"/>
      <c r="J153" s="4" t="s">
        <v>68</v>
      </c>
      <c r="K153" s="7">
        <v>-34000</v>
      </c>
      <c r="L153" s="4" t="s">
        <v>1237</v>
      </c>
      <c r="M153" s="4" t="s">
        <v>27</v>
      </c>
      <c r="N153" s="4"/>
    </row>
    <row r="154" spans="1:14" ht="10.5" hidden="1" x14ac:dyDescent="0.25">
      <c r="A154" s="8" t="s">
        <v>240</v>
      </c>
      <c r="B154" s="4" t="s">
        <v>21</v>
      </c>
      <c r="C154" s="5">
        <v>43850</v>
      </c>
      <c r="D154" s="4" t="s">
        <v>1268</v>
      </c>
      <c r="E154" s="4"/>
      <c r="F154" s="4" t="s">
        <v>1269</v>
      </c>
      <c r="G154" s="6">
        <v>-1440.4300004497022</v>
      </c>
      <c r="H154" s="6">
        <f t="shared" si="2"/>
        <v>-95971.678669737361</v>
      </c>
      <c r="I154" s="4"/>
      <c r="J154" s="4" t="s">
        <v>68</v>
      </c>
      <c r="K154" s="7">
        <v>1440.43</v>
      </c>
      <c r="L154" s="4" t="s">
        <v>1237</v>
      </c>
      <c r="M154" s="4" t="s">
        <v>27</v>
      </c>
      <c r="N154" s="4"/>
    </row>
    <row r="155" spans="1:14" ht="10.5" hidden="1" x14ac:dyDescent="0.25">
      <c r="A155" s="8" t="s">
        <v>240</v>
      </c>
      <c r="B155" s="4" t="s">
        <v>21</v>
      </c>
      <c r="C155" s="5">
        <v>43850</v>
      </c>
      <c r="D155" s="4" t="s">
        <v>1270</v>
      </c>
      <c r="E155" s="4" t="s">
        <v>1271</v>
      </c>
      <c r="F155" s="4" t="s">
        <v>1271</v>
      </c>
      <c r="G155" s="6">
        <v>-10000.000003122001</v>
      </c>
      <c r="H155" s="6">
        <f t="shared" si="2"/>
        <v>-105971.67867285936</v>
      </c>
      <c r="I155" s="4"/>
      <c r="J155" s="4" t="s">
        <v>68</v>
      </c>
      <c r="K155" s="7">
        <v>10000</v>
      </c>
      <c r="L155" s="4" t="s">
        <v>1237</v>
      </c>
      <c r="M155" s="4" t="s">
        <v>27</v>
      </c>
      <c r="N155" s="4"/>
    </row>
    <row r="156" spans="1:14" ht="10.5" hidden="1" x14ac:dyDescent="0.25">
      <c r="A156" s="8" t="s">
        <v>240</v>
      </c>
      <c r="B156" s="4" t="s">
        <v>21</v>
      </c>
      <c r="C156" s="5">
        <v>43850</v>
      </c>
      <c r="D156" s="4" t="s">
        <v>1272</v>
      </c>
      <c r="E156" s="4" t="s">
        <v>1273</v>
      </c>
      <c r="F156" s="4" t="s">
        <v>1273</v>
      </c>
      <c r="G156" s="6">
        <v>-8333.3300026016659</v>
      </c>
      <c r="H156" s="6">
        <f t="shared" ref="H156:H219" si="3">H155+G156</f>
        <v>-114305.00867546102</v>
      </c>
      <c r="I156" s="4"/>
      <c r="J156" s="4" t="s">
        <v>68</v>
      </c>
      <c r="K156" s="7">
        <v>8333.33</v>
      </c>
      <c r="L156" s="4" t="s">
        <v>1237</v>
      </c>
      <c r="M156" s="4" t="s">
        <v>27</v>
      </c>
      <c r="N156" s="4"/>
    </row>
    <row r="157" spans="1:14" ht="10.5" hidden="1" x14ac:dyDescent="0.25">
      <c r="A157" s="8" t="s">
        <v>240</v>
      </c>
      <c r="B157" s="4" t="s">
        <v>21</v>
      </c>
      <c r="C157" s="5">
        <v>43850</v>
      </c>
      <c r="D157" s="4" t="s">
        <v>1274</v>
      </c>
      <c r="E157" s="4" t="s">
        <v>1275</v>
      </c>
      <c r="F157" s="4" t="s">
        <v>1275</v>
      </c>
      <c r="G157" s="6">
        <v>-8458.3300026406905</v>
      </c>
      <c r="H157" s="6">
        <f t="shared" si="3"/>
        <v>-122763.33867810172</v>
      </c>
      <c r="I157" s="4"/>
      <c r="J157" s="4" t="s">
        <v>68</v>
      </c>
      <c r="K157" s="7">
        <v>8458.33</v>
      </c>
      <c r="L157" s="4" t="s">
        <v>1237</v>
      </c>
      <c r="M157" s="4" t="s">
        <v>27</v>
      </c>
      <c r="N157" s="4"/>
    </row>
    <row r="158" spans="1:14" ht="10.5" hidden="1" x14ac:dyDescent="0.25">
      <c r="A158" s="8" t="s">
        <v>240</v>
      </c>
      <c r="B158" s="4" t="s">
        <v>21</v>
      </c>
      <c r="C158" s="5">
        <v>43850</v>
      </c>
      <c r="D158" s="4" t="s">
        <v>1276</v>
      </c>
      <c r="E158" s="4" t="s">
        <v>1277</v>
      </c>
      <c r="F158" s="4" t="s">
        <v>1277</v>
      </c>
      <c r="G158" s="6">
        <v>-8395.1400026209631</v>
      </c>
      <c r="H158" s="6">
        <f t="shared" si="3"/>
        <v>-131158.47868072268</v>
      </c>
      <c r="I158" s="4"/>
      <c r="J158" s="4" t="s">
        <v>68</v>
      </c>
      <c r="K158" s="7">
        <v>8395.14</v>
      </c>
      <c r="L158" s="4" t="s">
        <v>1237</v>
      </c>
      <c r="M158" s="4" t="s">
        <v>27</v>
      </c>
      <c r="N158" s="4"/>
    </row>
    <row r="159" spans="1:14" ht="10.5" hidden="1" x14ac:dyDescent="0.25">
      <c r="A159" s="8" t="s">
        <v>240</v>
      </c>
      <c r="B159" s="4" t="s">
        <v>21</v>
      </c>
      <c r="C159" s="5">
        <v>43850</v>
      </c>
      <c r="D159" s="4" t="s">
        <v>1278</v>
      </c>
      <c r="E159" s="4" t="s">
        <v>1279</v>
      </c>
      <c r="F159" s="4" t="s">
        <v>1279</v>
      </c>
      <c r="G159" s="6">
        <v>-8333.3300026016659</v>
      </c>
      <c r="H159" s="6">
        <f t="shared" si="3"/>
        <v>-139491.80868332434</v>
      </c>
      <c r="I159" s="4"/>
      <c r="J159" s="4" t="s">
        <v>68</v>
      </c>
      <c r="K159" s="7">
        <v>8333.33</v>
      </c>
      <c r="L159" s="4" t="s">
        <v>1237</v>
      </c>
      <c r="M159" s="4" t="s">
        <v>27</v>
      </c>
      <c r="N159" s="4"/>
    </row>
    <row r="160" spans="1:14" ht="10.5" hidden="1" x14ac:dyDescent="0.25">
      <c r="A160" s="8" t="s">
        <v>240</v>
      </c>
      <c r="B160" s="4" t="s">
        <v>21</v>
      </c>
      <c r="C160" s="5">
        <v>43850</v>
      </c>
      <c r="D160" s="4" t="s">
        <v>1280</v>
      </c>
      <c r="E160" s="4" t="s">
        <v>1281</v>
      </c>
      <c r="F160" s="4" t="s">
        <v>1281</v>
      </c>
      <c r="G160" s="6">
        <v>-8333.3300026016659</v>
      </c>
      <c r="H160" s="6">
        <f t="shared" si="3"/>
        <v>-147825.13868592601</v>
      </c>
      <c r="I160" s="4"/>
      <c r="J160" s="4" t="s">
        <v>68</v>
      </c>
      <c r="K160" s="7">
        <v>8333.33</v>
      </c>
      <c r="L160" s="4" t="s">
        <v>1237</v>
      </c>
      <c r="M160" s="4" t="s">
        <v>27</v>
      </c>
      <c r="N160" s="4"/>
    </row>
    <row r="161" spans="1:14" ht="10.5" hidden="1" x14ac:dyDescent="0.25">
      <c r="A161" s="8" t="s">
        <v>240</v>
      </c>
      <c r="B161" s="4" t="s">
        <v>21</v>
      </c>
      <c r="C161" s="5">
        <v>43850</v>
      </c>
      <c r="D161" s="4" t="s">
        <v>1282</v>
      </c>
      <c r="E161" s="4" t="s">
        <v>1283</v>
      </c>
      <c r="F161" s="4" t="s">
        <v>1271</v>
      </c>
      <c r="G161" s="6">
        <v>10000.000003122001</v>
      </c>
      <c r="H161" s="6">
        <f t="shared" si="3"/>
        <v>-137825.13868280401</v>
      </c>
      <c r="I161" s="4"/>
      <c r="J161" s="4" t="s">
        <v>68</v>
      </c>
      <c r="K161" s="7">
        <v>-10000</v>
      </c>
      <c r="L161" s="4" t="s">
        <v>1237</v>
      </c>
      <c r="M161" s="4" t="s">
        <v>27</v>
      </c>
      <c r="N161" s="4"/>
    </row>
    <row r="162" spans="1:14" ht="10.5" hidden="1" x14ac:dyDescent="0.25">
      <c r="A162" s="8" t="s">
        <v>240</v>
      </c>
      <c r="B162" s="4" t="s">
        <v>21</v>
      </c>
      <c r="C162" s="5">
        <v>43850</v>
      </c>
      <c r="D162" s="4" t="s">
        <v>1284</v>
      </c>
      <c r="E162" s="4" t="s">
        <v>1285</v>
      </c>
      <c r="F162" s="4" t="s">
        <v>1273</v>
      </c>
      <c r="G162" s="6">
        <v>8333.3300026016659</v>
      </c>
      <c r="H162" s="6">
        <f t="shared" si="3"/>
        <v>-129491.80868020235</v>
      </c>
      <c r="I162" s="4"/>
      <c r="J162" s="4" t="s">
        <v>68</v>
      </c>
      <c r="K162" s="7">
        <v>-8333.33</v>
      </c>
      <c r="L162" s="4" t="s">
        <v>1237</v>
      </c>
      <c r="M162" s="4" t="s">
        <v>27</v>
      </c>
      <c r="N162" s="4"/>
    </row>
    <row r="163" spans="1:14" ht="10.5" hidden="1" x14ac:dyDescent="0.25">
      <c r="A163" s="8" t="s">
        <v>240</v>
      </c>
      <c r="B163" s="4" t="s">
        <v>21</v>
      </c>
      <c r="C163" s="5">
        <v>43850</v>
      </c>
      <c r="D163" s="4" t="s">
        <v>1286</v>
      </c>
      <c r="E163" s="4" t="s">
        <v>1287</v>
      </c>
      <c r="F163" s="4" t="s">
        <v>1275</v>
      </c>
      <c r="G163" s="6">
        <v>8458.3300026406905</v>
      </c>
      <c r="H163" s="6">
        <f t="shared" si="3"/>
        <v>-121033.47867756165</v>
      </c>
      <c r="I163" s="4"/>
      <c r="J163" s="4" t="s">
        <v>68</v>
      </c>
      <c r="K163" s="7">
        <v>-8458.33</v>
      </c>
      <c r="L163" s="4" t="s">
        <v>1237</v>
      </c>
      <c r="M163" s="4" t="s">
        <v>27</v>
      </c>
      <c r="N163" s="4"/>
    </row>
    <row r="164" spans="1:14" ht="10.5" hidden="1" x14ac:dyDescent="0.25">
      <c r="A164" s="8" t="s">
        <v>240</v>
      </c>
      <c r="B164" s="4" t="s">
        <v>21</v>
      </c>
      <c r="C164" s="5">
        <v>43850</v>
      </c>
      <c r="D164" s="4" t="s">
        <v>1288</v>
      </c>
      <c r="E164" s="4" t="s">
        <v>1289</v>
      </c>
      <c r="F164" s="4" t="s">
        <v>1277</v>
      </c>
      <c r="G164" s="6">
        <v>8395.1400026209631</v>
      </c>
      <c r="H164" s="6">
        <f t="shared" si="3"/>
        <v>-112638.33867494069</v>
      </c>
      <c r="I164" s="4"/>
      <c r="J164" s="4" t="s">
        <v>68</v>
      </c>
      <c r="K164" s="7">
        <v>-8395.14</v>
      </c>
      <c r="L164" s="4" t="s">
        <v>1237</v>
      </c>
      <c r="M164" s="4" t="s">
        <v>27</v>
      </c>
      <c r="N164" s="4"/>
    </row>
    <row r="165" spans="1:14" ht="10.5" hidden="1" x14ac:dyDescent="0.25">
      <c r="A165" s="8" t="s">
        <v>240</v>
      </c>
      <c r="B165" s="4" t="s">
        <v>21</v>
      </c>
      <c r="C165" s="5">
        <v>43850</v>
      </c>
      <c r="D165" s="4" t="s">
        <v>1290</v>
      </c>
      <c r="E165" s="4" t="s">
        <v>1291</v>
      </c>
      <c r="F165" s="4" t="s">
        <v>1279</v>
      </c>
      <c r="G165" s="6">
        <v>8333.3300026016659</v>
      </c>
      <c r="H165" s="6">
        <f t="shared" si="3"/>
        <v>-104305.00867233903</v>
      </c>
      <c r="I165" s="4"/>
      <c r="J165" s="4" t="s">
        <v>68</v>
      </c>
      <c r="K165" s="7">
        <v>-8333.33</v>
      </c>
      <c r="L165" s="4" t="s">
        <v>1237</v>
      </c>
      <c r="M165" s="4" t="s">
        <v>27</v>
      </c>
      <c r="N165" s="4"/>
    </row>
    <row r="166" spans="1:14" ht="10.5" hidden="1" x14ac:dyDescent="0.25">
      <c r="A166" s="8" t="s">
        <v>240</v>
      </c>
      <c r="B166" s="4" t="s">
        <v>21</v>
      </c>
      <c r="C166" s="5">
        <v>43850</v>
      </c>
      <c r="D166" s="4" t="s">
        <v>1292</v>
      </c>
      <c r="E166" s="4" t="s">
        <v>1293</v>
      </c>
      <c r="F166" s="4" t="s">
        <v>1281</v>
      </c>
      <c r="G166" s="6">
        <v>8333.3300026016659</v>
      </c>
      <c r="H166" s="6">
        <f t="shared" si="3"/>
        <v>-95971.678669737361</v>
      </c>
      <c r="I166" s="4"/>
      <c r="J166" s="4" t="s">
        <v>68</v>
      </c>
      <c r="K166" s="7">
        <v>-8333.33</v>
      </c>
      <c r="L166" s="4" t="s">
        <v>1237</v>
      </c>
      <c r="M166" s="4" t="s">
        <v>27</v>
      </c>
      <c r="N166" s="4"/>
    </row>
    <row r="167" spans="1:14" ht="10.5" hidden="1" x14ac:dyDescent="0.25">
      <c r="A167" s="8" t="s">
        <v>240</v>
      </c>
      <c r="B167" s="4" t="s">
        <v>21</v>
      </c>
      <c r="C167" s="5">
        <v>43850</v>
      </c>
      <c r="D167" s="4" t="s">
        <v>1294</v>
      </c>
      <c r="E167" s="4" t="s">
        <v>1295</v>
      </c>
      <c r="F167" s="4" t="s">
        <v>1269</v>
      </c>
      <c r="G167" s="6">
        <v>1440.4300004497022</v>
      </c>
      <c r="H167" s="6">
        <f t="shared" si="3"/>
        <v>-94531.248669287656</v>
      </c>
      <c r="I167" s="4"/>
      <c r="J167" s="4" t="s">
        <v>68</v>
      </c>
      <c r="K167" s="7">
        <v>-1440.43</v>
      </c>
      <c r="L167" s="4" t="s">
        <v>1237</v>
      </c>
      <c r="M167" s="4" t="s">
        <v>27</v>
      </c>
      <c r="N167" s="4"/>
    </row>
    <row r="168" spans="1:14" ht="10.5" hidden="1" x14ac:dyDescent="0.25">
      <c r="A168" s="8" t="s">
        <v>240</v>
      </c>
      <c r="B168" s="4" t="s">
        <v>21</v>
      </c>
      <c r="C168" s="5">
        <v>43850</v>
      </c>
      <c r="D168" s="4" t="s">
        <v>1296</v>
      </c>
      <c r="E168" s="4" t="s">
        <v>1297</v>
      </c>
      <c r="F168" s="4" t="s">
        <v>1297</v>
      </c>
      <c r="G168" s="6">
        <v>-1440.4300004497022</v>
      </c>
      <c r="H168" s="6">
        <f t="shared" si="3"/>
        <v>-95971.678669737361</v>
      </c>
      <c r="I168" s="4"/>
      <c r="J168" s="4" t="s">
        <v>68</v>
      </c>
      <c r="K168" s="7">
        <v>1440.43</v>
      </c>
      <c r="L168" s="4" t="s">
        <v>1237</v>
      </c>
      <c r="M168" s="4" t="s">
        <v>27</v>
      </c>
      <c r="N168" s="4"/>
    </row>
    <row r="169" spans="1:14" ht="10.5" hidden="1" x14ac:dyDescent="0.25">
      <c r="A169" s="8" t="s">
        <v>240</v>
      </c>
      <c r="B169" s="4" t="s">
        <v>21</v>
      </c>
      <c r="C169" s="5">
        <v>43851</v>
      </c>
      <c r="D169" s="4" t="s">
        <v>1298</v>
      </c>
      <c r="E169" s="4"/>
      <c r="F169" s="4" t="s">
        <v>1299</v>
      </c>
      <c r="G169" s="6">
        <v>1908.0000005956776</v>
      </c>
      <c r="H169" s="6">
        <f t="shared" si="3"/>
        <v>-94063.678669141678</v>
      </c>
      <c r="I169" s="4"/>
      <c r="J169" s="4" t="s">
        <v>68</v>
      </c>
      <c r="K169" s="7">
        <v>-1908</v>
      </c>
      <c r="L169" s="4" t="s">
        <v>1237</v>
      </c>
      <c r="M169" s="4" t="s">
        <v>27</v>
      </c>
      <c r="N169" s="4"/>
    </row>
    <row r="170" spans="1:14" ht="10.5" hidden="1" x14ac:dyDescent="0.25">
      <c r="A170" s="8" t="s">
        <v>240</v>
      </c>
      <c r="B170" s="4" t="s">
        <v>21</v>
      </c>
      <c r="C170" s="5">
        <v>43851</v>
      </c>
      <c r="D170" s="4" t="s">
        <v>1300</v>
      </c>
      <c r="E170" s="4"/>
      <c r="F170" s="4" t="s">
        <v>1301</v>
      </c>
      <c r="G170" s="6">
        <v>38000.000011863602</v>
      </c>
      <c r="H170" s="6">
        <f t="shared" si="3"/>
        <v>-56063.678657278077</v>
      </c>
      <c r="I170" s="4"/>
      <c r="J170" s="4" t="s">
        <v>68</v>
      </c>
      <c r="K170" s="7">
        <v>-38000</v>
      </c>
      <c r="L170" s="4" t="s">
        <v>1237</v>
      </c>
      <c r="M170" s="4" t="s">
        <v>27</v>
      </c>
      <c r="N170" s="4"/>
    </row>
    <row r="171" spans="1:14" ht="10.5" hidden="1" x14ac:dyDescent="0.25">
      <c r="A171" s="8" t="s">
        <v>240</v>
      </c>
      <c r="B171" s="4" t="s">
        <v>21</v>
      </c>
      <c r="C171" s="5">
        <v>43851</v>
      </c>
      <c r="D171" s="4" t="s">
        <v>1302</v>
      </c>
      <c r="E171" s="4"/>
      <c r="F171" s="4" t="s">
        <v>1303</v>
      </c>
      <c r="G171" s="6">
        <v>-125.11000003905934</v>
      </c>
      <c r="H171" s="6">
        <f t="shared" si="3"/>
        <v>-56188.788657317134</v>
      </c>
      <c r="I171" s="4"/>
      <c r="J171" s="4" t="s">
        <v>68</v>
      </c>
      <c r="K171" s="7">
        <v>125.11</v>
      </c>
      <c r="L171" s="4" t="s">
        <v>1237</v>
      </c>
      <c r="M171" s="4" t="s">
        <v>27</v>
      </c>
      <c r="N171" s="4"/>
    </row>
    <row r="172" spans="1:14" ht="10.5" hidden="1" x14ac:dyDescent="0.25">
      <c r="A172" s="8" t="s">
        <v>240</v>
      </c>
      <c r="B172" s="4" t="s">
        <v>21</v>
      </c>
      <c r="C172" s="5">
        <v>43851</v>
      </c>
      <c r="D172" s="4" t="s">
        <v>1304</v>
      </c>
      <c r="E172" s="4" t="s">
        <v>1305</v>
      </c>
      <c r="F172" s="4" t="s">
        <v>1299</v>
      </c>
      <c r="G172" s="6">
        <v>-1908.0000005956776</v>
      </c>
      <c r="H172" s="6">
        <f t="shared" si="3"/>
        <v>-58096.78865791281</v>
      </c>
      <c r="I172" s="4"/>
      <c r="J172" s="4" t="s">
        <v>68</v>
      </c>
      <c r="K172" s="7">
        <v>1908</v>
      </c>
      <c r="L172" s="4" t="s">
        <v>1237</v>
      </c>
      <c r="M172" s="4" t="s">
        <v>27</v>
      </c>
      <c r="N172" s="4"/>
    </row>
    <row r="173" spans="1:14" ht="10.5" hidden="1" x14ac:dyDescent="0.25">
      <c r="A173" s="8" t="s">
        <v>240</v>
      </c>
      <c r="B173" s="4" t="s">
        <v>21</v>
      </c>
      <c r="C173" s="5">
        <v>43851</v>
      </c>
      <c r="D173" s="4" t="s">
        <v>1306</v>
      </c>
      <c r="E173" s="4" t="s">
        <v>1307</v>
      </c>
      <c r="F173" s="4" t="s">
        <v>1301</v>
      </c>
      <c r="G173" s="6">
        <v>-38000.000011863602</v>
      </c>
      <c r="H173" s="6">
        <f t="shared" si="3"/>
        <v>-96096.788669776404</v>
      </c>
      <c r="I173" s="4"/>
      <c r="J173" s="4" t="s">
        <v>68</v>
      </c>
      <c r="K173" s="7">
        <v>38000</v>
      </c>
      <c r="L173" s="4" t="s">
        <v>1237</v>
      </c>
      <c r="M173" s="4" t="s">
        <v>27</v>
      </c>
      <c r="N173" s="4"/>
    </row>
    <row r="174" spans="1:14" ht="10.5" hidden="1" x14ac:dyDescent="0.25">
      <c r="A174" s="8" t="s">
        <v>240</v>
      </c>
      <c r="B174" s="4" t="s">
        <v>21</v>
      </c>
      <c r="C174" s="5">
        <v>43853</v>
      </c>
      <c r="D174" s="4" t="s">
        <v>1308</v>
      </c>
      <c r="E174" s="4"/>
      <c r="F174" s="4" t="s">
        <v>1309</v>
      </c>
      <c r="G174" s="6">
        <v>2745.7500008572233</v>
      </c>
      <c r="H174" s="6">
        <f t="shared" si="3"/>
        <v>-93351.03866891918</v>
      </c>
      <c r="I174" s="4"/>
      <c r="J174" s="4" t="s">
        <v>68</v>
      </c>
      <c r="K174" s="7">
        <v>-2745.75</v>
      </c>
      <c r="L174" s="4" t="s">
        <v>1237</v>
      </c>
      <c r="M174" s="4" t="s">
        <v>27</v>
      </c>
      <c r="N174" s="4"/>
    </row>
    <row r="175" spans="1:14" ht="10.5" hidden="1" x14ac:dyDescent="0.25">
      <c r="A175" s="8" t="s">
        <v>240</v>
      </c>
      <c r="B175" s="4" t="s">
        <v>21</v>
      </c>
      <c r="C175" s="5">
        <v>43853</v>
      </c>
      <c r="D175" s="4" t="s">
        <v>1310</v>
      </c>
      <c r="E175" s="4" t="s">
        <v>1311</v>
      </c>
      <c r="F175" s="4" t="s">
        <v>1309</v>
      </c>
      <c r="G175" s="6">
        <v>-2745.7500008572233</v>
      </c>
      <c r="H175" s="6">
        <f t="shared" si="3"/>
        <v>-96096.788669776404</v>
      </c>
      <c r="I175" s="4"/>
      <c r="J175" s="4" t="s">
        <v>68</v>
      </c>
      <c r="K175" s="7">
        <v>2745.75</v>
      </c>
      <c r="L175" s="4" t="s">
        <v>1237</v>
      </c>
      <c r="M175" s="4" t="s">
        <v>27</v>
      </c>
      <c r="N175" s="4"/>
    </row>
    <row r="176" spans="1:14" ht="10.5" hidden="1" x14ac:dyDescent="0.25">
      <c r="A176" s="8" t="s">
        <v>240</v>
      </c>
      <c r="B176" s="4" t="s">
        <v>21</v>
      </c>
      <c r="C176" s="5">
        <v>43858</v>
      </c>
      <c r="D176" s="4" t="s">
        <v>1312</v>
      </c>
      <c r="E176" s="4" t="s">
        <v>1313</v>
      </c>
      <c r="F176" s="4" t="s">
        <v>1313</v>
      </c>
      <c r="G176" s="6">
        <v>-2400.490000749433</v>
      </c>
      <c r="H176" s="6">
        <f t="shared" si="3"/>
        <v>-98497.278670525833</v>
      </c>
      <c r="I176" s="4"/>
      <c r="J176" s="4" t="s">
        <v>68</v>
      </c>
      <c r="K176" s="7">
        <v>2400.4899999999998</v>
      </c>
      <c r="L176" s="4" t="s">
        <v>1237</v>
      </c>
      <c r="M176" s="4" t="s">
        <v>27</v>
      </c>
      <c r="N176" s="4"/>
    </row>
    <row r="177" spans="1:14" ht="10.5" hidden="1" x14ac:dyDescent="0.25">
      <c r="A177" s="8" t="s">
        <v>240</v>
      </c>
      <c r="B177" s="4" t="s">
        <v>21</v>
      </c>
      <c r="C177" s="5">
        <v>43858</v>
      </c>
      <c r="D177" s="4" t="s">
        <v>1312</v>
      </c>
      <c r="E177" s="4" t="s">
        <v>1313</v>
      </c>
      <c r="F177" s="4" t="s">
        <v>1314</v>
      </c>
      <c r="G177" s="6">
        <v>2400.490000749433</v>
      </c>
      <c r="H177" s="6">
        <f t="shared" si="3"/>
        <v>-96096.788669776404</v>
      </c>
      <c r="I177" s="4"/>
      <c r="J177" s="4" t="s">
        <v>68</v>
      </c>
      <c r="K177" s="7">
        <v>-2400.4899999999998</v>
      </c>
      <c r="L177" s="4" t="s">
        <v>1237</v>
      </c>
      <c r="M177" s="4" t="s">
        <v>27</v>
      </c>
      <c r="N177" s="4"/>
    </row>
    <row r="178" spans="1:14" ht="10.5" hidden="1" x14ac:dyDescent="0.25">
      <c r="A178" s="8" t="s">
        <v>240</v>
      </c>
      <c r="B178" s="4" t="s">
        <v>21</v>
      </c>
      <c r="C178" s="5">
        <v>43858</v>
      </c>
      <c r="D178" s="4" t="s">
        <v>1315</v>
      </c>
      <c r="E178" s="4" t="s">
        <v>1316</v>
      </c>
      <c r="F178" s="4" t="s">
        <v>1313</v>
      </c>
      <c r="G178" s="6">
        <v>2400.490000749433</v>
      </c>
      <c r="H178" s="6">
        <f t="shared" si="3"/>
        <v>-93696.298669026975</v>
      </c>
      <c r="I178" s="4"/>
      <c r="J178" s="4" t="s">
        <v>68</v>
      </c>
      <c r="K178" s="7">
        <v>-2400.4899999999998</v>
      </c>
      <c r="L178" s="4" t="s">
        <v>1237</v>
      </c>
      <c r="M178" s="4" t="s">
        <v>27</v>
      </c>
      <c r="N178" s="4"/>
    </row>
    <row r="179" spans="1:14" ht="10.5" hidden="1" x14ac:dyDescent="0.25">
      <c r="A179" s="8" t="s">
        <v>240</v>
      </c>
      <c r="B179" s="4" t="s">
        <v>21</v>
      </c>
      <c r="C179" s="5">
        <v>43858</v>
      </c>
      <c r="D179" s="4" t="s">
        <v>1315</v>
      </c>
      <c r="E179" s="4" t="s">
        <v>1316</v>
      </c>
      <c r="F179" s="4" t="s">
        <v>1314</v>
      </c>
      <c r="G179" s="6">
        <v>-2400.490000749433</v>
      </c>
      <c r="H179" s="6">
        <f t="shared" si="3"/>
        <v>-96096.788669776404</v>
      </c>
      <c r="I179" s="4"/>
      <c r="J179" s="4" t="s">
        <v>68</v>
      </c>
      <c r="K179" s="7">
        <v>2400.4899999999998</v>
      </c>
      <c r="L179" s="4" t="s">
        <v>1237</v>
      </c>
      <c r="M179" s="4" t="s">
        <v>27</v>
      </c>
      <c r="N179" s="4"/>
    </row>
    <row r="180" spans="1:14" ht="10.5" hidden="1" x14ac:dyDescent="0.25">
      <c r="A180" s="8" t="s">
        <v>240</v>
      </c>
      <c r="B180" s="4" t="s">
        <v>21</v>
      </c>
      <c r="C180" s="5">
        <v>43859</v>
      </c>
      <c r="D180" s="4" t="s">
        <v>1317</v>
      </c>
      <c r="E180" s="4"/>
      <c r="F180" s="4" t="s">
        <v>1318</v>
      </c>
      <c r="G180" s="6">
        <v>-569.17000017769487</v>
      </c>
      <c r="H180" s="6">
        <f t="shared" si="3"/>
        <v>-96665.958669954096</v>
      </c>
      <c r="I180" s="4"/>
      <c r="J180" s="4" t="s">
        <v>68</v>
      </c>
      <c r="K180" s="7">
        <v>569.16999999999996</v>
      </c>
      <c r="L180" s="4" t="s">
        <v>1237</v>
      </c>
      <c r="M180" s="4" t="s">
        <v>27</v>
      </c>
      <c r="N180" s="4"/>
    </row>
    <row r="181" spans="1:14" ht="10.5" hidden="1" x14ac:dyDescent="0.25">
      <c r="A181" s="8" t="s">
        <v>240</v>
      </c>
      <c r="B181" s="4" t="s">
        <v>21</v>
      </c>
      <c r="C181" s="5">
        <v>43859</v>
      </c>
      <c r="D181" s="4" t="s">
        <v>1319</v>
      </c>
      <c r="E181" s="4" t="s">
        <v>1320</v>
      </c>
      <c r="F181" s="4" t="s">
        <v>1318</v>
      </c>
      <c r="G181" s="6">
        <v>569.17000017769487</v>
      </c>
      <c r="H181" s="6">
        <f t="shared" si="3"/>
        <v>-96096.788669776404</v>
      </c>
      <c r="I181" s="4"/>
      <c r="J181" s="4" t="s">
        <v>68</v>
      </c>
      <c r="K181" s="7">
        <v>-569.16999999999996</v>
      </c>
      <c r="L181" s="4" t="s">
        <v>1237</v>
      </c>
      <c r="M181" s="4" t="s">
        <v>27</v>
      </c>
      <c r="N181" s="4"/>
    </row>
    <row r="182" spans="1:14" ht="10.5" hidden="1" x14ac:dyDescent="0.25">
      <c r="A182" s="8" t="s">
        <v>240</v>
      </c>
      <c r="B182" s="4" t="s">
        <v>21</v>
      </c>
      <c r="C182" s="5">
        <v>43861</v>
      </c>
      <c r="D182" s="4" t="s">
        <v>1321</v>
      </c>
      <c r="E182" s="4"/>
      <c r="F182" s="4" t="s">
        <v>1322</v>
      </c>
      <c r="G182" s="6">
        <v>28705.030008961712</v>
      </c>
      <c r="H182" s="6">
        <f t="shared" si="3"/>
        <v>-67391.758660814696</v>
      </c>
      <c r="I182" s="4"/>
      <c r="J182" s="4" t="s">
        <v>68</v>
      </c>
      <c r="K182" s="7">
        <v>-28705.03</v>
      </c>
      <c r="L182" s="4" t="s">
        <v>1237</v>
      </c>
      <c r="M182" s="4" t="s">
        <v>27</v>
      </c>
      <c r="N182" s="4"/>
    </row>
    <row r="183" spans="1:14" ht="10.5" hidden="1" x14ac:dyDescent="0.25">
      <c r="A183" s="8" t="s">
        <v>240</v>
      </c>
      <c r="B183" s="4" t="s">
        <v>21</v>
      </c>
      <c r="C183" s="5">
        <v>43861</v>
      </c>
      <c r="D183" s="4" t="s">
        <v>1323</v>
      </c>
      <c r="E183" s="4" t="s">
        <v>1324</v>
      </c>
      <c r="F183" s="4" t="s">
        <v>1322</v>
      </c>
      <c r="G183" s="6">
        <v>-28705.030008961712</v>
      </c>
      <c r="H183" s="6">
        <f t="shared" si="3"/>
        <v>-96096.788669776404</v>
      </c>
      <c r="I183" s="4"/>
      <c r="J183" s="4" t="s">
        <v>68</v>
      </c>
      <c r="K183" s="7">
        <v>28705.03</v>
      </c>
      <c r="L183" s="4" t="s">
        <v>1237</v>
      </c>
      <c r="M183" s="4" t="s">
        <v>27</v>
      </c>
      <c r="N183" s="4"/>
    </row>
    <row r="184" spans="1:14" ht="10.5" hidden="1" x14ac:dyDescent="0.25">
      <c r="A184" s="8" t="s">
        <v>240</v>
      </c>
      <c r="B184" s="4" t="s">
        <v>21</v>
      </c>
      <c r="C184" s="5">
        <v>43861</v>
      </c>
      <c r="D184" s="4" t="s">
        <v>1325</v>
      </c>
      <c r="E184" s="4" t="s">
        <v>1326</v>
      </c>
      <c r="F184" s="4" t="s">
        <v>1327</v>
      </c>
      <c r="G184" s="6">
        <v>4400.0000013736799</v>
      </c>
      <c r="H184" s="6">
        <f t="shared" si="3"/>
        <v>-91696.788668402718</v>
      </c>
      <c r="I184" s="4"/>
      <c r="J184" s="4" t="s">
        <v>68</v>
      </c>
      <c r="K184" s="7">
        <v>-4400</v>
      </c>
      <c r="L184" s="4" t="s">
        <v>1237</v>
      </c>
      <c r="M184" s="4" t="s">
        <v>27</v>
      </c>
      <c r="N184" s="4"/>
    </row>
    <row r="185" spans="1:14" ht="10.5" hidden="1" x14ac:dyDescent="0.25">
      <c r="A185" s="8" t="s">
        <v>240</v>
      </c>
      <c r="B185" s="4" t="s">
        <v>241</v>
      </c>
      <c r="C185" s="5">
        <v>43861</v>
      </c>
      <c r="D185" s="4" t="s">
        <v>1328</v>
      </c>
      <c r="E185" s="4"/>
      <c r="F185" s="4"/>
      <c r="G185" s="6">
        <v>-28.621434119900002</v>
      </c>
      <c r="H185" s="6">
        <f t="shared" si="3"/>
        <v>-91725.410102522612</v>
      </c>
      <c r="I185" s="4"/>
      <c r="J185" s="4" t="s">
        <v>68</v>
      </c>
      <c r="K185" s="7">
        <v>0</v>
      </c>
      <c r="L185" s="4" t="s">
        <v>1237</v>
      </c>
      <c r="M185" s="4" t="s">
        <v>201</v>
      </c>
      <c r="N185" s="4"/>
    </row>
    <row r="186" spans="1:14" ht="10.5" hidden="1" x14ac:dyDescent="0.25">
      <c r="A186" s="8" t="s">
        <v>240</v>
      </c>
      <c r="B186" s="4" t="s">
        <v>21</v>
      </c>
      <c r="C186" s="5">
        <v>43862</v>
      </c>
      <c r="D186" s="4" t="s">
        <v>1329</v>
      </c>
      <c r="E186" s="4"/>
      <c r="F186" s="4" t="s">
        <v>1330</v>
      </c>
      <c r="G186" s="6">
        <v>-1487.7000004644599</v>
      </c>
      <c r="H186" s="6">
        <f t="shared" si="3"/>
        <v>-93213.110102987077</v>
      </c>
      <c r="I186" s="4"/>
      <c r="J186" s="4" t="s">
        <v>68</v>
      </c>
      <c r="K186" s="7">
        <v>1487.7</v>
      </c>
      <c r="L186" s="4" t="s">
        <v>1331</v>
      </c>
      <c r="M186" s="4" t="s">
        <v>27</v>
      </c>
      <c r="N186" s="4"/>
    </row>
    <row r="187" spans="1:14" ht="10.5" hidden="1" x14ac:dyDescent="0.25">
      <c r="A187" s="8" t="s">
        <v>240</v>
      </c>
      <c r="B187" s="4" t="s">
        <v>21</v>
      </c>
      <c r="C187" s="5">
        <v>43862</v>
      </c>
      <c r="D187" s="4" t="s">
        <v>1332</v>
      </c>
      <c r="E187" s="4"/>
      <c r="F187" s="4" t="s">
        <v>1333</v>
      </c>
      <c r="G187" s="6">
        <v>-810.94000025317541</v>
      </c>
      <c r="H187" s="6">
        <f t="shared" si="3"/>
        <v>-94024.050103240254</v>
      </c>
      <c r="I187" s="4"/>
      <c r="J187" s="4" t="s">
        <v>68</v>
      </c>
      <c r="K187" s="7">
        <v>810.94</v>
      </c>
      <c r="L187" s="4" t="s">
        <v>1331</v>
      </c>
      <c r="M187" s="4" t="s">
        <v>27</v>
      </c>
      <c r="N187" s="4"/>
    </row>
    <row r="188" spans="1:14" ht="10.5" hidden="1" x14ac:dyDescent="0.25">
      <c r="A188" s="8" t="s">
        <v>240</v>
      </c>
      <c r="B188" s="4" t="s">
        <v>21</v>
      </c>
      <c r="C188" s="5">
        <v>43862</v>
      </c>
      <c r="D188" s="4" t="s">
        <v>1334</v>
      </c>
      <c r="E188" s="4" t="s">
        <v>1335</v>
      </c>
      <c r="F188" s="4" t="s">
        <v>1330</v>
      </c>
      <c r="G188" s="6">
        <v>1487.7000004644599</v>
      </c>
      <c r="H188" s="6">
        <f t="shared" si="3"/>
        <v>-92536.350102775788</v>
      </c>
      <c r="I188" s="4"/>
      <c r="J188" s="4" t="s">
        <v>68</v>
      </c>
      <c r="K188" s="7">
        <v>-1487.7</v>
      </c>
      <c r="L188" s="4" t="s">
        <v>1331</v>
      </c>
      <c r="M188" s="4" t="s">
        <v>27</v>
      </c>
      <c r="N188" s="4"/>
    </row>
    <row r="189" spans="1:14" ht="10.5" hidden="1" x14ac:dyDescent="0.25">
      <c r="A189" s="8" t="s">
        <v>240</v>
      </c>
      <c r="B189" s="4" t="s">
        <v>21</v>
      </c>
      <c r="C189" s="5">
        <v>43862</v>
      </c>
      <c r="D189" s="4" t="s">
        <v>1336</v>
      </c>
      <c r="E189" s="4" t="s">
        <v>1337</v>
      </c>
      <c r="F189" s="4" t="s">
        <v>1338</v>
      </c>
      <c r="G189" s="6">
        <v>870.65000027181691</v>
      </c>
      <c r="H189" s="6">
        <f t="shared" si="3"/>
        <v>-91665.700102503964</v>
      </c>
      <c r="I189" s="4"/>
      <c r="J189" s="4" t="s">
        <v>68</v>
      </c>
      <c r="K189" s="7">
        <v>-870.65</v>
      </c>
      <c r="L189" s="4" t="s">
        <v>1331</v>
      </c>
      <c r="M189" s="4" t="s">
        <v>27</v>
      </c>
      <c r="N189" s="4"/>
    </row>
    <row r="190" spans="1:14" ht="10.5" hidden="1" x14ac:dyDescent="0.25">
      <c r="A190" s="8" t="s">
        <v>240</v>
      </c>
      <c r="B190" s="4" t="s">
        <v>21</v>
      </c>
      <c r="C190" s="5">
        <v>43862</v>
      </c>
      <c r="D190" s="4" t="s">
        <v>1339</v>
      </c>
      <c r="E190" s="4" t="s">
        <v>1340</v>
      </c>
      <c r="F190" s="4" t="s">
        <v>1333</v>
      </c>
      <c r="G190" s="6">
        <v>810.94000025317541</v>
      </c>
      <c r="H190" s="6">
        <f t="shared" si="3"/>
        <v>-90854.760102250788</v>
      </c>
      <c r="I190" s="4"/>
      <c r="J190" s="4" t="s">
        <v>68</v>
      </c>
      <c r="K190" s="7">
        <v>-810.94</v>
      </c>
      <c r="L190" s="4" t="s">
        <v>1331</v>
      </c>
      <c r="M190" s="4" t="s">
        <v>27</v>
      </c>
      <c r="N190" s="4"/>
    </row>
    <row r="191" spans="1:14" ht="10.5" hidden="1" x14ac:dyDescent="0.25">
      <c r="A191" s="8" t="s">
        <v>240</v>
      </c>
      <c r="B191" s="4" t="s">
        <v>241</v>
      </c>
      <c r="C191" s="5">
        <v>43862</v>
      </c>
      <c r="D191" s="4" t="s">
        <v>1341</v>
      </c>
      <c r="E191" s="4"/>
      <c r="F191" s="4"/>
      <c r="G191" s="6">
        <v>28.621434119900002</v>
      </c>
      <c r="H191" s="6">
        <f t="shared" si="3"/>
        <v>-90826.138668130894</v>
      </c>
      <c r="I191" s="4"/>
      <c r="J191" s="4" t="s">
        <v>68</v>
      </c>
      <c r="K191" s="7">
        <v>0</v>
      </c>
      <c r="L191" s="4" t="s">
        <v>1331</v>
      </c>
      <c r="M191" s="4" t="s">
        <v>201</v>
      </c>
      <c r="N191" s="4"/>
    </row>
    <row r="192" spans="1:14" ht="10.5" hidden="1" x14ac:dyDescent="0.25">
      <c r="A192" s="8" t="s">
        <v>240</v>
      </c>
      <c r="B192" s="4" t="s">
        <v>21</v>
      </c>
      <c r="C192" s="5">
        <v>43863</v>
      </c>
      <c r="D192" s="4" t="s">
        <v>1342</v>
      </c>
      <c r="E192" s="4"/>
      <c r="F192" s="4" t="s">
        <v>1343</v>
      </c>
      <c r="G192" s="6">
        <v>-3950.2900012332807</v>
      </c>
      <c r="H192" s="6">
        <f t="shared" si="3"/>
        <v>-94776.428669364177</v>
      </c>
      <c r="I192" s="4"/>
      <c r="J192" s="4" t="s">
        <v>68</v>
      </c>
      <c r="K192" s="7">
        <v>3950.29</v>
      </c>
      <c r="L192" s="4" t="s">
        <v>1331</v>
      </c>
      <c r="M192" s="4" t="s">
        <v>27</v>
      </c>
      <c r="N192" s="4"/>
    </row>
    <row r="193" spans="1:14" ht="10.5" hidden="1" x14ac:dyDescent="0.25">
      <c r="A193" s="8" t="s">
        <v>240</v>
      </c>
      <c r="B193" s="4" t="s">
        <v>21</v>
      </c>
      <c r="C193" s="5">
        <v>43863</v>
      </c>
      <c r="D193" s="4" t="s">
        <v>1344</v>
      </c>
      <c r="E193" s="4" t="s">
        <v>1345</v>
      </c>
      <c r="F193" s="4" t="s">
        <v>1343</v>
      </c>
      <c r="G193" s="6">
        <v>3950.2900012332807</v>
      </c>
      <c r="H193" s="6">
        <f t="shared" si="3"/>
        <v>-90826.138668130894</v>
      </c>
      <c r="I193" s="4"/>
      <c r="J193" s="4" t="s">
        <v>68</v>
      </c>
      <c r="K193" s="7">
        <v>-3950.29</v>
      </c>
      <c r="L193" s="4" t="s">
        <v>1331</v>
      </c>
      <c r="M193" s="4" t="s">
        <v>27</v>
      </c>
      <c r="N193" s="4"/>
    </row>
    <row r="194" spans="1:14" ht="10.5" hidden="1" x14ac:dyDescent="0.25">
      <c r="A194" s="8" t="s">
        <v>240</v>
      </c>
      <c r="B194" s="4" t="s">
        <v>21</v>
      </c>
      <c r="C194" s="5">
        <v>43864</v>
      </c>
      <c r="D194" s="4" t="s">
        <v>1346</v>
      </c>
      <c r="E194" s="4" t="s">
        <v>1347</v>
      </c>
      <c r="F194" s="4" t="s">
        <v>1347</v>
      </c>
      <c r="G194" s="6">
        <v>-3578.1600011171017</v>
      </c>
      <c r="H194" s="6">
        <f t="shared" si="3"/>
        <v>-94404.29866924799</v>
      </c>
      <c r="I194" s="4"/>
      <c r="J194" s="4" t="s">
        <v>68</v>
      </c>
      <c r="K194" s="7">
        <v>3578.16</v>
      </c>
      <c r="L194" s="4" t="s">
        <v>1331</v>
      </c>
      <c r="M194" s="4" t="s">
        <v>27</v>
      </c>
      <c r="N194" s="4"/>
    </row>
    <row r="195" spans="1:14" ht="10.5" hidden="1" x14ac:dyDescent="0.25">
      <c r="A195" s="8" t="s">
        <v>240</v>
      </c>
      <c r="B195" s="4" t="s">
        <v>21</v>
      </c>
      <c r="C195" s="5">
        <v>43864</v>
      </c>
      <c r="D195" s="4" t="s">
        <v>1348</v>
      </c>
      <c r="E195" s="4"/>
      <c r="F195" s="4" t="s">
        <v>1349</v>
      </c>
      <c r="G195" s="6">
        <v>-3236.2900010103699</v>
      </c>
      <c r="H195" s="6">
        <f t="shared" si="3"/>
        <v>-97640.588670258367</v>
      </c>
      <c r="I195" s="4"/>
      <c r="J195" s="4" t="s">
        <v>68</v>
      </c>
      <c r="K195" s="7">
        <v>3236.29</v>
      </c>
      <c r="L195" s="4" t="s">
        <v>1331</v>
      </c>
      <c r="M195" s="4" t="s">
        <v>27</v>
      </c>
      <c r="N195" s="4"/>
    </row>
    <row r="196" spans="1:14" ht="10.5" hidden="1" x14ac:dyDescent="0.25">
      <c r="A196" s="8" t="s">
        <v>240</v>
      </c>
      <c r="B196" s="4" t="s">
        <v>21</v>
      </c>
      <c r="C196" s="5">
        <v>43864</v>
      </c>
      <c r="D196" s="4" t="s">
        <v>1350</v>
      </c>
      <c r="E196" s="4"/>
      <c r="F196" s="4" t="s">
        <v>1351</v>
      </c>
      <c r="G196" s="6">
        <v>8333.3300026016659</v>
      </c>
      <c r="H196" s="6">
        <f t="shared" si="3"/>
        <v>-89307.258667656701</v>
      </c>
      <c r="I196" s="4"/>
      <c r="J196" s="4" t="s">
        <v>68</v>
      </c>
      <c r="K196" s="7">
        <v>-8333.33</v>
      </c>
      <c r="L196" s="4" t="s">
        <v>1331</v>
      </c>
      <c r="M196" s="4" t="s">
        <v>27</v>
      </c>
      <c r="N196" s="4"/>
    </row>
    <row r="197" spans="1:14" ht="10.5" hidden="1" x14ac:dyDescent="0.25">
      <c r="A197" s="8" t="s">
        <v>240</v>
      </c>
      <c r="B197" s="4" t="s">
        <v>21</v>
      </c>
      <c r="C197" s="5">
        <v>43864</v>
      </c>
      <c r="D197" s="4" t="s">
        <v>1352</v>
      </c>
      <c r="E197" s="4"/>
      <c r="F197" s="4" t="s">
        <v>1353</v>
      </c>
      <c r="G197" s="6">
        <v>8333.3300026016659</v>
      </c>
      <c r="H197" s="6">
        <f t="shared" si="3"/>
        <v>-80973.928665055035</v>
      </c>
      <c r="I197" s="4"/>
      <c r="J197" s="4" t="s">
        <v>68</v>
      </c>
      <c r="K197" s="7">
        <v>-8333.33</v>
      </c>
      <c r="L197" s="4" t="s">
        <v>1331</v>
      </c>
      <c r="M197" s="4" t="s">
        <v>27</v>
      </c>
      <c r="N197" s="4"/>
    </row>
    <row r="198" spans="1:14" ht="10.5" hidden="1" x14ac:dyDescent="0.25">
      <c r="A198" s="8" t="s">
        <v>240</v>
      </c>
      <c r="B198" s="4" t="s">
        <v>21</v>
      </c>
      <c r="C198" s="5">
        <v>43864</v>
      </c>
      <c r="D198" s="4" t="s">
        <v>1354</v>
      </c>
      <c r="E198" s="4"/>
      <c r="F198" s="4" t="s">
        <v>1355</v>
      </c>
      <c r="G198" s="6">
        <v>8333.3300026016659</v>
      </c>
      <c r="H198" s="6">
        <f t="shared" si="3"/>
        <v>-72640.598662453369</v>
      </c>
      <c r="I198" s="4"/>
      <c r="J198" s="4" t="s">
        <v>68</v>
      </c>
      <c r="K198" s="7">
        <v>-8333.33</v>
      </c>
      <c r="L198" s="4" t="s">
        <v>1331</v>
      </c>
      <c r="M198" s="4" t="s">
        <v>27</v>
      </c>
      <c r="N198" s="4"/>
    </row>
    <row r="199" spans="1:14" ht="10.5" hidden="1" x14ac:dyDescent="0.25">
      <c r="A199" s="8" t="s">
        <v>240</v>
      </c>
      <c r="B199" s="4" t="s">
        <v>21</v>
      </c>
      <c r="C199" s="5">
        <v>43864</v>
      </c>
      <c r="D199" s="4" t="s">
        <v>1356</v>
      </c>
      <c r="E199" s="4"/>
      <c r="F199" s="4" t="s">
        <v>1357</v>
      </c>
      <c r="G199" s="6">
        <v>8458.3300026406905</v>
      </c>
      <c r="H199" s="6">
        <f t="shared" si="3"/>
        <v>-64182.268659812675</v>
      </c>
      <c r="I199" s="4"/>
      <c r="J199" s="4" t="s">
        <v>68</v>
      </c>
      <c r="K199" s="7">
        <v>-8458.33</v>
      </c>
      <c r="L199" s="4" t="s">
        <v>1331</v>
      </c>
      <c r="M199" s="4" t="s">
        <v>27</v>
      </c>
      <c r="N199" s="4"/>
    </row>
    <row r="200" spans="1:14" ht="10.5" hidden="1" x14ac:dyDescent="0.25">
      <c r="A200" s="8" t="s">
        <v>240</v>
      </c>
      <c r="B200" s="4" t="s">
        <v>21</v>
      </c>
      <c r="C200" s="5">
        <v>43864</v>
      </c>
      <c r="D200" s="4" t="s">
        <v>1358</v>
      </c>
      <c r="E200" s="4"/>
      <c r="F200" s="4" t="s">
        <v>1359</v>
      </c>
      <c r="G200" s="6">
        <v>10000.000003122001</v>
      </c>
      <c r="H200" s="6">
        <f t="shared" si="3"/>
        <v>-54182.268656690678</v>
      </c>
      <c r="I200" s="4"/>
      <c r="J200" s="4" t="s">
        <v>68</v>
      </c>
      <c r="K200" s="7">
        <v>-10000</v>
      </c>
      <c r="L200" s="4" t="s">
        <v>1331</v>
      </c>
      <c r="M200" s="4" t="s">
        <v>27</v>
      </c>
      <c r="N200" s="4"/>
    </row>
    <row r="201" spans="1:14" ht="10.5" hidden="1" x14ac:dyDescent="0.25">
      <c r="A201" s="8" t="s">
        <v>240</v>
      </c>
      <c r="B201" s="4" t="s">
        <v>21</v>
      </c>
      <c r="C201" s="5">
        <v>43864</v>
      </c>
      <c r="D201" s="4" t="s">
        <v>1360</v>
      </c>
      <c r="E201" s="4" t="s">
        <v>1309</v>
      </c>
      <c r="F201" s="4" t="s">
        <v>1309</v>
      </c>
      <c r="G201" s="6">
        <v>11140.890003478185</v>
      </c>
      <c r="H201" s="6">
        <f t="shared" si="3"/>
        <v>-43041.378653212494</v>
      </c>
      <c r="I201" s="4"/>
      <c r="J201" s="4" t="s">
        <v>68</v>
      </c>
      <c r="K201" s="7">
        <v>-11140.89</v>
      </c>
      <c r="L201" s="4" t="s">
        <v>1331</v>
      </c>
      <c r="M201" s="4" t="s">
        <v>27</v>
      </c>
      <c r="N201" s="4"/>
    </row>
    <row r="202" spans="1:14" ht="10.5" hidden="1" x14ac:dyDescent="0.25">
      <c r="A202" s="8" t="s">
        <v>240</v>
      </c>
      <c r="B202" s="4" t="s">
        <v>21</v>
      </c>
      <c r="C202" s="5">
        <v>43864</v>
      </c>
      <c r="D202" s="4" t="s">
        <v>1360</v>
      </c>
      <c r="E202" s="4" t="s">
        <v>1309</v>
      </c>
      <c r="F202" s="4" t="s">
        <v>1361</v>
      </c>
      <c r="G202" s="6">
        <v>4810.1300015017223</v>
      </c>
      <c r="H202" s="6">
        <f t="shared" si="3"/>
        <v>-38231.248651710775</v>
      </c>
      <c r="I202" s="4"/>
      <c r="J202" s="4" t="s">
        <v>68</v>
      </c>
      <c r="K202" s="7">
        <v>-4810.13</v>
      </c>
      <c r="L202" s="4" t="s">
        <v>1331</v>
      </c>
      <c r="M202" s="4" t="s">
        <v>27</v>
      </c>
      <c r="N202" s="4"/>
    </row>
    <row r="203" spans="1:14" ht="10.5" hidden="1" x14ac:dyDescent="0.25">
      <c r="A203" s="8" t="s">
        <v>240</v>
      </c>
      <c r="B203" s="4" t="s">
        <v>21</v>
      </c>
      <c r="C203" s="5">
        <v>43864</v>
      </c>
      <c r="D203" s="4" t="s">
        <v>1362</v>
      </c>
      <c r="E203" s="4"/>
      <c r="F203" s="4" t="s">
        <v>1363</v>
      </c>
      <c r="G203" s="6">
        <v>34000.0000106148</v>
      </c>
      <c r="H203" s="6">
        <f t="shared" si="3"/>
        <v>-4231.2486410959755</v>
      </c>
      <c r="I203" s="4"/>
      <c r="J203" s="4" t="s">
        <v>68</v>
      </c>
      <c r="K203" s="7">
        <v>-34000</v>
      </c>
      <c r="L203" s="4" t="s">
        <v>1331</v>
      </c>
      <c r="M203" s="4" t="s">
        <v>27</v>
      </c>
      <c r="N203" s="4"/>
    </row>
    <row r="204" spans="1:14" ht="10.5" hidden="1" x14ac:dyDescent="0.25">
      <c r="A204" s="8" t="s">
        <v>240</v>
      </c>
      <c r="B204" s="4" t="s">
        <v>21</v>
      </c>
      <c r="C204" s="5">
        <v>43864</v>
      </c>
      <c r="D204" s="4" t="s">
        <v>1364</v>
      </c>
      <c r="E204" s="4" t="s">
        <v>1365</v>
      </c>
      <c r="F204" s="4" t="s">
        <v>1366</v>
      </c>
      <c r="G204" s="6">
        <v>-2745.7500008572233</v>
      </c>
      <c r="H204" s="6">
        <f t="shared" si="3"/>
        <v>-6976.9986419531988</v>
      </c>
      <c r="I204" s="4"/>
      <c r="J204" s="4" t="s">
        <v>68</v>
      </c>
      <c r="K204" s="7">
        <v>2745.75</v>
      </c>
      <c r="L204" s="4" t="s">
        <v>1331</v>
      </c>
      <c r="M204" s="4" t="s">
        <v>27</v>
      </c>
      <c r="N204" s="4"/>
    </row>
    <row r="205" spans="1:14" ht="10.5" hidden="1" x14ac:dyDescent="0.25">
      <c r="A205" s="8" t="s">
        <v>240</v>
      </c>
      <c r="B205" s="4" t="s">
        <v>21</v>
      </c>
      <c r="C205" s="5">
        <v>43864</v>
      </c>
      <c r="D205" s="4" t="s">
        <v>1367</v>
      </c>
      <c r="E205" s="4" t="s">
        <v>1368</v>
      </c>
      <c r="F205" s="4" t="s">
        <v>1368</v>
      </c>
      <c r="G205" s="6">
        <v>-1.3500000004214701</v>
      </c>
      <c r="H205" s="6">
        <f t="shared" si="3"/>
        <v>-6978.3486419536202</v>
      </c>
      <c r="I205" s="4"/>
      <c r="J205" s="4" t="s">
        <v>68</v>
      </c>
      <c r="K205" s="7">
        <v>1.35</v>
      </c>
      <c r="L205" s="4" t="s">
        <v>1331</v>
      </c>
      <c r="M205" s="4" t="s">
        <v>27</v>
      </c>
      <c r="N205" s="4"/>
    </row>
    <row r="206" spans="1:14" ht="10.5" hidden="1" x14ac:dyDescent="0.25">
      <c r="A206" s="8" t="s">
        <v>240</v>
      </c>
      <c r="B206" s="4" t="s">
        <v>21</v>
      </c>
      <c r="C206" s="5">
        <v>43864</v>
      </c>
      <c r="D206" s="4" t="s">
        <v>1367</v>
      </c>
      <c r="E206" s="4" t="s">
        <v>1368</v>
      </c>
      <c r="F206" s="4" t="s">
        <v>1368</v>
      </c>
      <c r="G206" s="6">
        <v>-5.9000000018419803</v>
      </c>
      <c r="H206" s="6">
        <f t="shared" si="3"/>
        <v>-6984.2486419554625</v>
      </c>
      <c r="I206" s="4"/>
      <c r="J206" s="4" t="s">
        <v>68</v>
      </c>
      <c r="K206" s="7">
        <v>5.9</v>
      </c>
      <c r="L206" s="4" t="s">
        <v>1331</v>
      </c>
      <c r="M206" s="4" t="s">
        <v>27</v>
      </c>
      <c r="N206" s="4"/>
    </row>
    <row r="207" spans="1:14" ht="10.5" hidden="1" x14ac:dyDescent="0.25">
      <c r="A207" s="8" t="s">
        <v>240</v>
      </c>
      <c r="B207" s="4" t="s">
        <v>21</v>
      </c>
      <c r="C207" s="5">
        <v>43864</v>
      </c>
      <c r="D207" s="4" t="s">
        <v>1367</v>
      </c>
      <c r="E207" s="4" t="s">
        <v>1368</v>
      </c>
      <c r="F207" s="4" t="s">
        <v>1369</v>
      </c>
      <c r="G207" s="6">
        <v>-34.850000010880173</v>
      </c>
      <c r="H207" s="6">
        <f t="shared" si="3"/>
        <v>-7019.0986419663423</v>
      </c>
      <c r="I207" s="4"/>
      <c r="J207" s="4" t="s">
        <v>68</v>
      </c>
      <c r="K207" s="7">
        <v>34.85</v>
      </c>
      <c r="L207" s="4" t="s">
        <v>1331</v>
      </c>
      <c r="M207" s="4" t="s">
        <v>27</v>
      </c>
      <c r="N207" s="4"/>
    </row>
    <row r="208" spans="1:14" ht="10.5" hidden="1" x14ac:dyDescent="0.25">
      <c r="A208" s="8" t="s">
        <v>240</v>
      </c>
      <c r="B208" s="4" t="s">
        <v>21</v>
      </c>
      <c r="C208" s="5">
        <v>43864</v>
      </c>
      <c r="D208" s="4" t="s">
        <v>1367</v>
      </c>
      <c r="E208" s="4" t="s">
        <v>1368</v>
      </c>
      <c r="F208" s="4" t="s">
        <v>1370</v>
      </c>
      <c r="G208" s="6">
        <v>-320.60000010009134</v>
      </c>
      <c r="H208" s="6">
        <f t="shared" si="3"/>
        <v>-7339.6986420664334</v>
      </c>
      <c r="I208" s="4"/>
      <c r="J208" s="4" t="s">
        <v>68</v>
      </c>
      <c r="K208" s="7">
        <v>320.60000000000002</v>
      </c>
      <c r="L208" s="4" t="s">
        <v>1331</v>
      </c>
      <c r="M208" s="4" t="s">
        <v>27</v>
      </c>
      <c r="N208" s="4"/>
    </row>
    <row r="209" spans="1:14" ht="10.5" hidden="1" x14ac:dyDescent="0.25">
      <c r="A209" s="8" t="s">
        <v>240</v>
      </c>
      <c r="B209" s="4" t="s">
        <v>21</v>
      </c>
      <c r="C209" s="5">
        <v>43864</v>
      </c>
      <c r="D209" s="4" t="s">
        <v>1371</v>
      </c>
      <c r="E209" s="4" t="s">
        <v>1372</v>
      </c>
      <c r="F209" s="4" t="s">
        <v>1351</v>
      </c>
      <c r="G209" s="6">
        <v>-8333.3300026016659</v>
      </c>
      <c r="H209" s="6">
        <f t="shared" si="3"/>
        <v>-15673.028644668098</v>
      </c>
      <c r="I209" s="4"/>
      <c r="J209" s="4" t="s">
        <v>68</v>
      </c>
      <c r="K209" s="7">
        <v>8333.33</v>
      </c>
      <c r="L209" s="4" t="s">
        <v>1331</v>
      </c>
      <c r="M209" s="4" t="s">
        <v>27</v>
      </c>
      <c r="N209" s="4"/>
    </row>
    <row r="210" spans="1:14" ht="10.5" hidden="1" x14ac:dyDescent="0.25">
      <c r="A210" s="8" t="s">
        <v>240</v>
      </c>
      <c r="B210" s="4" t="s">
        <v>21</v>
      </c>
      <c r="C210" s="5">
        <v>43864</v>
      </c>
      <c r="D210" s="4" t="s">
        <v>1373</v>
      </c>
      <c r="E210" s="4" t="s">
        <v>1374</v>
      </c>
      <c r="F210" s="4" t="s">
        <v>1353</v>
      </c>
      <c r="G210" s="6">
        <v>-8333.3300026016659</v>
      </c>
      <c r="H210" s="6">
        <f t="shared" si="3"/>
        <v>-24006.358647269764</v>
      </c>
      <c r="I210" s="4"/>
      <c r="J210" s="4" t="s">
        <v>68</v>
      </c>
      <c r="K210" s="7">
        <v>8333.33</v>
      </c>
      <c r="L210" s="4" t="s">
        <v>1331</v>
      </c>
      <c r="M210" s="4" t="s">
        <v>27</v>
      </c>
      <c r="N210" s="4"/>
    </row>
    <row r="211" spans="1:14" ht="10.5" hidden="1" x14ac:dyDescent="0.25">
      <c r="A211" s="8" t="s">
        <v>240</v>
      </c>
      <c r="B211" s="4" t="s">
        <v>21</v>
      </c>
      <c r="C211" s="5">
        <v>43864</v>
      </c>
      <c r="D211" s="4" t="s">
        <v>1375</v>
      </c>
      <c r="E211" s="4" t="s">
        <v>1376</v>
      </c>
      <c r="F211" s="4" t="s">
        <v>1355</v>
      </c>
      <c r="G211" s="6">
        <v>-8333.3300026016659</v>
      </c>
      <c r="H211" s="6">
        <f t="shared" si="3"/>
        <v>-32339.68864987143</v>
      </c>
      <c r="I211" s="4"/>
      <c r="J211" s="4" t="s">
        <v>68</v>
      </c>
      <c r="K211" s="7">
        <v>8333.33</v>
      </c>
      <c r="L211" s="4" t="s">
        <v>1331</v>
      </c>
      <c r="M211" s="4" t="s">
        <v>27</v>
      </c>
      <c r="N211" s="4"/>
    </row>
    <row r="212" spans="1:14" ht="10.5" hidden="1" x14ac:dyDescent="0.25">
      <c r="A212" s="8" t="s">
        <v>240</v>
      </c>
      <c r="B212" s="4" t="s">
        <v>21</v>
      </c>
      <c r="C212" s="5">
        <v>43864</v>
      </c>
      <c r="D212" s="4" t="s">
        <v>1377</v>
      </c>
      <c r="E212" s="4" t="s">
        <v>1378</v>
      </c>
      <c r="F212" s="4" t="s">
        <v>1357</v>
      </c>
      <c r="G212" s="6">
        <v>-8458.3300026406905</v>
      </c>
      <c r="H212" s="6">
        <f t="shared" si="3"/>
        <v>-40798.018652512124</v>
      </c>
      <c r="I212" s="4"/>
      <c r="J212" s="4" t="s">
        <v>68</v>
      </c>
      <c r="K212" s="7">
        <v>8458.33</v>
      </c>
      <c r="L212" s="4" t="s">
        <v>1331</v>
      </c>
      <c r="M212" s="4" t="s">
        <v>27</v>
      </c>
      <c r="N212" s="4"/>
    </row>
    <row r="213" spans="1:14" ht="10.5" hidden="1" x14ac:dyDescent="0.25">
      <c r="A213" s="8" t="s">
        <v>240</v>
      </c>
      <c r="B213" s="4" t="s">
        <v>21</v>
      </c>
      <c r="C213" s="5">
        <v>43864</v>
      </c>
      <c r="D213" s="4" t="s">
        <v>1379</v>
      </c>
      <c r="E213" s="4" t="s">
        <v>1259</v>
      </c>
      <c r="F213" s="4" t="s">
        <v>1359</v>
      </c>
      <c r="G213" s="6">
        <v>-10000.000003122001</v>
      </c>
      <c r="H213" s="6">
        <f t="shared" si="3"/>
        <v>-50798.018655634121</v>
      </c>
      <c r="I213" s="4"/>
      <c r="J213" s="4" t="s">
        <v>68</v>
      </c>
      <c r="K213" s="7">
        <v>10000</v>
      </c>
      <c r="L213" s="4" t="s">
        <v>1331</v>
      </c>
      <c r="M213" s="4" t="s">
        <v>27</v>
      </c>
      <c r="N213" s="4"/>
    </row>
    <row r="214" spans="1:14" ht="10.5" hidden="1" x14ac:dyDescent="0.25">
      <c r="A214" s="8" t="s">
        <v>240</v>
      </c>
      <c r="B214" s="4" t="s">
        <v>21</v>
      </c>
      <c r="C214" s="5">
        <v>43864</v>
      </c>
      <c r="D214" s="4" t="s">
        <v>1380</v>
      </c>
      <c r="E214" s="4" t="s">
        <v>1261</v>
      </c>
      <c r="F214" s="4" t="s">
        <v>1309</v>
      </c>
      <c r="G214" s="6">
        <v>-11140.890003478185</v>
      </c>
      <c r="H214" s="6">
        <f t="shared" si="3"/>
        <v>-61938.908659112305</v>
      </c>
      <c r="I214" s="4"/>
      <c r="J214" s="4" t="s">
        <v>68</v>
      </c>
      <c r="K214" s="7">
        <v>11140.89</v>
      </c>
      <c r="L214" s="4" t="s">
        <v>1331</v>
      </c>
      <c r="M214" s="4" t="s">
        <v>27</v>
      </c>
      <c r="N214" s="4"/>
    </row>
    <row r="215" spans="1:14" ht="10.5" hidden="1" x14ac:dyDescent="0.25">
      <c r="A215" s="8" t="s">
        <v>240</v>
      </c>
      <c r="B215" s="4" t="s">
        <v>21</v>
      </c>
      <c r="C215" s="5">
        <v>43864</v>
      </c>
      <c r="D215" s="4" t="s">
        <v>1380</v>
      </c>
      <c r="E215" s="4" t="s">
        <v>1261</v>
      </c>
      <c r="F215" s="4" t="s">
        <v>1361</v>
      </c>
      <c r="G215" s="6">
        <v>-4810.1300015017223</v>
      </c>
      <c r="H215" s="6">
        <f t="shared" si="3"/>
        <v>-66749.038660614024</v>
      </c>
      <c r="I215" s="4"/>
      <c r="J215" s="4" t="s">
        <v>68</v>
      </c>
      <c r="K215" s="7">
        <v>4810.13</v>
      </c>
      <c r="L215" s="4" t="s">
        <v>1331</v>
      </c>
      <c r="M215" s="4" t="s">
        <v>27</v>
      </c>
      <c r="N215" s="4"/>
    </row>
    <row r="216" spans="1:14" ht="10.5" hidden="1" x14ac:dyDescent="0.25">
      <c r="A216" s="8" t="s">
        <v>240</v>
      </c>
      <c r="B216" s="4" t="s">
        <v>21</v>
      </c>
      <c r="C216" s="5">
        <v>43864</v>
      </c>
      <c r="D216" s="4" t="s">
        <v>1381</v>
      </c>
      <c r="E216" s="4" t="s">
        <v>1307</v>
      </c>
      <c r="F216" s="4" t="s">
        <v>1363</v>
      </c>
      <c r="G216" s="6">
        <v>-34000.0000106148</v>
      </c>
      <c r="H216" s="6">
        <f t="shared" si="3"/>
        <v>-100749.03867122883</v>
      </c>
      <c r="I216" s="4"/>
      <c r="J216" s="4" t="s">
        <v>68</v>
      </c>
      <c r="K216" s="7">
        <v>34000</v>
      </c>
      <c r="L216" s="4" t="s">
        <v>1331</v>
      </c>
      <c r="M216" s="4" t="s">
        <v>27</v>
      </c>
      <c r="N216" s="4"/>
    </row>
    <row r="217" spans="1:14" ht="10.5" hidden="1" x14ac:dyDescent="0.25">
      <c r="A217" s="8" t="s">
        <v>240</v>
      </c>
      <c r="B217" s="4" t="s">
        <v>21</v>
      </c>
      <c r="C217" s="5">
        <v>43864</v>
      </c>
      <c r="D217" s="4" t="s">
        <v>1382</v>
      </c>
      <c r="E217" s="4" t="s">
        <v>1311</v>
      </c>
      <c r="F217" s="4" t="s">
        <v>1366</v>
      </c>
      <c r="G217" s="6">
        <v>2745.7500008572233</v>
      </c>
      <c r="H217" s="6">
        <f t="shared" si="3"/>
        <v>-98003.288670371607</v>
      </c>
      <c r="I217" s="4"/>
      <c r="J217" s="4" t="s">
        <v>68</v>
      </c>
      <c r="K217" s="7">
        <v>-2745.75</v>
      </c>
      <c r="L217" s="4" t="s">
        <v>1331</v>
      </c>
      <c r="M217" s="4" t="s">
        <v>27</v>
      </c>
      <c r="N217" s="4"/>
    </row>
    <row r="218" spans="1:14" ht="10.5" hidden="1" x14ac:dyDescent="0.25">
      <c r="A218" s="8" t="s">
        <v>240</v>
      </c>
      <c r="B218" s="4" t="s">
        <v>21</v>
      </c>
      <c r="C218" s="5">
        <v>43864</v>
      </c>
      <c r="D218" s="4" t="s">
        <v>1383</v>
      </c>
      <c r="E218" s="4" t="s">
        <v>1384</v>
      </c>
      <c r="F218" s="4" t="s">
        <v>1347</v>
      </c>
      <c r="G218" s="6">
        <v>3578.1600011171017</v>
      </c>
      <c r="H218" s="6">
        <f t="shared" si="3"/>
        <v>-94425.128669254511</v>
      </c>
      <c r="I218" s="4"/>
      <c r="J218" s="4" t="s">
        <v>68</v>
      </c>
      <c r="K218" s="7">
        <v>-3578.16</v>
      </c>
      <c r="L218" s="4" t="s">
        <v>1331</v>
      </c>
      <c r="M218" s="4" t="s">
        <v>27</v>
      </c>
      <c r="N218" s="4"/>
    </row>
    <row r="219" spans="1:14" ht="10.5" hidden="1" x14ac:dyDescent="0.25">
      <c r="A219" s="8" t="s">
        <v>240</v>
      </c>
      <c r="B219" s="4" t="s">
        <v>21</v>
      </c>
      <c r="C219" s="5">
        <v>43864</v>
      </c>
      <c r="D219" s="4" t="s">
        <v>1385</v>
      </c>
      <c r="E219" s="4" t="s">
        <v>1386</v>
      </c>
      <c r="F219" s="4" t="s">
        <v>1349</v>
      </c>
      <c r="G219" s="6">
        <v>3236.2900010103699</v>
      </c>
      <c r="H219" s="6">
        <f t="shared" si="3"/>
        <v>-91188.838668244134</v>
      </c>
      <c r="I219" s="4"/>
      <c r="J219" s="4" t="s">
        <v>68</v>
      </c>
      <c r="K219" s="7">
        <v>-3236.29</v>
      </c>
      <c r="L219" s="4" t="s">
        <v>1331</v>
      </c>
      <c r="M219" s="4" t="s">
        <v>27</v>
      </c>
      <c r="N219" s="4"/>
    </row>
    <row r="220" spans="1:14" ht="10.5" hidden="1" x14ac:dyDescent="0.25">
      <c r="A220" s="8" t="s">
        <v>240</v>
      </c>
      <c r="B220" s="4" t="s">
        <v>21</v>
      </c>
      <c r="C220" s="5">
        <v>43864</v>
      </c>
      <c r="D220" s="4" t="s">
        <v>1387</v>
      </c>
      <c r="E220" s="4" t="s">
        <v>1388</v>
      </c>
      <c r="F220" s="4" t="s">
        <v>1389</v>
      </c>
      <c r="G220" s="6">
        <v>-1440.4300004497022</v>
      </c>
      <c r="H220" s="6">
        <f t="shared" ref="H220:H283" si="4">H219+G220</f>
        <v>-92629.26866869384</v>
      </c>
      <c r="I220" s="4"/>
      <c r="J220" s="4" t="s">
        <v>68</v>
      </c>
      <c r="K220" s="7">
        <v>1440.43</v>
      </c>
      <c r="L220" s="4" t="s">
        <v>1331</v>
      </c>
      <c r="M220" s="4" t="s">
        <v>27</v>
      </c>
      <c r="N220" s="4"/>
    </row>
    <row r="221" spans="1:14" ht="10.5" hidden="1" x14ac:dyDescent="0.25">
      <c r="A221" s="8" t="s">
        <v>240</v>
      </c>
      <c r="B221" s="4" t="s">
        <v>21</v>
      </c>
      <c r="C221" s="5">
        <v>43864</v>
      </c>
      <c r="D221" s="4" t="s">
        <v>1387</v>
      </c>
      <c r="E221" s="4" t="s">
        <v>1388</v>
      </c>
      <c r="F221" s="4" t="s">
        <v>1389</v>
      </c>
      <c r="G221" s="6">
        <v>-34.850000010880173</v>
      </c>
      <c r="H221" s="6">
        <f t="shared" si="4"/>
        <v>-92664.118668704716</v>
      </c>
      <c r="I221" s="4"/>
      <c r="J221" s="4" t="s">
        <v>68</v>
      </c>
      <c r="K221" s="7">
        <v>34.85</v>
      </c>
      <c r="L221" s="4" t="s">
        <v>1331</v>
      </c>
      <c r="M221" s="4" t="s">
        <v>27</v>
      </c>
      <c r="N221" s="4"/>
    </row>
    <row r="222" spans="1:14" ht="10.5" hidden="1" x14ac:dyDescent="0.25">
      <c r="A222" s="8" t="s">
        <v>240</v>
      </c>
      <c r="B222" s="4" t="s">
        <v>21</v>
      </c>
      <c r="C222" s="5">
        <v>43864</v>
      </c>
      <c r="D222" s="4" t="s">
        <v>1390</v>
      </c>
      <c r="E222" s="4" t="s">
        <v>1391</v>
      </c>
      <c r="F222" s="4" t="s">
        <v>1391</v>
      </c>
      <c r="G222" s="6">
        <v>1440.4300004497022</v>
      </c>
      <c r="H222" s="6">
        <f t="shared" si="4"/>
        <v>-91223.68866825501</v>
      </c>
      <c r="I222" s="4"/>
      <c r="J222" s="4" t="s">
        <v>68</v>
      </c>
      <c r="K222" s="7">
        <v>-1440.43</v>
      </c>
      <c r="L222" s="4" t="s">
        <v>1331</v>
      </c>
      <c r="M222" s="4" t="s">
        <v>27</v>
      </c>
      <c r="N222" s="4"/>
    </row>
    <row r="223" spans="1:14" ht="10.5" hidden="1" x14ac:dyDescent="0.25">
      <c r="A223" s="8" t="s">
        <v>240</v>
      </c>
      <c r="B223" s="4" t="s">
        <v>21</v>
      </c>
      <c r="C223" s="5">
        <v>43865</v>
      </c>
      <c r="D223" s="4" t="s">
        <v>1392</v>
      </c>
      <c r="E223" s="4" t="s">
        <v>1393</v>
      </c>
      <c r="F223" s="4" t="s">
        <v>1393</v>
      </c>
      <c r="G223" s="6">
        <v>-1620.6600005059699</v>
      </c>
      <c r="H223" s="6">
        <f t="shared" si="4"/>
        <v>-92844.348668760984</v>
      </c>
      <c r="I223" s="4"/>
      <c r="J223" s="4" t="s">
        <v>68</v>
      </c>
      <c r="K223" s="7">
        <v>1620.66</v>
      </c>
      <c r="L223" s="4" t="s">
        <v>1331</v>
      </c>
      <c r="M223" s="4" t="s">
        <v>27</v>
      </c>
      <c r="N223" s="4"/>
    </row>
    <row r="224" spans="1:14" ht="10.5" hidden="1" x14ac:dyDescent="0.25">
      <c r="A224" s="8" t="s">
        <v>240</v>
      </c>
      <c r="B224" s="4" t="s">
        <v>21</v>
      </c>
      <c r="C224" s="5">
        <v>43871</v>
      </c>
      <c r="D224" s="4" t="s">
        <v>1394</v>
      </c>
      <c r="E224" s="4"/>
      <c r="F224" s="4" t="s">
        <v>1395</v>
      </c>
      <c r="G224" s="6">
        <v>-615.15000019204979</v>
      </c>
      <c r="H224" s="6">
        <f t="shared" si="4"/>
        <v>-93459.498668953034</v>
      </c>
      <c r="I224" s="4"/>
      <c r="J224" s="4" t="s">
        <v>68</v>
      </c>
      <c r="K224" s="7">
        <v>615.15</v>
      </c>
      <c r="L224" s="4" t="s">
        <v>1331</v>
      </c>
      <c r="M224" s="4" t="s">
        <v>27</v>
      </c>
      <c r="N224" s="4"/>
    </row>
    <row r="225" spans="1:14" ht="10.5" hidden="1" x14ac:dyDescent="0.25">
      <c r="A225" s="8" t="s">
        <v>240</v>
      </c>
      <c r="B225" s="4" t="s">
        <v>21</v>
      </c>
      <c r="C225" s="5">
        <v>43871</v>
      </c>
      <c r="D225" s="4" t="s">
        <v>1396</v>
      </c>
      <c r="E225" s="4"/>
      <c r="F225" s="4" t="s">
        <v>1397</v>
      </c>
      <c r="G225" s="6">
        <v>-2032.5500006345621</v>
      </c>
      <c r="H225" s="6">
        <f t="shared" si="4"/>
        <v>-95492.048669587602</v>
      </c>
      <c r="I225" s="4"/>
      <c r="J225" s="4" t="s">
        <v>68</v>
      </c>
      <c r="K225" s="7">
        <v>2032.55</v>
      </c>
      <c r="L225" s="4" t="s">
        <v>1331</v>
      </c>
      <c r="M225" s="4" t="s">
        <v>27</v>
      </c>
      <c r="N225" s="4"/>
    </row>
    <row r="226" spans="1:14" ht="10.5" hidden="1" x14ac:dyDescent="0.25">
      <c r="A226" s="8" t="s">
        <v>240</v>
      </c>
      <c r="B226" s="4" t="s">
        <v>21</v>
      </c>
      <c r="C226" s="5">
        <v>43871</v>
      </c>
      <c r="D226" s="4" t="s">
        <v>1398</v>
      </c>
      <c r="E226" s="4" t="s">
        <v>1399</v>
      </c>
      <c r="F226" s="4" t="s">
        <v>1397</v>
      </c>
      <c r="G226" s="6">
        <v>2032.5500006345621</v>
      </c>
      <c r="H226" s="6">
        <f t="shared" si="4"/>
        <v>-93459.498668953034</v>
      </c>
      <c r="I226" s="4"/>
      <c r="J226" s="4" t="s">
        <v>68</v>
      </c>
      <c r="K226" s="7">
        <v>-2032.55</v>
      </c>
      <c r="L226" s="4" t="s">
        <v>1331</v>
      </c>
      <c r="M226" s="4" t="s">
        <v>27</v>
      </c>
      <c r="N226" s="4"/>
    </row>
    <row r="227" spans="1:14" ht="10.5" hidden="1" x14ac:dyDescent="0.25">
      <c r="A227" s="8" t="s">
        <v>240</v>
      </c>
      <c r="B227" s="4" t="s">
        <v>21</v>
      </c>
      <c r="C227" s="5">
        <v>43871</v>
      </c>
      <c r="D227" s="4" t="s">
        <v>1400</v>
      </c>
      <c r="E227" s="4" t="s">
        <v>1401</v>
      </c>
      <c r="F227" s="4" t="s">
        <v>1395</v>
      </c>
      <c r="G227" s="6">
        <v>615.15000019204979</v>
      </c>
      <c r="H227" s="6">
        <f t="shared" si="4"/>
        <v>-92844.348668760984</v>
      </c>
      <c r="I227" s="4"/>
      <c r="J227" s="4" t="s">
        <v>68</v>
      </c>
      <c r="K227" s="7">
        <v>-615.15</v>
      </c>
      <c r="L227" s="4" t="s">
        <v>1331</v>
      </c>
      <c r="M227" s="4" t="s">
        <v>27</v>
      </c>
      <c r="N227" s="4"/>
    </row>
    <row r="228" spans="1:14" ht="10.5" hidden="1" x14ac:dyDescent="0.25">
      <c r="A228" s="8" t="s">
        <v>240</v>
      </c>
      <c r="B228" s="4" t="s">
        <v>21</v>
      </c>
      <c r="C228" s="5">
        <v>43873</v>
      </c>
      <c r="D228" s="4" t="s">
        <v>1402</v>
      </c>
      <c r="E228" s="4"/>
      <c r="F228" s="4" t="s">
        <v>1403</v>
      </c>
      <c r="G228" s="6">
        <v>-361.88000011297896</v>
      </c>
      <c r="H228" s="6">
        <f t="shared" si="4"/>
        <v>-93206.22866887397</v>
      </c>
      <c r="I228" s="4"/>
      <c r="J228" s="4" t="s">
        <v>68</v>
      </c>
      <c r="K228" s="7">
        <v>361.88</v>
      </c>
      <c r="L228" s="4" t="s">
        <v>1331</v>
      </c>
      <c r="M228" s="4" t="s">
        <v>27</v>
      </c>
      <c r="N228" s="4"/>
    </row>
    <row r="229" spans="1:14" ht="10.5" hidden="1" x14ac:dyDescent="0.25">
      <c r="A229" s="8" t="s">
        <v>240</v>
      </c>
      <c r="B229" s="4" t="s">
        <v>21</v>
      </c>
      <c r="C229" s="5">
        <v>43873</v>
      </c>
      <c r="D229" s="4" t="s">
        <v>1404</v>
      </c>
      <c r="E229" s="4" t="s">
        <v>1405</v>
      </c>
      <c r="F229" s="4" t="s">
        <v>1403</v>
      </c>
      <c r="G229" s="6">
        <v>361.88000011297896</v>
      </c>
      <c r="H229" s="6">
        <f t="shared" si="4"/>
        <v>-92844.348668760984</v>
      </c>
      <c r="I229" s="4"/>
      <c r="J229" s="4" t="s">
        <v>68</v>
      </c>
      <c r="K229" s="7">
        <v>-361.88</v>
      </c>
      <c r="L229" s="4" t="s">
        <v>1331</v>
      </c>
      <c r="M229" s="4" t="s">
        <v>27</v>
      </c>
      <c r="N229" s="4"/>
    </row>
    <row r="230" spans="1:14" ht="10.5" hidden="1" x14ac:dyDescent="0.25">
      <c r="A230" s="8" t="s">
        <v>240</v>
      </c>
      <c r="B230" s="4" t="s">
        <v>21</v>
      </c>
      <c r="C230" s="5">
        <v>43875</v>
      </c>
      <c r="D230" s="4" t="s">
        <v>1406</v>
      </c>
      <c r="E230" s="4" t="s">
        <v>1407</v>
      </c>
      <c r="F230" s="4" t="s">
        <v>1407</v>
      </c>
      <c r="G230" s="6">
        <v>-1551.5800004844032</v>
      </c>
      <c r="H230" s="6">
        <f t="shared" si="4"/>
        <v>-94395.92866924539</v>
      </c>
      <c r="I230" s="4"/>
      <c r="J230" s="4" t="s">
        <v>68</v>
      </c>
      <c r="K230" s="7">
        <v>1551.58</v>
      </c>
      <c r="L230" s="4" t="s">
        <v>1331</v>
      </c>
      <c r="M230" s="4" t="s">
        <v>27</v>
      </c>
      <c r="N230" s="4"/>
    </row>
    <row r="231" spans="1:14" ht="10.5" hidden="1" x14ac:dyDescent="0.25">
      <c r="A231" s="8" t="s">
        <v>240</v>
      </c>
      <c r="B231" s="4" t="s">
        <v>21</v>
      </c>
      <c r="C231" s="5">
        <v>43875</v>
      </c>
      <c r="D231" s="4" t="s">
        <v>1408</v>
      </c>
      <c r="E231" s="4"/>
      <c r="F231" s="4" t="s">
        <v>1409</v>
      </c>
      <c r="G231" s="6">
        <v>-2125.000000663425</v>
      </c>
      <c r="H231" s="6">
        <f t="shared" si="4"/>
        <v>-96520.928669908812</v>
      </c>
      <c r="I231" s="4"/>
      <c r="J231" s="4" t="s">
        <v>68</v>
      </c>
      <c r="K231" s="7">
        <v>2125</v>
      </c>
      <c r="L231" s="4" t="s">
        <v>1331</v>
      </c>
      <c r="M231" s="4" t="s">
        <v>27</v>
      </c>
      <c r="N231" s="4"/>
    </row>
    <row r="232" spans="1:14" ht="10.5" hidden="1" x14ac:dyDescent="0.25">
      <c r="A232" s="8" t="s">
        <v>240</v>
      </c>
      <c r="B232" s="4" t="s">
        <v>21</v>
      </c>
      <c r="C232" s="5">
        <v>43875</v>
      </c>
      <c r="D232" s="4" t="s">
        <v>1410</v>
      </c>
      <c r="E232" s="4" t="s">
        <v>1411</v>
      </c>
      <c r="F232" s="4" t="s">
        <v>1407</v>
      </c>
      <c r="G232" s="6">
        <v>1551.5800004844032</v>
      </c>
      <c r="H232" s="6">
        <f t="shared" si="4"/>
        <v>-94969.348669424406</v>
      </c>
      <c r="I232" s="4"/>
      <c r="J232" s="4" t="s">
        <v>68</v>
      </c>
      <c r="K232" s="7">
        <v>-1551.58</v>
      </c>
      <c r="L232" s="4" t="s">
        <v>1331</v>
      </c>
      <c r="M232" s="4" t="s">
        <v>27</v>
      </c>
      <c r="N232" s="4"/>
    </row>
    <row r="233" spans="1:14" ht="10.5" hidden="1" x14ac:dyDescent="0.25">
      <c r="A233" s="8" t="s">
        <v>240</v>
      </c>
      <c r="B233" s="4" t="s">
        <v>21</v>
      </c>
      <c r="C233" s="5">
        <v>43875</v>
      </c>
      <c r="D233" s="4" t="s">
        <v>1412</v>
      </c>
      <c r="E233" s="4" t="s">
        <v>1413</v>
      </c>
      <c r="F233" s="4" t="s">
        <v>1414</v>
      </c>
      <c r="G233" s="6">
        <v>4400.0000013736799</v>
      </c>
      <c r="H233" s="6">
        <f t="shared" si="4"/>
        <v>-90569.348668050719</v>
      </c>
      <c r="I233" s="4"/>
      <c r="J233" s="4" t="s">
        <v>68</v>
      </c>
      <c r="K233" s="7">
        <v>-4400</v>
      </c>
      <c r="L233" s="4" t="s">
        <v>1331</v>
      </c>
      <c r="M233" s="4" t="s">
        <v>27</v>
      </c>
      <c r="N233" s="4"/>
    </row>
    <row r="234" spans="1:14" ht="10.5" hidden="1" x14ac:dyDescent="0.25">
      <c r="A234" s="8" t="s">
        <v>240</v>
      </c>
      <c r="B234" s="4" t="s">
        <v>21</v>
      </c>
      <c r="C234" s="5">
        <v>43875</v>
      </c>
      <c r="D234" s="4" t="s">
        <v>1415</v>
      </c>
      <c r="E234" s="4" t="s">
        <v>1416</v>
      </c>
      <c r="F234" s="4" t="s">
        <v>1409</v>
      </c>
      <c r="G234" s="6">
        <v>2125.000000663425</v>
      </c>
      <c r="H234" s="6">
        <f t="shared" si="4"/>
        <v>-88444.348667387298</v>
      </c>
      <c r="I234" s="4"/>
      <c r="J234" s="4" t="s">
        <v>68</v>
      </c>
      <c r="K234" s="7">
        <v>-2125</v>
      </c>
      <c r="L234" s="4" t="s">
        <v>1331</v>
      </c>
      <c r="M234" s="4" t="s">
        <v>27</v>
      </c>
      <c r="N234" s="4"/>
    </row>
    <row r="235" spans="1:14" ht="10.5" hidden="1" x14ac:dyDescent="0.25">
      <c r="A235" s="8" t="s">
        <v>240</v>
      </c>
      <c r="B235" s="4" t="s">
        <v>21</v>
      </c>
      <c r="C235" s="5">
        <v>43879</v>
      </c>
      <c r="D235" s="4" t="s">
        <v>1417</v>
      </c>
      <c r="E235" s="4"/>
      <c r="F235" s="4" t="s">
        <v>1418</v>
      </c>
      <c r="G235" s="6">
        <v>24477.910007642004</v>
      </c>
      <c r="H235" s="6">
        <f t="shared" si="4"/>
        <v>-63966.438659745298</v>
      </c>
      <c r="I235" s="4"/>
      <c r="J235" s="4" t="s">
        <v>68</v>
      </c>
      <c r="K235" s="7">
        <v>-24477.91</v>
      </c>
      <c r="L235" s="4" t="s">
        <v>1331</v>
      </c>
      <c r="M235" s="4" t="s">
        <v>27</v>
      </c>
      <c r="N235" s="4"/>
    </row>
    <row r="236" spans="1:14" ht="10.5" hidden="1" x14ac:dyDescent="0.25">
      <c r="A236" s="8" t="s">
        <v>240</v>
      </c>
      <c r="B236" s="4" t="s">
        <v>21</v>
      </c>
      <c r="C236" s="5">
        <v>43879</v>
      </c>
      <c r="D236" s="4" t="s">
        <v>1419</v>
      </c>
      <c r="E236" s="4"/>
      <c r="F236" s="4" t="s">
        <v>1420</v>
      </c>
      <c r="G236" s="6">
        <v>21157.970006605519</v>
      </c>
      <c r="H236" s="6">
        <f t="shared" si="4"/>
        <v>-42808.468653139775</v>
      </c>
      <c r="I236" s="4"/>
      <c r="J236" s="4" t="s">
        <v>68</v>
      </c>
      <c r="K236" s="7">
        <v>-21157.97</v>
      </c>
      <c r="L236" s="4" t="s">
        <v>1331</v>
      </c>
      <c r="M236" s="4" t="s">
        <v>27</v>
      </c>
      <c r="N236" s="4"/>
    </row>
    <row r="237" spans="1:14" ht="10.5" hidden="1" x14ac:dyDescent="0.25">
      <c r="A237" s="8" t="s">
        <v>240</v>
      </c>
      <c r="B237" s="4" t="s">
        <v>21</v>
      </c>
      <c r="C237" s="5">
        <v>43879</v>
      </c>
      <c r="D237" s="4" t="s">
        <v>1421</v>
      </c>
      <c r="E237" s="4"/>
      <c r="F237" s="4" t="s">
        <v>1351</v>
      </c>
      <c r="G237" s="6">
        <v>463.06000014456731</v>
      </c>
      <c r="H237" s="6">
        <f t="shared" si="4"/>
        <v>-42345.408652995204</v>
      </c>
      <c r="I237" s="4"/>
      <c r="J237" s="4" t="s">
        <v>68</v>
      </c>
      <c r="K237" s="7">
        <v>-463.06</v>
      </c>
      <c r="L237" s="4" t="s">
        <v>1331</v>
      </c>
      <c r="M237" s="4" t="s">
        <v>27</v>
      </c>
      <c r="N237" s="4"/>
    </row>
    <row r="238" spans="1:14" ht="10.5" hidden="1" x14ac:dyDescent="0.25">
      <c r="A238" s="8" t="s">
        <v>240</v>
      </c>
      <c r="B238" s="4" t="s">
        <v>21</v>
      </c>
      <c r="C238" s="5">
        <v>43879</v>
      </c>
      <c r="D238" s="4" t="s">
        <v>1422</v>
      </c>
      <c r="E238" s="4" t="s">
        <v>1423</v>
      </c>
      <c r="F238" s="4" t="s">
        <v>1423</v>
      </c>
      <c r="G238" s="6">
        <v>2014.0200006287771</v>
      </c>
      <c r="H238" s="6">
        <f t="shared" si="4"/>
        <v>-40331.388652366426</v>
      </c>
      <c r="I238" s="4"/>
      <c r="J238" s="4" t="s">
        <v>68</v>
      </c>
      <c r="K238" s="7">
        <v>-2014.02</v>
      </c>
      <c r="L238" s="4" t="s">
        <v>1331</v>
      </c>
      <c r="M238" s="4" t="s">
        <v>27</v>
      </c>
      <c r="N238" s="4"/>
    </row>
    <row r="239" spans="1:14" ht="10.5" hidden="1" x14ac:dyDescent="0.25">
      <c r="A239" s="8" t="s">
        <v>240</v>
      </c>
      <c r="B239" s="4" t="s">
        <v>21</v>
      </c>
      <c r="C239" s="5">
        <v>43879</v>
      </c>
      <c r="D239" s="4" t="s">
        <v>1422</v>
      </c>
      <c r="E239" s="4" t="s">
        <v>1423</v>
      </c>
      <c r="F239" s="4" t="s">
        <v>1424</v>
      </c>
      <c r="G239" s="6">
        <v>-2.0000000006243999E-2</v>
      </c>
      <c r="H239" s="6">
        <f t="shared" si="4"/>
        <v>-40331.40865236643</v>
      </c>
      <c r="I239" s="4"/>
      <c r="J239" s="4" t="s">
        <v>68</v>
      </c>
      <c r="K239" s="7">
        <v>0.02</v>
      </c>
      <c r="L239" s="4" t="s">
        <v>1331</v>
      </c>
      <c r="M239" s="4" t="s">
        <v>27</v>
      </c>
      <c r="N239" s="4"/>
    </row>
    <row r="240" spans="1:14" ht="10.5" hidden="1" x14ac:dyDescent="0.25">
      <c r="A240" s="8" t="s">
        <v>240</v>
      </c>
      <c r="B240" s="4" t="s">
        <v>21</v>
      </c>
      <c r="C240" s="5">
        <v>43879</v>
      </c>
      <c r="D240" s="4" t="s">
        <v>1425</v>
      </c>
      <c r="E240" s="4"/>
      <c r="F240" s="4" t="s">
        <v>1355</v>
      </c>
      <c r="G240" s="6">
        <v>7389.3600023069584</v>
      </c>
      <c r="H240" s="6">
        <f t="shared" si="4"/>
        <v>-32942.048650059471</v>
      </c>
      <c r="I240" s="4"/>
      <c r="J240" s="4" t="s">
        <v>68</v>
      </c>
      <c r="K240" s="7">
        <v>-7389.36</v>
      </c>
      <c r="L240" s="4" t="s">
        <v>1331</v>
      </c>
      <c r="M240" s="4" t="s">
        <v>27</v>
      </c>
      <c r="N240" s="4"/>
    </row>
    <row r="241" spans="1:14" ht="10.5" hidden="1" x14ac:dyDescent="0.25">
      <c r="A241" s="8" t="s">
        <v>240</v>
      </c>
      <c r="B241" s="4" t="s">
        <v>21</v>
      </c>
      <c r="C241" s="5">
        <v>43879</v>
      </c>
      <c r="D241" s="4" t="s">
        <v>1426</v>
      </c>
      <c r="E241" s="4"/>
      <c r="F241" s="4" t="s">
        <v>1389</v>
      </c>
      <c r="G241" s="6">
        <v>632.09000019733855</v>
      </c>
      <c r="H241" s="6">
        <f t="shared" si="4"/>
        <v>-32309.958649862132</v>
      </c>
      <c r="I241" s="4"/>
      <c r="J241" s="4" t="s">
        <v>68</v>
      </c>
      <c r="K241" s="7">
        <v>-632.09</v>
      </c>
      <c r="L241" s="4" t="s">
        <v>1331</v>
      </c>
      <c r="M241" s="4" t="s">
        <v>27</v>
      </c>
      <c r="N241" s="4"/>
    </row>
    <row r="242" spans="1:14" ht="10.5" hidden="1" x14ac:dyDescent="0.25">
      <c r="A242" s="8" t="s">
        <v>240</v>
      </c>
      <c r="B242" s="4" t="s">
        <v>21</v>
      </c>
      <c r="C242" s="5">
        <v>43879</v>
      </c>
      <c r="D242" s="4" t="s">
        <v>1427</v>
      </c>
      <c r="E242" s="4"/>
      <c r="F242" s="4" t="s">
        <v>1428</v>
      </c>
      <c r="G242" s="6">
        <v>-16.940000005288667</v>
      </c>
      <c r="H242" s="6">
        <f t="shared" si="4"/>
        <v>-32326.89864986742</v>
      </c>
      <c r="I242" s="4"/>
      <c r="J242" s="4" t="s">
        <v>68</v>
      </c>
      <c r="K242" s="7">
        <v>16.940000000000001</v>
      </c>
      <c r="L242" s="4" t="s">
        <v>1331</v>
      </c>
      <c r="M242" s="4" t="s">
        <v>27</v>
      </c>
      <c r="N242" s="4"/>
    </row>
    <row r="243" spans="1:14" ht="10.5" hidden="1" x14ac:dyDescent="0.25">
      <c r="A243" s="8" t="s">
        <v>240</v>
      </c>
      <c r="B243" s="4" t="s">
        <v>21</v>
      </c>
      <c r="C243" s="5">
        <v>43879</v>
      </c>
      <c r="D243" s="4" t="s">
        <v>1429</v>
      </c>
      <c r="E243" s="4"/>
      <c r="F243" s="4" t="s">
        <v>1430</v>
      </c>
      <c r="G243" s="6">
        <v>-214.62000006700436</v>
      </c>
      <c r="H243" s="6">
        <f t="shared" si="4"/>
        <v>-32541.518649934424</v>
      </c>
      <c r="I243" s="4"/>
      <c r="J243" s="4" t="s">
        <v>68</v>
      </c>
      <c r="K243" s="7">
        <v>214.62</v>
      </c>
      <c r="L243" s="4" t="s">
        <v>1331</v>
      </c>
      <c r="M243" s="4" t="s">
        <v>27</v>
      </c>
      <c r="N243" s="4"/>
    </row>
    <row r="244" spans="1:14" ht="10.5" hidden="1" x14ac:dyDescent="0.25">
      <c r="A244" s="8" t="s">
        <v>240</v>
      </c>
      <c r="B244" s="4" t="s">
        <v>21</v>
      </c>
      <c r="C244" s="5">
        <v>43879</v>
      </c>
      <c r="D244" s="4" t="s">
        <v>1431</v>
      </c>
      <c r="E244" s="4" t="s">
        <v>1432</v>
      </c>
      <c r="F244" s="4" t="s">
        <v>1418</v>
      </c>
      <c r="G244" s="6">
        <v>-24477.910007642004</v>
      </c>
      <c r="H244" s="6">
        <f t="shared" si="4"/>
        <v>-57019.428657576427</v>
      </c>
      <c r="I244" s="4"/>
      <c r="J244" s="4" t="s">
        <v>68</v>
      </c>
      <c r="K244" s="7">
        <v>24477.91</v>
      </c>
      <c r="L244" s="4" t="s">
        <v>1331</v>
      </c>
      <c r="M244" s="4" t="s">
        <v>27</v>
      </c>
      <c r="N244" s="4"/>
    </row>
    <row r="245" spans="1:14" ht="10.5" hidden="1" x14ac:dyDescent="0.25">
      <c r="A245" s="8" t="s">
        <v>240</v>
      </c>
      <c r="B245" s="4" t="s">
        <v>21</v>
      </c>
      <c r="C245" s="5">
        <v>43879</v>
      </c>
      <c r="D245" s="4" t="s">
        <v>1433</v>
      </c>
      <c r="E245" s="4" t="s">
        <v>1434</v>
      </c>
      <c r="F245" s="4" t="s">
        <v>1420</v>
      </c>
      <c r="G245" s="6">
        <v>-21157.970006605519</v>
      </c>
      <c r="H245" s="6">
        <f t="shared" si="4"/>
        <v>-78177.39866418195</v>
      </c>
      <c r="I245" s="4"/>
      <c r="J245" s="4" t="s">
        <v>68</v>
      </c>
      <c r="K245" s="7">
        <v>21157.97</v>
      </c>
      <c r="L245" s="4" t="s">
        <v>1331</v>
      </c>
      <c r="M245" s="4" t="s">
        <v>27</v>
      </c>
      <c r="N245" s="4"/>
    </row>
    <row r="246" spans="1:14" ht="10.5" hidden="1" x14ac:dyDescent="0.25">
      <c r="A246" s="8" t="s">
        <v>240</v>
      </c>
      <c r="B246" s="4" t="s">
        <v>21</v>
      </c>
      <c r="C246" s="5">
        <v>43879</v>
      </c>
      <c r="D246" s="4" t="s">
        <v>1435</v>
      </c>
      <c r="E246" s="4" t="s">
        <v>1436</v>
      </c>
      <c r="F246" s="4" t="s">
        <v>1351</v>
      </c>
      <c r="G246" s="6">
        <v>-463.06000014456731</v>
      </c>
      <c r="H246" s="6">
        <f t="shared" si="4"/>
        <v>-78640.458664326521</v>
      </c>
      <c r="I246" s="4"/>
      <c r="J246" s="4" t="s">
        <v>68</v>
      </c>
      <c r="K246" s="7">
        <v>463.06</v>
      </c>
      <c r="L246" s="4" t="s">
        <v>1331</v>
      </c>
      <c r="M246" s="4" t="s">
        <v>27</v>
      </c>
      <c r="N246" s="4"/>
    </row>
    <row r="247" spans="1:14" ht="10.5" hidden="1" x14ac:dyDescent="0.25">
      <c r="A247" s="8" t="s">
        <v>240</v>
      </c>
      <c r="B247" s="4" t="s">
        <v>21</v>
      </c>
      <c r="C247" s="5">
        <v>43879</v>
      </c>
      <c r="D247" s="4" t="s">
        <v>1437</v>
      </c>
      <c r="E247" s="4" t="s">
        <v>1438</v>
      </c>
      <c r="F247" s="4" t="s">
        <v>1423</v>
      </c>
      <c r="G247" s="6">
        <v>-2014.0200006287771</v>
      </c>
      <c r="H247" s="6">
        <f t="shared" si="4"/>
        <v>-80654.478664955299</v>
      </c>
      <c r="I247" s="4"/>
      <c r="J247" s="4" t="s">
        <v>68</v>
      </c>
      <c r="K247" s="7">
        <v>2014.02</v>
      </c>
      <c r="L247" s="4" t="s">
        <v>1331</v>
      </c>
      <c r="M247" s="4" t="s">
        <v>27</v>
      </c>
      <c r="N247" s="4"/>
    </row>
    <row r="248" spans="1:14" ht="10.5" hidden="1" x14ac:dyDescent="0.25">
      <c r="A248" s="8" t="s">
        <v>240</v>
      </c>
      <c r="B248" s="4" t="s">
        <v>21</v>
      </c>
      <c r="C248" s="5">
        <v>43879</v>
      </c>
      <c r="D248" s="4" t="s">
        <v>1437</v>
      </c>
      <c r="E248" s="4" t="s">
        <v>1438</v>
      </c>
      <c r="F248" s="4" t="s">
        <v>1424</v>
      </c>
      <c r="G248" s="6">
        <v>2.0000000006243999E-2</v>
      </c>
      <c r="H248" s="6">
        <f t="shared" si="4"/>
        <v>-80654.458664955295</v>
      </c>
      <c r="I248" s="4"/>
      <c r="J248" s="4" t="s">
        <v>68</v>
      </c>
      <c r="K248" s="7">
        <v>-0.02</v>
      </c>
      <c r="L248" s="4" t="s">
        <v>1331</v>
      </c>
      <c r="M248" s="4" t="s">
        <v>27</v>
      </c>
      <c r="N248" s="4"/>
    </row>
    <row r="249" spans="1:14" ht="10.5" hidden="1" x14ac:dyDescent="0.25">
      <c r="A249" s="8" t="s">
        <v>240</v>
      </c>
      <c r="B249" s="4" t="s">
        <v>21</v>
      </c>
      <c r="C249" s="5">
        <v>43879</v>
      </c>
      <c r="D249" s="4" t="s">
        <v>1439</v>
      </c>
      <c r="E249" s="4" t="s">
        <v>1440</v>
      </c>
      <c r="F249" s="4" t="s">
        <v>1355</v>
      </c>
      <c r="G249" s="6">
        <v>-7389.3600023069584</v>
      </c>
      <c r="H249" s="6">
        <f t="shared" si="4"/>
        <v>-88043.818667262254</v>
      </c>
      <c r="I249" s="4"/>
      <c r="J249" s="4" t="s">
        <v>68</v>
      </c>
      <c r="K249" s="7">
        <v>7389.36</v>
      </c>
      <c r="L249" s="4" t="s">
        <v>1331</v>
      </c>
      <c r="M249" s="4" t="s">
        <v>27</v>
      </c>
      <c r="N249" s="4"/>
    </row>
    <row r="250" spans="1:14" ht="10.5" hidden="1" x14ac:dyDescent="0.25">
      <c r="A250" s="8" t="s">
        <v>240</v>
      </c>
      <c r="B250" s="4" t="s">
        <v>21</v>
      </c>
      <c r="C250" s="5">
        <v>43879</v>
      </c>
      <c r="D250" s="4" t="s">
        <v>1441</v>
      </c>
      <c r="E250" s="4" t="s">
        <v>1239</v>
      </c>
      <c r="F250" s="4" t="s">
        <v>1430</v>
      </c>
      <c r="G250" s="6">
        <v>214.62000006700436</v>
      </c>
      <c r="H250" s="6">
        <f t="shared" si="4"/>
        <v>-87829.198667195247</v>
      </c>
      <c r="I250" s="4"/>
      <c r="J250" s="4" t="s">
        <v>68</v>
      </c>
      <c r="K250" s="7">
        <v>-214.62</v>
      </c>
      <c r="L250" s="4" t="s">
        <v>1331</v>
      </c>
      <c r="M250" s="4" t="s">
        <v>27</v>
      </c>
      <c r="N250" s="4"/>
    </row>
    <row r="251" spans="1:14" ht="10.5" hidden="1" x14ac:dyDescent="0.25">
      <c r="A251" s="8" t="s">
        <v>240</v>
      </c>
      <c r="B251" s="4" t="s">
        <v>21</v>
      </c>
      <c r="C251" s="5">
        <v>43879</v>
      </c>
      <c r="D251" s="4" t="s">
        <v>1442</v>
      </c>
      <c r="E251" s="4" t="s">
        <v>1443</v>
      </c>
      <c r="F251" s="4" t="s">
        <v>1389</v>
      </c>
      <c r="G251" s="6">
        <v>-632.09000019733855</v>
      </c>
      <c r="H251" s="6">
        <f t="shared" si="4"/>
        <v>-88461.288667392582</v>
      </c>
      <c r="I251" s="4"/>
      <c r="J251" s="4" t="s">
        <v>68</v>
      </c>
      <c r="K251" s="7">
        <v>632.09</v>
      </c>
      <c r="L251" s="4" t="s">
        <v>1331</v>
      </c>
      <c r="M251" s="4" t="s">
        <v>27</v>
      </c>
      <c r="N251" s="4"/>
    </row>
    <row r="252" spans="1:14" ht="10.5" hidden="1" x14ac:dyDescent="0.25">
      <c r="A252" s="8" t="s">
        <v>240</v>
      </c>
      <c r="B252" s="4" t="s">
        <v>21</v>
      </c>
      <c r="C252" s="5">
        <v>43879</v>
      </c>
      <c r="D252" s="4" t="s">
        <v>1444</v>
      </c>
      <c r="E252" s="4" t="s">
        <v>1445</v>
      </c>
      <c r="F252" s="4" t="s">
        <v>1428</v>
      </c>
      <c r="G252" s="6">
        <v>16.940000005288667</v>
      </c>
      <c r="H252" s="6">
        <f t="shared" si="4"/>
        <v>-88444.348667387298</v>
      </c>
      <c r="I252" s="4"/>
      <c r="J252" s="4" t="s">
        <v>68</v>
      </c>
      <c r="K252" s="7">
        <v>-16.940000000000001</v>
      </c>
      <c r="L252" s="4" t="s">
        <v>1331</v>
      </c>
      <c r="M252" s="4" t="s">
        <v>27</v>
      </c>
      <c r="N252" s="4"/>
    </row>
    <row r="253" spans="1:14" ht="10.5" hidden="1" x14ac:dyDescent="0.25">
      <c r="A253" s="8" t="s">
        <v>240</v>
      </c>
      <c r="B253" s="4" t="s">
        <v>21</v>
      </c>
      <c r="C253" s="5">
        <v>43880</v>
      </c>
      <c r="D253" s="4" t="s">
        <v>1446</v>
      </c>
      <c r="E253" s="4" t="s">
        <v>1447</v>
      </c>
      <c r="F253" s="4" t="s">
        <v>1447</v>
      </c>
      <c r="G253" s="6">
        <v>-1373.8800004289253</v>
      </c>
      <c r="H253" s="6">
        <f t="shared" si="4"/>
        <v>-89818.22866781622</v>
      </c>
      <c r="I253" s="4"/>
      <c r="J253" s="4" t="s">
        <v>68</v>
      </c>
      <c r="K253" s="7">
        <v>1373.88</v>
      </c>
      <c r="L253" s="4" t="s">
        <v>1331</v>
      </c>
      <c r="M253" s="4" t="s">
        <v>27</v>
      </c>
      <c r="N253" s="4"/>
    </row>
    <row r="254" spans="1:14" ht="10.5" hidden="1" x14ac:dyDescent="0.25">
      <c r="A254" s="8" t="s">
        <v>240</v>
      </c>
      <c r="B254" s="4" t="s">
        <v>21</v>
      </c>
      <c r="C254" s="5">
        <v>43880</v>
      </c>
      <c r="D254" s="4" t="s">
        <v>1446</v>
      </c>
      <c r="E254" s="4" t="s">
        <v>1447</v>
      </c>
      <c r="F254" s="4" t="s">
        <v>1447</v>
      </c>
      <c r="G254" s="6">
        <v>1373.8800004289253</v>
      </c>
      <c r="H254" s="6">
        <f t="shared" si="4"/>
        <v>-88444.348667387298</v>
      </c>
      <c r="I254" s="4"/>
      <c r="J254" s="4" t="s">
        <v>68</v>
      </c>
      <c r="K254" s="7">
        <v>-1373.88</v>
      </c>
      <c r="L254" s="4" t="s">
        <v>1331</v>
      </c>
      <c r="M254" s="4" t="s">
        <v>27</v>
      </c>
      <c r="N254" s="4"/>
    </row>
    <row r="255" spans="1:14" ht="10.5" hidden="1" x14ac:dyDescent="0.25">
      <c r="A255" s="8" t="s">
        <v>240</v>
      </c>
      <c r="B255" s="4" t="s">
        <v>21</v>
      </c>
      <c r="C255" s="5">
        <v>43880</v>
      </c>
      <c r="D255" s="4" t="s">
        <v>1448</v>
      </c>
      <c r="E255" s="4" t="s">
        <v>1449</v>
      </c>
      <c r="F255" s="4" t="s">
        <v>1447</v>
      </c>
      <c r="G255" s="6">
        <v>1373.8800004289253</v>
      </c>
      <c r="H255" s="6">
        <f t="shared" si="4"/>
        <v>-87070.468666958375</v>
      </c>
      <c r="I255" s="4"/>
      <c r="J255" s="4" t="s">
        <v>68</v>
      </c>
      <c r="K255" s="7">
        <v>-1373.88</v>
      </c>
      <c r="L255" s="4" t="s">
        <v>1331</v>
      </c>
      <c r="M255" s="4" t="s">
        <v>27</v>
      </c>
      <c r="N255" s="4"/>
    </row>
    <row r="256" spans="1:14" ht="10.5" hidden="1" x14ac:dyDescent="0.25">
      <c r="A256" s="8" t="s">
        <v>240</v>
      </c>
      <c r="B256" s="4" t="s">
        <v>21</v>
      </c>
      <c r="C256" s="5">
        <v>43880</v>
      </c>
      <c r="D256" s="4" t="s">
        <v>1448</v>
      </c>
      <c r="E256" s="4" t="s">
        <v>1449</v>
      </c>
      <c r="F256" s="4" t="s">
        <v>1447</v>
      </c>
      <c r="G256" s="6">
        <v>-1373.8800004289253</v>
      </c>
      <c r="H256" s="6">
        <f t="shared" si="4"/>
        <v>-88444.348667387298</v>
      </c>
      <c r="I256" s="4"/>
      <c r="J256" s="4" t="s">
        <v>68</v>
      </c>
      <c r="K256" s="7">
        <v>1373.88</v>
      </c>
      <c r="L256" s="4" t="s">
        <v>1331</v>
      </c>
      <c r="M256" s="4" t="s">
        <v>27</v>
      </c>
      <c r="N256" s="4"/>
    </row>
    <row r="257" spans="1:14" ht="10.5" hidden="1" x14ac:dyDescent="0.25">
      <c r="A257" s="8" t="s">
        <v>240</v>
      </c>
      <c r="B257" s="4" t="s">
        <v>21</v>
      </c>
      <c r="C257" s="5">
        <v>43881</v>
      </c>
      <c r="D257" s="4" t="s">
        <v>1450</v>
      </c>
      <c r="E257" s="4" t="s">
        <v>1451</v>
      </c>
      <c r="F257" s="4" t="s">
        <v>1451</v>
      </c>
      <c r="G257" s="6">
        <v>-8333.3300026016659</v>
      </c>
      <c r="H257" s="6">
        <f t="shared" si="4"/>
        <v>-96777.678669988964</v>
      </c>
      <c r="I257" s="4"/>
      <c r="J257" s="4" t="s">
        <v>68</v>
      </c>
      <c r="K257" s="7">
        <v>8333.33</v>
      </c>
      <c r="L257" s="4" t="s">
        <v>1331</v>
      </c>
      <c r="M257" s="4" t="s">
        <v>27</v>
      </c>
      <c r="N257" s="4"/>
    </row>
    <row r="258" spans="1:14" ht="10.5" hidden="1" x14ac:dyDescent="0.25">
      <c r="A258" s="8" t="s">
        <v>240</v>
      </c>
      <c r="B258" s="4" t="s">
        <v>21</v>
      </c>
      <c r="C258" s="5">
        <v>43881</v>
      </c>
      <c r="D258" s="4" t="s">
        <v>1452</v>
      </c>
      <c r="E258" s="4" t="s">
        <v>1453</v>
      </c>
      <c r="F258" s="4" t="s">
        <v>1453</v>
      </c>
      <c r="G258" s="6">
        <v>-8333.3300026016659</v>
      </c>
      <c r="H258" s="6">
        <f t="shared" si="4"/>
        <v>-105111.00867259063</v>
      </c>
      <c r="I258" s="4"/>
      <c r="J258" s="4" t="s">
        <v>68</v>
      </c>
      <c r="K258" s="7">
        <v>8333.33</v>
      </c>
      <c r="L258" s="4" t="s">
        <v>1331</v>
      </c>
      <c r="M258" s="4" t="s">
        <v>27</v>
      </c>
      <c r="N258" s="4"/>
    </row>
    <row r="259" spans="1:14" ht="10.5" hidden="1" x14ac:dyDescent="0.25">
      <c r="A259" s="8" t="s">
        <v>240</v>
      </c>
      <c r="B259" s="4" t="s">
        <v>21</v>
      </c>
      <c r="C259" s="5">
        <v>43881</v>
      </c>
      <c r="D259" s="4" t="s">
        <v>1454</v>
      </c>
      <c r="E259" s="4" t="s">
        <v>1455</v>
      </c>
      <c r="F259" s="4" t="s">
        <v>1455</v>
      </c>
      <c r="G259" s="6">
        <v>-8395.1400026209631</v>
      </c>
      <c r="H259" s="6">
        <f t="shared" si="4"/>
        <v>-113506.14867521159</v>
      </c>
      <c r="I259" s="4"/>
      <c r="J259" s="4" t="s">
        <v>68</v>
      </c>
      <c r="K259" s="7">
        <v>8395.14</v>
      </c>
      <c r="L259" s="4" t="s">
        <v>1331</v>
      </c>
      <c r="M259" s="4" t="s">
        <v>27</v>
      </c>
      <c r="N259" s="4"/>
    </row>
    <row r="260" spans="1:14" ht="10.5" hidden="1" x14ac:dyDescent="0.25">
      <c r="A260" s="8" t="s">
        <v>240</v>
      </c>
      <c r="B260" s="4" t="s">
        <v>21</v>
      </c>
      <c r="C260" s="5">
        <v>43881</v>
      </c>
      <c r="D260" s="4" t="s">
        <v>1456</v>
      </c>
      <c r="E260" s="4" t="s">
        <v>1457</v>
      </c>
      <c r="F260" s="4" t="s">
        <v>1457</v>
      </c>
      <c r="G260" s="6">
        <v>-8458.3300026406905</v>
      </c>
      <c r="H260" s="6">
        <f t="shared" si="4"/>
        <v>-121964.47867785228</v>
      </c>
      <c r="I260" s="4"/>
      <c r="J260" s="4" t="s">
        <v>68</v>
      </c>
      <c r="K260" s="7">
        <v>8458.33</v>
      </c>
      <c r="L260" s="4" t="s">
        <v>1331</v>
      </c>
      <c r="M260" s="4" t="s">
        <v>27</v>
      </c>
      <c r="N260" s="4"/>
    </row>
    <row r="261" spans="1:14" ht="10.5" hidden="1" x14ac:dyDescent="0.25">
      <c r="A261" s="8" t="s">
        <v>240</v>
      </c>
      <c r="B261" s="4" t="s">
        <v>21</v>
      </c>
      <c r="C261" s="5">
        <v>43881</v>
      </c>
      <c r="D261" s="4" t="s">
        <v>1458</v>
      </c>
      <c r="E261" s="4" t="s">
        <v>1459</v>
      </c>
      <c r="F261" s="4" t="s">
        <v>1459</v>
      </c>
      <c r="G261" s="6">
        <v>-8333.3300026016659</v>
      </c>
      <c r="H261" s="6">
        <f t="shared" si="4"/>
        <v>-130297.80868045395</v>
      </c>
      <c r="I261" s="4"/>
      <c r="J261" s="4" t="s">
        <v>68</v>
      </c>
      <c r="K261" s="7">
        <v>8333.33</v>
      </c>
      <c r="L261" s="4" t="s">
        <v>1331</v>
      </c>
      <c r="M261" s="4" t="s">
        <v>27</v>
      </c>
      <c r="N261" s="4"/>
    </row>
    <row r="262" spans="1:14" ht="10.5" hidden="1" x14ac:dyDescent="0.25">
      <c r="A262" s="8" t="s">
        <v>240</v>
      </c>
      <c r="B262" s="4" t="s">
        <v>21</v>
      </c>
      <c r="C262" s="5">
        <v>43881</v>
      </c>
      <c r="D262" s="4" t="s">
        <v>1460</v>
      </c>
      <c r="E262" s="4" t="s">
        <v>1461</v>
      </c>
      <c r="F262" s="4" t="s">
        <v>1461</v>
      </c>
      <c r="G262" s="6">
        <v>-10000.000003122001</v>
      </c>
      <c r="H262" s="6">
        <f t="shared" si="4"/>
        <v>-140297.80868357595</v>
      </c>
      <c r="I262" s="4"/>
      <c r="J262" s="4" t="s">
        <v>68</v>
      </c>
      <c r="K262" s="7">
        <v>10000</v>
      </c>
      <c r="L262" s="4" t="s">
        <v>1331</v>
      </c>
      <c r="M262" s="4" t="s">
        <v>27</v>
      </c>
      <c r="N262" s="4"/>
    </row>
    <row r="263" spans="1:14" ht="10.5" hidden="1" x14ac:dyDescent="0.25">
      <c r="A263" s="8" t="s">
        <v>240</v>
      </c>
      <c r="B263" s="4" t="s">
        <v>21</v>
      </c>
      <c r="C263" s="5">
        <v>43881</v>
      </c>
      <c r="D263" s="4" t="s">
        <v>1462</v>
      </c>
      <c r="E263" s="4" t="s">
        <v>1463</v>
      </c>
      <c r="F263" s="4" t="s">
        <v>1451</v>
      </c>
      <c r="G263" s="6">
        <v>8333.3300026016659</v>
      </c>
      <c r="H263" s="6">
        <f t="shared" si="4"/>
        <v>-131964.47868097428</v>
      </c>
      <c r="I263" s="4"/>
      <c r="J263" s="4" t="s">
        <v>68</v>
      </c>
      <c r="K263" s="7">
        <v>-8333.33</v>
      </c>
      <c r="L263" s="4" t="s">
        <v>1331</v>
      </c>
      <c r="M263" s="4" t="s">
        <v>27</v>
      </c>
      <c r="N263" s="4"/>
    </row>
    <row r="264" spans="1:14" ht="10.5" hidden="1" x14ac:dyDescent="0.25">
      <c r="A264" s="8" t="s">
        <v>240</v>
      </c>
      <c r="B264" s="4" t="s">
        <v>21</v>
      </c>
      <c r="C264" s="5">
        <v>43881</v>
      </c>
      <c r="D264" s="4" t="s">
        <v>1464</v>
      </c>
      <c r="E264" s="4" t="s">
        <v>1465</v>
      </c>
      <c r="F264" s="4" t="s">
        <v>1453</v>
      </c>
      <c r="G264" s="6">
        <v>8333.3300026016659</v>
      </c>
      <c r="H264" s="6">
        <f t="shared" si="4"/>
        <v>-123631.14867837261</v>
      </c>
      <c r="I264" s="4"/>
      <c r="J264" s="4" t="s">
        <v>68</v>
      </c>
      <c r="K264" s="7">
        <v>-8333.33</v>
      </c>
      <c r="L264" s="4" t="s">
        <v>1331</v>
      </c>
      <c r="M264" s="4" t="s">
        <v>27</v>
      </c>
      <c r="N264" s="4"/>
    </row>
    <row r="265" spans="1:14" ht="10.5" hidden="1" x14ac:dyDescent="0.25">
      <c r="A265" s="8" t="s">
        <v>240</v>
      </c>
      <c r="B265" s="4" t="s">
        <v>21</v>
      </c>
      <c r="C265" s="5">
        <v>43881</v>
      </c>
      <c r="D265" s="4" t="s">
        <v>1466</v>
      </c>
      <c r="E265" s="4" t="s">
        <v>1467</v>
      </c>
      <c r="F265" s="4" t="s">
        <v>1455</v>
      </c>
      <c r="G265" s="6">
        <v>8395.1400026209631</v>
      </c>
      <c r="H265" s="6">
        <f t="shared" si="4"/>
        <v>-115236.00867575165</v>
      </c>
      <c r="I265" s="4"/>
      <c r="J265" s="4" t="s">
        <v>68</v>
      </c>
      <c r="K265" s="7">
        <v>-8395.14</v>
      </c>
      <c r="L265" s="4" t="s">
        <v>1331</v>
      </c>
      <c r="M265" s="4" t="s">
        <v>27</v>
      </c>
      <c r="N265" s="4"/>
    </row>
    <row r="266" spans="1:14" ht="10.5" hidden="1" x14ac:dyDescent="0.25">
      <c r="A266" s="8" t="s">
        <v>240</v>
      </c>
      <c r="B266" s="4" t="s">
        <v>21</v>
      </c>
      <c r="C266" s="5">
        <v>43881</v>
      </c>
      <c r="D266" s="4" t="s">
        <v>1468</v>
      </c>
      <c r="E266" s="4" t="s">
        <v>1469</v>
      </c>
      <c r="F266" s="4" t="s">
        <v>1457</v>
      </c>
      <c r="G266" s="6">
        <v>8458.3300026406905</v>
      </c>
      <c r="H266" s="6">
        <f t="shared" si="4"/>
        <v>-106777.67867311096</v>
      </c>
      <c r="I266" s="4"/>
      <c r="J266" s="4" t="s">
        <v>68</v>
      </c>
      <c r="K266" s="7">
        <v>-8458.33</v>
      </c>
      <c r="L266" s="4" t="s">
        <v>1331</v>
      </c>
      <c r="M266" s="4" t="s">
        <v>27</v>
      </c>
      <c r="N266" s="4"/>
    </row>
    <row r="267" spans="1:14" ht="10.5" hidden="1" x14ac:dyDescent="0.25">
      <c r="A267" s="8" t="s">
        <v>240</v>
      </c>
      <c r="B267" s="4" t="s">
        <v>21</v>
      </c>
      <c r="C267" s="5">
        <v>43881</v>
      </c>
      <c r="D267" s="4" t="s">
        <v>1470</v>
      </c>
      <c r="E267" s="4" t="s">
        <v>1471</v>
      </c>
      <c r="F267" s="4" t="s">
        <v>1459</v>
      </c>
      <c r="G267" s="6">
        <v>8333.3300026016659</v>
      </c>
      <c r="H267" s="6">
        <f t="shared" si="4"/>
        <v>-98444.348670509295</v>
      </c>
      <c r="I267" s="4"/>
      <c r="J267" s="4" t="s">
        <v>68</v>
      </c>
      <c r="K267" s="7">
        <v>-8333.33</v>
      </c>
      <c r="L267" s="4" t="s">
        <v>1331</v>
      </c>
      <c r="M267" s="4" t="s">
        <v>27</v>
      </c>
      <c r="N267" s="4"/>
    </row>
    <row r="268" spans="1:14" ht="10.5" hidden="1" x14ac:dyDescent="0.25">
      <c r="A268" s="8" t="s">
        <v>240</v>
      </c>
      <c r="B268" s="4" t="s">
        <v>21</v>
      </c>
      <c r="C268" s="5">
        <v>43881</v>
      </c>
      <c r="D268" s="4" t="s">
        <v>1472</v>
      </c>
      <c r="E268" s="4" t="s">
        <v>1473</v>
      </c>
      <c r="F268" s="4" t="s">
        <v>1461</v>
      </c>
      <c r="G268" s="6">
        <v>10000.000003122001</v>
      </c>
      <c r="H268" s="6">
        <f t="shared" si="4"/>
        <v>-88444.348667387298</v>
      </c>
      <c r="I268" s="4"/>
      <c r="J268" s="4" t="s">
        <v>68</v>
      </c>
      <c r="K268" s="7">
        <v>-10000</v>
      </c>
      <c r="L268" s="4" t="s">
        <v>1331</v>
      </c>
      <c r="M268" s="4" t="s">
        <v>27</v>
      </c>
      <c r="N268" s="4"/>
    </row>
    <row r="269" spans="1:14" ht="10.5" hidden="1" x14ac:dyDescent="0.25">
      <c r="A269" s="8" t="s">
        <v>240</v>
      </c>
      <c r="B269" s="4" t="s">
        <v>21</v>
      </c>
      <c r="C269" s="5">
        <v>43885</v>
      </c>
      <c r="D269" s="4" t="s">
        <v>1474</v>
      </c>
      <c r="E269" s="4" t="s">
        <v>1475</v>
      </c>
      <c r="F269" s="4" t="s">
        <v>1476</v>
      </c>
      <c r="G269" s="6">
        <v>-5774.2900018027331</v>
      </c>
      <c r="H269" s="6">
        <f t="shared" si="4"/>
        <v>-94218.638669190026</v>
      </c>
      <c r="I269" s="4"/>
      <c r="J269" s="4" t="s">
        <v>68</v>
      </c>
      <c r="K269" s="7">
        <v>5774.29</v>
      </c>
      <c r="L269" s="4" t="s">
        <v>1331</v>
      </c>
      <c r="M269" s="4" t="s">
        <v>27</v>
      </c>
      <c r="N269" s="4"/>
    </row>
    <row r="270" spans="1:14" ht="10.5" hidden="1" x14ac:dyDescent="0.25">
      <c r="A270" s="8" t="s">
        <v>240</v>
      </c>
      <c r="B270" s="4" t="s">
        <v>21</v>
      </c>
      <c r="C270" s="5">
        <v>43885</v>
      </c>
      <c r="D270" s="4" t="s">
        <v>1477</v>
      </c>
      <c r="E270" s="4" t="s">
        <v>1478</v>
      </c>
      <c r="F270" s="4" t="s">
        <v>1479</v>
      </c>
      <c r="G270" s="6">
        <v>5774.2900018027331</v>
      </c>
      <c r="H270" s="6">
        <f t="shared" si="4"/>
        <v>-88444.348667387298</v>
      </c>
      <c r="I270" s="4"/>
      <c r="J270" s="4" t="s">
        <v>68</v>
      </c>
      <c r="K270" s="7">
        <v>-5774.29</v>
      </c>
      <c r="L270" s="4" t="s">
        <v>1331</v>
      </c>
      <c r="M270" s="4" t="s">
        <v>27</v>
      </c>
      <c r="N270" s="4"/>
    </row>
    <row r="271" spans="1:14" ht="10.5" hidden="1" x14ac:dyDescent="0.25">
      <c r="A271" s="8" t="s">
        <v>240</v>
      </c>
      <c r="B271" s="4" t="s">
        <v>21</v>
      </c>
      <c r="C271" s="5">
        <v>43885</v>
      </c>
      <c r="D271" s="4" t="s">
        <v>1477</v>
      </c>
      <c r="E271" s="4" t="s">
        <v>1478</v>
      </c>
      <c r="F271" s="4" t="s">
        <v>1479</v>
      </c>
      <c r="G271" s="6">
        <v>1475.2800004605824</v>
      </c>
      <c r="H271" s="6">
        <f t="shared" si="4"/>
        <v>-86969.068666926716</v>
      </c>
      <c r="I271" s="4"/>
      <c r="J271" s="4" t="s">
        <v>68</v>
      </c>
      <c r="K271" s="7">
        <v>-1475.28</v>
      </c>
      <c r="L271" s="4" t="s">
        <v>1331</v>
      </c>
      <c r="M271" s="4" t="s">
        <v>27</v>
      </c>
      <c r="N271" s="4"/>
    </row>
    <row r="272" spans="1:14" ht="10.5" hidden="1" x14ac:dyDescent="0.25">
      <c r="A272" s="8" t="s">
        <v>240</v>
      </c>
      <c r="B272" s="4" t="s">
        <v>21</v>
      </c>
      <c r="C272" s="5">
        <v>43885</v>
      </c>
      <c r="D272" s="4" t="s">
        <v>1477</v>
      </c>
      <c r="E272" s="4" t="s">
        <v>1478</v>
      </c>
      <c r="F272" s="4" t="s">
        <v>1479</v>
      </c>
      <c r="G272" s="6">
        <v>12108.860003780386</v>
      </c>
      <c r="H272" s="6">
        <f t="shared" si="4"/>
        <v>-74860.208663146332</v>
      </c>
      <c r="I272" s="4"/>
      <c r="J272" s="4" t="s">
        <v>68</v>
      </c>
      <c r="K272" s="7">
        <v>-12108.86</v>
      </c>
      <c r="L272" s="4" t="s">
        <v>1331</v>
      </c>
      <c r="M272" s="4" t="s">
        <v>27</v>
      </c>
      <c r="N272" s="4"/>
    </row>
    <row r="273" spans="1:14" ht="10.5" hidden="1" x14ac:dyDescent="0.25">
      <c r="A273" s="8" t="s">
        <v>240</v>
      </c>
      <c r="B273" s="4" t="s">
        <v>21</v>
      </c>
      <c r="C273" s="5">
        <v>43885</v>
      </c>
      <c r="D273" s="4" t="s">
        <v>1480</v>
      </c>
      <c r="E273" s="4" t="s">
        <v>1481</v>
      </c>
      <c r="F273" s="4" t="s">
        <v>1481</v>
      </c>
      <c r="G273" s="6">
        <v>5774.2900018027331</v>
      </c>
      <c r="H273" s="6">
        <f t="shared" si="4"/>
        <v>-69085.918661343603</v>
      </c>
      <c r="I273" s="4"/>
      <c r="J273" s="4" t="s">
        <v>68</v>
      </c>
      <c r="K273" s="7">
        <v>-5774.29</v>
      </c>
      <c r="L273" s="4" t="s">
        <v>1331</v>
      </c>
      <c r="M273" s="4" t="s">
        <v>27</v>
      </c>
      <c r="N273" s="4"/>
    </row>
    <row r="274" spans="1:14" ht="10.5" hidden="1" x14ac:dyDescent="0.25">
      <c r="A274" s="8" t="s">
        <v>240</v>
      </c>
      <c r="B274" s="4" t="s">
        <v>21</v>
      </c>
      <c r="C274" s="5">
        <v>43886</v>
      </c>
      <c r="D274" s="4" t="s">
        <v>1482</v>
      </c>
      <c r="E274" s="4" t="s">
        <v>1483</v>
      </c>
      <c r="F274" s="4" t="s">
        <v>1484</v>
      </c>
      <c r="G274" s="6">
        <v>579.94000018105726</v>
      </c>
      <c r="H274" s="6">
        <f t="shared" si="4"/>
        <v>-68505.978661162546</v>
      </c>
      <c r="I274" s="4"/>
      <c r="J274" s="4" t="s">
        <v>68</v>
      </c>
      <c r="K274" s="7">
        <v>-579.94000000000005</v>
      </c>
      <c r="L274" s="4" t="s">
        <v>1331</v>
      </c>
      <c r="M274" s="4" t="s">
        <v>27</v>
      </c>
      <c r="N274" s="4"/>
    </row>
    <row r="275" spans="1:14" ht="10.5" hidden="1" x14ac:dyDescent="0.25">
      <c r="A275" s="8" t="s">
        <v>240</v>
      </c>
      <c r="B275" s="4" t="s">
        <v>21</v>
      </c>
      <c r="C275" s="5">
        <v>43886</v>
      </c>
      <c r="D275" s="4" t="s">
        <v>1485</v>
      </c>
      <c r="E275" s="4"/>
      <c r="F275" s="4" t="s">
        <v>1486</v>
      </c>
      <c r="G275" s="6">
        <v>-10.770000003362394</v>
      </c>
      <c r="H275" s="6">
        <f t="shared" si="4"/>
        <v>-68516.748661165911</v>
      </c>
      <c r="I275" s="4"/>
      <c r="J275" s="4" t="s">
        <v>68</v>
      </c>
      <c r="K275" s="7">
        <v>10.77</v>
      </c>
      <c r="L275" s="4" t="s">
        <v>1331</v>
      </c>
      <c r="M275" s="4" t="s">
        <v>27</v>
      </c>
      <c r="N275" s="4"/>
    </row>
    <row r="276" spans="1:14" ht="10.5" hidden="1" x14ac:dyDescent="0.25">
      <c r="A276" s="8" t="s">
        <v>240</v>
      </c>
      <c r="B276" s="4" t="s">
        <v>21</v>
      </c>
      <c r="C276" s="5">
        <v>43886</v>
      </c>
      <c r="D276" s="4" t="s">
        <v>1487</v>
      </c>
      <c r="E276" s="4" t="s">
        <v>1488</v>
      </c>
      <c r="F276" s="4" t="s">
        <v>1484</v>
      </c>
      <c r="G276" s="6">
        <v>-579.94000018105726</v>
      </c>
      <c r="H276" s="6">
        <f t="shared" si="4"/>
        <v>-69096.688661346969</v>
      </c>
      <c r="I276" s="4"/>
      <c r="J276" s="4" t="s">
        <v>68</v>
      </c>
      <c r="K276" s="7">
        <v>579.94000000000005</v>
      </c>
      <c r="L276" s="4" t="s">
        <v>1331</v>
      </c>
      <c r="M276" s="4" t="s">
        <v>27</v>
      </c>
      <c r="N276" s="4"/>
    </row>
    <row r="277" spans="1:14" ht="10.5" hidden="1" x14ac:dyDescent="0.25">
      <c r="A277" s="8" t="s">
        <v>240</v>
      </c>
      <c r="B277" s="4" t="s">
        <v>21</v>
      </c>
      <c r="C277" s="5">
        <v>43886</v>
      </c>
      <c r="D277" s="4" t="s">
        <v>1489</v>
      </c>
      <c r="E277" s="4" t="s">
        <v>1239</v>
      </c>
      <c r="F277" s="4" t="s">
        <v>1486</v>
      </c>
      <c r="G277" s="6">
        <v>10.770000003362394</v>
      </c>
      <c r="H277" s="6">
        <f t="shared" si="4"/>
        <v>-69085.918661343603</v>
      </c>
      <c r="I277" s="4"/>
      <c r="J277" s="4" t="s">
        <v>68</v>
      </c>
      <c r="K277" s="7">
        <v>-10.77</v>
      </c>
      <c r="L277" s="4" t="s">
        <v>1331</v>
      </c>
      <c r="M277" s="4" t="s">
        <v>27</v>
      </c>
      <c r="N277" s="4"/>
    </row>
    <row r="278" spans="1:14" ht="10.5" hidden="1" x14ac:dyDescent="0.25">
      <c r="A278" s="8" t="s">
        <v>240</v>
      </c>
      <c r="B278" s="4" t="s">
        <v>21</v>
      </c>
      <c r="C278" s="5">
        <v>43889</v>
      </c>
      <c r="D278" s="4" t="s">
        <v>1490</v>
      </c>
      <c r="E278" s="4" t="s">
        <v>1491</v>
      </c>
      <c r="F278" s="4" t="s">
        <v>1491</v>
      </c>
      <c r="G278" s="6">
        <v>-3869.3800012080205</v>
      </c>
      <c r="H278" s="6">
        <f t="shared" si="4"/>
        <v>-72955.298662551621</v>
      </c>
      <c r="I278" s="4"/>
      <c r="J278" s="4" t="s">
        <v>68</v>
      </c>
      <c r="K278" s="7">
        <v>3869.38</v>
      </c>
      <c r="L278" s="4" t="s">
        <v>1331</v>
      </c>
      <c r="M278" s="4" t="s">
        <v>27</v>
      </c>
      <c r="N278" s="4"/>
    </row>
    <row r="279" spans="1:14" ht="10.5" hidden="1" x14ac:dyDescent="0.25">
      <c r="A279" s="8" t="s">
        <v>240</v>
      </c>
      <c r="B279" s="4" t="s">
        <v>21</v>
      </c>
      <c r="C279" s="5">
        <v>43889</v>
      </c>
      <c r="D279" s="4" t="s">
        <v>1492</v>
      </c>
      <c r="E279" s="4"/>
      <c r="F279" s="4" t="s">
        <v>1355</v>
      </c>
      <c r="G279" s="6">
        <v>8333.3300026016659</v>
      </c>
      <c r="H279" s="6">
        <f t="shared" si="4"/>
        <v>-64621.968659949955</v>
      </c>
      <c r="I279" s="4"/>
      <c r="J279" s="4" t="s">
        <v>68</v>
      </c>
      <c r="K279" s="7">
        <v>-8333.33</v>
      </c>
      <c r="L279" s="4" t="s">
        <v>1331</v>
      </c>
      <c r="M279" s="4" t="s">
        <v>27</v>
      </c>
      <c r="N279" s="4"/>
    </row>
    <row r="280" spans="1:14" ht="10.5" hidden="1" x14ac:dyDescent="0.25">
      <c r="A280" s="8" t="s">
        <v>240</v>
      </c>
      <c r="B280" s="4" t="s">
        <v>21</v>
      </c>
      <c r="C280" s="5">
        <v>43889</v>
      </c>
      <c r="D280" s="4" t="s">
        <v>1493</v>
      </c>
      <c r="E280" s="4"/>
      <c r="F280" s="4" t="s">
        <v>1351</v>
      </c>
      <c r="G280" s="6">
        <v>8333.3300026016659</v>
      </c>
      <c r="H280" s="6">
        <f t="shared" si="4"/>
        <v>-56288.638657348289</v>
      </c>
      <c r="I280" s="4"/>
      <c r="J280" s="4" t="s">
        <v>68</v>
      </c>
      <c r="K280" s="7">
        <v>-8333.33</v>
      </c>
      <c r="L280" s="4" t="s">
        <v>1331</v>
      </c>
      <c r="M280" s="4" t="s">
        <v>27</v>
      </c>
      <c r="N280" s="4"/>
    </row>
    <row r="281" spans="1:14" ht="10.5" hidden="1" x14ac:dyDescent="0.25">
      <c r="A281" s="8" t="s">
        <v>240</v>
      </c>
      <c r="B281" s="4" t="s">
        <v>21</v>
      </c>
      <c r="C281" s="5">
        <v>43889</v>
      </c>
      <c r="D281" s="4" t="s">
        <v>1494</v>
      </c>
      <c r="E281" s="4"/>
      <c r="F281" s="4" t="s">
        <v>1353</v>
      </c>
      <c r="G281" s="6">
        <v>8333.3300026016659</v>
      </c>
      <c r="H281" s="6">
        <f t="shared" si="4"/>
        <v>-47955.308654746623</v>
      </c>
      <c r="I281" s="4"/>
      <c r="J281" s="4" t="s">
        <v>68</v>
      </c>
      <c r="K281" s="7">
        <v>-8333.33</v>
      </c>
      <c r="L281" s="4" t="s">
        <v>1331</v>
      </c>
      <c r="M281" s="4" t="s">
        <v>27</v>
      </c>
      <c r="N281" s="4"/>
    </row>
    <row r="282" spans="1:14" ht="10.5" hidden="1" x14ac:dyDescent="0.25">
      <c r="A282" s="8" t="s">
        <v>240</v>
      </c>
      <c r="B282" s="4" t="s">
        <v>21</v>
      </c>
      <c r="C282" s="5">
        <v>43889</v>
      </c>
      <c r="D282" s="4" t="s">
        <v>1495</v>
      </c>
      <c r="E282" s="4"/>
      <c r="F282" s="4" t="s">
        <v>1309</v>
      </c>
      <c r="G282" s="6">
        <v>9946.7200031053653</v>
      </c>
      <c r="H282" s="6">
        <f t="shared" si="4"/>
        <v>-38008.588651641257</v>
      </c>
      <c r="I282" s="4"/>
      <c r="J282" s="4" t="s">
        <v>68</v>
      </c>
      <c r="K282" s="7">
        <v>-9946.7199999999993</v>
      </c>
      <c r="L282" s="4" t="s">
        <v>1331</v>
      </c>
      <c r="M282" s="4" t="s">
        <v>27</v>
      </c>
      <c r="N282" s="4"/>
    </row>
    <row r="283" spans="1:14" ht="10.5" hidden="1" x14ac:dyDescent="0.25">
      <c r="A283" s="8" t="s">
        <v>240</v>
      </c>
      <c r="B283" s="4" t="s">
        <v>21</v>
      </c>
      <c r="C283" s="5">
        <v>43889</v>
      </c>
      <c r="D283" s="4" t="s">
        <v>1496</v>
      </c>
      <c r="E283" s="4"/>
      <c r="F283" s="4" t="s">
        <v>1359</v>
      </c>
      <c r="G283" s="6">
        <v>14723.99000459683</v>
      </c>
      <c r="H283" s="6">
        <f t="shared" si="4"/>
        <v>-23284.598647044426</v>
      </c>
      <c r="I283" s="4"/>
      <c r="J283" s="4" t="s">
        <v>68</v>
      </c>
      <c r="K283" s="7">
        <v>-14723.99</v>
      </c>
      <c r="L283" s="4" t="s">
        <v>1331</v>
      </c>
      <c r="M283" s="4" t="s">
        <v>27</v>
      </c>
      <c r="N283" s="4"/>
    </row>
    <row r="284" spans="1:14" ht="10.5" hidden="1" x14ac:dyDescent="0.25">
      <c r="A284" s="8" t="s">
        <v>240</v>
      </c>
      <c r="B284" s="4" t="s">
        <v>21</v>
      </c>
      <c r="C284" s="5">
        <v>43889</v>
      </c>
      <c r="D284" s="4" t="s">
        <v>1497</v>
      </c>
      <c r="E284" s="4" t="s">
        <v>1498</v>
      </c>
      <c r="F284" s="4" t="s">
        <v>1498</v>
      </c>
      <c r="G284" s="6">
        <v>-1000.0000003122</v>
      </c>
      <c r="H284" s="6">
        <f t="shared" ref="H284:H347" si="5">H283+G284</f>
        <v>-24284.598647356626</v>
      </c>
      <c r="I284" s="4"/>
      <c r="J284" s="4" t="s">
        <v>68</v>
      </c>
      <c r="K284" s="7">
        <v>1000</v>
      </c>
      <c r="L284" s="4" t="s">
        <v>1331</v>
      </c>
      <c r="M284" s="4" t="s">
        <v>27</v>
      </c>
      <c r="N284" s="4"/>
    </row>
    <row r="285" spans="1:14" ht="10.5" hidden="1" x14ac:dyDescent="0.25">
      <c r="A285" s="8" t="s">
        <v>240</v>
      </c>
      <c r="B285" s="4" t="s">
        <v>21</v>
      </c>
      <c r="C285" s="5">
        <v>43889</v>
      </c>
      <c r="D285" s="4" t="s">
        <v>1499</v>
      </c>
      <c r="E285" s="4" t="s">
        <v>1500</v>
      </c>
      <c r="F285" s="4" t="s">
        <v>1500</v>
      </c>
      <c r="G285" s="6">
        <v>-4704.0000014685884</v>
      </c>
      <c r="H285" s="6">
        <f t="shared" si="5"/>
        <v>-28988.598648825217</v>
      </c>
      <c r="I285" s="4"/>
      <c r="J285" s="4" t="s">
        <v>68</v>
      </c>
      <c r="K285" s="7">
        <v>4704</v>
      </c>
      <c r="L285" s="4" t="s">
        <v>1331</v>
      </c>
      <c r="M285" s="4" t="s">
        <v>27</v>
      </c>
      <c r="N285" s="4"/>
    </row>
    <row r="286" spans="1:14" ht="10.5" hidden="1" x14ac:dyDescent="0.25">
      <c r="A286" s="8" t="s">
        <v>240</v>
      </c>
      <c r="B286" s="4" t="s">
        <v>21</v>
      </c>
      <c r="C286" s="5">
        <v>43889</v>
      </c>
      <c r="D286" s="4" t="s">
        <v>1501</v>
      </c>
      <c r="E286" s="4" t="s">
        <v>1502</v>
      </c>
      <c r="F286" s="4" t="s">
        <v>1502</v>
      </c>
      <c r="G286" s="6">
        <v>-500.00000015609999</v>
      </c>
      <c r="H286" s="6">
        <f t="shared" si="5"/>
        <v>-29488.598648981315</v>
      </c>
      <c r="I286" s="4"/>
      <c r="J286" s="4" t="s">
        <v>68</v>
      </c>
      <c r="K286" s="7">
        <v>500</v>
      </c>
      <c r="L286" s="4" t="s">
        <v>1331</v>
      </c>
      <c r="M286" s="4" t="s">
        <v>27</v>
      </c>
      <c r="N286" s="4"/>
    </row>
    <row r="287" spans="1:14" ht="10.5" hidden="1" x14ac:dyDescent="0.25">
      <c r="A287" s="8" t="s">
        <v>240</v>
      </c>
      <c r="B287" s="4" t="s">
        <v>21</v>
      </c>
      <c r="C287" s="5">
        <v>43889</v>
      </c>
      <c r="D287" s="4" t="s">
        <v>1503</v>
      </c>
      <c r="E287" s="4" t="s">
        <v>1500</v>
      </c>
      <c r="F287" s="4" t="s">
        <v>1500</v>
      </c>
      <c r="G287" s="6">
        <v>-3880.000001211336</v>
      </c>
      <c r="H287" s="6">
        <f t="shared" si="5"/>
        <v>-33368.598650192653</v>
      </c>
      <c r="I287" s="4"/>
      <c r="J287" s="4" t="s">
        <v>68</v>
      </c>
      <c r="K287" s="7">
        <v>3880</v>
      </c>
      <c r="L287" s="4" t="s">
        <v>1331</v>
      </c>
      <c r="M287" s="4" t="s">
        <v>27</v>
      </c>
      <c r="N287" s="4"/>
    </row>
    <row r="288" spans="1:14" ht="10.5" hidden="1" x14ac:dyDescent="0.25">
      <c r="A288" s="8" t="s">
        <v>240</v>
      </c>
      <c r="B288" s="4" t="s">
        <v>21</v>
      </c>
      <c r="C288" s="5">
        <v>43889</v>
      </c>
      <c r="D288" s="4" t="s">
        <v>1504</v>
      </c>
      <c r="E288" s="4" t="s">
        <v>1505</v>
      </c>
      <c r="F288" s="4" t="s">
        <v>1505</v>
      </c>
      <c r="G288" s="6">
        <v>-4019.4000012548568</v>
      </c>
      <c r="H288" s="6">
        <f t="shared" si="5"/>
        <v>-37387.998651447509</v>
      </c>
      <c r="I288" s="4"/>
      <c r="J288" s="4" t="s">
        <v>68</v>
      </c>
      <c r="K288" s="7">
        <v>4019.4</v>
      </c>
      <c r="L288" s="4" t="s">
        <v>1331</v>
      </c>
      <c r="M288" s="4" t="s">
        <v>27</v>
      </c>
      <c r="N288" s="4"/>
    </row>
    <row r="289" spans="1:14" ht="10.5" hidden="1" x14ac:dyDescent="0.25">
      <c r="A289" s="8" t="s">
        <v>240</v>
      </c>
      <c r="B289" s="4" t="s">
        <v>21</v>
      </c>
      <c r="C289" s="5">
        <v>43889</v>
      </c>
      <c r="D289" s="4" t="s">
        <v>1506</v>
      </c>
      <c r="E289" s="4" t="s">
        <v>1507</v>
      </c>
      <c r="F289" s="4" t="s">
        <v>1507</v>
      </c>
      <c r="G289" s="6">
        <v>-507.50000015844148</v>
      </c>
      <c r="H289" s="6">
        <f t="shared" si="5"/>
        <v>-37895.498651605951</v>
      </c>
      <c r="I289" s="4"/>
      <c r="J289" s="4" t="s">
        <v>68</v>
      </c>
      <c r="K289" s="7">
        <v>507.5</v>
      </c>
      <c r="L289" s="4" t="s">
        <v>1331</v>
      </c>
      <c r="M289" s="4" t="s">
        <v>27</v>
      </c>
      <c r="N289" s="4"/>
    </row>
    <row r="290" spans="1:14" ht="10.5" hidden="1" x14ac:dyDescent="0.25">
      <c r="A290" s="8" t="s">
        <v>240</v>
      </c>
      <c r="B290" s="4" t="s">
        <v>21</v>
      </c>
      <c r="C290" s="5">
        <v>43889</v>
      </c>
      <c r="D290" s="4" t="s">
        <v>1508</v>
      </c>
      <c r="E290" s="4" t="s">
        <v>1509</v>
      </c>
      <c r="F290" s="4" t="s">
        <v>1509</v>
      </c>
      <c r="G290" s="6">
        <v>-503.22000015710529</v>
      </c>
      <c r="H290" s="6">
        <f t="shared" si="5"/>
        <v>-38398.718651763054</v>
      </c>
      <c r="I290" s="4"/>
      <c r="J290" s="4" t="s">
        <v>68</v>
      </c>
      <c r="K290" s="7">
        <v>503.22</v>
      </c>
      <c r="L290" s="4" t="s">
        <v>1331</v>
      </c>
      <c r="M290" s="4" t="s">
        <v>27</v>
      </c>
      <c r="N290" s="4"/>
    </row>
    <row r="291" spans="1:14" ht="10.5" hidden="1" x14ac:dyDescent="0.25">
      <c r="A291" s="8" t="s">
        <v>240</v>
      </c>
      <c r="B291" s="4" t="s">
        <v>21</v>
      </c>
      <c r="C291" s="5">
        <v>43889</v>
      </c>
      <c r="D291" s="4" t="s">
        <v>1510</v>
      </c>
      <c r="E291" s="4" t="s">
        <v>1511</v>
      </c>
      <c r="F291" s="4" t="s">
        <v>1511</v>
      </c>
      <c r="G291" s="6">
        <v>-3627.0000011323496</v>
      </c>
      <c r="H291" s="6">
        <f t="shared" si="5"/>
        <v>-42025.718652895404</v>
      </c>
      <c r="I291" s="4"/>
      <c r="J291" s="4" t="s">
        <v>68</v>
      </c>
      <c r="K291" s="7">
        <v>3627</v>
      </c>
      <c r="L291" s="4" t="s">
        <v>1331</v>
      </c>
      <c r="M291" s="4" t="s">
        <v>27</v>
      </c>
      <c r="N291" s="4"/>
    </row>
    <row r="292" spans="1:14" ht="10.5" hidden="1" x14ac:dyDescent="0.25">
      <c r="A292" s="8" t="s">
        <v>240</v>
      </c>
      <c r="B292" s="4" t="s">
        <v>21</v>
      </c>
      <c r="C292" s="5">
        <v>43889</v>
      </c>
      <c r="D292" s="4" t="s">
        <v>1512</v>
      </c>
      <c r="E292" s="4" t="s">
        <v>1513</v>
      </c>
      <c r="F292" s="4" t="s">
        <v>1513</v>
      </c>
      <c r="G292" s="6">
        <v>-500.00000015609999</v>
      </c>
      <c r="H292" s="6">
        <f t="shared" si="5"/>
        <v>-42525.718653051503</v>
      </c>
      <c r="I292" s="4"/>
      <c r="J292" s="4" t="s">
        <v>68</v>
      </c>
      <c r="K292" s="7">
        <v>500</v>
      </c>
      <c r="L292" s="4" t="s">
        <v>1331</v>
      </c>
      <c r="M292" s="4" t="s">
        <v>27</v>
      </c>
      <c r="N292" s="4"/>
    </row>
    <row r="293" spans="1:14" ht="10.5" hidden="1" x14ac:dyDescent="0.25">
      <c r="A293" s="8" t="s">
        <v>240</v>
      </c>
      <c r="B293" s="4" t="s">
        <v>21</v>
      </c>
      <c r="C293" s="5">
        <v>43889</v>
      </c>
      <c r="D293" s="4" t="s">
        <v>1514</v>
      </c>
      <c r="E293" s="4" t="s">
        <v>1515</v>
      </c>
      <c r="F293" s="4" t="s">
        <v>1515</v>
      </c>
      <c r="G293" s="6">
        <v>-4207.5000013135814</v>
      </c>
      <c r="H293" s="6">
        <f t="shared" si="5"/>
        <v>-46733.218654365082</v>
      </c>
      <c r="I293" s="4"/>
      <c r="J293" s="4" t="s">
        <v>68</v>
      </c>
      <c r="K293" s="7">
        <v>4207.5</v>
      </c>
      <c r="L293" s="4" t="s">
        <v>1331</v>
      </c>
      <c r="M293" s="4" t="s">
        <v>27</v>
      </c>
      <c r="N293" s="4"/>
    </row>
    <row r="294" spans="1:14" ht="10.5" hidden="1" x14ac:dyDescent="0.25">
      <c r="A294" s="8" t="s">
        <v>240</v>
      </c>
      <c r="B294" s="4" t="s">
        <v>21</v>
      </c>
      <c r="C294" s="5">
        <v>43889</v>
      </c>
      <c r="D294" s="4" t="s">
        <v>1516</v>
      </c>
      <c r="E294" s="4" t="s">
        <v>1517</v>
      </c>
      <c r="F294" s="4" t="s">
        <v>1517</v>
      </c>
      <c r="G294" s="6">
        <v>-3965.0000012378732</v>
      </c>
      <c r="H294" s="6">
        <f t="shared" si="5"/>
        <v>-50698.218655602956</v>
      </c>
      <c r="I294" s="4"/>
      <c r="J294" s="4" t="s">
        <v>68</v>
      </c>
      <c r="K294" s="7">
        <v>3965</v>
      </c>
      <c r="L294" s="4" t="s">
        <v>1331</v>
      </c>
      <c r="M294" s="4" t="s">
        <v>27</v>
      </c>
      <c r="N294" s="4"/>
    </row>
    <row r="295" spans="1:14" ht="10.5" hidden="1" x14ac:dyDescent="0.25">
      <c r="A295" s="8" t="s">
        <v>240</v>
      </c>
      <c r="B295" s="4" t="s">
        <v>21</v>
      </c>
      <c r="C295" s="5">
        <v>43889</v>
      </c>
      <c r="D295" s="4" t="s">
        <v>1518</v>
      </c>
      <c r="E295" s="4" t="s">
        <v>1519</v>
      </c>
      <c r="F295" s="4" t="s">
        <v>1519</v>
      </c>
      <c r="G295" s="6">
        <v>-500.00000015609999</v>
      </c>
      <c r="H295" s="6">
        <f t="shared" si="5"/>
        <v>-51198.218655759054</v>
      </c>
      <c r="I295" s="4"/>
      <c r="J295" s="4" t="s">
        <v>68</v>
      </c>
      <c r="K295" s="7">
        <v>500</v>
      </c>
      <c r="L295" s="4" t="s">
        <v>1331</v>
      </c>
      <c r="M295" s="4" t="s">
        <v>27</v>
      </c>
      <c r="N295" s="4"/>
    </row>
    <row r="296" spans="1:14" ht="10.5" hidden="1" x14ac:dyDescent="0.25">
      <c r="A296" s="8" t="s">
        <v>240</v>
      </c>
      <c r="B296" s="4" t="s">
        <v>21</v>
      </c>
      <c r="C296" s="5">
        <v>43889</v>
      </c>
      <c r="D296" s="4" t="s">
        <v>1520</v>
      </c>
      <c r="E296" s="4" t="s">
        <v>1521</v>
      </c>
      <c r="F296" s="4" t="s">
        <v>1355</v>
      </c>
      <c r="G296" s="6">
        <v>-8333.3300026016659</v>
      </c>
      <c r="H296" s="6">
        <f t="shared" si="5"/>
        <v>-59531.54865836072</v>
      </c>
      <c r="I296" s="4"/>
      <c r="J296" s="4" t="s">
        <v>68</v>
      </c>
      <c r="K296" s="7">
        <v>8333.33</v>
      </c>
      <c r="L296" s="4" t="s">
        <v>1331</v>
      </c>
      <c r="M296" s="4" t="s">
        <v>27</v>
      </c>
      <c r="N296" s="4"/>
    </row>
    <row r="297" spans="1:14" ht="10.5" hidden="1" x14ac:dyDescent="0.25">
      <c r="A297" s="8" t="s">
        <v>240</v>
      </c>
      <c r="B297" s="4" t="s">
        <v>21</v>
      </c>
      <c r="C297" s="5">
        <v>43889</v>
      </c>
      <c r="D297" s="4" t="s">
        <v>1522</v>
      </c>
      <c r="E297" s="4" t="s">
        <v>1523</v>
      </c>
      <c r="F297" s="4" t="s">
        <v>1351</v>
      </c>
      <c r="G297" s="6">
        <v>-8333.3300026016659</v>
      </c>
      <c r="H297" s="6">
        <f t="shared" si="5"/>
        <v>-67864.878660962393</v>
      </c>
      <c r="I297" s="4"/>
      <c r="J297" s="4" t="s">
        <v>68</v>
      </c>
      <c r="K297" s="7">
        <v>8333.33</v>
      </c>
      <c r="L297" s="4" t="s">
        <v>1331</v>
      </c>
      <c r="M297" s="4" t="s">
        <v>27</v>
      </c>
      <c r="N297" s="4"/>
    </row>
    <row r="298" spans="1:14" ht="10.5" hidden="1" x14ac:dyDescent="0.25">
      <c r="A298" s="8" t="s">
        <v>240</v>
      </c>
      <c r="B298" s="4" t="s">
        <v>21</v>
      </c>
      <c r="C298" s="5">
        <v>43889</v>
      </c>
      <c r="D298" s="4" t="s">
        <v>1524</v>
      </c>
      <c r="E298" s="4" t="s">
        <v>1525</v>
      </c>
      <c r="F298" s="4" t="s">
        <v>1353</v>
      </c>
      <c r="G298" s="6">
        <v>-8333.3300026016659</v>
      </c>
      <c r="H298" s="6">
        <f t="shared" si="5"/>
        <v>-76198.208663564059</v>
      </c>
      <c r="I298" s="4"/>
      <c r="J298" s="4" t="s">
        <v>68</v>
      </c>
      <c r="K298" s="7">
        <v>8333.33</v>
      </c>
      <c r="L298" s="4" t="s">
        <v>1331</v>
      </c>
      <c r="M298" s="4" t="s">
        <v>27</v>
      </c>
      <c r="N298" s="4"/>
    </row>
    <row r="299" spans="1:14" ht="10.5" hidden="1" x14ac:dyDescent="0.25">
      <c r="A299" s="8" t="s">
        <v>240</v>
      </c>
      <c r="B299" s="4" t="s">
        <v>21</v>
      </c>
      <c r="C299" s="5">
        <v>43889</v>
      </c>
      <c r="D299" s="4" t="s">
        <v>1526</v>
      </c>
      <c r="E299" s="4" t="s">
        <v>1527</v>
      </c>
      <c r="F299" s="4" t="s">
        <v>1309</v>
      </c>
      <c r="G299" s="6">
        <v>-9946.7200031053653</v>
      </c>
      <c r="H299" s="6">
        <f t="shared" si="5"/>
        <v>-86144.928666669424</v>
      </c>
      <c r="I299" s="4"/>
      <c r="J299" s="4" t="s">
        <v>68</v>
      </c>
      <c r="K299" s="7">
        <v>9946.7199999999993</v>
      </c>
      <c r="L299" s="4" t="s">
        <v>1331</v>
      </c>
      <c r="M299" s="4" t="s">
        <v>27</v>
      </c>
      <c r="N299" s="4"/>
    </row>
    <row r="300" spans="1:14" ht="10.5" hidden="1" x14ac:dyDescent="0.25">
      <c r="A300" s="8" t="s">
        <v>240</v>
      </c>
      <c r="B300" s="4" t="s">
        <v>21</v>
      </c>
      <c r="C300" s="5">
        <v>43889</v>
      </c>
      <c r="D300" s="4" t="s">
        <v>1528</v>
      </c>
      <c r="E300" s="4" t="s">
        <v>1529</v>
      </c>
      <c r="F300" s="4" t="s">
        <v>1359</v>
      </c>
      <c r="G300" s="6">
        <v>-14723.99000459683</v>
      </c>
      <c r="H300" s="6">
        <f t="shared" si="5"/>
        <v>-100868.91867126625</v>
      </c>
      <c r="I300" s="4"/>
      <c r="J300" s="4" t="s">
        <v>68</v>
      </c>
      <c r="K300" s="7">
        <v>14723.99</v>
      </c>
      <c r="L300" s="4" t="s">
        <v>1331</v>
      </c>
      <c r="M300" s="4" t="s">
        <v>27</v>
      </c>
      <c r="N300" s="4"/>
    </row>
    <row r="301" spans="1:14" ht="10.5" hidden="1" x14ac:dyDescent="0.25">
      <c r="A301" s="8" t="s">
        <v>240</v>
      </c>
      <c r="B301" s="4" t="s">
        <v>21</v>
      </c>
      <c r="C301" s="5">
        <v>43889</v>
      </c>
      <c r="D301" s="4" t="s">
        <v>1530</v>
      </c>
      <c r="E301" s="4" t="s">
        <v>1531</v>
      </c>
      <c r="F301" s="4" t="s">
        <v>1491</v>
      </c>
      <c r="G301" s="6">
        <v>3869.3800012080205</v>
      </c>
      <c r="H301" s="6">
        <f t="shared" si="5"/>
        <v>-96999.538670058231</v>
      </c>
      <c r="I301" s="4"/>
      <c r="J301" s="4" t="s">
        <v>68</v>
      </c>
      <c r="K301" s="7">
        <v>-3869.38</v>
      </c>
      <c r="L301" s="4" t="s">
        <v>1331</v>
      </c>
      <c r="M301" s="4" t="s">
        <v>27</v>
      </c>
      <c r="N301" s="4"/>
    </row>
    <row r="302" spans="1:14" ht="10.5" hidden="1" x14ac:dyDescent="0.25">
      <c r="A302" s="8" t="s">
        <v>240</v>
      </c>
      <c r="B302" s="4" t="s">
        <v>21</v>
      </c>
      <c r="C302" s="5">
        <v>43889</v>
      </c>
      <c r="D302" s="4" t="s">
        <v>1532</v>
      </c>
      <c r="E302" s="4" t="s">
        <v>1533</v>
      </c>
      <c r="F302" s="4" t="s">
        <v>1498</v>
      </c>
      <c r="G302" s="6">
        <v>1000.0000003122</v>
      </c>
      <c r="H302" s="6">
        <f t="shared" si="5"/>
        <v>-95999.538669746034</v>
      </c>
      <c r="I302" s="4"/>
      <c r="J302" s="4" t="s">
        <v>68</v>
      </c>
      <c r="K302" s="7">
        <v>-1000</v>
      </c>
      <c r="L302" s="4" t="s">
        <v>1331</v>
      </c>
      <c r="M302" s="4" t="s">
        <v>27</v>
      </c>
      <c r="N302" s="4"/>
    </row>
    <row r="303" spans="1:14" ht="10.5" hidden="1" x14ac:dyDescent="0.25">
      <c r="A303" s="8" t="s">
        <v>240</v>
      </c>
      <c r="B303" s="4" t="s">
        <v>21</v>
      </c>
      <c r="C303" s="5">
        <v>43889</v>
      </c>
      <c r="D303" s="4" t="s">
        <v>1534</v>
      </c>
      <c r="E303" s="4" t="s">
        <v>1535</v>
      </c>
      <c r="F303" s="4" t="s">
        <v>1500</v>
      </c>
      <c r="G303" s="6">
        <v>4704.0000014685884</v>
      </c>
      <c r="H303" s="6">
        <f t="shared" si="5"/>
        <v>-91295.538668277441</v>
      </c>
      <c r="I303" s="4"/>
      <c r="J303" s="4" t="s">
        <v>68</v>
      </c>
      <c r="K303" s="7">
        <v>-4704</v>
      </c>
      <c r="L303" s="4" t="s">
        <v>1331</v>
      </c>
      <c r="M303" s="4" t="s">
        <v>27</v>
      </c>
      <c r="N303" s="4"/>
    </row>
    <row r="304" spans="1:14" ht="10.5" hidden="1" x14ac:dyDescent="0.25">
      <c r="A304" s="8" t="s">
        <v>240</v>
      </c>
      <c r="B304" s="4" t="s">
        <v>21</v>
      </c>
      <c r="C304" s="5">
        <v>43889</v>
      </c>
      <c r="D304" s="4" t="s">
        <v>1536</v>
      </c>
      <c r="E304" s="4" t="s">
        <v>1537</v>
      </c>
      <c r="F304" s="4" t="s">
        <v>1502</v>
      </c>
      <c r="G304" s="6">
        <v>500.00000015609999</v>
      </c>
      <c r="H304" s="6">
        <f t="shared" si="5"/>
        <v>-90795.538668121342</v>
      </c>
      <c r="I304" s="4"/>
      <c r="J304" s="4" t="s">
        <v>68</v>
      </c>
      <c r="K304" s="7">
        <v>-500</v>
      </c>
      <c r="L304" s="4" t="s">
        <v>1331</v>
      </c>
      <c r="M304" s="4" t="s">
        <v>27</v>
      </c>
      <c r="N304" s="4"/>
    </row>
    <row r="305" spans="1:14" ht="10.5" hidden="1" x14ac:dyDescent="0.25">
      <c r="A305" s="8" t="s">
        <v>240</v>
      </c>
      <c r="B305" s="4" t="s">
        <v>21</v>
      </c>
      <c r="C305" s="5">
        <v>43889</v>
      </c>
      <c r="D305" s="4" t="s">
        <v>1538</v>
      </c>
      <c r="E305" s="4" t="s">
        <v>1539</v>
      </c>
      <c r="F305" s="4" t="s">
        <v>1500</v>
      </c>
      <c r="G305" s="6">
        <v>3880.000001211336</v>
      </c>
      <c r="H305" s="6">
        <f t="shared" si="5"/>
        <v>-86915.538666910012</v>
      </c>
      <c r="I305" s="4"/>
      <c r="J305" s="4" t="s">
        <v>68</v>
      </c>
      <c r="K305" s="7">
        <v>-3880</v>
      </c>
      <c r="L305" s="4" t="s">
        <v>1331</v>
      </c>
      <c r="M305" s="4" t="s">
        <v>27</v>
      </c>
      <c r="N305" s="4"/>
    </row>
    <row r="306" spans="1:14" ht="10.5" hidden="1" x14ac:dyDescent="0.25">
      <c r="A306" s="8" t="s">
        <v>240</v>
      </c>
      <c r="B306" s="4" t="s">
        <v>21</v>
      </c>
      <c r="C306" s="5">
        <v>43889</v>
      </c>
      <c r="D306" s="4" t="s">
        <v>1540</v>
      </c>
      <c r="E306" s="4" t="s">
        <v>1541</v>
      </c>
      <c r="F306" s="4" t="s">
        <v>1505</v>
      </c>
      <c r="G306" s="6">
        <v>4019.4000012548568</v>
      </c>
      <c r="H306" s="6">
        <f t="shared" si="5"/>
        <v>-82896.138665655162</v>
      </c>
      <c r="I306" s="4"/>
      <c r="J306" s="4" t="s">
        <v>68</v>
      </c>
      <c r="K306" s="7">
        <v>-4019.4</v>
      </c>
      <c r="L306" s="4" t="s">
        <v>1331</v>
      </c>
      <c r="M306" s="4" t="s">
        <v>27</v>
      </c>
      <c r="N306" s="4"/>
    </row>
    <row r="307" spans="1:14" ht="10.5" hidden="1" x14ac:dyDescent="0.25">
      <c r="A307" s="8" t="s">
        <v>240</v>
      </c>
      <c r="B307" s="4" t="s">
        <v>21</v>
      </c>
      <c r="C307" s="5">
        <v>43889</v>
      </c>
      <c r="D307" s="4" t="s">
        <v>1542</v>
      </c>
      <c r="E307" s="4" t="s">
        <v>1543</v>
      </c>
      <c r="F307" s="4" t="s">
        <v>1507</v>
      </c>
      <c r="G307" s="6">
        <v>507.50000015844148</v>
      </c>
      <c r="H307" s="6">
        <f t="shared" si="5"/>
        <v>-82388.638665496721</v>
      </c>
      <c r="I307" s="4"/>
      <c r="J307" s="4" t="s">
        <v>68</v>
      </c>
      <c r="K307" s="7">
        <v>-507.5</v>
      </c>
      <c r="L307" s="4" t="s">
        <v>1331</v>
      </c>
      <c r="M307" s="4" t="s">
        <v>27</v>
      </c>
      <c r="N307" s="4"/>
    </row>
    <row r="308" spans="1:14" ht="10.5" hidden="1" x14ac:dyDescent="0.25">
      <c r="A308" s="8" t="s">
        <v>240</v>
      </c>
      <c r="B308" s="4" t="s">
        <v>21</v>
      </c>
      <c r="C308" s="5">
        <v>43889</v>
      </c>
      <c r="D308" s="4" t="s">
        <v>1544</v>
      </c>
      <c r="E308" s="4" t="s">
        <v>1545</v>
      </c>
      <c r="F308" s="4" t="s">
        <v>1509</v>
      </c>
      <c r="G308" s="6">
        <v>503.22000015710529</v>
      </c>
      <c r="H308" s="6">
        <f t="shared" si="5"/>
        <v>-81885.418665339617</v>
      </c>
      <c r="I308" s="4"/>
      <c r="J308" s="4" t="s">
        <v>68</v>
      </c>
      <c r="K308" s="7">
        <v>-503.22</v>
      </c>
      <c r="L308" s="4" t="s">
        <v>1331</v>
      </c>
      <c r="M308" s="4" t="s">
        <v>27</v>
      </c>
      <c r="N308" s="4"/>
    </row>
    <row r="309" spans="1:14" ht="10.5" hidden="1" x14ac:dyDescent="0.25">
      <c r="A309" s="8" t="s">
        <v>240</v>
      </c>
      <c r="B309" s="4" t="s">
        <v>21</v>
      </c>
      <c r="C309" s="5">
        <v>43889</v>
      </c>
      <c r="D309" s="4" t="s">
        <v>1546</v>
      </c>
      <c r="E309" s="4" t="s">
        <v>1547</v>
      </c>
      <c r="F309" s="4" t="s">
        <v>1511</v>
      </c>
      <c r="G309" s="6">
        <v>3627.0000011323496</v>
      </c>
      <c r="H309" s="6">
        <f t="shared" si="5"/>
        <v>-78258.418664207275</v>
      </c>
      <c r="I309" s="4"/>
      <c r="J309" s="4" t="s">
        <v>68</v>
      </c>
      <c r="K309" s="7">
        <v>-3627</v>
      </c>
      <c r="L309" s="4" t="s">
        <v>1331</v>
      </c>
      <c r="M309" s="4" t="s">
        <v>27</v>
      </c>
      <c r="N309" s="4"/>
    </row>
    <row r="310" spans="1:14" ht="10.5" hidden="1" x14ac:dyDescent="0.25">
      <c r="A310" s="8" t="s">
        <v>240</v>
      </c>
      <c r="B310" s="4" t="s">
        <v>21</v>
      </c>
      <c r="C310" s="5">
        <v>43889</v>
      </c>
      <c r="D310" s="4" t="s">
        <v>1548</v>
      </c>
      <c r="E310" s="4" t="s">
        <v>1549</v>
      </c>
      <c r="F310" s="4" t="s">
        <v>1513</v>
      </c>
      <c r="G310" s="6">
        <v>500.00000015609999</v>
      </c>
      <c r="H310" s="6">
        <f t="shared" si="5"/>
        <v>-77758.418664051176</v>
      </c>
      <c r="I310" s="4"/>
      <c r="J310" s="4" t="s">
        <v>68</v>
      </c>
      <c r="K310" s="7">
        <v>-500</v>
      </c>
      <c r="L310" s="4" t="s">
        <v>1331</v>
      </c>
      <c r="M310" s="4" t="s">
        <v>27</v>
      </c>
      <c r="N310" s="4"/>
    </row>
    <row r="311" spans="1:14" ht="10.5" hidden="1" x14ac:dyDescent="0.25">
      <c r="A311" s="8" t="s">
        <v>240</v>
      </c>
      <c r="B311" s="4" t="s">
        <v>21</v>
      </c>
      <c r="C311" s="5">
        <v>43889</v>
      </c>
      <c r="D311" s="4" t="s">
        <v>1550</v>
      </c>
      <c r="E311" s="4" t="s">
        <v>1551</v>
      </c>
      <c r="F311" s="4" t="s">
        <v>1515</v>
      </c>
      <c r="G311" s="6">
        <v>4207.5000013135814</v>
      </c>
      <c r="H311" s="6">
        <f t="shared" si="5"/>
        <v>-73550.918662737589</v>
      </c>
      <c r="I311" s="4"/>
      <c r="J311" s="4" t="s">
        <v>68</v>
      </c>
      <c r="K311" s="7">
        <v>-4207.5</v>
      </c>
      <c r="L311" s="4" t="s">
        <v>1331</v>
      </c>
      <c r="M311" s="4" t="s">
        <v>27</v>
      </c>
      <c r="N311" s="4"/>
    </row>
    <row r="312" spans="1:14" ht="10.5" hidden="1" x14ac:dyDescent="0.25">
      <c r="A312" s="8" t="s">
        <v>240</v>
      </c>
      <c r="B312" s="4" t="s">
        <v>21</v>
      </c>
      <c r="C312" s="5">
        <v>43889</v>
      </c>
      <c r="D312" s="4" t="s">
        <v>1552</v>
      </c>
      <c r="E312" s="4" t="s">
        <v>1553</v>
      </c>
      <c r="F312" s="4" t="s">
        <v>1517</v>
      </c>
      <c r="G312" s="6">
        <v>3965.0000012378732</v>
      </c>
      <c r="H312" s="6">
        <f t="shared" si="5"/>
        <v>-69585.918661499716</v>
      </c>
      <c r="I312" s="4"/>
      <c r="J312" s="4" t="s">
        <v>68</v>
      </c>
      <c r="K312" s="7">
        <v>-3965</v>
      </c>
      <c r="L312" s="4" t="s">
        <v>1331</v>
      </c>
      <c r="M312" s="4" t="s">
        <v>27</v>
      </c>
      <c r="N312" s="4"/>
    </row>
    <row r="313" spans="1:14" ht="10.5" hidden="1" x14ac:dyDescent="0.25">
      <c r="A313" s="8" t="s">
        <v>240</v>
      </c>
      <c r="B313" s="4" t="s">
        <v>21</v>
      </c>
      <c r="C313" s="5">
        <v>43889</v>
      </c>
      <c r="D313" s="4" t="s">
        <v>1554</v>
      </c>
      <c r="E313" s="4" t="s">
        <v>1555</v>
      </c>
      <c r="F313" s="4" t="s">
        <v>1519</v>
      </c>
      <c r="G313" s="6">
        <v>500.00000015609999</v>
      </c>
      <c r="H313" s="6">
        <f t="shared" si="5"/>
        <v>-69085.918661343618</v>
      </c>
      <c r="I313" s="4"/>
      <c r="J313" s="4" t="s">
        <v>68</v>
      </c>
      <c r="K313" s="7">
        <v>-500</v>
      </c>
      <c r="L313" s="4" t="s">
        <v>1331</v>
      </c>
      <c r="M313" s="4" t="s">
        <v>27</v>
      </c>
      <c r="N313" s="4"/>
    </row>
    <row r="314" spans="1:14" ht="10.5" hidden="1" x14ac:dyDescent="0.25">
      <c r="A314" s="8" t="s">
        <v>240</v>
      </c>
      <c r="B314" s="4" t="s">
        <v>241</v>
      </c>
      <c r="C314" s="5">
        <v>43890</v>
      </c>
      <c r="D314" s="4" t="s">
        <v>1556</v>
      </c>
      <c r="E314" s="4"/>
      <c r="F314" s="4"/>
      <c r="G314" s="6">
        <v>277.70441644419998</v>
      </c>
      <c r="H314" s="6">
        <f t="shared" si="5"/>
        <v>-68808.214244899413</v>
      </c>
      <c r="I314" s="4"/>
      <c r="J314" s="4" t="s">
        <v>68</v>
      </c>
      <c r="K314" s="7">
        <v>0</v>
      </c>
      <c r="L314" s="4" t="s">
        <v>1331</v>
      </c>
      <c r="M314" s="4" t="s">
        <v>201</v>
      </c>
      <c r="N314" s="4"/>
    </row>
    <row r="315" spans="1:14" ht="10.5" hidden="1" x14ac:dyDescent="0.25">
      <c r="A315" s="8" t="s">
        <v>240</v>
      </c>
      <c r="B315" s="4" t="s">
        <v>21</v>
      </c>
      <c r="C315" s="5">
        <v>43891</v>
      </c>
      <c r="D315" s="4" t="s">
        <v>1557</v>
      </c>
      <c r="E315" s="4"/>
      <c r="F315" s="4" t="s">
        <v>1558</v>
      </c>
      <c r="G315" s="6">
        <v>-204.74000006391984</v>
      </c>
      <c r="H315" s="6">
        <f t="shared" si="5"/>
        <v>-69012.95424496333</v>
      </c>
      <c r="I315" s="4"/>
      <c r="J315" s="4" t="s">
        <v>68</v>
      </c>
      <c r="K315" s="7">
        <v>204.74</v>
      </c>
      <c r="L315" s="4" t="s">
        <v>1049</v>
      </c>
      <c r="M315" s="4" t="s">
        <v>27</v>
      </c>
      <c r="N315" s="4"/>
    </row>
    <row r="316" spans="1:14" ht="10.5" hidden="1" x14ac:dyDescent="0.25">
      <c r="A316" s="8" t="s">
        <v>240</v>
      </c>
      <c r="B316" s="4" t="s">
        <v>21</v>
      </c>
      <c r="C316" s="5">
        <v>43891</v>
      </c>
      <c r="D316" s="4" t="s">
        <v>1559</v>
      </c>
      <c r="E316" s="4"/>
      <c r="F316" s="4" t="s">
        <v>1560</v>
      </c>
      <c r="G316" s="6">
        <v>-2415.6100007541536</v>
      </c>
      <c r="H316" s="6">
        <f t="shared" si="5"/>
        <v>-71428.564245717484</v>
      </c>
      <c r="I316" s="4"/>
      <c r="J316" s="4" t="s">
        <v>68</v>
      </c>
      <c r="K316" s="7">
        <v>2415.61</v>
      </c>
      <c r="L316" s="4" t="s">
        <v>1049</v>
      </c>
      <c r="M316" s="4" t="s">
        <v>27</v>
      </c>
      <c r="N316" s="4"/>
    </row>
    <row r="317" spans="1:14" ht="10.5" hidden="1" x14ac:dyDescent="0.25">
      <c r="A317" s="8" t="s">
        <v>240</v>
      </c>
      <c r="B317" s="4" t="s">
        <v>21</v>
      </c>
      <c r="C317" s="5">
        <v>43891</v>
      </c>
      <c r="D317" s="4" t="s">
        <v>1561</v>
      </c>
      <c r="E317" s="4"/>
      <c r="F317" s="4" t="s">
        <v>1562</v>
      </c>
      <c r="G317" s="6">
        <v>-227.49000007102237</v>
      </c>
      <c r="H317" s="6">
        <f t="shared" si="5"/>
        <v>-71656.054245788502</v>
      </c>
      <c r="I317" s="4"/>
      <c r="J317" s="4" t="s">
        <v>68</v>
      </c>
      <c r="K317" s="7">
        <v>227.49</v>
      </c>
      <c r="L317" s="4" t="s">
        <v>1049</v>
      </c>
      <c r="M317" s="4" t="s">
        <v>27</v>
      </c>
      <c r="N317" s="4"/>
    </row>
    <row r="318" spans="1:14" ht="10.5" hidden="1" x14ac:dyDescent="0.25">
      <c r="A318" s="8" t="s">
        <v>240</v>
      </c>
      <c r="B318" s="4" t="s">
        <v>21</v>
      </c>
      <c r="C318" s="5">
        <v>43891</v>
      </c>
      <c r="D318" s="4" t="s">
        <v>1563</v>
      </c>
      <c r="E318" s="4"/>
      <c r="F318" s="4" t="s">
        <v>1564</v>
      </c>
      <c r="G318" s="6">
        <v>-2018.5600006301945</v>
      </c>
      <c r="H318" s="6">
        <f t="shared" si="5"/>
        <v>-73674.6142464187</v>
      </c>
      <c r="I318" s="4"/>
      <c r="J318" s="4" t="s">
        <v>68</v>
      </c>
      <c r="K318" s="7">
        <v>2018.56</v>
      </c>
      <c r="L318" s="4" t="s">
        <v>1049</v>
      </c>
      <c r="M318" s="4" t="s">
        <v>27</v>
      </c>
      <c r="N318" s="4"/>
    </row>
    <row r="319" spans="1:14" ht="10.5" hidden="1" x14ac:dyDescent="0.25">
      <c r="A319" s="8" t="s">
        <v>240</v>
      </c>
      <c r="B319" s="4" t="s">
        <v>241</v>
      </c>
      <c r="C319" s="5">
        <v>43891</v>
      </c>
      <c r="D319" s="4" t="s">
        <v>1565</v>
      </c>
      <c r="E319" s="4"/>
      <c r="F319" s="4"/>
      <c r="G319" s="6">
        <v>-277.70441644419998</v>
      </c>
      <c r="H319" s="6">
        <f t="shared" si="5"/>
        <v>-73952.318662862905</v>
      </c>
      <c r="I319" s="4"/>
      <c r="J319" s="4" t="s">
        <v>68</v>
      </c>
      <c r="K319" s="7">
        <v>0</v>
      </c>
      <c r="L319" s="4" t="s">
        <v>1049</v>
      </c>
      <c r="M319" s="4" t="s">
        <v>201</v>
      </c>
      <c r="N319" s="4"/>
    </row>
    <row r="320" spans="1:14" ht="10.5" hidden="1" x14ac:dyDescent="0.25">
      <c r="A320" s="8" t="s">
        <v>240</v>
      </c>
      <c r="B320" s="4" t="s">
        <v>21</v>
      </c>
      <c r="C320" s="5">
        <v>43893</v>
      </c>
      <c r="D320" s="4" t="s">
        <v>1566</v>
      </c>
      <c r="E320" s="4"/>
      <c r="F320" s="4" t="s">
        <v>1567</v>
      </c>
      <c r="G320" s="6">
        <v>4400.0000013736799</v>
      </c>
      <c r="H320" s="6">
        <f t="shared" si="5"/>
        <v>-69552.318661489218</v>
      </c>
      <c r="I320" s="4"/>
      <c r="J320" s="4" t="s">
        <v>68</v>
      </c>
      <c r="K320" s="7">
        <v>-4400</v>
      </c>
      <c r="L320" s="4" t="s">
        <v>1049</v>
      </c>
      <c r="M320" s="4" t="s">
        <v>27</v>
      </c>
      <c r="N320" s="4"/>
    </row>
    <row r="321" spans="1:14" ht="10.5" hidden="1" x14ac:dyDescent="0.25">
      <c r="A321" s="8" t="s">
        <v>240</v>
      </c>
      <c r="B321" s="4" t="s">
        <v>21</v>
      </c>
      <c r="C321" s="5">
        <v>43893</v>
      </c>
      <c r="D321" s="4" t="s">
        <v>1568</v>
      </c>
      <c r="E321" s="4"/>
      <c r="F321" s="4" t="s">
        <v>1569</v>
      </c>
      <c r="G321" s="6">
        <v>-4780.180001492372</v>
      </c>
      <c r="H321" s="6">
        <f t="shared" si="5"/>
        <v>-74332.498662981583</v>
      </c>
      <c r="I321" s="4"/>
      <c r="J321" s="4" t="s">
        <v>68</v>
      </c>
      <c r="K321" s="7">
        <v>4780.18</v>
      </c>
      <c r="L321" s="4" t="s">
        <v>1049</v>
      </c>
      <c r="M321" s="4" t="s">
        <v>27</v>
      </c>
      <c r="N321" s="4"/>
    </row>
    <row r="322" spans="1:14" ht="10.5" hidden="1" x14ac:dyDescent="0.25">
      <c r="A322" s="8" t="s">
        <v>240</v>
      </c>
      <c r="B322" s="4" t="s">
        <v>21</v>
      </c>
      <c r="C322" s="5">
        <v>43893</v>
      </c>
      <c r="D322" s="4" t="s">
        <v>1570</v>
      </c>
      <c r="E322" s="4" t="s">
        <v>1571</v>
      </c>
      <c r="F322" s="4" t="s">
        <v>1567</v>
      </c>
      <c r="G322" s="6">
        <v>-4400.0000013736799</v>
      </c>
      <c r="H322" s="6">
        <f t="shared" si="5"/>
        <v>-78732.498664355269</v>
      </c>
      <c r="I322" s="4"/>
      <c r="J322" s="4" t="s">
        <v>68</v>
      </c>
      <c r="K322" s="7">
        <v>4400</v>
      </c>
      <c r="L322" s="4" t="s">
        <v>1049</v>
      </c>
      <c r="M322" s="4" t="s">
        <v>27</v>
      </c>
      <c r="N322" s="4"/>
    </row>
    <row r="323" spans="1:14" ht="10.5" hidden="1" x14ac:dyDescent="0.25">
      <c r="A323" s="8" t="s">
        <v>240</v>
      </c>
      <c r="B323" s="4" t="s">
        <v>21</v>
      </c>
      <c r="C323" s="5">
        <v>43895</v>
      </c>
      <c r="D323" s="4" t="s">
        <v>1572</v>
      </c>
      <c r="E323" s="4" t="s">
        <v>1573</v>
      </c>
      <c r="F323" s="4" t="s">
        <v>1573</v>
      </c>
      <c r="G323" s="6">
        <v>5555.0000017342709</v>
      </c>
      <c r="H323" s="6">
        <f t="shared" si="5"/>
        <v>-73177.498662621001</v>
      </c>
      <c r="I323" s="4"/>
      <c r="J323" s="4" t="s">
        <v>68</v>
      </c>
      <c r="K323" s="7">
        <v>-5555</v>
      </c>
      <c r="L323" s="4" t="s">
        <v>1049</v>
      </c>
      <c r="M323" s="4" t="s">
        <v>27</v>
      </c>
      <c r="N323" s="4"/>
    </row>
    <row r="324" spans="1:14" ht="10.5" hidden="1" x14ac:dyDescent="0.25">
      <c r="A324" s="8" t="s">
        <v>240</v>
      </c>
      <c r="B324" s="4" t="s">
        <v>21</v>
      </c>
      <c r="C324" s="5">
        <v>43895</v>
      </c>
      <c r="D324" s="4" t="s">
        <v>1574</v>
      </c>
      <c r="E324" s="4" t="s">
        <v>1376</v>
      </c>
      <c r="F324" s="4" t="s">
        <v>1573</v>
      </c>
      <c r="G324" s="6">
        <v>-5555.0000017342709</v>
      </c>
      <c r="H324" s="6">
        <f t="shared" si="5"/>
        <v>-78732.498664355269</v>
      </c>
      <c r="I324" s="4"/>
      <c r="J324" s="4" t="s">
        <v>68</v>
      </c>
      <c r="K324" s="7">
        <v>5555</v>
      </c>
      <c r="L324" s="4" t="s">
        <v>1049</v>
      </c>
      <c r="M324" s="4" t="s">
        <v>27</v>
      </c>
      <c r="N324" s="4"/>
    </row>
    <row r="325" spans="1:14" ht="10.5" hidden="1" x14ac:dyDescent="0.25">
      <c r="A325" s="8" t="s">
        <v>240</v>
      </c>
      <c r="B325" s="4" t="s">
        <v>21</v>
      </c>
      <c r="C325" s="5">
        <v>43896</v>
      </c>
      <c r="D325" s="4" t="s">
        <v>1575</v>
      </c>
      <c r="E325" s="4" t="s">
        <v>1576</v>
      </c>
      <c r="F325" s="4" t="s">
        <v>1576</v>
      </c>
      <c r="G325" s="6">
        <v>-3451.7900010776489</v>
      </c>
      <c r="H325" s="6">
        <f t="shared" si="5"/>
        <v>-82184.28866543292</v>
      </c>
      <c r="I325" s="4"/>
      <c r="J325" s="4" t="s">
        <v>68</v>
      </c>
      <c r="K325" s="7">
        <v>3451.79</v>
      </c>
      <c r="L325" s="4" t="s">
        <v>1049</v>
      </c>
      <c r="M325" s="4" t="s">
        <v>27</v>
      </c>
      <c r="N325" s="4"/>
    </row>
    <row r="326" spans="1:14" ht="10.5" hidden="1" x14ac:dyDescent="0.25">
      <c r="A326" s="8" t="s">
        <v>240</v>
      </c>
      <c r="B326" s="4" t="s">
        <v>21</v>
      </c>
      <c r="C326" s="5">
        <v>43896</v>
      </c>
      <c r="D326" s="4" t="s">
        <v>1577</v>
      </c>
      <c r="E326" s="4" t="s">
        <v>1578</v>
      </c>
      <c r="F326" s="4" t="s">
        <v>1576</v>
      </c>
      <c r="G326" s="6">
        <v>3451.7900010776489</v>
      </c>
      <c r="H326" s="6">
        <f t="shared" si="5"/>
        <v>-78732.498664355269</v>
      </c>
      <c r="I326" s="4"/>
      <c r="J326" s="4" t="s">
        <v>68</v>
      </c>
      <c r="K326" s="7">
        <v>-3451.79</v>
      </c>
      <c r="L326" s="4" t="s">
        <v>1049</v>
      </c>
      <c r="M326" s="4" t="s">
        <v>27</v>
      </c>
      <c r="N326" s="4"/>
    </row>
    <row r="327" spans="1:14" ht="10.5" hidden="1" x14ac:dyDescent="0.25">
      <c r="A327" s="8" t="s">
        <v>240</v>
      </c>
      <c r="B327" s="4" t="s">
        <v>21</v>
      </c>
      <c r="C327" s="5">
        <v>43899</v>
      </c>
      <c r="D327" s="4" t="s">
        <v>1579</v>
      </c>
      <c r="E327" s="4"/>
      <c r="F327" s="4" t="s">
        <v>1580</v>
      </c>
      <c r="G327" s="6">
        <v>-576.08000017985216</v>
      </c>
      <c r="H327" s="6">
        <f t="shared" si="5"/>
        <v>-79308.578664535118</v>
      </c>
      <c r="I327" s="4"/>
      <c r="J327" s="4" t="s">
        <v>68</v>
      </c>
      <c r="K327" s="7">
        <v>576.08000000000004</v>
      </c>
      <c r="L327" s="4" t="s">
        <v>1049</v>
      </c>
      <c r="M327" s="4" t="s">
        <v>27</v>
      </c>
      <c r="N327" s="4"/>
    </row>
    <row r="328" spans="1:14" ht="10.5" hidden="1" x14ac:dyDescent="0.25">
      <c r="A328" s="8" t="s">
        <v>240</v>
      </c>
      <c r="B328" s="4" t="s">
        <v>21</v>
      </c>
      <c r="C328" s="5">
        <v>43899</v>
      </c>
      <c r="D328" s="4" t="s">
        <v>1581</v>
      </c>
      <c r="E328" s="4" t="s">
        <v>1582</v>
      </c>
      <c r="F328" s="4" t="s">
        <v>1580</v>
      </c>
      <c r="G328" s="6">
        <v>576.08000017985216</v>
      </c>
      <c r="H328" s="6">
        <f t="shared" si="5"/>
        <v>-78732.498664355269</v>
      </c>
      <c r="I328" s="4"/>
      <c r="J328" s="4" t="s">
        <v>68</v>
      </c>
      <c r="K328" s="7">
        <v>-576.08000000000004</v>
      </c>
      <c r="L328" s="4" t="s">
        <v>1049</v>
      </c>
      <c r="M328" s="4" t="s">
        <v>27</v>
      </c>
      <c r="N328" s="4"/>
    </row>
    <row r="329" spans="1:14" ht="10.5" hidden="1" x14ac:dyDescent="0.25">
      <c r="A329" s="8" t="s">
        <v>240</v>
      </c>
      <c r="B329" s="4" t="s">
        <v>21</v>
      </c>
      <c r="C329" s="5">
        <v>43900</v>
      </c>
      <c r="D329" s="4" t="s">
        <v>1583</v>
      </c>
      <c r="E329" s="4" t="s">
        <v>1584</v>
      </c>
      <c r="F329" s="4" t="s">
        <v>1584</v>
      </c>
      <c r="G329" s="6">
        <v>-838.59000026180775</v>
      </c>
      <c r="H329" s="6">
        <f t="shared" si="5"/>
        <v>-79571.088664617084</v>
      </c>
      <c r="I329" s="4"/>
      <c r="J329" s="4" t="s">
        <v>68</v>
      </c>
      <c r="K329" s="7">
        <v>838.59</v>
      </c>
      <c r="L329" s="4" t="s">
        <v>1049</v>
      </c>
      <c r="M329" s="4" t="s">
        <v>27</v>
      </c>
      <c r="N329" s="4"/>
    </row>
    <row r="330" spans="1:14" ht="10.5" hidden="1" x14ac:dyDescent="0.25">
      <c r="A330" s="8" t="s">
        <v>240</v>
      </c>
      <c r="B330" s="4" t="s">
        <v>21</v>
      </c>
      <c r="C330" s="5">
        <v>43900</v>
      </c>
      <c r="D330" s="4" t="s">
        <v>1585</v>
      </c>
      <c r="E330" s="4" t="s">
        <v>1586</v>
      </c>
      <c r="F330" s="4" t="s">
        <v>1584</v>
      </c>
      <c r="G330" s="6">
        <v>838.59000026180775</v>
      </c>
      <c r="H330" s="6">
        <f t="shared" si="5"/>
        <v>-78732.498664355269</v>
      </c>
      <c r="I330" s="4"/>
      <c r="J330" s="4" t="s">
        <v>68</v>
      </c>
      <c r="K330" s="7">
        <v>-838.59</v>
      </c>
      <c r="L330" s="4" t="s">
        <v>1049</v>
      </c>
      <c r="M330" s="4" t="s">
        <v>27</v>
      </c>
      <c r="N330" s="4"/>
    </row>
    <row r="331" spans="1:14" ht="10.5" hidden="1" x14ac:dyDescent="0.25">
      <c r="A331" s="8" t="s">
        <v>240</v>
      </c>
      <c r="B331" s="4" t="s">
        <v>21</v>
      </c>
      <c r="C331" s="5">
        <v>43901</v>
      </c>
      <c r="D331" s="4" t="s">
        <v>1587</v>
      </c>
      <c r="E331" s="4"/>
      <c r="F331" s="4" t="s">
        <v>1588</v>
      </c>
      <c r="G331" s="6">
        <v>-5000.0000015610003</v>
      </c>
      <c r="H331" s="6">
        <f t="shared" si="5"/>
        <v>-83732.498665916268</v>
      </c>
      <c r="I331" s="4"/>
      <c r="J331" s="4" t="s">
        <v>68</v>
      </c>
      <c r="K331" s="7">
        <v>5000</v>
      </c>
      <c r="L331" s="4" t="s">
        <v>1049</v>
      </c>
      <c r="M331" s="4" t="s">
        <v>27</v>
      </c>
      <c r="N331" s="4"/>
    </row>
    <row r="332" spans="1:14" ht="10.5" hidden="1" x14ac:dyDescent="0.25">
      <c r="A332" s="8" t="s">
        <v>240</v>
      </c>
      <c r="B332" s="4" t="s">
        <v>21</v>
      </c>
      <c r="C332" s="5">
        <v>43901</v>
      </c>
      <c r="D332" s="4" t="s">
        <v>1589</v>
      </c>
      <c r="E332" s="4" t="s">
        <v>1590</v>
      </c>
      <c r="F332" s="4" t="s">
        <v>1588</v>
      </c>
      <c r="G332" s="6">
        <v>5000.0000015610003</v>
      </c>
      <c r="H332" s="6">
        <f t="shared" si="5"/>
        <v>-78732.498664355269</v>
      </c>
      <c r="I332" s="4"/>
      <c r="J332" s="4" t="s">
        <v>68</v>
      </c>
      <c r="K332" s="7">
        <v>-5000</v>
      </c>
      <c r="L332" s="4" t="s">
        <v>1049</v>
      </c>
      <c r="M332" s="4" t="s">
        <v>27</v>
      </c>
      <c r="N332" s="4"/>
    </row>
    <row r="333" spans="1:14" ht="10.5" hidden="1" x14ac:dyDescent="0.25">
      <c r="A333" s="8" t="s">
        <v>240</v>
      </c>
      <c r="B333" s="4" t="s">
        <v>21</v>
      </c>
      <c r="C333" s="5">
        <v>43903</v>
      </c>
      <c r="D333" s="4" t="s">
        <v>1591</v>
      </c>
      <c r="E333" s="4" t="s">
        <v>1592</v>
      </c>
      <c r="F333" s="4" t="s">
        <v>1592</v>
      </c>
      <c r="G333" s="6">
        <v>18790.17520603817</v>
      </c>
      <c r="H333" s="6">
        <f t="shared" si="5"/>
        <v>-59942.3234583171</v>
      </c>
      <c r="I333" s="4"/>
      <c r="J333" s="4" t="s">
        <v>25</v>
      </c>
      <c r="K333" s="7">
        <v>-24198.25</v>
      </c>
      <c r="L333" s="4" t="s">
        <v>1049</v>
      </c>
      <c r="M333" s="4" t="s">
        <v>212</v>
      </c>
      <c r="N333" s="4"/>
    </row>
    <row r="334" spans="1:14" ht="10.5" hidden="1" x14ac:dyDescent="0.25">
      <c r="A334" s="8" t="s">
        <v>240</v>
      </c>
      <c r="B334" s="4" t="s">
        <v>21</v>
      </c>
      <c r="C334" s="5">
        <v>43903</v>
      </c>
      <c r="D334" s="4" t="s">
        <v>1591</v>
      </c>
      <c r="E334" s="4" t="s">
        <v>1592</v>
      </c>
      <c r="F334" s="4" t="s">
        <v>1592</v>
      </c>
      <c r="G334" s="6">
        <v>-7.7650967346970003E-3</v>
      </c>
      <c r="H334" s="6">
        <f t="shared" si="5"/>
        <v>-59942.331223413836</v>
      </c>
      <c r="I334" s="4"/>
      <c r="J334" s="4" t="s">
        <v>25</v>
      </c>
      <c r="K334" s="7">
        <v>0.01</v>
      </c>
      <c r="L334" s="4" t="s">
        <v>1049</v>
      </c>
      <c r="M334" s="4" t="s">
        <v>212</v>
      </c>
      <c r="N334" s="4"/>
    </row>
    <row r="335" spans="1:14" ht="10.5" hidden="1" x14ac:dyDescent="0.25">
      <c r="A335" s="8" t="s">
        <v>240</v>
      </c>
      <c r="B335" s="4" t="s">
        <v>21</v>
      </c>
      <c r="C335" s="5">
        <v>43907</v>
      </c>
      <c r="D335" s="4" t="s">
        <v>1593</v>
      </c>
      <c r="E335" s="4"/>
      <c r="F335" s="4" t="s">
        <v>1567</v>
      </c>
      <c r="G335" s="6">
        <v>4400.0000013736799</v>
      </c>
      <c r="H335" s="6">
        <f t="shared" si="5"/>
        <v>-55542.331222040157</v>
      </c>
      <c r="I335" s="4"/>
      <c r="J335" s="4" t="s">
        <v>68</v>
      </c>
      <c r="K335" s="7">
        <v>-4400</v>
      </c>
      <c r="L335" s="4" t="s">
        <v>1049</v>
      </c>
      <c r="M335" s="4" t="s">
        <v>27</v>
      </c>
      <c r="N335" s="4"/>
    </row>
    <row r="336" spans="1:14" ht="10.5" hidden="1" x14ac:dyDescent="0.25">
      <c r="A336" s="8" t="s">
        <v>240</v>
      </c>
      <c r="B336" s="4" t="s">
        <v>21</v>
      </c>
      <c r="C336" s="5">
        <v>43907</v>
      </c>
      <c r="D336" s="4" t="s">
        <v>1594</v>
      </c>
      <c r="E336" s="4"/>
      <c r="F336" s="4" t="s">
        <v>1423</v>
      </c>
      <c r="G336" s="6">
        <v>3869.3800012080205</v>
      </c>
      <c r="H336" s="6">
        <f t="shared" si="5"/>
        <v>-51672.951220832139</v>
      </c>
      <c r="I336" s="4"/>
      <c r="J336" s="4" t="s">
        <v>68</v>
      </c>
      <c r="K336" s="7">
        <v>-3869.38</v>
      </c>
      <c r="L336" s="4" t="s">
        <v>1049</v>
      </c>
      <c r="M336" s="4" t="s">
        <v>27</v>
      </c>
      <c r="N336" s="4"/>
    </row>
    <row r="337" spans="1:14" ht="10.5" hidden="1" x14ac:dyDescent="0.25">
      <c r="A337" s="8" t="s">
        <v>240</v>
      </c>
      <c r="B337" s="4" t="s">
        <v>21</v>
      </c>
      <c r="C337" s="5">
        <v>43907</v>
      </c>
      <c r="D337" s="4" t="s">
        <v>1595</v>
      </c>
      <c r="E337" s="4" t="s">
        <v>1263</v>
      </c>
      <c r="F337" s="4" t="s">
        <v>1423</v>
      </c>
      <c r="G337" s="6">
        <v>-3869.3800012080205</v>
      </c>
      <c r="H337" s="6">
        <f t="shared" si="5"/>
        <v>-55542.331222040157</v>
      </c>
      <c r="I337" s="4"/>
      <c r="J337" s="4" t="s">
        <v>68</v>
      </c>
      <c r="K337" s="7">
        <v>3869.38</v>
      </c>
      <c r="L337" s="4" t="s">
        <v>1049</v>
      </c>
      <c r="M337" s="4" t="s">
        <v>27</v>
      </c>
      <c r="N337" s="4"/>
    </row>
    <row r="338" spans="1:14" ht="10.5" hidden="1" x14ac:dyDescent="0.25">
      <c r="A338" s="8" t="s">
        <v>240</v>
      </c>
      <c r="B338" s="4" t="s">
        <v>21</v>
      </c>
      <c r="C338" s="5">
        <v>43907</v>
      </c>
      <c r="D338" s="4" t="s">
        <v>1596</v>
      </c>
      <c r="E338" s="4" t="s">
        <v>1597</v>
      </c>
      <c r="F338" s="4" t="s">
        <v>1567</v>
      </c>
      <c r="G338" s="6">
        <v>-4400.0000013736799</v>
      </c>
      <c r="H338" s="6">
        <f t="shared" si="5"/>
        <v>-59942.331223413836</v>
      </c>
      <c r="I338" s="4"/>
      <c r="J338" s="4" t="s">
        <v>68</v>
      </c>
      <c r="K338" s="7">
        <v>4400</v>
      </c>
      <c r="L338" s="4" t="s">
        <v>1049</v>
      </c>
      <c r="M338" s="4" t="s">
        <v>27</v>
      </c>
      <c r="N338" s="4"/>
    </row>
    <row r="339" spans="1:14" ht="10.5" hidden="1" x14ac:dyDescent="0.25">
      <c r="A339" s="8" t="s">
        <v>240</v>
      </c>
      <c r="B339" s="4" t="s">
        <v>21</v>
      </c>
      <c r="C339" s="5">
        <v>43910</v>
      </c>
      <c r="D339" s="4" t="s">
        <v>1598</v>
      </c>
      <c r="E339" s="4" t="s">
        <v>1599</v>
      </c>
      <c r="F339" s="4" t="s">
        <v>1599</v>
      </c>
      <c r="G339" s="6">
        <v>-8583.3300026797151</v>
      </c>
      <c r="H339" s="6">
        <f t="shared" si="5"/>
        <v>-68525.661226093551</v>
      </c>
      <c r="I339" s="4"/>
      <c r="J339" s="4" t="s">
        <v>68</v>
      </c>
      <c r="K339" s="7">
        <v>8583.33</v>
      </c>
      <c r="L339" s="4" t="s">
        <v>1049</v>
      </c>
      <c r="M339" s="4" t="s">
        <v>27</v>
      </c>
      <c r="N339" s="4"/>
    </row>
    <row r="340" spans="1:14" ht="10.5" hidden="1" x14ac:dyDescent="0.25">
      <c r="A340" s="8" t="s">
        <v>240</v>
      </c>
      <c r="B340" s="4" t="s">
        <v>21</v>
      </c>
      <c r="C340" s="5">
        <v>43910</v>
      </c>
      <c r="D340" s="4" t="s">
        <v>1600</v>
      </c>
      <c r="E340" s="4" t="s">
        <v>1601</v>
      </c>
      <c r="F340" s="4" t="s">
        <v>1601</v>
      </c>
      <c r="G340" s="6">
        <v>-8583.3300026797151</v>
      </c>
      <c r="H340" s="6">
        <f t="shared" si="5"/>
        <v>-77108.991228773259</v>
      </c>
      <c r="I340" s="4"/>
      <c r="J340" s="4" t="s">
        <v>68</v>
      </c>
      <c r="K340" s="7">
        <v>8583.33</v>
      </c>
      <c r="L340" s="4" t="s">
        <v>1049</v>
      </c>
      <c r="M340" s="4" t="s">
        <v>27</v>
      </c>
      <c r="N340" s="4"/>
    </row>
    <row r="341" spans="1:14" ht="10.5" hidden="1" x14ac:dyDescent="0.25">
      <c r="A341" s="8" t="s">
        <v>240</v>
      </c>
      <c r="B341" s="4" t="s">
        <v>21</v>
      </c>
      <c r="C341" s="5">
        <v>43910</v>
      </c>
      <c r="D341" s="4" t="s">
        <v>1602</v>
      </c>
      <c r="E341" s="4" t="s">
        <v>1603</v>
      </c>
      <c r="F341" s="4" t="s">
        <v>1603</v>
      </c>
      <c r="G341" s="6">
        <v>-8646.7500026995149</v>
      </c>
      <c r="H341" s="6">
        <f t="shared" si="5"/>
        <v>-85755.74123147277</v>
      </c>
      <c r="I341" s="4"/>
      <c r="J341" s="4" t="s">
        <v>68</v>
      </c>
      <c r="K341" s="7">
        <v>8646.75</v>
      </c>
      <c r="L341" s="4" t="s">
        <v>1049</v>
      </c>
      <c r="M341" s="4" t="s">
        <v>27</v>
      </c>
      <c r="N341" s="4"/>
    </row>
    <row r="342" spans="1:14" ht="10.5" hidden="1" x14ac:dyDescent="0.25">
      <c r="A342" s="8" t="s">
        <v>240</v>
      </c>
      <c r="B342" s="4" t="s">
        <v>21</v>
      </c>
      <c r="C342" s="5">
        <v>43910</v>
      </c>
      <c r="D342" s="4" t="s">
        <v>1604</v>
      </c>
      <c r="E342" s="4" t="s">
        <v>1605</v>
      </c>
      <c r="F342" s="4" t="s">
        <v>1605</v>
      </c>
      <c r="G342" s="6">
        <v>-8583.3300026797151</v>
      </c>
      <c r="H342" s="6">
        <f t="shared" si="5"/>
        <v>-94339.071234152478</v>
      </c>
      <c r="I342" s="4"/>
      <c r="J342" s="4" t="s">
        <v>68</v>
      </c>
      <c r="K342" s="7">
        <v>8583.33</v>
      </c>
      <c r="L342" s="4" t="s">
        <v>1049</v>
      </c>
      <c r="M342" s="4" t="s">
        <v>27</v>
      </c>
      <c r="N342" s="4"/>
    </row>
    <row r="343" spans="1:14" ht="10.5" hidden="1" x14ac:dyDescent="0.25">
      <c r="A343" s="8" t="s">
        <v>240</v>
      </c>
      <c r="B343" s="4" t="s">
        <v>21</v>
      </c>
      <c r="C343" s="5">
        <v>43910</v>
      </c>
      <c r="D343" s="4" t="s">
        <v>1606</v>
      </c>
      <c r="E343" s="4" t="s">
        <v>1607</v>
      </c>
      <c r="F343" s="4" t="s">
        <v>1607</v>
      </c>
      <c r="G343" s="6">
        <v>-10500.000003278101</v>
      </c>
      <c r="H343" s="6">
        <f t="shared" si="5"/>
        <v>-104839.07123743057</v>
      </c>
      <c r="I343" s="4"/>
      <c r="J343" s="4" t="s">
        <v>68</v>
      </c>
      <c r="K343" s="7">
        <v>10500</v>
      </c>
      <c r="L343" s="4" t="s">
        <v>1049</v>
      </c>
      <c r="M343" s="4" t="s">
        <v>27</v>
      </c>
      <c r="N343" s="4"/>
    </row>
    <row r="344" spans="1:14" ht="10.5" hidden="1" x14ac:dyDescent="0.25">
      <c r="A344" s="8" t="s">
        <v>240</v>
      </c>
      <c r="B344" s="4" t="s">
        <v>21</v>
      </c>
      <c r="C344" s="5">
        <v>43910</v>
      </c>
      <c r="D344" s="4" t="s">
        <v>1608</v>
      </c>
      <c r="E344" s="4" t="s">
        <v>1609</v>
      </c>
      <c r="F344" s="4" t="s">
        <v>1609</v>
      </c>
      <c r="G344" s="6">
        <v>-8712.0800027199111</v>
      </c>
      <c r="H344" s="6">
        <f t="shared" si="5"/>
        <v>-113551.15124015049</v>
      </c>
      <c r="I344" s="4"/>
      <c r="J344" s="4" t="s">
        <v>68</v>
      </c>
      <c r="K344" s="7">
        <v>8712.08</v>
      </c>
      <c r="L344" s="4" t="s">
        <v>1049</v>
      </c>
      <c r="M344" s="4" t="s">
        <v>27</v>
      </c>
      <c r="N344" s="4"/>
    </row>
    <row r="345" spans="1:14" ht="10.5" hidden="1" x14ac:dyDescent="0.25">
      <c r="A345" s="8" t="s">
        <v>240</v>
      </c>
      <c r="B345" s="4" t="s">
        <v>21</v>
      </c>
      <c r="C345" s="5">
        <v>43910</v>
      </c>
      <c r="D345" s="4" t="s">
        <v>1610</v>
      </c>
      <c r="E345" s="4" t="s">
        <v>1611</v>
      </c>
      <c r="F345" s="4" t="s">
        <v>1599</v>
      </c>
      <c r="G345" s="6">
        <v>8583.3300026797151</v>
      </c>
      <c r="H345" s="6">
        <f t="shared" si="5"/>
        <v>-104967.82123747078</v>
      </c>
      <c r="I345" s="4"/>
      <c r="J345" s="4" t="s">
        <v>68</v>
      </c>
      <c r="K345" s="7">
        <v>-8583.33</v>
      </c>
      <c r="L345" s="4" t="s">
        <v>1049</v>
      </c>
      <c r="M345" s="4" t="s">
        <v>27</v>
      </c>
      <c r="N345" s="4"/>
    </row>
    <row r="346" spans="1:14" ht="10.5" hidden="1" x14ac:dyDescent="0.25">
      <c r="A346" s="8" t="s">
        <v>240</v>
      </c>
      <c r="B346" s="4" t="s">
        <v>21</v>
      </c>
      <c r="C346" s="5">
        <v>43910</v>
      </c>
      <c r="D346" s="4" t="s">
        <v>1612</v>
      </c>
      <c r="E346" s="4" t="s">
        <v>1613</v>
      </c>
      <c r="F346" s="4" t="s">
        <v>1601</v>
      </c>
      <c r="G346" s="6">
        <v>8583.3300026797151</v>
      </c>
      <c r="H346" s="6">
        <f t="shared" si="5"/>
        <v>-96384.491234791058</v>
      </c>
      <c r="I346" s="4"/>
      <c r="J346" s="4" t="s">
        <v>68</v>
      </c>
      <c r="K346" s="7">
        <v>-8583.33</v>
      </c>
      <c r="L346" s="4" t="s">
        <v>1049</v>
      </c>
      <c r="M346" s="4" t="s">
        <v>27</v>
      </c>
      <c r="N346" s="4"/>
    </row>
    <row r="347" spans="1:14" ht="10.5" hidden="1" x14ac:dyDescent="0.25">
      <c r="A347" s="8" t="s">
        <v>240</v>
      </c>
      <c r="B347" s="4" t="s">
        <v>21</v>
      </c>
      <c r="C347" s="5">
        <v>43910</v>
      </c>
      <c r="D347" s="4" t="s">
        <v>1614</v>
      </c>
      <c r="E347" s="4" t="s">
        <v>1615</v>
      </c>
      <c r="F347" s="4" t="s">
        <v>1603</v>
      </c>
      <c r="G347" s="6">
        <v>8646.7500026995149</v>
      </c>
      <c r="H347" s="6">
        <f t="shared" si="5"/>
        <v>-87737.741232091546</v>
      </c>
      <c r="I347" s="4"/>
      <c r="J347" s="4" t="s">
        <v>68</v>
      </c>
      <c r="K347" s="7">
        <v>-8646.75</v>
      </c>
      <c r="L347" s="4" t="s">
        <v>1049</v>
      </c>
      <c r="M347" s="4" t="s">
        <v>27</v>
      </c>
      <c r="N347" s="4"/>
    </row>
    <row r="348" spans="1:14" ht="10.5" hidden="1" x14ac:dyDescent="0.25">
      <c r="A348" s="8" t="s">
        <v>240</v>
      </c>
      <c r="B348" s="4" t="s">
        <v>21</v>
      </c>
      <c r="C348" s="5">
        <v>43910</v>
      </c>
      <c r="D348" s="4" t="s">
        <v>1616</v>
      </c>
      <c r="E348" s="4" t="s">
        <v>1617</v>
      </c>
      <c r="F348" s="4" t="s">
        <v>1605</v>
      </c>
      <c r="G348" s="6">
        <v>8583.3300026797151</v>
      </c>
      <c r="H348" s="6">
        <f t="shared" ref="H348:H411" si="6">H347+G348</f>
        <v>-79154.411229411839</v>
      </c>
      <c r="I348" s="4"/>
      <c r="J348" s="4" t="s">
        <v>68</v>
      </c>
      <c r="K348" s="7">
        <v>-8583.33</v>
      </c>
      <c r="L348" s="4" t="s">
        <v>1049</v>
      </c>
      <c r="M348" s="4" t="s">
        <v>27</v>
      </c>
      <c r="N348" s="4"/>
    </row>
    <row r="349" spans="1:14" ht="10.5" hidden="1" x14ac:dyDescent="0.25">
      <c r="A349" s="8" t="s">
        <v>240</v>
      </c>
      <c r="B349" s="4" t="s">
        <v>21</v>
      </c>
      <c r="C349" s="5">
        <v>43910</v>
      </c>
      <c r="D349" s="4" t="s">
        <v>1618</v>
      </c>
      <c r="E349" s="4" t="s">
        <v>1619</v>
      </c>
      <c r="F349" s="4" t="s">
        <v>1607</v>
      </c>
      <c r="G349" s="6">
        <v>10500.000003278101</v>
      </c>
      <c r="H349" s="6">
        <f t="shared" si="6"/>
        <v>-68654.411226133743</v>
      </c>
      <c r="I349" s="4"/>
      <c r="J349" s="4" t="s">
        <v>68</v>
      </c>
      <c r="K349" s="7">
        <v>-10500</v>
      </c>
      <c r="L349" s="4" t="s">
        <v>1049</v>
      </c>
      <c r="M349" s="4" t="s">
        <v>27</v>
      </c>
      <c r="N349" s="4"/>
    </row>
    <row r="350" spans="1:14" ht="10.5" hidden="1" x14ac:dyDescent="0.25">
      <c r="A350" s="8" t="s">
        <v>240</v>
      </c>
      <c r="B350" s="4" t="s">
        <v>21</v>
      </c>
      <c r="C350" s="5">
        <v>43910</v>
      </c>
      <c r="D350" s="4" t="s">
        <v>1620</v>
      </c>
      <c r="E350" s="4" t="s">
        <v>1621</v>
      </c>
      <c r="F350" s="4" t="s">
        <v>1609</v>
      </c>
      <c r="G350" s="6">
        <v>8712.0800027199111</v>
      </c>
      <c r="H350" s="6">
        <f t="shared" si="6"/>
        <v>-59942.331223413828</v>
      </c>
      <c r="I350" s="4"/>
      <c r="J350" s="4" t="s">
        <v>68</v>
      </c>
      <c r="K350" s="7">
        <v>-8712.08</v>
      </c>
      <c r="L350" s="4" t="s">
        <v>1049</v>
      </c>
      <c r="M350" s="4" t="s">
        <v>27</v>
      </c>
      <c r="N350" s="4"/>
    </row>
    <row r="351" spans="1:14" ht="10.5" hidden="1" x14ac:dyDescent="0.25">
      <c r="A351" s="8" t="s">
        <v>240</v>
      </c>
      <c r="B351" s="4" t="s">
        <v>21</v>
      </c>
      <c r="C351" s="5">
        <v>43920</v>
      </c>
      <c r="D351" s="4" t="s">
        <v>1622</v>
      </c>
      <c r="E351" s="4" t="s">
        <v>1623</v>
      </c>
      <c r="F351" s="4" t="s">
        <v>1624</v>
      </c>
      <c r="G351" s="6">
        <v>4400.0000013736799</v>
      </c>
      <c r="H351" s="6">
        <f t="shared" si="6"/>
        <v>-55542.331222040149</v>
      </c>
      <c r="I351" s="4"/>
      <c r="J351" s="4" t="s">
        <v>68</v>
      </c>
      <c r="K351" s="7">
        <v>-4400</v>
      </c>
      <c r="L351" s="4" t="s">
        <v>1049</v>
      </c>
      <c r="M351" s="4" t="s">
        <v>27</v>
      </c>
      <c r="N351" s="4"/>
    </row>
    <row r="352" spans="1:14" ht="10.5" hidden="1" x14ac:dyDescent="0.25">
      <c r="A352" s="8" t="s">
        <v>240</v>
      </c>
      <c r="B352" s="4" t="s">
        <v>21</v>
      </c>
      <c r="C352" s="5">
        <v>43920</v>
      </c>
      <c r="D352" s="4" t="s">
        <v>1625</v>
      </c>
      <c r="E352" s="4" t="s">
        <v>1626</v>
      </c>
      <c r="F352" s="4" t="s">
        <v>1627</v>
      </c>
      <c r="G352" s="6">
        <v>1578.3700004927671</v>
      </c>
      <c r="H352" s="6">
        <f t="shared" si="6"/>
        <v>-53963.961221547383</v>
      </c>
      <c r="I352" s="4"/>
      <c r="J352" s="4" t="s">
        <v>68</v>
      </c>
      <c r="K352" s="7">
        <v>-1578.37</v>
      </c>
      <c r="L352" s="4" t="s">
        <v>1049</v>
      </c>
      <c r="M352" s="4" t="s">
        <v>27</v>
      </c>
      <c r="N352" s="4"/>
    </row>
    <row r="353" spans="1:17" ht="10.5" hidden="1" x14ac:dyDescent="0.25">
      <c r="A353" s="8" t="s">
        <v>240</v>
      </c>
      <c r="B353" s="4" t="s">
        <v>21</v>
      </c>
      <c r="C353" s="5">
        <v>43920</v>
      </c>
      <c r="D353" s="4" t="s">
        <v>1625</v>
      </c>
      <c r="E353" s="4" t="s">
        <v>1626</v>
      </c>
      <c r="F353" s="4" t="s">
        <v>1627</v>
      </c>
      <c r="G353" s="6">
        <v>4786.2500014942671</v>
      </c>
      <c r="H353" s="6">
        <f t="shared" si="6"/>
        <v>-49177.711220053112</v>
      </c>
      <c r="I353" s="4"/>
      <c r="J353" s="4" t="s">
        <v>68</v>
      </c>
      <c r="K353" s="7">
        <v>-4786.25</v>
      </c>
      <c r="L353" s="4" t="s">
        <v>1049</v>
      </c>
      <c r="M353" s="4" t="s">
        <v>27</v>
      </c>
      <c r="N353" s="4"/>
    </row>
    <row r="354" spans="1:17" ht="10.5" hidden="1" x14ac:dyDescent="0.25">
      <c r="A354" s="8" t="s">
        <v>240</v>
      </c>
      <c r="B354" s="4" t="s">
        <v>21</v>
      </c>
      <c r="C354" s="5">
        <v>43921</v>
      </c>
      <c r="D354" s="4" t="s">
        <v>1628</v>
      </c>
      <c r="E354" s="4" t="s">
        <v>1629</v>
      </c>
      <c r="F354" s="4" t="s">
        <v>1630</v>
      </c>
      <c r="G354" s="6">
        <v>-3999.24542664</v>
      </c>
      <c r="H354" s="6">
        <f t="shared" si="6"/>
        <v>-53176.956646693114</v>
      </c>
      <c r="I354" s="4"/>
      <c r="J354" s="4" t="s">
        <v>68</v>
      </c>
      <c r="K354" s="7">
        <v>3816</v>
      </c>
      <c r="L354" s="4" t="s">
        <v>1049</v>
      </c>
      <c r="M354" s="4" t="s">
        <v>38</v>
      </c>
      <c r="N354" s="4"/>
      <c r="Q354" t="s">
        <v>809</v>
      </c>
    </row>
    <row r="355" spans="1:17" ht="10.5" hidden="1" x14ac:dyDescent="0.25">
      <c r="A355" s="8" t="s">
        <v>240</v>
      </c>
      <c r="B355" s="4" t="s">
        <v>21</v>
      </c>
      <c r="C355" s="5">
        <v>43921</v>
      </c>
      <c r="D355" s="4" t="s">
        <v>1631</v>
      </c>
      <c r="E355" s="4" t="s">
        <v>1629</v>
      </c>
      <c r="F355" s="4" t="s">
        <v>1632</v>
      </c>
      <c r="G355" s="6">
        <v>-220.0842609</v>
      </c>
      <c r="H355" s="6">
        <f t="shared" si="6"/>
        <v>-53397.040907593117</v>
      </c>
      <c r="I355" s="4"/>
      <c r="J355" s="4" t="s">
        <v>748</v>
      </c>
      <c r="K355" s="7">
        <v>210</v>
      </c>
      <c r="L355" s="4" t="s">
        <v>1049</v>
      </c>
      <c r="M355" s="4" t="s">
        <v>38</v>
      </c>
      <c r="N355" s="4"/>
      <c r="Q355" t="s">
        <v>809</v>
      </c>
    </row>
    <row r="356" spans="1:17" ht="10.5" hidden="1" x14ac:dyDescent="0.25">
      <c r="A356" s="8" t="s">
        <v>240</v>
      </c>
      <c r="B356" s="4" t="s">
        <v>21</v>
      </c>
      <c r="C356" s="5">
        <v>43921</v>
      </c>
      <c r="D356" s="4" t="s">
        <v>1633</v>
      </c>
      <c r="E356" s="4"/>
      <c r="F356" s="4" t="s">
        <v>1634</v>
      </c>
      <c r="G356" s="6">
        <v>-2587.0000008076613</v>
      </c>
      <c r="H356" s="6">
        <f t="shared" si="6"/>
        <v>-55984.040908400777</v>
      </c>
      <c r="I356" s="4"/>
      <c r="J356" s="4" t="s">
        <v>68</v>
      </c>
      <c r="K356" s="7">
        <v>2587</v>
      </c>
      <c r="L356" s="4" t="s">
        <v>1049</v>
      </c>
      <c r="M356" s="4" t="s">
        <v>27</v>
      </c>
      <c r="N356" s="4"/>
    </row>
    <row r="357" spans="1:17" ht="10.5" hidden="1" x14ac:dyDescent="0.25">
      <c r="A357" s="8" t="s">
        <v>240</v>
      </c>
      <c r="B357" s="4" t="s">
        <v>21</v>
      </c>
      <c r="C357" s="5">
        <v>43921</v>
      </c>
      <c r="D357" s="4" t="s">
        <v>1635</v>
      </c>
      <c r="E357" s="4"/>
      <c r="F357" s="4" t="s">
        <v>1636</v>
      </c>
      <c r="G357" s="6">
        <v>-846.71000026434285</v>
      </c>
      <c r="H357" s="6">
        <f t="shared" si="6"/>
        <v>-56830.750908665119</v>
      </c>
      <c r="I357" s="4"/>
      <c r="J357" s="4" t="s">
        <v>68</v>
      </c>
      <c r="K357" s="7">
        <v>846.71</v>
      </c>
      <c r="L357" s="4" t="s">
        <v>1049</v>
      </c>
      <c r="M357" s="4" t="s">
        <v>27</v>
      </c>
      <c r="N357" s="4"/>
    </row>
    <row r="358" spans="1:17" ht="10.5" hidden="1" x14ac:dyDescent="0.25">
      <c r="A358" s="8" t="s">
        <v>240</v>
      </c>
      <c r="B358" s="4" t="s">
        <v>21</v>
      </c>
      <c r="C358" s="5">
        <v>43921</v>
      </c>
      <c r="D358" s="4" t="s">
        <v>1637</v>
      </c>
      <c r="E358" s="4" t="s">
        <v>1638</v>
      </c>
      <c r="F358" s="4" t="s">
        <v>1634</v>
      </c>
      <c r="G358" s="6">
        <v>2587.0000008076613</v>
      </c>
      <c r="H358" s="6">
        <f t="shared" si="6"/>
        <v>-54243.750907857459</v>
      </c>
      <c r="I358" s="4"/>
      <c r="J358" s="4" t="s">
        <v>68</v>
      </c>
      <c r="K358" s="7">
        <v>-2587</v>
      </c>
      <c r="L358" s="4" t="s">
        <v>1049</v>
      </c>
      <c r="M358" s="4" t="s">
        <v>27</v>
      </c>
      <c r="N358" s="4"/>
    </row>
    <row r="359" spans="1:17" ht="10.5" hidden="1" x14ac:dyDescent="0.25">
      <c r="A359" s="8" t="s">
        <v>240</v>
      </c>
      <c r="B359" s="4" t="s">
        <v>21</v>
      </c>
      <c r="C359" s="5">
        <v>43921</v>
      </c>
      <c r="D359" s="4" t="s">
        <v>1639</v>
      </c>
      <c r="E359" s="4" t="s">
        <v>1640</v>
      </c>
      <c r="F359" s="4" t="s">
        <v>1636</v>
      </c>
      <c r="G359" s="6">
        <v>846.71000026434285</v>
      </c>
      <c r="H359" s="6">
        <f t="shared" si="6"/>
        <v>-53397.040907593117</v>
      </c>
      <c r="I359" s="4"/>
      <c r="J359" s="4" t="s">
        <v>68</v>
      </c>
      <c r="K359" s="7">
        <v>-846.71</v>
      </c>
      <c r="L359" s="4" t="s">
        <v>1049</v>
      </c>
      <c r="M359" s="4" t="s">
        <v>27</v>
      </c>
      <c r="N359" s="4"/>
    </row>
    <row r="360" spans="1:17" ht="10.5" hidden="1" x14ac:dyDescent="0.25">
      <c r="A360" s="8" t="s">
        <v>240</v>
      </c>
      <c r="B360" s="4" t="s">
        <v>21</v>
      </c>
      <c r="C360" s="5">
        <v>43921</v>
      </c>
      <c r="D360" s="4" t="s">
        <v>1641</v>
      </c>
      <c r="E360" s="4" t="s">
        <v>1642</v>
      </c>
      <c r="F360" s="4" t="s">
        <v>1642</v>
      </c>
      <c r="G360" s="6">
        <v>-12280.282550104001</v>
      </c>
      <c r="H360" s="6">
        <f t="shared" si="6"/>
        <v>-65677.323457697115</v>
      </c>
      <c r="I360" s="4"/>
      <c r="J360" s="4" t="s">
        <v>68</v>
      </c>
      <c r="K360" s="7">
        <v>970000</v>
      </c>
      <c r="L360" s="4" t="s">
        <v>1049</v>
      </c>
      <c r="M360" s="4" t="s">
        <v>204</v>
      </c>
      <c r="N360" s="4"/>
    </row>
    <row r="361" spans="1:17" ht="10.5" hidden="1" x14ac:dyDescent="0.25">
      <c r="A361" s="8" t="s">
        <v>240</v>
      </c>
      <c r="B361" s="4" t="s">
        <v>21</v>
      </c>
      <c r="C361" s="5">
        <v>43921</v>
      </c>
      <c r="D361" s="4" t="s">
        <v>1641</v>
      </c>
      <c r="E361" s="4" t="s">
        <v>1642</v>
      </c>
      <c r="F361" s="4" t="s">
        <v>1643</v>
      </c>
      <c r="G361" s="6">
        <v>10.153388252766399</v>
      </c>
      <c r="H361" s="6">
        <f t="shared" si="6"/>
        <v>-65667.170069444343</v>
      </c>
      <c r="I361" s="4"/>
      <c r="J361" s="4" t="s">
        <v>68</v>
      </c>
      <c r="K361" s="7">
        <v>-802</v>
      </c>
      <c r="L361" s="4" t="s">
        <v>1049</v>
      </c>
      <c r="M361" s="4" t="s">
        <v>204</v>
      </c>
      <c r="N361" s="4"/>
    </row>
    <row r="362" spans="1:17" ht="10.5" hidden="1" x14ac:dyDescent="0.25">
      <c r="A362" s="8" t="s">
        <v>240</v>
      </c>
      <c r="B362" s="4" t="s">
        <v>21</v>
      </c>
      <c r="C362" s="5">
        <v>43921</v>
      </c>
      <c r="D362" s="4" t="s">
        <v>1644</v>
      </c>
      <c r="E362" s="4" t="s">
        <v>1645</v>
      </c>
      <c r="F362" s="4" t="s">
        <v>1645</v>
      </c>
      <c r="G362" s="6">
        <v>-2900.5647580792552</v>
      </c>
      <c r="H362" s="6">
        <f t="shared" si="6"/>
        <v>-68567.7348275236</v>
      </c>
      <c r="I362" s="4"/>
      <c r="J362" s="4" t="s">
        <v>68</v>
      </c>
      <c r="K362" s="7">
        <v>229111</v>
      </c>
      <c r="L362" s="4" t="s">
        <v>1049</v>
      </c>
      <c r="M362" s="4" t="s">
        <v>204</v>
      </c>
      <c r="N362" s="4"/>
    </row>
    <row r="363" spans="1:17" ht="10.5" hidden="1" x14ac:dyDescent="0.25">
      <c r="A363" s="8" t="s">
        <v>240</v>
      </c>
      <c r="B363" s="4" t="s">
        <v>21</v>
      </c>
      <c r="C363" s="5">
        <v>43921</v>
      </c>
      <c r="D363" s="4" t="s">
        <v>1646</v>
      </c>
      <c r="E363" s="4" t="s">
        <v>1647</v>
      </c>
      <c r="F363" s="4" t="s">
        <v>1645</v>
      </c>
      <c r="G363" s="6">
        <v>2900.5647580792552</v>
      </c>
      <c r="H363" s="6">
        <f t="shared" si="6"/>
        <v>-65667.170069444343</v>
      </c>
      <c r="I363" s="4"/>
      <c r="J363" s="4" t="s">
        <v>68</v>
      </c>
      <c r="K363" s="7">
        <v>-229111</v>
      </c>
      <c r="L363" s="4" t="s">
        <v>1049</v>
      </c>
      <c r="M363" s="4" t="s">
        <v>204</v>
      </c>
      <c r="N363" s="4"/>
    </row>
    <row r="364" spans="1:17" ht="10.5" hidden="1" x14ac:dyDescent="0.25">
      <c r="A364" s="8" t="s">
        <v>240</v>
      </c>
      <c r="B364" s="4" t="s">
        <v>21</v>
      </c>
      <c r="C364" s="5">
        <v>43921</v>
      </c>
      <c r="D364" s="4" t="s">
        <v>1646</v>
      </c>
      <c r="E364" s="4" t="s">
        <v>1647</v>
      </c>
      <c r="F364" s="4" t="s">
        <v>1642</v>
      </c>
      <c r="G364" s="6">
        <v>12280.282550104001</v>
      </c>
      <c r="H364" s="6">
        <f t="shared" si="6"/>
        <v>-53386.887519340344</v>
      </c>
      <c r="I364" s="4"/>
      <c r="J364" s="4" t="s">
        <v>68</v>
      </c>
      <c r="K364" s="7">
        <v>-970000</v>
      </c>
      <c r="L364" s="4" t="s">
        <v>1049</v>
      </c>
      <c r="M364" s="4" t="s">
        <v>204</v>
      </c>
      <c r="N364" s="4"/>
    </row>
    <row r="365" spans="1:17" ht="10.5" hidden="1" x14ac:dyDescent="0.25">
      <c r="A365" s="8" t="s">
        <v>240</v>
      </c>
      <c r="B365" s="4" t="s">
        <v>21</v>
      </c>
      <c r="C365" s="5">
        <v>43921</v>
      </c>
      <c r="D365" s="4" t="s">
        <v>1646</v>
      </c>
      <c r="E365" s="4" t="s">
        <v>1647</v>
      </c>
      <c r="F365" s="4" t="s">
        <v>1642</v>
      </c>
      <c r="G365" s="6">
        <v>-10.153388252766399</v>
      </c>
      <c r="H365" s="6">
        <f t="shared" si="6"/>
        <v>-53397.040907593109</v>
      </c>
      <c r="I365" s="4"/>
      <c r="J365" s="4" t="s">
        <v>68</v>
      </c>
      <c r="K365" s="7">
        <v>802</v>
      </c>
      <c r="L365" s="4" t="s">
        <v>1049</v>
      </c>
      <c r="M365" s="4" t="s">
        <v>204</v>
      </c>
      <c r="N365" s="4"/>
    </row>
    <row r="366" spans="1:17" ht="10.5" hidden="1" x14ac:dyDescent="0.25">
      <c r="A366" s="8" t="s">
        <v>240</v>
      </c>
      <c r="B366" s="4" t="s">
        <v>21</v>
      </c>
      <c r="C366" s="5">
        <v>43921</v>
      </c>
      <c r="D366" s="4" t="s">
        <v>1648</v>
      </c>
      <c r="E366" s="4" t="s">
        <v>1649</v>
      </c>
      <c r="F366" s="4" t="s">
        <v>1650</v>
      </c>
      <c r="G366" s="6">
        <v>-2082.1282364126846</v>
      </c>
      <c r="H366" s="6">
        <f t="shared" si="6"/>
        <v>-55479.169144005791</v>
      </c>
      <c r="I366" s="4"/>
      <c r="J366" s="4" t="s">
        <v>68</v>
      </c>
      <c r="K366" s="7">
        <v>164464</v>
      </c>
      <c r="L366" s="4" t="s">
        <v>1049</v>
      </c>
      <c r="M366" s="4" t="s">
        <v>204</v>
      </c>
      <c r="N366" s="4"/>
    </row>
    <row r="367" spans="1:17" ht="10.5" hidden="1" x14ac:dyDescent="0.25">
      <c r="A367" s="8" t="s">
        <v>240</v>
      </c>
      <c r="B367" s="4" t="s">
        <v>21</v>
      </c>
      <c r="C367" s="5">
        <v>43921</v>
      </c>
      <c r="D367" s="4" t="s">
        <v>1651</v>
      </c>
      <c r="E367" s="4" t="s">
        <v>1652</v>
      </c>
      <c r="F367" s="4" t="s">
        <v>1652</v>
      </c>
      <c r="G367" s="6">
        <v>-47084.261768247256</v>
      </c>
      <c r="H367" s="6">
        <f t="shared" si="6"/>
        <v>-102563.43091225304</v>
      </c>
      <c r="I367" s="4"/>
      <c r="J367" s="4" t="s">
        <v>68</v>
      </c>
      <c r="K367" s="7">
        <v>3719111</v>
      </c>
      <c r="L367" s="4" t="s">
        <v>1049</v>
      </c>
      <c r="M367" s="4" t="s">
        <v>204</v>
      </c>
      <c r="N367" s="4"/>
    </row>
    <row r="368" spans="1:17" ht="10.5" hidden="1" x14ac:dyDescent="0.25">
      <c r="A368" s="8" t="s">
        <v>240</v>
      </c>
      <c r="B368" s="4" t="s">
        <v>241</v>
      </c>
      <c r="C368" s="5">
        <v>43921</v>
      </c>
      <c r="D368" s="4" t="s">
        <v>1653</v>
      </c>
      <c r="E368" s="4"/>
      <c r="F368" s="4"/>
      <c r="G368" s="6">
        <v>545.15919445220004</v>
      </c>
      <c r="H368" s="6">
        <f t="shared" si="6"/>
        <v>-102018.27171780085</v>
      </c>
      <c r="I368" s="4"/>
      <c r="J368" s="4" t="s">
        <v>68</v>
      </c>
      <c r="K368" s="7">
        <v>0</v>
      </c>
      <c r="L368" s="4" t="s">
        <v>1049</v>
      </c>
      <c r="M368" s="4" t="s">
        <v>201</v>
      </c>
      <c r="N368" s="4"/>
    </row>
    <row r="369" spans="1:14" ht="10.5" hidden="1" x14ac:dyDescent="0.25">
      <c r="A369" s="8" t="s">
        <v>240</v>
      </c>
      <c r="B369" s="4" t="s">
        <v>241</v>
      </c>
      <c r="C369" s="5">
        <v>43922</v>
      </c>
      <c r="D369" s="4" t="s">
        <v>1654</v>
      </c>
      <c r="E369" s="4"/>
      <c r="F369" s="4"/>
      <c r="G369" s="6">
        <v>-545.15919445220004</v>
      </c>
      <c r="H369" s="6">
        <f t="shared" si="6"/>
        <v>-102563.43091225304</v>
      </c>
      <c r="I369" s="4"/>
      <c r="J369" s="4" t="s">
        <v>68</v>
      </c>
      <c r="K369" s="7">
        <v>0</v>
      </c>
      <c r="L369" s="4" t="s">
        <v>1655</v>
      </c>
      <c r="M369" s="4" t="s">
        <v>201</v>
      </c>
      <c r="N369" s="4"/>
    </row>
    <row r="370" spans="1:14" ht="10.5" hidden="1" x14ac:dyDescent="0.25">
      <c r="A370" s="8" t="s">
        <v>240</v>
      </c>
      <c r="B370" s="4" t="s">
        <v>21</v>
      </c>
      <c r="C370" s="5">
        <v>43923</v>
      </c>
      <c r="D370" s="4" t="s">
        <v>1656</v>
      </c>
      <c r="E370" s="4"/>
      <c r="F370" s="4" t="s">
        <v>1657</v>
      </c>
      <c r="G370" s="6">
        <v>5000.0000015610003</v>
      </c>
      <c r="H370" s="6">
        <f t="shared" si="6"/>
        <v>-97563.430910692041</v>
      </c>
      <c r="I370" s="4"/>
      <c r="J370" s="4" t="s">
        <v>68</v>
      </c>
      <c r="K370" s="7">
        <v>-5000</v>
      </c>
      <c r="L370" s="4" t="s">
        <v>1655</v>
      </c>
      <c r="M370" s="4" t="s">
        <v>27</v>
      </c>
      <c r="N370" s="4"/>
    </row>
    <row r="371" spans="1:14" ht="10.5" hidden="1" x14ac:dyDescent="0.25">
      <c r="A371" s="8" t="s">
        <v>240</v>
      </c>
      <c r="B371" s="4" t="s">
        <v>21</v>
      </c>
      <c r="C371" s="5">
        <v>43923</v>
      </c>
      <c r="D371" s="4" t="s">
        <v>1658</v>
      </c>
      <c r="E371" s="4"/>
      <c r="F371" s="4" t="s">
        <v>1309</v>
      </c>
      <c r="G371" s="6">
        <v>12776.97000398897</v>
      </c>
      <c r="H371" s="6">
        <f t="shared" si="6"/>
        <v>-84786.460906703069</v>
      </c>
      <c r="I371" s="4"/>
      <c r="J371" s="4" t="s">
        <v>68</v>
      </c>
      <c r="K371" s="7">
        <v>-12776.97</v>
      </c>
      <c r="L371" s="4" t="s">
        <v>1655</v>
      </c>
      <c r="M371" s="4" t="s">
        <v>27</v>
      </c>
      <c r="N371" s="4"/>
    </row>
    <row r="372" spans="1:14" ht="10.5" hidden="1" x14ac:dyDescent="0.25">
      <c r="A372" s="8" t="s">
        <v>240</v>
      </c>
      <c r="B372" s="4" t="s">
        <v>21</v>
      </c>
      <c r="C372" s="5">
        <v>43923</v>
      </c>
      <c r="D372" s="4" t="s">
        <v>1659</v>
      </c>
      <c r="E372" s="4"/>
      <c r="F372" s="4" t="s">
        <v>1351</v>
      </c>
      <c r="G372" s="6">
        <v>13048.330004073689</v>
      </c>
      <c r="H372" s="6">
        <f t="shared" si="6"/>
        <v>-71738.130902629375</v>
      </c>
      <c r="I372" s="4"/>
      <c r="J372" s="4" t="s">
        <v>68</v>
      </c>
      <c r="K372" s="7">
        <v>-13048.33</v>
      </c>
      <c r="L372" s="4" t="s">
        <v>1655</v>
      </c>
      <c r="M372" s="4" t="s">
        <v>27</v>
      </c>
      <c r="N372" s="4"/>
    </row>
    <row r="373" spans="1:14" ht="10.5" hidden="1" x14ac:dyDescent="0.25">
      <c r="A373" s="8" t="s">
        <v>240</v>
      </c>
      <c r="B373" s="4" t="s">
        <v>21</v>
      </c>
      <c r="C373" s="5">
        <v>43923</v>
      </c>
      <c r="D373" s="4" t="s">
        <v>1660</v>
      </c>
      <c r="E373" s="4"/>
      <c r="F373" s="4" t="s">
        <v>1353</v>
      </c>
      <c r="G373" s="6">
        <v>13290.830004149397</v>
      </c>
      <c r="H373" s="6">
        <f t="shared" si="6"/>
        <v>-58447.300898479982</v>
      </c>
      <c r="I373" s="4"/>
      <c r="J373" s="4" t="s">
        <v>68</v>
      </c>
      <c r="K373" s="7">
        <v>-13290.83</v>
      </c>
      <c r="L373" s="4" t="s">
        <v>1655</v>
      </c>
      <c r="M373" s="4" t="s">
        <v>27</v>
      </c>
      <c r="N373" s="4"/>
    </row>
    <row r="374" spans="1:14" ht="10.5" hidden="1" x14ac:dyDescent="0.25">
      <c r="A374" s="8" t="s">
        <v>240</v>
      </c>
      <c r="B374" s="4" t="s">
        <v>21</v>
      </c>
      <c r="C374" s="5">
        <v>43923</v>
      </c>
      <c r="D374" s="4" t="s">
        <v>1661</v>
      </c>
      <c r="E374" s="4"/>
      <c r="F374" s="4" t="s">
        <v>1357</v>
      </c>
      <c r="G374" s="6">
        <v>15271.530004767772</v>
      </c>
      <c r="H374" s="6">
        <f t="shared" si="6"/>
        <v>-43175.770893712208</v>
      </c>
      <c r="I374" s="4"/>
      <c r="J374" s="4" t="s">
        <v>68</v>
      </c>
      <c r="K374" s="7">
        <v>-15271.53</v>
      </c>
      <c r="L374" s="4" t="s">
        <v>1655</v>
      </c>
      <c r="M374" s="4" t="s">
        <v>27</v>
      </c>
      <c r="N374" s="4"/>
    </row>
    <row r="375" spans="1:14" ht="10.5" hidden="1" x14ac:dyDescent="0.25">
      <c r="A375" s="8" t="s">
        <v>240</v>
      </c>
      <c r="B375" s="4" t="s">
        <v>21</v>
      </c>
      <c r="C375" s="5">
        <v>43923</v>
      </c>
      <c r="D375" s="4" t="s">
        <v>1662</v>
      </c>
      <c r="E375" s="4"/>
      <c r="F375" s="4" t="s">
        <v>1355</v>
      </c>
      <c r="G375" s="6">
        <v>16415.120005124802</v>
      </c>
      <c r="H375" s="6">
        <f t="shared" si="6"/>
        <v>-26760.650888587406</v>
      </c>
      <c r="I375" s="4"/>
      <c r="J375" s="4" t="s">
        <v>68</v>
      </c>
      <c r="K375" s="7">
        <v>-16415.12</v>
      </c>
      <c r="L375" s="4" t="s">
        <v>1655</v>
      </c>
      <c r="M375" s="4" t="s">
        <v>27</v>
      </c>
      <c r="N375" s="4"/>
    </row>
    <row r="376" spans="1:14" ht="10.5" hidden="1" x14ac:dyDescent="0.25">
      <c r="A376" s="8" t="s">
        <v>240</v>
      </c>
      <c r="B376" s="4" t="s">
        <v>21</v>
      </c>
      <c r="C376" s="5">
        <v>43923</v>
      </c>
      <c r="D376" s="4" t="s">
        <v>1663</v>
      </c>
      <c r="E376" s="4"/>
      <c r="F376" s="4" t="s">
        <v>1359</v>
      </c>
      <c r="G376" s="6">
        <v>16565.880005171868</v>
      </c>
      <c r="H376" s="6">
        <f t="shared" si="6"/>
        <v>-10194.770883415538</v>
      </c>
      <c r="I376" s="4"/>
      <c r="J376" s="4" t="s">
        <v>68</v>
      </c>
      <c r="K376" s="7">
        <v>-16565.88</v>
      </c>
      <c r="L376" s="4" t="s">
        <v>1655</v>
      </c>
      <c r="M376" s="4" t="s">
        <v>27</v>
      </c>
      <c r="N376" s="4"/>
    </row>
    <row r="377" spans="1:14" ht="10.5" hidden="1" x14ac:dyDescent="0.25">
      <c r="A377" s="8" t="s">
        <v>240</v>
      </c>
      <c r="B377" s="4" t="s">
        <v>21</v>
      </c>
      <c r="C377" s="5">
        <v>43923</v>
      </c>
      <c r="D377" s="4" t="s">
        <v>1664</v>
      </c>
      <c r="E377" s="4" t="s">
        <v>1376</v>
      </c>
      <c r="F377" s="4" t="s">
        <v>1657</v>
      </c>
      <c r="G377" s="6">
        <v>-5000.0000015610003</v>
      </c>
      <c r="H377" s="6">
        <f t="shared" si="6"/>
        <v>-15194.770884976539</v>
      </c>
      <c r="I377" s="4"/>
      <c r="J377" s="4" t="s">
        <v>68</v>
      </c>
      <c r="K377" s="7">
        <v>5000</v>
      </c>
      <c r="L377" s="4" t="s">
        <v>1655</v>
      </c>
      <c r="M377" s="4" t="s">
        <v>27</v>
      </c>
      <c r="N377" s="4"/>
    </row>
    <row r="378" spans="1:14" ht="10.5" hidden="1" x14ac:dyDescent="0.25">
      <c r="A378" s="8" t="s">
        <v>240</v>
      </c>
      <c r="B378" s="4" t="s">
        <v>21</v>
      </c>
      <c r="C378" s="5">
        <v>43923</v>
      </c>
      <c r="D378" s="4" t="s">
        <v>1665</v>
      </c>
      <c r="E378" s="4" t="s">
        <v>1378</v>
      </c>
      <c r="F378" s="4" t="s">
        <v>1309</v>
      </c>
      <c r="G378" s="6">
        <v>-12776.97000398897</v>
      </c>
      <c r="H378" s="6">
        <f t="shared" si="6"/>
        <v>-27971.740888965509</v>
      </c>
      <c r="I378" s="4"/>
      <c r="J378" s="4" t="s">
        <v>68</v>
      </c>
      <c r="K378" s="7">
        <v>12776.97</v>
      </c>
      <c r="L378" s="4" t="s">
        <v>1655</v>
      </c>
      <c r="M378" s="4" t="s">
        <v>27</v>
      </c>
      <c r="N378" s="4"/>
    </row>
    <row r="379" spans="1:14" ht="10.5" hidden="1" x14ac:dyDescent="0.25">
      <c r="A379" s="8" t="s">
        <v>240</v>
      </c>
      <c r="B379" s="4" t="s">
        <v>21</v>
      </c>
      <c r="C379" s="5">
        <v>43923</v>
      </c>
      <c r="D379" s="4" t="s">
        <v>1666</v>
      </c>
      <c r="E379" s="4" t="s">
        <v>1259</v>
      </c>
      <c r="F379" s="4" t="s">
        <v>1351</v>
      </c>
      <c r="G379" s="6">
        <v>-13048.330004073689</v>
      </c>
      <c r="H379" s="6">
        <f t="shared" si="6"/>
        <v>-41020.070893039199</v>
      </c>
      <c r="I379" s="4"/>
      <c r="J379" s="4" t="s">
        <v>68</v>
      </c>
      <c r="K379" s="7">
        <v>13048.33</v>
      </c>
      <c r="L379" s="4" t="s">
        <v>1655</v>
      </c>
      <c r="M379" s="4" t="s">
        <v>27</v>
      </c>
      <c r="N379" s="4"/>
    </row>
    <row r="380" spans="1:14" ht="10.5" hidden="1" x14ac:dyDescent="0.25">
      <c r="A380" s="8" t="s">
        <v>240</v>
      </c>
      <c r="B380" s="4" t="s">
        <v>21</v>
      </c>
      <c r="C380" s="5">
        <v>43923</v>
      </c>
      <c r="D380" s="4" t="s">
        <v>1667</v>
      </c>
      <c r="E380" s="4" t="s">
        <v>1261</v>
      </c>
      <c r="F380" s="4" t="s">
        <v>1353</v>
      </c>
      <c r="G380" s="6">
        <v>-13290.830004149397</v>
      </c>
      <c r="H380" s="6">
        <f t="shared" si="6"/>
        <v>-54310.900897188592</v>
      </c>
      <c r="I380" s="4"/>
      <c r="J380" s="4" t="s">
        <v>68</v>
      </c>
      <c r="K380" s="7">
        <v>13290.83</v>
      </c>
      <c r="L380" s="4" t="s">
        <v>1655</v>
      </c>
      <c r="M380" s="4" t="s">
        <v>27</v>
      </c>
      <c r="N380" s="4"/>
    </row>
    <row r="381" spans="1:14" ht="10.5" hidden="1" x14ac:dyDescent="0.25">
      <c r="A381" s="8" t="s">
        <v>240</v>
      </c>
      <c r="B381" s="4" t="s">
        <v>21</v>
      </c>
      <c r="C381" s="5">
        <v>43923</v>
      </c>
      <c r="D381" s="4" t="s">
        <v>1668</v>
      </c>
      <c r="E381" s="4" t="s">
        <v>1305</v>
      </c>
      <c r="F381" s="4" t="s">
        <v>1357</v>
      </c>
      <c r="G381" s="6">
        <v>-15271.530004767772</v>
      </c>
      <c r="H381" s="6">
        <f t="shared" si="6"/>
        <v>-69582.430901956366</v>
      </c>
      <c r="I381" s="4"/>
      <c r="J381" s="4" t="s">
        <v>68</v>
      </c>
      <c r="K381" s="7">
        <v>15271.53</v>
      </c>
      <c r="L381" s="4" t="s">
        <v>1655</v>
      </c>
      <c r="M381" s="4" t="s">
        <v>27</v>
      </c>
      <c r="N381" s="4"/>
    </row>
    <row r="382" spans="1:14" ht="10.5" hidden="1" x14ac:dyDescent="0.25">
      <c r="A382" s="8" t="s">
        <v>240</v>
      </c>
      <c r="B382" s="4" t="s">
        <v>21</v>
      </c>
      <c r="C382" s="5">
        <v>43923</v>
      </c>
      <c r="D382" s="4" t="s">
        <v>1669</v>
      </c>
      <c r="E382" s="4" t="s">
        <v>1307</v>
      </c>
      <c r="F382" s="4" t="s">
        <v>1355</v>
      </c>
      <c r="G382" s="6">
        <v>-16415.120005124802</v>
      </c>
      <c r="H382" s="6">
        <f t="shared" si="6"/>
        <v>-85997.550907081168</v>
      </c>
      <c r="I382" s="4"/>
      <c r="J382" s="4" t="s">
        <v>68</v>
      </c>
      <c r="K382" s="7">
        <v>16415.12</v>
      </c>
      <c r="L382" s="4" t="s">
        <v>1655</v>
      </c>
      <c r="M382" s="4" t="s">
        <v>27</v>
      </c>
      <c r="N382" s="4"/>
    </row>
    <row r="383" spans="1:14" ht="10.5" hidden="1" x14ac:dyDescent="0.25">
      <c r="A383" s="8" t="s">
        <v>240</v>
      </c>
      <c r="B383" s="4" t="s">
        <v>21</v>
      </c>
      <c r="C383" s="5">
        <v>43923</v>
      </c>
      <c r="D383" s="4" t="s">
        <v>1670</v>
      </c>
      <c r="E383" s="4" t="s">
        <v>1671</v>
      </c>
      <c r="F383" s="4" t="s">
        <v>1359</v>
      </c>
      <c r="G383" s="6">
        <v>-16565.880005171868</v>
      </c>
      <c r="H383" s="6">
        <f t="shared" si="6"/>
        <v>-102563.43091225304</v>
      </c>
      <c r="I383" s="4"/>
      <c r="J383" s="4" t="s">
        <v>68</v>
      </c>
      <c r="K383" s="7">
        <v>16565.88</v>
      </c>
      <c r="L383" s="4" t="s">
        <v>1655</v>
      </c>
      <c r="M383" s="4" t="s">
        <v>27</v>
      </c>
      <c r="N383" s="4"/>
    </row>
    <row r="384" spans="1:14" ht="10.5" hidden="1" x14ac:dyDescent="0.25">
      <c r="A384" s="8" t="s">
        <v>240</v>
      </c>
      <c r="B384" s="4" t="s">
        <v>21</v>
      </c>
      <c r="C384" s="5">
        <v>43927</v>
      </c>
      <c r="D384" s="4" t="s">
        <v>1672</v>
      </c>
      <c r="E384" s="4" t="s">
        <v>1673</v>
      </c>
      <c r="F384" s="4" t="s">
        <v>1674</v>
      </c>
      <c r="G384" s="6">
        <v>4400.0000013736799</v>
      </c>
      <c r="H384" s="6">
        <f t="shared" si="6"/>
        <v>-98163.430910879353</v>
      </c>
      <c r="I384" s="4"/>
      <c r="J384" s="4" t="s">
        <v>68</v>
      </c>
      <c r="K384" s="7">
        <v>-4400</v>
      </c>
      <c r="L384" s="4" t="s">
        <v>1655</v>
      </c>
      <c r="M384" s="4" t="s">
        <v>27</v>
      </c>
      <c r="N384" s="4"/>
    </row>
    <row r="385" spans="1:14" ht="10.5" hidden="1" x14ac:dyDescent="0.25">
      <c r="A385" s="8" t="s">
        <v>240</v>
      </c>
      <c r="B385" s="4" t="s">
        <v>21</v>
      </c>
      <c r="C385" s="5">
        <v>43929</v>
      </c>
      <c r="D385" s="4" t="s">
        <v>1675</v>
      </c>
      <c r="E385" s="4"/>
      <c r="F385" s="4" t="s">
        <v>1676</v>
      </c>
      <c r="G385" s="6">
        <v>-1525.9000004763859</v>
      </c>
      <c r="H385" s="6">
        <f t="shared" si="6"/>
        <v>-99689.330911355733</v>
      </c>
      <c r="I385" s="4"/>
      <c r="J385" s="4" t="s">
        <v>68</v>
      </c>
      <c r="K385" s="7">
        <v>1525.9</v>
      </c>
      <c r="L385" s="4" t="s">
        <v>1655</v>
      </c>
      <c r="M385" s="4" t="s">
        <v>27</v>
      </c>
      <c r="N385" s="4"/>
    </row>
    <row r="386" spans="1:14" ht="10.5" hidden="1" x14ac:dyDescent="0.25">
      <c r="A386" s="8" t="s">
        <v>240</v>
      </c>
      <c r="B386" s="4" t="s">
        <v>21</v>
      </c>
      <c r="C386" s="5">
        <v>43929</v>
      </c>
      <c r="D386" s="4" t="s">
        <v>1675</v>
      </c>
      <c r="E386" s="4"/>
      <c r="F386" s="4" t="s">
        <v>1677</v>
      </c>
      <c r="G386" s="6">
        <v>-4627.1400014445935</v>
      </c>
      <c r="H386" s="6">
        <f t="shared" si="6"/>
        <v>-104316.47091280033</v>
      </c>
      <c r="I386" s="4"/>
      <c r="J386" s="4" t="s">
        <v>68</v>
      </c>
      <c r="K386" s="7">
        <v>4627.1400000000003</v>
      </c>
      <c r="L386" s="4" t="s">
        <v>1655</v>
      </c>
      <c r="M386" s="4" t="s">
        <v>27</v>
      </c>
      <c r="N386" s="4"/>
    </row>
    <row r="387" spans="1:14" ht="10.5" hidden="1" x14ac:dyDescent="0.25">
      <c r="A387" s="8" t="s">
        <v>240</v>
      </c>
      <c r="B387" s="4" t="s">
        <v>21</v>
      </c>
      <c r="C387" s="5">
        <v>43930</v>
      </c>
      <c r="D387" s="4" t="s">
        <v>1678</v>
      </c>
      <c r="E387" s="4" t="s">
        <v>1679</v>
      </c>
      <c r="F387" s="4" t="s">
        <v>1679</v>
      </c>
      <c r="G387" s="6">
        <v>-1237.70000038641</v>
      </c>
      <c r="H387" s="6">
        <f t="shared" si="6"/>
        <v>-105554.17091318674</v>
      </c>
      <c r="I387" s="4"/>
      <c r="J387" s="4" t="s">
        <v>68</v>
      </c>
      <c r="K387" s="7">
        <v>1237.7</v>
      </c>
      <c r="L387" s="4" t="s">
        <v>1655</v>
      </c>
      <c r="M387" s="4" t="s">
        <v>27</v>
      </c>
      <c r="N387" s="4"/>
    </row>
    <row r="388" spans="1:14" ht="10.5" hidden="1" x14ac:dyDescent="0.25">
      <c r="A388" s="8" t="s">
        <v>240</v>
      </c>
      <c r="B388" s="4" t="s">
        <v>21</v>
      </c>
      <c r="C388" s="5">
        <v>43930</v>
      </c>
      <c r="D388" s="4" t="s">
        <v>1680</v>
      </c>
      <c r="E388" s="4" t="s">
        <v>1681</v>
      </c>
      <c r="F388" s="4" t="s">
        <v>1679</v>
      </c>
      <c r="G388" s="6">
        <v>1237.70000038641</v>
      </c>
      <c r="H388" s="6">
        <f t="shared" si="6"/>
        <v>-104316.47091280033</v>
      </c>
      <c r="I388" s="4"/>
      <c r="J388" s="4" t="s">
        <v>68</v>
      </c>
      <c r="K388" s="7">
        <v>-1237.7</v>
      </c>
      <c r="L388" s="4" t="s">
        <v>1655</v>
      </c>
      <c r="M388" s="4" t="s">
        <v>27</v>
      </c>
      <c r="N388" s="4"/>
    </row>
    <row r="389" spans="1:14" ht="10.5" hidden="1" x14ac:dyDescent="0.25">
      <c r="A389" s="8" t="s">
        <v>240</v>
      </c>
      <c r="B389" s="4" t="s">
        <v>21</v>
      </c>
      <c r="C389" s="5">
        <v>43934</v>
      </c>
      <c r="D389" s="4" t="s">
        <v>1682</v>
      </c>
      <c r="E389" s="4" t="s">
        <v>1683</v>
      </c>
      <c r="F389" s="4" t="s">
        <v>1683</v>
      </c>
      <c r="G389" s="6">
        <v>-2674.6500008350258</v>
      </c>
      <c r="H389" s="6">
        <f t="shared" si="6"/>
        <v>-106991.12091363536</v>
      </c>
      <c r="I389" s="4"/>
      <c r="J389" s="4" t="s">
        <v>68</v>
      </c>
      <c r="K389" s="7">
        <v>2674.65</v>
      </c>
      <c r="L389" s="4" t="s">
        <v>1655</v>
      </c>
      <c r="M389" s="4" t="s">
        <v>27</v>
      </c>
      <c r="N389" s="4"/>
    </row>
    <row r="390" spans="1:14" ht="10.5" hidden="1" x14ac:dyDescent="0.25">
      <c r="A390" s="8" t="s">
        <v>240</v>
      </c>
      <c r="B390" s="4" t="s">
        <v>21</v>
      </c>
      <c r="C390" s="5">
        <v>43934</v>
      </c>
      <c r="D390" s="4" t="s">
        <v>1684</v>
      </c>
      <c r="E390" s="4" t="s">
        <v>1685</v>
      </c>
      <c r="F390" s="4" t="s">
        <v>1683</v>
      </c>
      <c r="G390" s="6">
        <v>2674.6500008350258</v>
      </c>
      <c r="H390" s="6">
        <f t="shared" si="6"/>
        <v>-104316.47091280033</v>
      </c>
      <c r="I390" s="4"/>
      <c r="J390" s="4" t="s">
        <v>68</v>
      </c>
      <c r="K390" s="7">
        <v>-2674.65</v>
      </c>
      <c r="L390" s="4" t="s">
        <v>1655</v>
      </c>
      <c r="M390" s="4" t="s">
        <v>27</v>
      </c>
      <c r="N390" s="4"/>
    </row>
    <row r="391" spans="1:14" ht="10.5" hidden="1" x14ac:dyDescent="0.25">
      <c r="A391" s="8" t="s">
        <v>240</v>
      </c>
      <c r="B391" s="4" t="s">
        <v>21</v>
      </c>
      <c r="C391" s="5">
        <v>43941</v>
      </c>
      <c r="D391" s="4" t="s">
        <v>1686</v>
      </c>
      <c r="E391" s="4" t="s">
        <v>1687</v>
      </c>
      <c r="F391" s="4" t="s">
        <v>1687</v>
      </c>
      <c r="G391" s="6">
        <v>-8583.3300026797151</v>
      </c>
      <c r="H391" s="6">
        <f t="shared" si="6"/>
        <v>-112899.80091548004</v>
      </c>
      <c r="I391" s="4"/>
      <c r="J391" s="4" t="s">
        <v>68</v>
      </c>
      <c r="K391" s="7">
        <v>8583.33</v>
      </c>
      <c r="L391" s="4" t="s">
        <v>1655</v>
      </c>
      <c r="M391" s="4" t="s">
        <v>27</v>
      </c>
      <c r="N391" s="4"/>
    </row>
    <row r="392" spans="1:14" ht="10.5" hidden="1" x14ac:dyDescent="0.25">
      <c r="A392" s="8" t="s">
        <v>240</v>
      </c>
      <c r="B392" s="4" t="s">
        <v>21</v>
      </c>
      <c r="C392" s="5">
        <v>43941</v>
      </c>
      <c r="D392" s="4" t="s">
        <v>1688</v>
      </c>
      <c r="E392" s="4" t="s">
        <v>1689</v>
      </c>
      <c r="F392" s="4" t="s">
        <v>1689</v>
      </c>
      <c r="G392" s="6">
        <v>-8646.7500026995149</v>
      </c>
      <c r="H392" s="6">
        <f t="shared" si="6"/>
        <v>-121546.55091817955</v>
      </c>
      <c r="I392" s="4"/>
      <c r="J392" s="4" t="s">
        <v>68</v>
      </c>
      <c r="K392" s="7">
        <v>8646.75</v>
      </c>
      <c r="L392" s="4" t="s">
        <v>1655</v>
      </c>
      <c r="M392" s="4" t="s">
        <v>27</v>
      </c>
      <c r="N392" s="4"/>
    </row>
    <row r="393" spans="1:14" ht="10.5" hidden="1" x14ac:dyDescent="0.25">
      <c r="A393" s="8" t="s">
        <v>240</v>
      </c>
      <c r="B393" s="4" t="s">
        <v>21</v>
      </c>
      <c r="C393" s="5">
        <v>43941</v>
      </c>
      <c r="D393" s="4" t="s">
        <v>1690</v>
      </c>
      <c r="E393" s="4" t="s">
        <v>1691</v>
      </c>
      <c r="F393" s="4" t="s">
        <v>1691</v>
      </c>
      <c r="G393" s="6">
        <v>-8712.0800027199111</v>
      </c>
      <c r="H393" s="6">
        <f t="shared" si="6"/>
        <v>-130258.63092089946</v>
      </c>
      <c r="I393" s="4"/>
      <c r="J393" s="4" t="s">
        <v>68</v>
      </c>
      <c r="K393" s="7">
        <v>8712.08</v>
      </c>
      <c r="L393" s="4" t="s">
        <v>1655</v>
      </c>
      <c r="M393" s="4" t="s">
        <v>27</v>
      </c>
      <c r="N393" s="4"/>
    </row>
    <row r="394" spans="1:14" ht="10.5" hidden="1" x14ac:dyDescent="0.25">
      <c r="A394" s="8" t="s">
        <v>240</v>
      </c>
      <c r="B394" s="4" t="s">
        <v>21</v>
      </c>
      <c r="C394" s="5">
        <v>43941</v>
      </c>
      <c r="D394" s="4" t="s">
        <v>1692</v>
      </c>
      <c r="E394" s="4" t="s">
        <v>1693</v>
      </c>
      <c r="F394" s="4" t="s">
        <v>1693</v>
      </c>
      <c r="G394" s="6">
        <v>-8583.3300026797151</v>
      </c>
      <c r="H394" s="6">
        <f t="shared" si="6"/>
        <v>-138841.96092357917</v>
      </c>
      <c r="I394" s="4"/>
      <c r="J394" s="4" t="s">
        <v>68</v>
      </c>
      <c r="K394" s="7">
        <v>8583.33</v>
      </c>
      <c r="L394" s="4" t="s">
        <v>1655</v>
      </c>
      <c r="M394" s="4" t="s">
        <v>27</v>
      </c>
      <c r="N394" s="4"/>
    </row>
    <row r="395" spans="1:14" ht="10.5" hidden="1" x14ac:dyDescent="0.25">
      <c r="A395" s="8" t="s">
        <v>240</v>
      </c>
      <c r="B395" s="4" t="s">
        <v>21</v>
      </c>
      <c r="C395" s="5">
        <v>43941</v>
      </c>
      <c r="D395" s="4" t="s">
        <v>1694</v>
      </c>
      <c r="E395" s="4" t="s">
        <v>1695</v>
      </c>
      <c r="F395" s="4" t="s">
        <v>1695</v>
      </c>
      <c r="G395" s="6">
        <v>-10500.000003278101</v>
      </c>
      <c r="H395" s="6">
        <f t="shared" si="6"/>
        <v>-149341.96092685728</v>
      </c>
      <c r="I395" s="4"/>
      <c r="J395" s="4" t="s">
        <v>68</v>
      </c>
      <c r="K395" s="7">
        <v>10500</v>
      </c>
      <c r="L395" s="4" t="s">
        <v>1655</v>
      </c>
      <c r="M395" s="4" t="s">
        <v>27</v>
      </c>
      <c r="N395" s="4"/>
    </row>
    <row r="396" spans="1:14" ht="10.5" hidden="1" x14ac:dyDescent="0.25">
      <c r="A396" s="8" t="s">
        <v>240</v>
      </c>
      <c r="B396" s="4" t="s">
        <v>21</v>
      </c>
      <c r="C396" s="5">
        <v>43941</v>
      </c>
      <c r="D396" s="4" t="s">
        <v>1696</v>
      </c>
      <c r="E396" s="4" t="s">
        <v>1697</v>
      </c>
      <c r="F396" s="4" t="s">
        <v>1697</v>
      </c>
      <c r="G396" s="6">
        <v>-8583.3300026797151</v>
      </c>
      <c r="H396" s="6">
        <f t="shared" si="6"/>
        <v>-157925.290929537</v>
      </c>
      <c r="I396" s="4"/>
      <c r="J396" s="4" t="s">
        <v>68</v>
      </c>
      <c r="K396" s="7">
        <v>8583.33</v>
      </c>
      <c r="L396" s="4" t="s">
        <v>1655</v>
      </c>
      <c r="M396" s="4" t="s">
        <v>27</v>
      </c>
      <c r="N396" s="4"/>
    </row>
    <row r="397" spans="1:14" ht="10.5" hidden="1" x14ac:dyDescent="0.25">
      <c r="A397" s="8" t="s">
        <v>240</v>
      </c>
      <c r="B397" s="4" t="s">
        <v>21</v>
      </c>
      <c r="C397" s="5">
        <v>43941</v>
      </c>
      <c r="D397" s="4" t="s">
        <v>1698</v>
      </c>
      <c r="E397" s="4" t="s">
        <v>1699</v>
      </c>
      <c r="F397" s="4" t="s">
        <v>1687</v>
      </c>
      <c r="G397" s="6">
        <v>8583.3300026797151</v>
      </c>
      <c r="H397" s="6">
        <f t="shared" si="6"/>
        <v>-149341.96092685728</v>
      </c>
      <c r="I397" s="4"/>
      <c r="J397" s="4" t="s">
        <v>68</v>
      </c>
      <c r="K397" s="7">
        <v>-8583.33</v>
      </c>
      <c r="L397" s="4" t="s">
        <v>1655</v>
      </c>
      <c r="M397" s="4" t="s">
        <v>27</v>
      </c>
      <c r="N397" s="4"/>
    </row>
    <row r="398" spans="1:14" ht="10.5" hidden="1" x14ac:dyDescent="0.25">
      <c r="A398" s="8" t="s">
        <v>240</v>
      </c>
      <c r="B398" s="4" t="s">
        <v>21</v>
      </c>
      <c r="C398" s="5">
        <v>43941</v>
      </c>
      <c r="D398" s="4" t="s">
        <v>1700</v>
      </c>
      <c r="E398" s="4" t="s">
        <v>1701</v>
      </c>
      <c r="F398" s="4" t="s">
        <v>1689</v>
      </c>
      <c r="G398" s="6">
        <v>8646.7500026995149</v>
      </c>
      <c r="H398" s="6">
        <f t="shared" si="6"/>
        <v>-140695.21092415776</v>
      </c>
      <c r="I398" s="4"/>
      <c r="J398" s="4" t="s">
        <v>68</v>
      </c>
      <c r="K398" s="7">
        <v>-8646.75</v>
      </c>
      <c r="L398" s="4" t="s">
        <v>1655</v>
      </c>
      <c r="M398" s="4" t="s">
        <v>27</v>
      </c>
      <c r="N398" s="4"/>
    </row>
    <row r="399" spans="1:14" ht="10.5" hidden="1" x14ac:dyDescent="0.25">
      <c r="A399" s="8" t="s">
        <v>240</v>
      </c>
      <c r="B399" s="4" t="s">
        <v>21</v>
      </c>
      <c r="C399" s="5">
        <v>43941</v>
      </c>
      <c r="D399" s="4" t="s">
        <v>1702</v>
      </c>
      <c r="E399" s="4" t="s">
        <v>1703</v>
      </c>
      <c r="F399" s="4" t="s">
        <v>1691</v>
      </c>
      <c r="G399" s="6">
        <v>8712.0800027199111</v>
      </c>
      <c r="H399" s="6">
        <f t="shared" si="6"/>
        <v>-131983.13092143784</v>
      </c>
      <c r="I399" s="4"/>
      <c r="J399" s="4" t="s">
        <v>68</v>
      </c>
      <c r="K399" s="7">
        <v>-8712.08</v>
      </c>
      <c r="L399" s="4" t="s">
        <v>1655</v>
      </c>
      <c r="M399" s="4" t="s">
        <v>27</v>
      </c>
      <c r="N399" s="4"/>
    </row>
    <row r="400" spans="1:14" ht="10.5" hidden="1" x14ac:dyDescent="0.25">
      <c r="A400" s="8" t="s">
        <v>240</v>
      </c>
      <c r="B400" s="4" t="s">
        <v>21</v>
      </c>
      <c r="C400" s="5">
        <v>43941</v>
      </c>
      <c r="D400" s="4" t="s">
        <v>1704</v>
      </c>
      <c r="E400" s="4" t="s">
        <v>1705</v>
      </c>
      <c r="F400" s="4" t="s">
        <v>1693</v>
      </c>
      <c r="G400" s="6">
        <v>8583.3300026797151</v>
      </c>
      <c r="H400" s="6">
        <f t="shared" si="6"/>
        <v>-123399.80091875812</v>
      </c>
      <c r="I400" s="4"/>
      <c r="J400" s="4" t="s">
        <v>68</v>
      </c>
      <c r="K400" s="7">
        <v>-8583.33</v>
      </c>
      <c r="L400" s="4" t="s">
        <v>1655</v>
      </c>
      <c r="M400" s="4" t="s">
        <v>27</v>
      </c>
      <c r="N400" s="4"/>
    </row>
    <row r="401" spans="1:17" ht="10.5" hidden="1" x14ac:dyDescent="0.25">
      <c r="A401" s="8" t="s">
        <v>240</v>
      </c>
      <c r="B401" s="4" t="s">
        <v>21</v>
      </c>
      <c r="C401" s="5">
        <v>43941</v>
      </c>
      <c r="D401" s="4" t="s">
        <v>1706</v>
      </c>
      <c r="E401" s="4" t="s">
        <v>1707</v>
      </c>
      <c r="F401" s="4" t="s">
        <v>1695</v>
      </c>
      <c r="G401" s="6">
        <v>10500.000003278101</v>
      </c>
      <c r="H401" s="6">
        <f t="shared" si="6"/>
        <v>-112899.80091548002</v>
      </c>
      <c r="I401" s="4"/>
      <c r="J401" s="4" t="s">
        <v>68</v>
      </c>
      <c r="K401" s="7">
        <v>-10500</v>
      </c>
      <c r="L401" s="4" t="s">
        <v>1655</v>
      </c>
      <c r="M401" s="4" t="s">
        <v>27</v>
      </c>
      <c r="N401" s="4"/>
    </row>
    <row r="402" spans="1:17" ht="10.5" hidden="1" x14ac:dyDescent="0.25">
      <c r="A402" s="8" t="s">
        <v>240</v>
      </c>
      <c r="B402" s="4" t="s">
        <v>21</v>
      </c>
      <c r="C402" s="5">
        <v>43941</v>
      </c>
      <c r="D402" s="4" t="s">
        <v>1708</v>
      </c>
      <c r="E402" s="4" t="s">
        <v>1709</v>
      </c>
      <c r="F402" s="4" t="s">
        <v>1697</v>
      </c>
      <c r="G402" s="6">
        <v>8583.3300026797151</v>
      </c>
      <c r="H402" s="6">
        <f t="shared" si="6"/>
        <v>-104316.47091280032</v>
      </c>
      <c r="I402" s="4"/>
      <c r="J402" s="4" t="s">
        <v>68</v>
      </c>
      <c r="K402" s="7">
        <v>-8583.33</v>
      </c>
      <c r="L402" s="4" t="s">
        <v>1655</v>
      </c>
      <c r="M402" s="4" t="s">
        <v>27</v>
      </c>
      <c r="N402" s="4"/>
    </row>
    <row r="403" spans="1:17" ht="10.5" hidden="1" x14ac:dyDescent="0.25">
      <c r="A403" s="8" t="s">
        <v>240</v>
      </c>
      <c r="B403" s="4" t="s">
        <v>21</v>
      </c>
      <c r="C403" s="5">
        <v>43942</v>
      </c>
      <c r="D403" s="4" t="s">
        <v>1710</v>
      </c>
      <c r="E403" s="4"/>
      <c r="F403" s="4" t="s">
        <v>1420</v>
      </c>
      <c r="G403" s="6">
        <v>8560.4800026725825</v>
      </c>
      <c r="H403" s="6">
        <f t="shared" si="6"/>
        <v>-95755.99091012773</v>
      </c>
      <c r="I403" s="4"/>
      <c r="J403" s="4" t="s">
        <v>68</v>
      </c>
      <c r="K403" s="7">
        <v>-8560.48</v>
      </c>
      <c r="L403" s="4" t="s">
        <v>1655</v>
      </c>
      <c r="M403" s="4" t="s">
        <v>27</v>
      </c>
      <c r="N403" s="4"/>
    </row>
    <row r="404" spans="1:17" ht="10.5" hidden="1" x14ac:dyDescent="0.25">
      <c r="A404" s="8" t="s">
        <v>240</v>
      </c>
      <c r="B404" s="4" t="s">
        <v>21</v>
      </c>
      <c r="C404" s="5">
        <v>43942</v>
      </c>
      <c r="D404" s="4" t="s">
        <v>1710</v>
      </c>
      <c r="E404" s="4"/>
      <c r="F404" s="4" t="s">
        <v>1711</v>
      </c>
      <c r="G404" s="6">
        <v>765.66000023903905</v>
      </c>
      <c r="H404" s="6">
        <f t="shared" si="6"/>
        <v>-94990.330909888697</v>
      </c>
      <c r="I404" s="4"/>
      <c r="J404" s="4" t="s">
        <v>68</v>
      </c>
      <c r="K404" s="7">
        <v>-765.66</v>
      </c>
      <c r="L404" s="4" t="s">
        <v>1655</v>
      </c>
      <c r="M404" s="4" t="s">
        <v>27</v>
      </c>
      <c r="N404" s="4"/>
    </row>
    <row r="405" spans="1:17" ht="10.5" hidden="1" x14ac:dyDescent="0.25">
      <c r="A405" s="8" t="s">
        <v>240</v>
      </c>
      <c r="B405" s="4" t="s">
        <v>21</v>
      </c>
      <c r="C405" s="5">
        <v>43942</v>
      </c>
      <c r="D405" s="4" t="s">
        <v>1710</v>
      </c>
      <c r="E405" s="4"/>
      <c r="F405" s="4" t="s">
        <v>1712</v>
      </c>
      <c r="G405" s="6">
        <v>76723.330023953022</v>
      </c>
      <c r="H405" s="6">
        <f t="shared" si="6"/>
        <v>-18267.000885935675</v>
      </c>
      <c r="I405" s="4"/>
      <c r="J405" s="4" t="s">
        <v>68</v>
      </c>
      <c r="K405" s="7">
        <v>-76723.33</v>
      </c>
      <c r="L405" s="4" t="s">
        <v>1655</v>
      </c>
      <c r="M405" s="4" t="s">
        <v>27</v>
      </c>
      <c r="N405" s="4"/>
    </row>
    <row r="406" spans="1:17" ht="10.5" hidden="1" x14ac:dyDescent="0.25">
      <c r="A406" s="8" t="s">
        <v>240</v>
      </c>
      <c r="B406" s="4" t="s">
        <v>21</v>
      </c>
      <c r="C406" s="5">
        <v>43942</v>
      </c>
      <c r="D406" s="4" t="s">
        <v>1713</v>
      </c>
      <c r="E406" s="4" t="s">
        <v>1714</v>
      </c>
      <c r="F406" s="4" t="s">
        <v>1420</v>
      </c>
      <c r="G406" s="6">
        <v>-8560.4800026725825</v>
      </c>
      <c r="H406" s="6">
        <f t="shared" si="6"/>
        <v>-26827.480888608257</v>
      </c>
      <c r="I406" s="4"/>
      <c r="J406" s="4" t="s">
        <v>68</v>
      </c>
      <c r="K406" s="7">
        <v>8560.48</v>
      </c>
      <c r="L406" s="4" t="s">
        <v>1655</v>
      </c>
      <c r="M406" s="4" t="s">
        <v>27</v>
      </c>
      <c r="N406" s="4"/>
    </row>
    <row r="407" spans="1:17" ht="10.5" hidden="1" x14ac:dyDescent="0.25">
      <c r="A407" s="8" t="s">
        <v>240</v>
      </c>
      <c r="B407" s="4" t="s">
        <v>21</v>
      </c>
      <c r="C407" s="5">
        <v>43942</v>
      </c>
      <c r="D407" s="4" t="s">
        <v>1713</v>
      </c>
      <c r="E407" s="4" t="s">
        <v>1714</v>
      </c>
      <c r="F407" s="4" t="s">
        <v>1711</v>
      </c>
      <c r="G407" s="6">
        <v>-765.66000023903905</v>
      </c>
      <c r="H407" s="6">
        <f t="shared" si="6"/>
        <v>-27593.140888847298</v>
      </c>
      <c r="I407" s="4"/>
      <c r="J407" s="4" t="s">
        <v>68</v>
      </c>
      <c r="K407" s="7">
        <v>765.66</v>
      </c>
      <c r="L407" s="4" t="s">
        <v>1655</v>
      </c>
      <c r="M407" s="4" t="s">
        <v>27</v>
      </c>
      <c r="N407" s="4"/>
    </row>
    <row r="408" spans="1:17" ht="10.5" hidden="1" x14ac:dyDescent="0.25">
      <c r="A408" s="8" t="s">
        <v>240</v>
      </c>
      <c r="B408" s="4" t="s">
        <v>21</v>
      </c>
      <c r="C408" s="5">
        <v>43942</v>
      </c>
      <c r="D408" s="4" t="s">
        <v>1713</v>
      </c>
      <c r="E408" s="4" t="s">
        <v>1714</v>
      </c>
      <c r="F408" s="4" t="s">
        <v>1712</v>
      </c>
      <c r="G408" s="6">
        <v>-76723.330023953022</v>
      </c>
      <c r="H408" s="6">
        <f t="shared" si="6"/>
        <v>-104316.47091280032</v>
      </c>
      <c r="I408" s="4"/>
      <c r="J408" s="4" t="s">
        <v>68</v>
      </c>
      <c r="K408" s="7">
        <v>76723.33</v>
      </c>
      <c r="L408" s="4" t="s">
        <v>1655</v>
      </c>
      <c r="M408" s="4" t="s">
        <v>27</v>
      </c>
      <c r="N408" s="4"/>
    </row>
    <row r="409" spans="1:17" ht="10.5" hidden="1" x14ac:dyDescent="0.25">
      <c r="A409" s="8" t="s">
        <v>240</v>
      </c>
      <c r="B409" s="4" t="s">
        <v>21</v>
      </c>
      <c r="C409" s="5">
        <v>43944</v>
      </c>
      <c r="D409" s="4" t="s">
        <v>1715</v>
      </c>
      <c r="E409" s="4" t="s">
        <v>1716</v>
      </c>
      <c r="F409" s="4" t="s">
        <v>1573</v>
      </c>
      <c r="G409" s="6">
        <v>2587.0000008076613</v>
      </c>
      <c r="H409" s="6">
        <f t="shared" si="6"/>
        <v>-101729.47091199266</v>
      </c>
      <c r="I409" s="4"/>
      <c r="J409" s="4" t="s">
        <v>68</v>
      </c>
      <c r="K409" s="7">
        <v>-2587</v>
      </c>
      <c r="L409" s="4" t="s">
        <v>1655</v>
      </c>
      <c r="M409" s="4" t="s">
        <v>27</v>
      </c>
      <c r="N409" s="4"/>
    </row>
    <row r="410" spans="1:17" ht="10.5" hidden="1" x14ac:dyDescent="0.25">
      <c r="A410" s="8" t="s">
        <v>240</v>
      </c>
      <c r="B410" s="4" t="s">
        <v>21</v>
      </c>
      <c r="C410" s="5">
        <v>43944</v>
      </c>
      <c r="D410" s="4" t="s">
        <v>1717</v>
      </c>
      <c r="E410" s="4"/>
      <c r="F410" s="4" t="s">
        <v>1567</v>
      </c>
      <c r="G410" s="6">
        <v>8800.0000027473598</v>
      </c>
      <c r="H410" s="6">
        <f t="shared" si="6"/>
        <v>-92929.470909245298</v>
      </c>
      <c r="I410" s="4"/>
      <c r="J410" s="4" t="s">
        <v>68</v>
      </c>
      <c r="K410" s="7">
        <v>-8800</v>
      </c>
      <c r="L410" s="4" t="s">
        <v>1655</v>
      </c>
      <c r="M410" s="4" t="s">
        <v>27</v>
      </c>
      <c r="N410" s="4"/>
    </row>
    <row r="411" spans="1:17" ht="10.5" hidden="1" x14ac:dyDescent="0.25">
      <c r="A411" s="8" t="s">
        <v>240</v>
      </c>
      <c r="B411" s="4" t="s">
        <v>21</v>
      </c>
      <c r="C411" s="5">
        <v>43944</v>
      </c>
      <c r="D411" s="4" t="s">
        <v>1718</v>
      </c>
      <c r="E411" s="4" t="s">
        <v>1719</v>
      </c>
      <c r="F411" s="4" t="s">
        <v>1573</v>
      </c>
      <c r="G411" s="6">
        <v>-2587.0000008076613</v>
      </c>
      <c r="H411" s="6">
        <f t="shared" si="6"/>
        <v>-95516.470910052958</v>
      </c>
      <c r="I411" s="4"/>
      <c r="J411" s="4" t="s">
        <v>68</v>
      </c>
      <c r="K411" s="7">
        <v>2587</v>
      </c>
      <c r="L411" s="4" t="s">
        <v>1655</v>
      </c>
      <c r="M411" s="4" t="s">
        <v>27</v>
      </c>
      <c r="N411" s="4"/>
    </row>
    <row r="412" spans="1:17" ht="10.5" hidden="1" x14ac:dyDescent="0.25">
      <c r="A412" s="8" t="s">
        <v>240</v>
      </c>
      <c r="B412" s="4" t="s">
        <v>21</v>
      </c>
      <c r="C412" s="5">
        <v>43944</v>
      </c>
      <c r="D412" s="4" t="s">
        <v>1720</v>
      </c>
      <c r="E412" s="4" t="s">
        <v>1263</v>
      </c>
      <c r="F412" s="4" t="s">
        <v>1567</v>
      </c>
      <c r="G412" s="6">
        <v>-8800.0000027473598</v>
      </c>
      <c r="H412" s="6">
        <f t="shared" ref="H412:H475" si="7">H411+G412</f>
        <v>-104316.47091280032</v>
      </c>
      <c r="I412" s="4"/>
      <c r="J412" s="4" t="s">
        <v>68</v>
      </c>
      <c r="K412" s="7">
        <v>8800</v>
      </c>
      <c r="L412" s="4" t="s">
        <v>1655</v>
      </c>
      <c r="M412" s="4" t="s">
        <v>27</v>
      </c>
      <c r="N412" s="4"/>
    </row>
    <row r="413" spans="1:17" ht="10.5" hidden="1" x14ac:dyDescent="0.25">
      <c r="A413" s="8" t="s">
        <v>240</v>
      </c>
      <c r="B413" s="4" t="s">
        <v>21</v>
      </c>
      <c r="C413" s="5">
        <v>43949</v>
      </c>
      <c r="D413" s="4" t="s">
        <v>1721</v>
      </c>
      <c r="E413" s="4"/>
      <c r="F413" s="4" t="s">
        <v>1722</v>
      </c>
      <c r="G413" s="6">
        <v>-3777.4600011793232</v>
      </c>
      <c r="H413" s="6">
        <f t="shared" si="7"/>
        <v>-108093.93091397964</v>
      </c>
      <c r="I413" s="4"/>
      <c r="J413" s="4" t="s">
        <v>68</v>
      </c>
      <c r="K413" s="7">
        <v>3777.46</v>
      </c>
      <c r="L413" s="4" t="s">
        <v>1655</v>
      </c>
      <c r="M413" s="4" t="s">
        <v>27</v>
      </c>
      <c r="N413" s="4"/>
    </row>
    <row r="414" spans="1:17" ht="10.5" hidden="1" x14ac:dyDescent="0.25">
      <c r="A414" s="8" t="s">
        <v>240</v>
      </c>
      <c r="B414" s="4" t="s">
        <v>21</v>
      </c>
      <c r="C414" s="5">
        <v>43949</v>
      </c>
      <c r="D414" s="4" t="s">
        <v>1723</v>
      </c>
      <c r="E414" s="4" t="s">
        <v>1724</v>
      </c>
      <c r="F414" s="4" t="s">
        <v>1722</v>
      </c>
      <c r="G414" s="6">
        <v>3777.4600011793232</v>
      </c>
      <c r="H414" s="6">
        <f t="shared" si="7"/>
        <v>-104316.47091280032</v>
      </c>
      <c r="I414" s="4"/>
      <c r="J414" s="4" t="s">
        <v>68</v>
      </c>
      <c r="K414" s="7">
        <v>-3777.46</v>
      </c>
      <c r="L414" s="4" t="s">
        <v>1655</v>
      </c>
      <c r="M414" s="4" t="s">
        <v>27</v>
      </c>
      <c r="N414" s="4"/>
    </row>
    <row r="415" spans="1:17" ht="10.5" hidden="1" x14ac:dyDescent="0.25">
      <c r="A415" s="8" t="s">
        <v>240</v>
      </c>
      <c r="B415" s="4" t="s">
        <v>21</v>
      </c>
      <c r="C415" s="5">
        <v>43951</v>
      </c>
      <c r="D415" s="4" t="s">
        <v>1725</v>
      </c>
      <c r="E415" s="4" t="s">
        <v>1629</v>
      </c>
      <c r="F415" s="4" t="s">
        <v>1726</v>
      </c>
      <c r="G415" s="6">
        <v>-1795.25875677</v>
      </c>
      <c r="H415" s="6">
        <f t="shared" si="7"/>
        <v>-106111.72966957031</v>
      </c>
      <c r="I415" s="4"/>
      <c r="J415" s="4" t="s">
        <v>68</v>
      </c>
      <c r="K415" s="7">
        <v>1713</v>
      </c>
      <c r="L415" s="4" t="s">
        <v>1655</v>
      </c>
      <c r="M415" s="4" t="s">
        <v>38</v>
      </c>
      <c r="N415" s="4"/>
      <c r="Q415" t="s">
        <v>809</v>
      </c>
    </row>
    <row r="416" spans="1:17" ht="10.5" hidden="1" x14ac:dyDescent="0.25">
      <c r="A416" s="8" t="s">
        <v>240</v>
      </c>
      <c r="B416" s="4" t="s">
        <v>21</v>
      </c>
      <c r="C416" s="5">
        <v>43951</v>
      </c>
      <c r="D416" s="4" t="s">
        <v>1727</v>
      </c>
      <c r="E416" s="4" t="s">
        <v>1629</v>
      </c>
      <c r="F416" s="4" t="s">
        <v>1728</v>
      </c>
      <c r="G416" s="6">
        <v>-98.513907259999996</v>
      </c>
      <c r="H416" s="6">
        <f t="shared" si="7"/>
        <v>-106210.24357683031</v>
      </c>
      <c r="I416" s="4"/>
      <c r="J416" s="4" t="s">
        <v>68</v>
      </c>
      <c r="K416" s="7">
        <v>94</v>
      </c>
      <c r="L416" s="4" t="s">
        <v>1655</v>
      </c>
      <c r="M416" s="4" t="s">
        <v>38</v>
      </c>
      <c r="N416" s="4"/>
      <c r="Q416" t="s">
        <v>809</v>
      </c>
    </row>
    <row r="417" spans="1:14" ht="10.5" hidden="1" x14ac:dyDescent="0.25">
      <c r="A417" s="8" t="s">
        <v>240</v>
      </c>
      <c r="B417" s="4" t="s">
        <v>21</v>
      </c>
      <c r="C417" s="5">
        <v>43951</v>
      </c>
      <c r="D417" s="4" t="s">
        <v>1729</v>
      </c>
      <c r="E417" s="4"/>
      <c r="F417" s="4" t="s">
        <v>1353</v>
      </c>
      <c r="G417" s="6">
        <v>8583.3300026797151</v>
      </c>
      <c r="H417" s="6">
        <f t="shared" si="7"/>
        <v>-97626.913574150589</v>
      </c>
      <c r="I417" s="4"/>
      <c r="J417" s="4" t="s">
        <v>68</v>
      </c>
      <c r="K417" s="7">
        <v>-8583.33</v>
      </c>
      <c r="L417" s="4" t="s">
        <v>1655</v>
      </c>
      <c r="M417" s="4" t="s">
        <v>27</v>
      </c>
      <c r="N417" s="4"/>
    </row>
    <row r="418" spans="1:14" ht="10.5" hidden="1" x14ac:dyDescent="0.25">
      <c r="A418" s="8" t="s">
        <v>240</v>
      </c>
      <c r="B418" s="4" t="s">
        <v>21</v>
      </c>
      <c r="C418" s="5">
        <v>43951</v>
      </c>
      <c r="D418" s="4" t="s">
        <v>1730</v>
      </c>
      <c r="E418" s="4"/>
      <c r="F418" s="4" t="s">
        <v>1357</v>
      </c>
      <c r="G418" s="6">
        <v>8712.0800027199111</v>
      </c>
      <c r="H418" s="6">
        <f t="shared" si="7"/>
        <v>-88914.833571430674</v>
      </c>
      <c r="I418" s="4"/>
      <c r="J418" s="4" t="s">
        <v>68</v>
      </c>
      <c r="K418" s="7">
        <v>-8712.08</v>
      </c>
      <c r="L418" s="4" t="s">
        <v>1655</v>
      </c>
      <c r="M418" s="4" t="s">
        <v>27</v>
      </c>
      <c r="N418" s="4"/>
    </row>
    <row r="419" spans="1:14" ht="10.5" hidden="1" x14ac:dyDescent="0.25">
      <c r="A419" s="8" t="s">
        <v>240</v>
      </c>
      <c r="B419" s="4" t="s">
        <v>21</v>
      </c>
      <c r="C419" s="5">
        <v>43951</v>
      </c>
      <c r="D419" s="4" t="s">
        <v>1731</v>
      </c>
      <c r="E419" s="4"/>
      <c r="F419" s="4" t="s">
        <v>1351</v>
      </c>
      <c r="G419" s="6">
        <v>9159.4100028595676</v>
      </c>
      <c r="H419" s="6">
        <f t="shared" si="7"/>
        <v>-79755.423568571103</v>
      </c>
      <c r="I419" s="4"/>
      <c r="J419" s="4" t="s">
        <v>68</v>
      </c>
      <c r="K419" s="7">
        <v>-9159.41</v>
      </c>
      <c r="L419" s="4" t="s">
        <v>1655</v>
      </c>
      <c r="M419" s="4" t="s">
        <v>27</v>
      </c>
      <c r="N419" s="4"/>
    </row>
    <row r="420" spans="1:14" ht="10.5" hidden="1" x14ac:dyDescent="0.25">
      <c r="A420" s="8" t="s">
        <v>240</v>
      </c>
      <c r="B420" s="4" t="s">
        <v>21</v>
      </c>
      <c r="C420" s="5">
        <v>43951</v>
      </c>
      <c r="D420" s="4" t="s">
        <v>1732</v>
      </c>
      <c r="E420" s="4"/>
      <c r="F420" s="4" t="s">
        <v>1359</v>
      </c>
      <c r="G420" s="6">
        <v>10500.000003278101</v>
      </c>
      <c r="H420" s="6">
        <f t="shared" si="7"/>
        <v>-69255.423565293007</v>
      </c>
      <c r="I420" s="4"/>
      <c r="J420" s="4" t="s">
        <v>68</v>
      </c>
      <c r="K420" s="7">
        <v>-10500</v>
      </c>
      <c r="L420" s="4" t="s">
        <v>1655</v>
      </c>
      <c r="M420" s="4" t="s">
        <v>27</v>
      </c>
      <c r="N420" s="4"/>
    </row>
    <row r="421" spans="1:14" ht="10.5" hidden="1" x14ac:dyDescent="0.25">
      <c r="A421" s="8" t="s">
        <v>240</v>
      </c>
      <c r="B421" s="4" t="s">
        <v>21</v>
      </c>
      <c r="C421" s="5">
        <v>43951</v>
      </c>
      <c r="D421" s="4" t="s">
        <v>1733</v>
      </c>
      <c r="E421" s="4"/>
      <c r="F421" s="4" t="s">
        <v>1309</v>
      </c>
      <c r="G421" s="6">
        <v>10723.040003347733</v>
      </c>
      <c r="H421" s="6">
        <f t="shared" si="7"/>
        <v>-58532.383561945273</v>
      </c>
      <c r="I421" s="4"/>
      <c r="J421" s="4" t="s">
        <v>68</v>
      </c>
      <c r="K421" s="7">
        <v>-10723.04</v>
      </c>
      <c r="L421" s="4" t="s">
        <v>1655</v>
      </c>
      <c r="M421" s="4" t="s">
        <v>27</v>
      </c>
      <c r="N421" s="4"/>
    </row>
    <row r="422" spans="1:14" ht="10.5" hidden="1" x14ac:dyDescent="0.25">
      <c r="A422" s="8" t="s">
        <v>240</v>
      </c>
      <c r="B422" s="4" t="s">
        <v>21</v>
      </c>
      <c r="C422" s="5">
        <v>43951</v>
      </c>
      <c r="D422" s="4" t="s">
        <v>1734</v>
      </c>
      <c r="E422" s="4"/>
      <c r="F422" s="4" t="s">
        <v>1355</v>
      </c>
      <c r="G422" s="6">
        <v>11257.980003514742</v>
      </c>
      <c r="H422" s="6">
        <f t="shared" si="7"/>
        <v>-47274.403558430531</v>
      </c>
      <c r="I422" s="4"/>
      <c r="J422" s="4" t="s">
        <v>68</v>
      </c>
      <c r="K422" s="7">
        <v>-11257.98</v>
      </c>
      <c r="L422" s="4" t="s">
        <v>1655</v>
      </c>
      <c r="M422" s="4" t="s">
        <v>27</v>
      </c>
      <c r="N422" s="4"/>
    </row>
    <row r="423" spans="1:14" ht="10.5" hidden="1" x14ac:dyDescent="0.25">
      <c r="A423" s="8" t="s">
        <v>240</v>
      </c>
      <c r="B423" s="4" t="s">
        <v>21</v>
      </c>
      <c r="C423" s="5">
        <v>43951</v>
      </c>
      <c r="D423" s="4" t="s">
        <v>1735</v>
      </c>
      <c r="E423" s="4" t="s">
        <v>1736</v>
      </c>
      <c r="F423" s="4" t="s">
        <v>1353</v>
      </c>
      <c r="G423" s="6">
        <v>-8583.3300026797151</v>
      </c>
      <c r="H423" s="6">
        <f t="shared" si="7"/>
        <v>-55857.733561110246</v>
      </c>
      <c r="I423" s="4"/>
      <c r="J423" s="4" t="s">
        <v>68</v>
      </c>
      <c r="K423" s="7">
        <v>8583.33</v>
      </c>
      <c r="L423" s="4" t="s">
        <v>1655</v>
      </c>
      <c r="M423" s="4" t="s">
        <v>27</v>
      </c>
      <c r="N423" s="4"/>
    </row>
    <row r="424" spans="1:14" ht="10.5" hidden="1" x14ac:dyDescent="0.25">
      <c r="A424" s="8" t="s">
        <v>240</v>
      </c>
      <c r="B424" s="4" t="s">
        <v>21</v>
      </c>
      <c r="C424" s="5">
        <v>43951</v>
      </c>
      <c r="D424" s="4" t="s">
        <v>1737</v>
      </c>
      <c r="E424" s="4" t="s">
        <v>1738</v>
      </c>
      <c r="F424" s="4" t="s">
        <v>1357</v>
      </c>
      <c r="G424" s="6">
        <v>-8712.0800027199111</v>
      </c>
      <c r="H424" s="6">
        <f t="shared" si="7"/>
        <v>-64569.813563830161</v>
      </c>
      <c r="I424" s="4"/>
      <c r="J424" s="4" t="s">
        <v>68</v>
      </c>
      <c r="K424" s="7">
        <v>8712.08</v>
      </c>
      <c r="L424" s="4" t="s">
        <v>1655</v>
      </c>
      <c r="M424" s="4" t="s">
        <v>27</v>
      </c>
      <c r="N424" s="4"/>
    </row>
    <row r="425" spans="1:14" ht="10.5" hidden="1" x14ac:dyDescent="0.25">
      <c r="A425" s="8" t="s">
        <v>240</v>
      </c>
      <c r="B425" s="4" t="s">
        <v>21</v>
      </c>
      <c r="C425" s="5">
        <v>43951</v>
      </c>
      <c r="D425" s="4" t="s">
        <v>1739</v>
      </c>
      <c r="E425" s="4" t="s">
        <v>1475</v>
      </c>
      <c r="F425" s="4" t="s">
        <v>1351</v>
      </c>
      <c r="G425" s="6">
        <v>-9159.4100028595676</v>
      </c>
      <c r="H425" s="6">
        <f t="shared" si="7"/>
        <v>-73729.223566689732</v>
      </c>
      <c r="I425" s="4"/>
      <c r="J425" s="4" t="s">
        <v>68</v>
      </c>
      <c r="K425" s="7">
        <v>9159.41</v>
      </c>
      <c r="L425" s="4" t="s">
        <v>1655</v>
      </c>
      <c r="M425" s="4" t="s">
        <v>27</v>
      </c>
      <c r="N425" s="4"/>
    </row>
    <row r="426" spans="1:14" ht="10.5" hidden="1" x14ac:dyDescent="0.25">
      <c r="A426" s="8" t="s">
        <v>240</v>
      </c>
      <c r="B426" s="4" t="s">
        <v>21</v>
      </c>
      <c r="C426" s="5">
        <v>43951</v>
      </c>
      <c r="D426" s="4" t="s">
        <v>1740</v>
      </c>
      <c r="E426" s="4" t="s">
        <v>1741</v>
      </c>
      <c r="F426" s="4" t="s">
        <v>1359</v>
      </c>
      <c r="G426" s="6">
        <v>-10500.000003278101</v>
      </c>
      <c r="H426" s="6">
        <f t="shared" si="7"/>
        <v>-84229.223569967828</v>
      </c>
      <c r="I426" s="4"/>
      <c r="J426" s="4" t="s">
        <v>68</v>
      </c>
      <c r="K426" s="7">
        <v>10500</v>
      </c>
      <c r="L426" s="4" t="s">
        <v>1655</v>
      </c>
      <c r="M426" s="4" t="s">
        <v>27</v>
      </c>
      <c r="N426" s="4"/>
    </row>
    <row r="427" spans="1:14" ht="10.5" hidden="1" x14ac:dyDescent="0.25">
      <c r="A427" s="8" t="s">
        <v>240</v>
      </c>
      <c r="B427" s="4" t="s">
        <v>21</v>
      </c>
      <c r="C427" s="5">
        <v>43951</v>
      </c>
      <c r="D427" s="4" t="s">
        <v>1742</v>
      </c>
      <c r="E427" s="4" t="s">
        <v>1743</v>
      </c>
      <c r="F427" s="4" t="s">
        <v>1309</v>
      </c>
      <c r="G427" s="6">
        <v>-10723.040003347733</v>
      </c>
      <c r="H427" s="6">
        <f t="shared" si="7"/>
        <v>-94952.263573315562</v>
      </c>
      <c r="I427" s="4"/>
      <c r="J427" s="4" t="s">
        <v>68</v>
      </c>
      <c r="K427" s="7">
        <v>10723.04</v>
      </c>
      <c r="L427" s="4" t="s">
        <v>1655</v>
      </c>
      <c r="M427" s="4" t="s">
        <v>27</v>
      </c>
      <c r="N427" s="4"/>
    </row>
    <row r="428" spans="1:14" ht="10.5" hidden="1" x14ac:dyDescent="0.25">
      <c r="A428" s="8" t="s">
        <v>240</v>
      </c>
      <c r="B428" s="4" t="s">
        <v>21</v>
      </c>
      <c r="C428" s="5">
        <v>43951</v>
      </c>
      <c r="D428" s="4" t="s">
        <v>1744</v>
      </c>
      <c r="E428" s="4" t="s">
        <v>1745</v>
      </c>
      <c r="F428" s="4" t="s">
        <v>1355</v>
      </c>
      <c r="G428" s="6">
        <v>-11257.980003514742</v>
      </c>
      <c r="H428" s="6">
        <f t="shared" si="7"/>
        <v>-106210.24357683031</v>
      </c>
      <c r="I428" s="4"/>
      <c r="J428" s="4" t="s">
        <v>68</v>
      </c>
      <c r="K428" s="7">
        <v>11257.98</v>
      </c>
      <c r="L428" s="4" t="s">
        <v>1655</v>
      </c>
      <c r="M428" s="4" t="s">
        <v>27</v>
      </c>
      <c r="N428" s="4"/>
    </row>
    <row r="429" spans="1:14" ht="10.5" hidden="1" x14ac:dyDescent="0.25">
      <c r="A429" s="8" t="s">
        <v>240</v>
      </c>
      <c r="B429" s="4" t="s">
        <v>241</v>
      </c>
      <c r="C429" s="5">
        <v>43951</v>
      </c>
      <c r="D429" s="4" t="s">
        <v>1746</v>
      </c>
      <c r="E429" s="4"/>
      <c r="F429" s="4"/>
      <c r="G429" s="6">
        <v>253.37986551329999</v>
      </c>
      <c r="H429" s="6">
        <f t="shared" si="7"/>
        <v>-105956.86371131701</v>
      </c>
      <c r="I429" s="4"/>
      <c r="J429" s="4" t="s">
        <v>68</v>
      </c>
      <c r="K429" s="7">
        <v>0</v>
      </c>
      <c r="L429" s="4" t="s">
        <v>1655</v>
      </c>
      <c r="M429" s="4" t="s">
        <v>201</v>
      </c>
      <c r="N429" s="4"/>
    </row>
    <row r="430" spans="1:14" ht="10.5" hidden="1" x14ac:dyDescent="0.25">
      <c r="A430" s="8" t="s">
        <v>240</v>
      </c>
      <c r="B430" s="4" t="s">
        <v>21</v>
      </c>
      <c r="C430" s="5">
        <v>43952</v>
      </c>
      <c r="D430" s="4" t="s">
        <v>1747</v>
      </c>
      <c r="E430" s="4" t="s">
        <v>1748</v>
      </c>
      <c r="F430" s="4" t="s">
        <v>1748</v>
      </c>
      <c r="G430" s="6">
        <v>159.33000004974284</v>
      </c>
      <c r="H430" s="6">
        <f t="shared" si="7"/>
        <v>-105797.53371126727</v>
      </c>
      <c r="I430" s="4"/>
      <c r="J430" s="4" t="s">
        <v>68</v>
      </c>
      <c r="K430" s="7">
        <v>-159.33000000000001</v>
      </c>
      <c r="L430" s="4" t="s">
        <v>1749</v>
      </c>
      <c r="M430" s="4" t="s">
        <v>27</v>
      </c>
      <c r="N430" s="4"/>
    </row>
    <row r="431" spans="1:14" ht="10.5" hidden="1" x14ac:dyDescent="0.25">
      <c r="A431" s="8" t="s">
        <v>240</v>
      </c>
      <c r="B431" s="4" t="s">
        <v>21</v>
      </c>
      <c r="C431" s="5">
        <v>43952</v>
      </c>
      <c r="D431" s="4" t="s">
        <v>1750</v>
      </c>
      <c r="E431" s="4" t="s">
        <v>1751</v>
      </c>
      <c r="F431" s="4" t="s">
        <v>1751</v>
      </c>
      <c r="G431" s="6">
        <v>-750.00000023414998</v>
      </c>
      <c r="H431" s="6">
        <f t="shared" si="7"/>
        <v>-106547.53371150143</v>
      </c>
      <c r="I431" s="4"/>
      <c r="J431" s="4" t="s">
        <v>68</v>
      </c>
      <c r="K431" s="7">
        <v>750</v>
      </c>
      <c r="L431" s="4" t="s">
        <v>1749</v>
      </c>
      <c r="M431" s="4" t="s">
        <v>27</v>
      </c>
      <c r="N431" s="4"/>
    </row>
    <row r="432" spans="1:14" ht="10.5" hidden="1" x14ac:dyDescent="0.25">
      <c r="A432" s="8" t="s">
        <v>240</v>
      </c>
      <c r="B432" s="4" t="s">
        <v>21</v>
      </c>
      <c r="C432" s="5">
        <v>43952</v>
      </c>
      <c r="D432" s="4" t="s">
        <v>1752</v>
      </c>
      <c r="E432" s="4" t="s">
        <v>1753</v>
      </c>
      <c r="F432" s="4" t="s">
        <v>1753</v>
      </c>
      <c r="G432" s="6">
        <v>-4234.5000013220106</v>
      </c>
      <c r="H432" s="6">
        <f t="shared" si="7"/>
        <v>-110782.03371282344</v>
      </c>
      <c r="I432" s="4"/>
      <c r="J432" s="4" t="s">
        <v>68</v>
      </c>
      <c r="K432" s="7">
        <v>4234.5</v>
      </c>
      <c r="L432" s="4" t="s">
        <v>1749</v>
      </c>
      <c r="M432" s="4" t="s">
        <v>27</v>
      </c>
      <c r="N432" s="4"/>
    </row>
    <row r="433" spans="1:14" ht="10.5" hidden="1" x14ac:dyDescent="0.25">
      <c r="A433" s="8" t="s">
        <v>240</v>
      </c>
      <c r="B433" s="4" t="s">
        <v>21</v>
      </c>
      <c r="C433" s="5">
        <v>43952</v>
      </c>
      <c r="D433" s="4" t="s">
        <v>1754</v>
      </c>
      <c r="E433" s="4" t="s">
        <v>1755</v>
      </c>
      <c r="F433" s="4" t="s">
        <v>1756</v>
      </c>
      <c r="G433" s="6">
        <v>-10117.920003158815</v>
      </c>
      <c r="H433" s="6">
        <f t="shared" si="7"/>
        <v>-120899.95371598225</v>
      </c>
      <c r="I433" s="4"/>
      <c r="J433" s="4" t="s">
        <v>68</v>
      </c>
      <c r="K433" s="7">
        <v>10117.92</v>
      </c>
      <c r="L433" s="4" t="s">
        <v>1749</v>
      </c>
      <c r="M433" s="4" t="s">
        <v>27</v>
      </c>
      <c r="N433" s="4"/>
    </row>
    <row r="434" spans="1:14" ht="10.5" hidden="1" x14ac:dyDescent="0.25">
      <c r="A434" s="8" t="s">
        <v>240</v>
      </c>
      <c r="B434" s="4" t="s">
        <v>21</v>
      </c>
      <c r="C434" s="5">
        <v>43952</v>
      </c>
      <c r="D434" s="4" t="s">
        <v>1757</v>
      </c>
      <c r="E434" s="4" t="s">
        <v>1758</v>
      </c>
      <c r="F434" s="4" t="s">
        <v>1748</v>
      </c>
      <c r="G434" s="6">
        <v>-159.33000004974284</v>
      </c>
      <c r="H434" s="6">
        <f t="shared" si="7"/>
        <v>-121059.28371603199</v>
      </c>
      <c r="I434" s="4"/>
      <c r="J434" s="4" t="s">
        <v>68</v>
      </c>
      <c r="K434" s="7">
        <v>159.33000000000001</v>
      </c>
      <c r="L434" s="4" t="s">
        <v>1749</v>
      </c>
      <c r="M434" s="4" t="s">
        <v>27</v>
      </c>
      <c r="N434" s="4"/>
    </row>
    <row r="435" spans="1:14" ht="10.5" hidden="1" x14ac:dyDescent="0.25">
      <c r="A435" s="8" t="s">
        <v>240</v>
      </c>
      <c r="B435" s="4" t="s">
        <v>21</v>
      </c>
      <c r="C435" s="5">
        <v>43952</v>
      </c>
      <c r="D435" s="4" t="s">
        <v>1759</v>
      </c>
      <c r="E435" s="4" t="s">
        <v>1760</v>
      </c>
      <c r="F435" s="4" t="s">
        <v>1751</v>
      </c>
      <c r="G435" s="6">
        <v>750.00000023414998</v>
      </c>
      <c r="H435" s="6">
        <f t="shared" si="7"/>
        <v>-120309.28371579784</v>
      </c>
      <c r="I435" s="4"/>
      <c r="J435" s="4" t="s">
        <v>68</v>
      </c>
      <c r="K435" s="7">
        <v>-750</v>
      </c>
      <c r="L435" s="4" t="s">
        <v>1749</v>
      </c>
      <c r="M435" s="4" t="s">
        <v>27</v>
      </c>
      <c r="N435" s="4"/>
    </row>
    <row r="436" spans="1:14" ht="10.5" hidden="1" x14ac:dyDescent="0.25">
      <c r="A436" s="8" t="s">
        <v>240</v>
      </c>
      <c r="B436" s="4" t="s">
        <v>21</v>
      </c>
      <c r="C436" s="5">
        <v>43952</v>
      </c>
      <c r="D436" s="4" t="s">
        <v>1761</v>
      </c>
      <c r="E436" s="4" t="s">
        <v>1762</v>
      </c>
      <c r="F436" s="4" t="s">
        <v>1753</v>
      </c>
      <c r="G436" s="6">
        <v>4234.5000013220106</v>
      </c>
      <c r="H436" s="6">
        <f t="shared" si="7"/>
        <v>-116074.78371447582</v>
      </c>
      <c r="I436" s="4"/>
      <c r="J436" s="4" t="s">
        <v>68</v>
      </c>
      <c r="K436" s="7">
        <v>-4234.5</v>
      </c>
      <c r="L436" s="4" t="s">
        <v>1749</v>
      </c>
      <c r="M436" s="4" t="s">
        <v>27</v>
      </c>
      <c r="N436" s="4"/>
    </row>
    <row r="437" spans="1:14" ht="10.5" hidden="1" x14ac:dyDescent="0.25">
      <c r="A437" s="8" t="s">
        <v>240</v>
      </c>
      <c r="B437" s="4" t="s">
        <v>241</v>
      </c>
      <c r="C437" s="5">
        <v>43952</v>
      </c>
      <c r="D437" s="4" t="s">
        <v>1763</v>
      </c>
      <c r="E437" s="4"/>
      <c r="F437" s="4"/>
      <c r="G437" s="6">
        <v>-253.37986551329999</v>
      </c>
      <c r="H437" s="6">
        <f t="shared" si="7"/>
        <v>-116328.16357998912</v>
      </c>
      <c r="I437" s="4"/>
      <c r="J437" s="4" t="s">
        <v>68</v>
      </c>
      <c r="K437" s="7">
        <v>0</v>
      </c>
      <c r="L437" s="4" t="s">
        <v>1749</v>
      </c>
      <c r="M437" s="4" t="s">
        <v>201</v>
      </c>
      <c r="N437" s="4"/>
    </row>
    <row r="438" spans="1:14" ht="10.5" hidden="1" x14ac:dyDescent="0.25">
      <c r="A438" s="8" t="s">
        <v>240</v>
      </c>
      <c r="B438" s="4" t="s">
        <v>21</v>
      </c>
      <c r="C438" s="5">
        <v>43957</v>
      </c>
      <c r="D438" s="4" t="s">
        <v>1764</v>
      </c>
      <c r="E438" s="4" t="s">
        <v>1765</v>
      </c>
      <c r="F438" s="4" t="s">
        <v>1765</v>
      </c>
      <c r="G438" s="6">
        <v>-2383.5300007441379</v>
      </c>
      <c r="H438" s="6">
        <f t="shared" si="7"/>
        <v>-118711.69358073326</v>
      </c>
      <c r="I438" s="4"/>
      <c r="J438" s="4" t="s">
        <v>68</v>
      </c>
      <c r="K438" s="7">
        <v>2383.5300000000002</v>
      </c>
      <c r="L438" s="4" t="s">
        <v>1749</v>
      </c>
      <c r="M438" s="4" t="s">
        <v>27</v>
      </c>
      <c r="N438" s="4"/>
    </row>
    <row r="439" spans="1:14" ht="10.5" hidden="1" x14ac:dyDescent="0.25">
      <c r="A439" s="8" t="s">
        <v>240</v>
      </c>
      <c r="B439" s="4" t="s">
        <v>21</v>
      </c>
      <c r="C439" s="5">
        <v>43957</v>
      </c>
      <c r="D439" s="4" t="s">
        <v>1766</v>
      </c>
      <c r="E439" s="4" t="s">
        <v>1767</v>
      </c>
      <c r="F439" s="4" t="s">
        <v>1765</v>
      </c>
      <c r="G439" s="6">
        <v>2383.5300007441379</v>
      </c>
      <c r="H439" s="6">
        <f t="shared" si="7"/>
        <v>-116328.16357998912</v>
      </c>
      <c r="I439" s="4"/>
      <c r="J439" s="4" t="s">
        <v>68</v>
      </c>
      <c r="K439" s="7">
        <v>-2383.5300000000002</v>
      </c>
      <c r="L439" s="4" t="s">
        <v>1749</v>
      </c>
      <c r="M439" s="4" t="s">
        <v>27</v>
      </c>
      <c r="N439" s="4"/>
    </row>
    <row r="440" spans="1:14" ht="10.5" hidden="1" x14ac:dyDescent="0.25">
      <c r="A440" s="8" t="s">
        <v>240</v>
      </c>
      <c r="B440" s="4" t="s">
        <v>21</v>
      </c>
      <c r="C440" s="5">
        <v>43958</v>
      </c>
      <c r="D440" s="4" t="s">
        <v>1768</v>
      </c>
      <c r="E440" s="4" t="s">
        <v>1769</v>
      </c>
      <c r="F440" s="4" t="s">
        <v>1769</v>
      </c>
      <c r="G440" s="6">
        <v>-1540.9600004810877</v>
      </c>
      <c r="H440" s="6">
        <f t="shared" si="7"/>
        <v>-117869.12358047022</v>
      </c>
      <c r="I440" s="4"/>
      <c r="J440" s="4" t="s">
        <v>68</v>
      </c>
      <c r="K440" s="7">
        <v>1540.96</v>
      </c>
      <c r="L440" s="4" t="s">
        <v>1749</v>
      </c>
      <c r="M440" s="4" t="s">
        <v>27</v>
      </c>
      <c r="N440" s="4"/>
    </row>
    <row r="441" spans="1:14" ht="10.5" hidden="1" x14ac:dyDescent="0.25">
      <c r="A441" s="8" t="s">
        <v>240</v>
      </c>
      <c r="B441" s="4" t="s">
        <v>21</v>
      </c>
      <c r="C441" s="5">
        <v>43958</v>
      </c>
      <c r="D441" s="4" t="s">
        <v>1770</v>
      </c>
      <c r="E441" s="4" t="s">
        <v>1771</v>
      </c>
      <c r="F441" s="4" t="s">
        <v>1769</v>
      </c>
      <c r="G441" s="6">
        <v>1540.9600004810877</v>
      </c>
      <c r="H441" s="6">
        <f t="shared" si="7"/>
        <v>-116328.16357998912</v>
      </c>
      <c r="I441" s="4"/>
      <c r="J441" s="4" t="s">
        <v>68</v>
      </c>
      <c r="K441" s="7">
        <v>-1540.96</v>
      </c>
      <c r="L441" s="4" t="s">
        <v>1749</v>
      </c>
      <c r="M441" s="4" t="s">
        <v>27</v>
      </c>
      <c r="N441" s="4"/>
    </row>
    <row r="442" spans="1:14" ht="10.5" hidden="1" x14ac:dyDescent="0.25">
      <c r="A442" s="8" t="s">
        <v>240</v>
      </c>
      <c r="B442" s="4" t="s">
        <v>21</v>
      </c>
      <c r="C442" s="5">
        <v>43966</v>
      </c>
      <c r="D442" s="4" t="s">
        <v>1772</v>
      </c>
      <c r="E442" s="4" t="s">
        <v>1773</v>
      </c>
      <c r="F442" s="4" t="s">
        <v>1773</v>
      </c>
      <c r="G442" s="6">
        <v>137472.00004291875</v>
      </c>
      <c r="H442" s="6">
        <f t="shared" si="7"/>
        <v>21143.836462929627</v>
      </c>
      <c r="I442" s="4"/>
      <c r="J442" s="4" t="s">
        <v>68</v>
      </c>
      <c r="K442" s="7">
        <v>-137472</v>
      </c>
      <c r="L442" s="4" t="s">
        <v>1749</v>
      </c>
      <c r="M442" s="4" t="s">
        <v>27</v>
      </c>
      <c r="N442" s="4"/>
    </row>
    <row r="443" spans="1:14" ht="10.5" hidden="1" x14ac:dyDescent="0.25">
      <c r="A443" s="8" t="s">
        <v>240</v>
      </c>
      <c r="B443" s="4" t="s">
        <v>21</v>
      </c>
      <c r="C443" s="5">
        <v>43966</v>
      </c>
      <c r="D443" s="4" t="s">
        <v>1774</v>
      </c>
      <c r="E443" s="4" t="s">
        <v>1775</v>
      </c>
      <c r="F443" s="4" t="s">
        <v>1775</v>
      </c>
      <c r="G443" s="6">
        <v>-77472.000024186753</v>
      </c>
      <c r="H443" s="6">
        <f t="shared" si="7"/>
        <v>-56328.163561257126</v>
      </c>
      <c r="I443" s="4"/>
      <c r="J443" s="4" t="s">
        <v>68</v>
      </c>
      <c r="K443" s="7">
        <v>77472</v>
      </c>
      <c r="L443" s="4" t="s">
        <v>1749</v>
      </c>
      <c r="M443" s="4" t="s">
        <v>27</v>
      </c>
      <c r="N443" s="4"/>
    </row>
    <row r="444" spans="1:14" ht="10.5" hidden="1" x14ac:dyDescent="0.25">
      <c r="A444" s="8" t="s">
        <v>240</v>
      </c>
      <c r="B444" s="4" t="s">
        <v>21</v>
      </c>
      <c r="C444" s="5">
        <v>43966</v>
      </c>
      <c r="D444" s="4" t="s">
        <v>1776</v>
      </c>
      <c r="E444" s="4" t="s">
        <v>1777</v>
      </c>
      <c r="F444" s="4" t="s">
        <v>1773</v>
      </c>
      <c r="G444" s="6">
        <v>-137472.00004291875</v>
      </c>
      <c r="H444" s="6">
        <f t="shared" si="7"/>
        <v>-193800.16360417588</v>
      </c>
      <c r="I444" s="4"/>
      <c r="J444" s="4" t="s">
        <v>68</v>
      </c>
      <c r="K444" s="7">
        <v>137472</v>
      </c>
      <c r="L444" s="4" t="s">
        <v>1749</v>
      </c>
      <c r="M444" s="4" t="s">
        <v>27</v>
      </c>
      <c r="N444" s="4"/>
    </row>
    <row r="445" spans="1:14" ht="10.5" hidden="1" x14ac:dyDescent="0.25">
      <c r="A445" s="8" t="s">
        <v>240</v>
      </c>
      <c r="B445" s="4" t="s">
        <v>21</v>
      </c>
      <c r="C445" s="5">
        <v>43966</v>
      </c>
      <c r="D445" s="4" t="s">
        <v>1778</v>
      </c>
      <c r="E445" s="4" t="s">
        <v>1779</v>
      </c>
      <c r="F445" s="4" t="s">
        <v>1775</v>
      </c>
      <c r="G445" s="6">
        <v>77472.000024186753</v>
      </c>
      <c r="H445" s="6">
        <f t="shared" si="7"/>
        <v>-116328.16357998912</v>
      </c>
      <c r="I445" s="4"/>
      <c r="J445" s="4" t="s">
        <v>68</v>
      </c>
      <c r="K445" s="7">
        <v>-77472</v>
      </c>
      <c r="L445" s="4" t="s">
        <v>1749</v>
      </c>
      <c r="M445" s="4" t="s">
        <v>27</v>
      </c>
      <c r="N445" s="4"/>
    </row>
    <row r="446" spans="1:14" ht="10.5" hidden="1" x14ac:dyDescent="0.25">
      <c r="A446" s="8" t="s">
        <v>240</v>
      </c>
      <c r="B446" s="4" t="s">
        <v>21</v>
      </c>
      <c r="C446" s="5">
        <v>43971</v>
      </c>
      <c r="D446" s="4" t="s">
        <v>1780</v>
      </c>
      <c r="E446" s="4" t="s">
        <v>1781</v>
      </c>
      <c r="F446" s="4" t="s">
        <v>1781</v>
      </c>
      <c r="G446" s="6">
        <v>-8646.7500026995149</v>
      </c>
      <c r="H446" s="6">
        <f t="shared" si="7"/>
        <v>-124974.91358268863</v>
      </c>
      <c r="I446" s="4"/>
      <c r="J446" s="4" t="s">
        <v>68</v>
      </c>
      <c r="K446" s="7">
        <v>8646.75</v>
      </c>
      <c r="L446" s="4" t="s">
        <v>1749</v>
      </c>
      <c r="M446" s="4" t="s">
        <v>27</v>
      </c>
      <c r="N446" s="4"/>
    </row>
    <row r="447" spans="1:14" ht="10.5" hidden="1" x14ac:dyDescent="0.25">
      <c r="A447" s="8" t="s">
        <v>240</v>
      </c>
      <c r="B447" s="4" t="s">
        <v>21</v>
      </c>
      <c r="C447" s="5">
        <v>43971</v>
      </c>
      <c r="D447" s="4" t="s">
        <v>1782</v>
      </c>
      <c r="E447" s="4" t="s">
        <v>1783</v>
      </c>
      <c r="F447" s="4" t="s">
        <v>1783</v>
      </c>
      <c r="G447" s="6">
        <v>-8583.3300026797151</v>
      </c>
      <c r="H447" s="6">
        <f t="shared" si="7"/>
        <v>-133558.24358536836</v>
      </c>
      <c r="I447" s="4"/>
      <c r="J447" s="4" t="s">
        <v>68</v>
      </c>
      <c r="K447" s="7">
        <v>8583.33</v>
      </c>
      <c r="L447" s="4" t="s">
        <v>1749</v>
      </c>
      <c r="M447" s="4" t="s">
        <v>27</v>
      </c>
      <c r="N447" s="4"/>
    </row>
    <row r="448" spans="1:14" ht="10.5" hidden="1" x14ac:dyDescent="0.25">
      <c r="A448" s="8" t="s">
        <v>240</v>
      </c>
      <c r="B448" s="4" t="s">
        <v>21</v>
      </c>
      <c r="C448" s="5">
        <v>43971</v>
      </c>
      <c r="D448" s="4" t="s">
        <v>1784</v>
      </c>
      <c r="E448" s="4" t="s">
        <v>1785</v>
      </c>
      <c r="F448" s="4" t="s">
        <v>1785</v>
      </c>
      <c r="G448" s="6">
        <v>-8583.3300026797151</v>
      </c>
      <c r="H448" s="6">
        <f t="shared" si="7"/>
        <v>-142141.57358804808</v>
      </c>
      <c r="I448" s="4"/>
      <c r="J448" s="4" t="s">
        <v>68</v>
      </c>
      <c r="K448" s="7">
        <v>8583.33</v>
      </c>
      <c r="L448" s="4" t="s">
        <v>1749</v>
      </c>
      <c r="M448" s="4" t="s">
        <v>27</v>
      </c>
      <c r="N448" s="4"/>
    </row>
    <row r="449" spans="1:14" ht="10.5" hidden="1" x14ac:dyDescent="0.25">
      <c r="A449" s="8" t="s">
        <v>240</v>
      </c>
      <c r="B449" s="4" t="s">
        <v>21</v>
      </c>
      <c r="C449" s="5">
        <v>43971</v>
      </c>
      <c r="D449" s="4" t="s">
        <v>1786</v>
      </c>
      <c r="E449" s="4" t="s">
        <v>1787</v>
      </c>
      <c r="F449" s="4" t="s">
        <v>1787</v>
      </c>
      <c r="G449" s="6">
        <v>-10500.000003278101</v>
      </c>
      <c r="H449" s="6">
        <f t="shared" si="7"/>
        <v>-152641.57359132619</v>
      </c>
      <c r="I449" s="4"/>
      <c r="J449" s="4" t="s">
        <v>68</v>
      </c>
      <c r="K449" s="7">
        <v>10500</v>
      </c>
      <c r="L449" s="4" t="s">
        <v>1749</v>
      </c>
      <c r="M449" s="4" t="s">
        <v>27</v>
      </c>
      <c r="N449" s="4"/>
    </row>
    <row r="450" spans="1:14" ht="10.5" hidden="1" x14ac:dyDescent="0.25">
      <c r="A450" s="8" t="s">
        <v>240</v>
      </c>
      <c r="B450" s="4" t="s">
        <v>21</v>
      </c>
      <c r="C450" s="5">
        <v>43971</v>
      </c>
      <c r="D450" s="4" t="s">
        <v>1788</v>
      </c>
      <c r="E450" s="4" t="s">
        <v>1789</v>
      </c>
      <c r="F450" s="4" t="s">
        <v>1789</v>
      </c>
      <c r="G450" s="6">
        <v>-8712.0800027199111</v>
      </c>
      <c r="H450" s="6">
        <f t="shared" si="7"/>
        <v>-161353.6535940461</v>
      </c>
      <c r="I450" s="4"/>
      <c r="J450" s="4" t="s">
        <v>68</v>
      </c>
      <c r="K450" s="7">
        <v>8712.08</v>
      </c>
      <c r="L450" s="4" t="s">
        <v>1749</v>
      </c>
      <c r="M450" s="4" t="s">
        <v>27</v>
      </c>
      <c r="N450" s="4"/>
    </row>
    <row r="451" spans="1:14" ht="10.5" hidden="1" x14ac:dyDescent="0.25">
      <c r="A451" s="8" t="s">
        <v>240</v>
      </c>
      <c r="B451" s="4" t="s">
        <v>21</v>
      </c>
      <c r="C451" s="5">
        <v>43971</v>
      </c>
      <c r="D451" s="4" t="s">
        <v>1790</v>
      </c>
      <c r="E451" s="4" t="s">
        <v>1791</v>
      </c>
      <c r="F451" s="4" t="s">
        <v>1791</v>
      </c>
      <c r="G451" s="6">
        <v>-8583.3300026797151</v>
      </c>
      <c r="H451" s="6">
        <f t="shared" si="7"/>
        <v>-169936.98359672583</v>
      </c>
      <c r="I451" s="4"/>
      <c r="J451" s="4" t="s">
        <v>68</v>
      </c>
      <c r="K451" s="7">
        <v>8583.33</v>
      </c>
      <c r="L451" s="4" t="s">
        <v>1749</v>
      </c>
      <c r="M451" s="4" t="s">
        <v>27</v>
      </c>
      <c r="N451" s="4"/>
    </row>
    <row r="452" spans="1:14" ht="10.5" hidden="1" x14ac:dyDescent="0.25">
      <c r="A452" s="8" t="s">
        <v>240</v>
      </c>
      <c r="B452" s="4" t="s">
        <v>21</v>
      </c>
      <c r="C452" s="5">
        <v>43971</v>
      </c>
      <c r="D452" s="4" t="s">
        <v>1792</v>
      </c>
      <c r="E452" s="4" t="s">
        <v>1793</v>
      </c>
      <c r="F452" s="4" t="s">
        <v>1793</v>
      </c>
      <c r="G452" s="6">
        <v>-1464.2200004571296</v>
      </c>
      <c r="H452" s="6">
        <f t="shared" si="7"/>
        <v>-171401.20359718296</v>
      </c>
      <c r="I452" s="4"/>
      <c r="J452" s="4" t="s">
        <v>68</v>
      </c>
      <c r="K452" s="7">
        <v>1464.22</v>
      </c>
      <c r="L452" s="4" t="s">
        <v>1749</v>
      </c>
      <c r="M452" s="4" t="s">
        <v>27</v>
      </c>
      <c r="N452" s="4"/>
    </row>
    <row r="453" spans="1:14" ht="10.5" hidden="1" x14ac:dyDescent="0.25">
      <c r="A453" s="8" t="s">
        <v>240</v>
      </c>
      <c r="B453" s="4" t="s">
        <v>21</v>
      </c>
      <c r="C453" s="5">
        <v>43971</v>
      </c>
      <c r="D453" s="4" t="s">
        <v>1794</v>
      </c>
      <c r="E453" s="4" t="s">
        <v>1795</v>
      </c>
      <c r="F453" s="4" t="s">
        <v>1795</v>
      </c>
      <c r="G453" s="6">
        <v>-490.07000015299985</v>
      </c>
      <c r="H453" s="6">
        <f t="shared" si="7"/>
        <v>-171891.27359733597</v>
      </c>
      <c r="I453" s="4"/>
      <c r="J453" s="4" t="s">
        <v>68</v>
      </c>
      <c r="K453" s="7">
        <v>490.07</v>
      </c>
      <c r="L453" s="4" t="s">
        <v>1749</v>
      </c>
      <c r="M453" s="4" t="s">
        <v>27</v>
      </c>
      <c r="N453" s="4"/>
    </row>
    <row r="454" spans="1:14" ht="10.5" hidden="1" x14ac:dyDescent="0.25">
      <c r="A454" s="8" t="s">
        <v>240</v>
      </c>
      <c r="B454" s="4" t="s">
        <v>21</v>
      </c>
      <c r="C454" s="5">
        <v>43971</v>
      </c>
      <c r="D454" s="4" t="s">
        <v>1796</v>
      </c>
      <c r="E454" s="4" t="s">
        <v>1797</v>
      </c>
      <c r="F454" s="4" t="s">
        <v>1797</v>
      </c>
      <c r="G454" s="6">
        <v>-303.47000009474334</v>
      </c>
      <c r="H454" s="6">
        <f t="shared" si="7"/>
        <v>-172194.7435974307</v>
      </c>
      <c r="I454" s="4"/>
      <c r="J454" s="4" t="s">
        <v>68</v>
      </c>
      <c r="K454" s="7">
        <v>303.47000000000003</v>
      </c>
      <c r="L454" s="4" t="s">
        <v>1749</v>
      </c>
      <c r="M454" s="4" t="s">
        <v>27</v>
      </c>
      <c r="N454" s="4"/>
    </row>
    <row r="455" spans="1:14" ht="10.5" hidden="1" x14ac:dyDescent="0.25">
      <c r="A455" s="8" t="s">
        <v>240</v>
      </c>
      <c r="B455" s="4" t="s">
        <v>21</v>
      </c>
      <c r="C455" s="5">
        <v>43971</v>
      </c>
      <c r="D455" s="4" t="s">
        <v>1798</v>
      </c>
      <c r="E455" s="4" t="s">
        <v>1799</v>
      </c>
      <c r="F455" s="4" t="s">
        <v>1799</v>
      </c>
      <c r="G455" s="6">
        <v>-294.17000009183988</v>
      </c>
      <c r="H455" s="6">
        <f t="shared" si="7"/>
        <v>-172488.91359752254</v>
      </c>
      <c r="I455" s="4"/>
      <c r="J455" s="4" t="s">
        <v>68</v>
      </c>
      <c r="K455" s="7">
        <v>294.17</v>
      </c>
      <c r="L455" s="4" t="s">
        <v>1749</v>
      </c>
      <c r="M455" s="4" t="s">
        <v>27</v>
      </c>
      <c r="N455" s="4"/>
    </row>
    <row r="456" spans="1:14" ht="10.5" hidden="1" x14ac:dyDescent="0.25">
      <c r="A456" s="8" t="s">
        <v>240</v>
      </c>
      <c r="B456" s="4" t="s">
        <v>21</v>
      </c>
      <c r="C456" s="5">
        <v>43971</v>
      </c>
      <c r="D456" s="4" t="s">
        <v>1800</v>
      </c>
      <c r="E456" s="4" t="s">
        <v>1801</v>
      </c>
      <c r="F456" s="4" t="s">
        <v>1801</v>
      </c>
      <c r="G456" s="6">
        <v>-222.69000006952382</v>
      </c>
      <c r="H456" s="6">
        <f t="shared" si="7"/>
        <v>-172711.60359759207</v>
      </c>
      <c r="I456" s="4"/>
      <c r="J456" s="4" t="s">
        <v>68</v>
      </c>
      <c r="K456" s="7">
        <v>222.69</v>
      </c>
      <c r="L456" s="4" t="s">
        <v>1749</v>
      </c>
      <c r="M456" s="4" t="s">
        <v>27</v>
      </c>
      <c r="N456" s="4"/>
    </row>
    <row r="457" spans="1:14" ht="10.5" hidden="1" x14ac:dyDescent="0.25">
      <c r="A457" s="8" t="s">
        <v>240</v>
      </c>
      <c r="B457" s="4" t="s">
        <v>21</v>
      </c>
      <c r="C457" s="5">
        <v>43971</v>
      </c>
      <c r="D457" s="4" t="s">
        <v>1802</v>
      </c>
      <c r="E457" s="4" t="s">
        <v>1803</v>
      </c>
      <c r="F457" s="4" t="s">
        <v>1781</v>
      </c>
      <c r="G457" s="6">
        <v>8646.7500026995149</v>
      </c>
      <c r="H457" s="6">
        <f t="shared" si="7"/>
        <v>-164064.85359489254</v>
      </c>
      <c r="I457" s="4"/>
      <c r="J457" s="4" t="s">
        <v>68</v>
      </c>
      <c r="K457" s="7">
        <v>-8646.75</v>
      </c>
      <c r="L457" s="4" t="s">
        <v>1749</v>
      </c>
      <c r="M457" s="4" t="s">
        <v>27</v>
      </c>
      <c r="N457" s="4"/>
    </row>
    <row r="458" spans="1:14" ht="10.5" hidden="1" x14ac:dyDescent="0.25">
      <c r="A458" s="8" t="s">
        <v>240</v>
      </c>
      <c r="B458" s="4" t="s">
        <v>21</v>
      </c>
      <c r="C458" s="5">
        <v>43971</v>
      </c>
      <c r="D458" s="4" t="s">
        <v>1804</v>
      </c>
      <c r="E458" s="4" t="s">
        <v>1805</v>
      </c>
      <c r="F458" s="4" t="s">
        <v>1783</v>
      </c>
      <c r="G458" s="6">
        <v>8583.3300026797151</v>
      </c>
      <c r="H458" s="6">
        <f t="shared" si="7"/>
        <v>-155481.52359221282</v>
      </c>
      <c r="I458" s="4"/>
      <c r="J458" s="4" t="s">
        <v>68</v>
      </c>
      <c r="K458" s="7">
        <v>-8583.33</v>
      </c>
      <c r="L458" s="4" t="s">
        <v>1749</v>
      </c>
      <c r="M458" s="4" t="s">
        <v>27</v>
      </c>
      <c r="N458" s="4"/>
    </row>
    <row r="459" spans="1:14" ht="10.5" hidden="1" x14ac:dyDescent="0.25">
      <c r="A459" s="8" t="s">
        <v>240</v>
      </c>
      <c r="B459" s="4" t="s">
        <v>21</v>
      </c>
      <c r="C459" s="5">
        <v>43971</v>
      </c>
      <c r="D459" s="4" t="s">
        <v>1806</v>
      </c>
      <c r="E459" s="4" t="s">
        <v>1807</v>
      </c>
      <c r="F459" s="4" t="s">
        <v>1785</v>
      </c>
      <c r="G459" s="6">
        <v>8583.3300026797151</v>
      </c>
      <c r="H459" s="6">
        <f t="shared" si="7"/>
        <v>-146898.1935895331</v>
      </c>
      <c r="I459" s="4"/>
      <c r="J459" s="4" t="s">
        <v>68</v>
      </c>
      <c r="K459" s="7">
        <v>-8583.33</v>
      </c>
      <c r="L459" s="4" t="s">
        <v>1749</v>
      </c>
      <c r="M459" s="4" t="s">
        <v>27</v>
      </c>
      <c r="N459" s="4"/>
    </row>
    <row r="460" spans="1:14" ht="10.5" hidden="1" x14ac:dyDescent="0.25">
      <c r="A460" s="8" t="s">
        <v>240</v>
      </c>
      <c r="B460" s="4" t="s">
        <v>21</v>
      </c>
      <c r="C460" s="5">
        <v>43971</v>
      </c>
      <c r="D460" s="4" t="s">
        <v>1808</v>
      </c>
      <c r="E460" s="4" t="s">
        <v>1809</v>
      </c>
      <c r="F460" s="4" t="s">
        <v>1787</v>
      </c>
      <c r="G460" s="6">
        <v>10500.000003278101</v>
      </c>
      <c r="H460" s="6">
        <f t="shared" si="7"/>
        <v>-136398.19358625499</v>
      </c>
      <c r="I460" s="4"/>
      <c r="J460" s="4" t="s">
        <v>68</v>
      </c>
      <c r="K460" s="7">
        <v>-10500</v>
      </c>
      <c r="L460" s="4" t="s">
        <v>1749</v>
      </c>
      <c r="M460" s="4" t="s">
        <v>27</v>
      </c>
      <c r="N460" s="4"/>
    </row>
    <row r="461" spans="1:14" ht="10.5" hidden="1" x14ac:dyDescent="0.25">
      <c r="A461" s="8" t="s">
        <v>240</v>
      </c>
      <c r="B461" s="4" t="s">
        <v>21</v>
      </c>
      <c r="C461" s="5">
        <v>43971</v>
      </c>
      <c r="D461" s="4" t="s">
        <v>1810</v>
      </c>
      <c r="E461" s="4" t="s">
        <v>1811</v>
      </c>
      <c r="F461" s="4" t="s">
        <v>1789</v>
      </c>
      <c r="G461" s="6">
        <v>8712.0800027199111</v>
      </c>
      <c r="H461" s="6">
        <f t="shared" si="7"/>
        <v>-127686.11358353507</v>
      </c>
      <c r="I461" s="4"/>
      <c r="J461" s="4" t="s">
        <v>68</v>
      </c>
      <c r="K461" s="7">
        <v>-8712.08</v>
      </c>
      <c r="L461" s="4" t="s">
        <v>1749</v>
      </c>
      <c r="M461" s="4" t="s">
        <v>27</v>
      </c>
      <c r="N461" s="4"/>
    </row>
    <row r="462" spans="1:14" ht="10.5" hidden="1" x14ac:dyDescent="0.25">
      <c r="A462" s="8" t="s">
        <v>240</v>
      </c>
      <c r="B462" s="4" t="s">
        <v>21</v>
      </c>
      <c r="C462" s="5">
        <v>43971</v>
      </c>
      <c r="D462" s="4" t="s">
        <v>1812</v>
      </c>
      <c r="E462" s="4" t="s">
        <v>1813</v>
      </c>
      <c r="F462" s="4" t="s">
        <v>1791</v>
      </c>
      <c r="G462" s="6">
        <v>8583.3300026797151</v>
      </c>
      <c r="H462" s="6">
        <f t="shared" si="7"/>
        <v>-119102.78358085535</v>
      </c>
      <c r="I462" s="4"/>
      <c r="J462" s="4" t="s">
        <v>68</v>
      </c>
      <c r="K462" s="7">
        <v>-8583.33</v>
      </c>
      <c r="L462" s="4" t="s">
        <v>1749</v>
      </c>
      <c r="M462" s="4" t="s">
        <v>27</v>
      </c>
      <c r="N462" s="4"/>
    </row>
    <row r="463" spans="1:14" ht="10.5" hidden="1" x14ac:dyDescent="0.25">
      <c r="A463" s="8" t="s">
        <v>240</v>
      </c>
      <c r="B463" s="4" t="s">
        <v>21</v>
      </c>
      <c r="C463" s="5">
        <v>43980</v>
      </c>
      <c r="D463" s="4" t="s">
        <v>1814</v>
      </c>
      <c r="E463" s="4" t="s">
        <v>1815</v>
      </c>
      <c r="F463" s="4" t="s">
        <v>1816</v>
      </c>
      <c r="G463" s="6">
        <v>4400.0000013736799</v>
      </c>
      <c r="H463" s="6">
        <f t="shared" si="7"/>
        <v>-114702.78357948166</v>
      </c>
      <c r="I463" s="4"/>
      <c r="J463" s="4" t="s">
        <v>68</v>
      </c>
      <c r="K463" s="7">
        <v>-4400</v>
      </c>
      <c r="L463" s="4" t="s">
        <v>1749</v>
      </c>
      <c r="M463" s="4" t="s">
        <v>27</v>
      </c>
      <c r="N463" s="4"/>
    </row>
    <row r="464" spans="1:14" ht="10.5" hidden="1" x14ac:dyDescent="0.25">
      <c r="A464" s="8" t="s">
        <v>240</v>
      </c>
      <c r="B464" s="4" t="s">
        <v>21</v>
      </c>
      <c r="C464" s="5">
        <v>43980</v>
      </c>
      <c r="D464" s="4" t="s">
        <v>1817</v>
      </c>
      <c r="E464" s="4" t="s">
        <v>1818</v>
      </c>
      <c r="F464" s="4" t="s">
        <v>1818</v>
      </c>
      <c r="G464" s="6">
        <v>885.55000027646872</v>
      </c>
      <c r="H464" s="6">
        <f t="shared" si="7"/>
        <v>-113817.23357920519</v>
      </c>
      <c r="I464" s="4"/>
      <c r="J464" s="4" t="s">
        <v>68</v>
      </c>
      <c r="K464" s="7">
        <v>-885.55</v>
      </c>
      <c r="L464" s="4" t="s">
        <v>1749</v>
      </c>
      <c r="M464" s="4" t="s">
        <v>27</v>
      </c>
      <c r="N464" s="4"/>
    </row>
    <row r="465" spans="1:17" ht="10.5" hidden="1" x14ac:dyDescent="0.25">
      <c r="A465" s="8" t="s">
        <v>240</v>
      </c>
      <c r="B465" s="4" t="s">
        <v>21</v>
      </c>
      <c r="C465" s="5">
        <v>43980</v>
      </c>
      <c r="D465" s="4" t="s">
        <v>1817</v>
      </c>
      <c r="E465" s="4" t="s">
        <v>1818</v>
      </c>
      <c r="F465" s="4" t="s">
        <v>1818</v>
      </c>
      <c r="G465" s="6">
        <v>735.55000022963873</v>
      </c>
      <c r="H465" s="6">
        <f t="shared" si="7"/>
        <v>-113081.68357897556</v>
      </c>
      <c r="I465" s="4"/>
      <c r="J465" s="4" t="s">
        <v>68</v>
      </c>
      <c r="K465" s="7">
        <v>-735.55</v>
      </c>
      <c r="L465" s="4" t="s">
        <v>1749</v>
      </c>
      <c r="M465" s="4" t="s">
        <v>27</v>
      </c>
      <c r="N465" s="4"/>
    </row>
    <row r="466" spans="1:17" ht="10.5" hidden="1" x14ac:dyDescent="0.25">
      <c r="A466" s="8" t="s">
        <v>240</v>
      </c>
      <c r="B466" s="4" t="s">
        <v>21</v>
      </c>
      <c r="C466" s="5">
        <v>43980</v>
      </c>
      <c r="D466" s="4" t="s">
        <v>1819</v>
      </c>
      <c r="E466" s="4" t="s">
        <v>1820</v>
      </c>
      <c r="F466" s="4" t="s">
        <v>1821</v>
      </c>
      <c r="G466" s="6">
        <v>-22000.000006868398</v>
      </c>
      <c r="H466" s="6">
        <f t="shared" si="7"/>
        <v>-135081.68358584394</v>
      </c>
      <c r="I466" s="4"/>
      <c r="J466" s="4" t="s">
        <v>68</v>
      </c>
      <c r="K466" s="7">
        <v>22000</v>
      </c>
      <c r="L466" s="4" t="s">
        <v>1749</v>
      </c>
      <c r="M466" s="4" t="s">
        <v>27</v>
      </c>
      <c r="N466" s="4"/>
    </row>
    <row r="467" spans="1:17" ht="10.5" hidden="1" x14ac:dyDescent="0.25">
      <c r="A467" s="8" t="s">
        <v>240</v>
      </c>
      <c r="B467" s="4" t="s">
        <v>21</v>
      </c>
      <c r="C467" s="5">
        <v>43982</v>
      </c>
      <c r="D467" s="4" t="s">
        <v>1822</v>
      </c>
      <c r="E467" s="4" t="s">
        <v>1823</v>
      </c>
      <c r="F467" s="4" t="s">
        <v>1823</v>
      </c>
      <c r="G467" s="6">
        <v>-1499.71703499</v>
      </c>
      <c r="H467" s="6">
        <f t="shared" si="7"/>
        <v>-136581.40062083394</v>
      </c>
      <c r="I467" s="4"/>
      <c r="J467" s="4" t="s">
        <v>68</v>
      </c>
      <c r="K467" s="7">
        <v>1431</v>
      </c>
      <c r="L467" s="4" t="s">
        <v>1749</v>
      </c>
      <c r="M467" s="4" t="s">
        <v>38</v>
      </c>
      <c r="N467" s="4"/>
      <c r="Q467" t="s">
        <v>809</v>
      </c>
    </row>
    <row r="468" spans="1:17" ht="10.5" hidden="1" x14ac:dyDescent="0.25">
      <c r="A468" s="8" t="s">
        <v>240</v>
      </c>
      <c r="B468" s="4" t="s">
        <v>21</v>
      </c>
      <c r="C468" s="5">
        <v>43982</v>
      </c>
      <c r="D468" s="4" t="s">
        <v>1824</v>
      </c>
      <c r="E468" s="4" t="s">
        <v>1825</v>
      </c>
      <c r="F468" s="4" t="s">
        <v>1825</v>
      </c>
      <c r="G468" s="6">
        <v>-82.793602910000004</v>
      </c>
      <c r="H468" s="6">
        <f t="shared" si="7"/>
        <v>-136664.19422374395</v>
      </c>
      <c r="I468" s="4"/>
      <c r="J468" s="4" t="s">
        <v>68</v>
      </c>
      <c r="K468" s="7">
        <v>79</v>
      </c>
      <c r="L468" s="4" t="s">
        <v>1749</v>
      </c>
      <c r="M468" s="4" t="s">
        <v>38</v>
      </c>
      <c r="N468" s="4"/>
      <c r="Q468" t="s">
        <v>809</v>
      </c>
    </row>
    <row r="469" spans="1:17" ht="10.5" hidden="1" x14ac:dyDescent="0.25">
      <c r="A469" s="8" t="s">
        <v>240</v>
      </c>
      <c r="B469" s="4" t="s">
        <v>21</v>
      </c>
      <c r="C469" s="5">
        <v>43982</v>
      </c>
      <c r="D469" s="4" t="s">
        <v>1826</v>
      </c>
      <c r="E469" s="4" t="s">
        <v>1827</v>
      </c>
      <c r="F469" s="4" t="s">
        <v>1828</v>
      </c>
      <c r="G469" s="6">
        <v>-99.561927549999993</v>
      </c>
      <c r="H469" s="6">
        <f t="shared" si="7"/>
        <v>-136763.75615129396</v>
      </c>
      <c r="I469" s="4"/>
      <c r="J469" s="4" t="s">
        <v>68</v>
      </c>
      <c r="K469" s="7">
        <v>95</v>
      </c>
      <c r="L469" s="4" t="s">
        <v>1749</v>
      </c>
      <c r="M469" s="4" t="s">
        <v>38</v>
      </c>
      <c r="N469" s="4"/>
      <c r="Q469" t="s">
        <v>809</v>
      </c>
    </row>
    <row r="470" spans="1:17" ht="10.5" hidden="1" x14ac:dyDescent="0.25">
      <c r="A470" s="8" t="s">
        <v>240</v>
      </c>
      <c r="B470" s="4" t="s">
        <v>241</v>
      </c>
      <c r="C470" s="5">
        <v>43982</v>
      </c>
      <c r="D470" s="4" t="s">
        <v>1829</v>
      </c>
      <c r="E470" s="4"/>
      <c r="F470" s="4"/>
      <c r="G470" s="6">
        <v>583.05560813859995</v>
      </c>
      <c r="H470" s="6">
        <f t="shared" si="7"/>
        <v>-136180.70054315537</v>
      </c>
      <c r="I470" s="4"/>
      <c r="J470" s="4" t="s">
        <v>68</v>
      </c>
      <c r="K470" s="7">
        <v>0</v>
      </c>
      <c r="L470" s="4" t="s">
        <v>1749</v>
      </c>
      <c r="M470" s="4" t="s">
        <v>201</v>
      </c>
      <c r="N470" s="4"/>
    </row>
    <row r="471" spans="1:17" ht="10.5" hidden="1" x14ac:dyDescent="0.25">
      <c r="A471" s="8" t="s">
        <v>240</v>
      </c>
      <c r="B471" s="4" t="s">
        <v>21</v>
      </c>
      <c r="C471" s="5">
        <v>43983</v>
      </c>
      <c r="D471" s="4" t="s">
        <v>1830</v>
      </c>
      <c r="E471" s="4" t="s">
        <v>1827</v>
      </c>
      <c r="F471" s="4" t="s">
        <v>1828</v>
      </c>
      <c r="G471" s="6">
        <v>99.561927549999993</v>
      </c>
      <c r="H471" s="6">
        <f t="shared" si="7"/>
        <v>-136081.13861560536</v>
      </c>
      <c r="I471" s="4"/>
      <c r="J471" s="4" t="s">
        <v>68</v>
      </c>
      <c r="K471" s="7">
        <v>-95</v>
      </c>
      <c r="L471" s="4" t="s">
        <v>1831</v>
      </c>
      <c r="M471" s="4" t="s">
        <v>38</v>
      </c>
      <c r="N471" s="4"/>
      <c r="Q471" t="s">
        <v>809</v>
      </c>
    </row>
    <row r="472" spans="1:17" ht="10.5" hidden="1" x14ac:dyDescent="0.25">
      <c r="A472" s="8" t="s">
        <v>240</v>
      </c>
      <c r="B472" s="4" t="s">
        <v>241</v>
      </c>
      <c r="C472" s="5">
        <v>43983</v>
      </c>
      <c r="D472" s="4" t="s">
        <v>1832</v>
      </c>
      <c r="E472" s="4"/>
      <c r="F472" s="4"/>
      <c r="G472" s="6">
        <v>-583.05560813859995</v>
      </c>
      <c r="H472" s="6">
        <f t="shared" si="7"/>
        <v>-136664.19422374395</v>
      </c>
      <c r="I472" s="4"/>
      <c r="J472" s="4" t="s">
        <v>68</v>
      </c>
      <c r="K472" s="7">
        <v>0</v>
      </c>
      <c r="L472" s="4" t="s">
        <v>1831</v>
      </c>
      <c r="M472" s="4" t="s">
        <v>201</v>
      </c>
      <c r="N472" s="4"/>
    </row>
    <row r="473" spans="1:17" ht="10.5" hidden="1" x14ac:dyDescent="0.25">
      <c r="A473" s="8" t="s">
        <v>240</v>
      </c>
      <c r="B473" s="4" t="s">
        <v>21</v>
      </c>
      <c r="C473" s="5">
        <v>44012</v>
      </c>
      <c r="D473" s="4" t="s">
        <v>1833</v>
      </c>
      <c r="E473" s="4" t="s">
        <v>1834</v>
      </c>
      <c r="F473" s="4" t="s">
        <v>1835</v>
      </c>
      <c r="G473" s="6">
        <v>-1834.0355075</v>
      </c>
      <c r="H473" s="6">
        <f t="shared" si="7"/>
        <v>-138498.22973124395</v>
      </c>
      <c r="I473" s="4"/>
      <c r="J473" s="4" t="s">
        <v>68</v>
      </c>
      <c r="K473" s="7">
        <v>1750</v>
      </c>
      <c r="L473" s="4" t="s">
        <v>1831</v>
      </c>
      <c r="M473" s="4" t="s">
        <v>38</v>
      </c>
      <c r="N473" s="4"/>
      <c r="Q473" t="s">
        <v>809</v>
      </c>
    </row>
    <row r="474" spans="1:17" ht="10.5" hidden="1" x14ac:dyDescent="0.25">
      <c r="A474" s="8" t="s">
        <v>240</v>
      </c>
      <c r="B474" s="4" t="s">
        <v>21</v>
      </c>
      <c r="C474" s="5">
        <v>44012</v>
      </c>
      <c r="D474" s="4" t="s">
        <v>1836</v>
      </c>
      <c r="E474" s="4" t="s">
        <v>1834</v>
      </c>
      <c r="F474" s="4" t="s">
        <v>1837</v>
      </c>
      <c r="G474" s="6">
        <v>-100.60994784</v>
      </c>
      <c r="H474" s="6">
        <f t="shared" si="7"/>
        <v>-138598.83967908396</v>
      </c>
      <c r="I474" s="4"/>
      <c r="J474" s="4" t="s">
        <v>68</v>
      </c>
      <c r="K474" s="7">
        <v>96</v>
      </c>
      <c r="L474" s="4" t="s">
        <v>1831</v>
      </c>
      <c r="M474" s="4" t="s">
        <v>38</v>
      </c>
      <c r="N474" s="4"/>
      <c r="Q474" t="s">
        <v>809</v>
      </c>
    </row>
    <row r="475" spans="1:17" ht="10.5" hidden="1" x14ac:dyDescent="0.25">
      <c r="A475" s="8" t="s">
        <v>240</v>
      </c>
      <c r="B475" s="4" t="s">
        <v>21</v>
      </c>
      <c r="C475" s="5">
        <v>44012</v>
      </c>
      <c r="D475" s="4" t="s">
        <v>1838</v>
      </c>
      <c r="E475" s="4" t="s">
        <v>1834</v>
      </c>
      <c r="F475" s="4" t="s">
        <v>1839</v>
      </c>
      <c r="G475" s="6">
        <v>-2097.0886002900002</v>
      </c>
      <c r="H475" s="6">
        <f t="shared" si="7"/>
        <v>-140695.92827937397</v>
      </c>
      <c r="I475" s="4"/>
      <c r="J475" s="4" t="s">
        <v>68</v>
      </c>
      <c r="K475" s="7">
        <v>2001</v>
      </c>
      <c r="L475" s="4" t="s">
        <v>1831</v>
      </c>
      <c r="M475" s="4" t="s">
        <v>38</v>
      </c>
      <c r="N475" s="4"/>
      <c r="Q475" t="s">
        <v>809</v>
      </c>
    </row>
    <row r="476" spans="1:17" ht="10.5" hidden="1" x14ac:dyDescent="0.25">
      <c r="A476" s="8" t="s">
        <v>240</v>
      </c>
      <c r="B476" s="4" t="s">
        <v>241</v>
      </c>
      <c r="C476" s="5">
        <v>44012</v>
      </c>
      <c r="D476" s="4" t="s">
        <v>1840</v>
      </c>
      <c r="E476" s="4"/>
      <c r="F476" s="4"/>
      <c r="G476" s="6">
        <v>558.53193335260005</v>
      </c>
      <c r="H476" s="6">
        <f t="shared" ref="H476:H539" si="8">H475+G476</f>
        <v>-140137.39634602136</v>
      </c>
      <c r="I476" s="4"/>
      <c r="J476" s="4" t="s">
        <v>68</v>
      </c>
      <c r="K476" s="7">
        <v>0</v>
      </c>
      <c r="L476" s="4" t="s">
        <v>1831</v>
      </c>
      <c r="M476" s="4" t="s">
        <v>201</v>
      </c>
      <c r="N476" s="4"/>
    </row>
    <row r="477" spans="1:17" ht="10.5" hidden="1" x14ac:dyDescent="0.25">
      <c r="A477" s="8" t="s">
        <v>240</v>
      </c>
      <c r="B477" s="4" t="s">
        <v>241</v>
      </c>
      <c r="C477" s="5">
        <v>44013</v>
      </c>
      <c r="D477" s="4" t="s">
        <v>1841</v>
      </c>
      <c r="E477" s="4"/>
      <c r="F477" s="4"/>
      <c r="G477" s="6">
        <v>-558.53193335260005</v>
      </c>
      <c r="H477" s="6">
        <f t="shared" si="8"/>
        <v>-140695.92827937397</v>
      </c>
      <c r="I477" s="4"/>
      <c r="J477" s="4" t="s">
        <v>68</v>
      </c>
      <c r="K477" s="7">
        <v>0</v>
      </c>
      <c r="L477" s="4" t="s">
        <v>1842</v>
      </c>
      <c r="M477" s="4" t="s">
        <v>201</v>
      </c>
      <c r="N477" s="4"/>
    </row>
    <row r="478" spans="1:17" ht="10.5" hidden="1" x14ac:dyDescent="0.25">
      <c r="A478" s="8" t="s">
        <v>240</v>
      </c>
      <c r="B478" s="4" t="s">
        <v>21</v>
      </c>
      <c r="C478" s="5">
        <v>44041</v>
      </c>
      <c r="D478" s="4" t="s">
        <v>1843</v>
      </c>
      <c r="E478" s="4" t="s">
        <v>1844</v>
      </c>
      <c r="F478" s="4" t="s">
        <v>1844</v>
      </c>
      <c r="G478" s="6">
        <v>26422.192634378251</v>
      </c>
      <c r="H478" s="6">
        <f t="shared" si="8"/>
        <v>-114273.73564499572</v>
      </c>
      <c r="I478" s="4"/>
      <c r="J478" s="4" t="s">
        <v>68</v>
      </c>
      <c r="K478" s="7">
        <v>-2087047</v>
      </c>
      <c r="L478" s="4" t="s">
        <v>1842</v>
      </c>
      <c r="M478" s="4" t="s">
        <v>204</v>
      </c>
      <c r="N478" s="4"/>
    </row>
    <row r="479" spans="1:17" ht="10.5" hidden="1" x14ac:dyDescent="0.25">
      <c r="A479" s="8" t="s">
        <v>240</v>
      </c>
      <c r="B479" s="4" t="s">
        <v>21</v>
      </c>
      <c r="C479" s="5">
        <v>44042</v>
      </c>
      <c r="D479" s="4" t="s">
        <v>1845</v>
      </c>
      <c r="E479" s="4" t="s">
        <v>1846</v>
      </c>
      <c r="F479" s="4" t="s">
        <v>1846</v>
      </c>
      <c r="G479" s="6">
        <v>1834.0355075</v>
      </c>
      <c r="H479" s="6">
        <f t="shared" si="8"/>
        <v>-112439.70013749572</v>
      </c>
      <c r="I479" s="4"/>
      <c r="J479" s="4" t="s">
        <v>68</v>
      </c>
      <c r="K479" s="7">
        <v>-1750</v>
      </c>
      <c r="L479" s="4" t="s">
        <v>1842</v>
      </c>
      <c r="M479" s="4" t="s">
        <v>38</v>
      </c>
      <c r="N479" s="4"/>
      <c r="Q479" t="s">
        <v>809</v>
      </c>
    </row>
    <row r="480" spans="1:17" ht="10.5" hidden="1" x14ac:dyDescent="0.25">
      <c r="A480" s="8" t="s">
        <v>240</v>
      </c>
      <c r="B480" s="4" t="s">
        <v>21</v>
      </c>
      <c r="C480" s="5">
        <v>44042</v>
      </c>
      <c r="D480" s="4" t="s">
        <v>1847</v>
      </c>
      <c r="E480" s="4" t="s">
        <v>1846</v>
      </c>
      <c r="F480" s="4" t="s">
        <v>1846</v>
      </c>
      <c r="G480" s="6">
        <v>-1834.0355075</v>
      </c>
      <c r="H480" s="6">
        <f t="shared" si="8"/>
        <v>-114273.73564499572</v>
      </c>
      <c r="I480" s="4"/>
      <c r="J480" s="4" t="s">
        <v>68</v>
      </c>
      <c r="K480" s="7">
        <v>1750</v>
      </c>
      <c r="L480" s="4" t="s">
        <v>1842</v>
      </c>
      <c r="M480" s="4" t="s">
        <v>38</v>
      </c>
      <c r="N480" s="4"/>
      <c r="Q480" t="s">
        <v>809</v>
      </c>
    </row>
    <row r="481" spans="1:17" ht="10.5" hidden="1" x14ac:dyDescent="0.25">
      <c r="A481" s="8" t="s">
        <v>240</v>
      </c>
      <c r="B481" s="4" t="s">
        <v>21</v>
      </c>
      <c r="C481" s="5">
        <v>44042</v>
      </c>
      <c r="D481" s="4" t="s">
        <v>1848</v>
      </c>
      <c r="E481" s="4" t="s">
        <v>1849</v>
      </c>
      <c r="F481" s="4" t="s">
        <v>1849</v>
      </c>
      <c r="G481" s="6">
        <v>100.60994784</v>
      </c>
      <c r="H481" s="6">
        <f t="shared" si="8"/>
        <v>-114173.12569715572</v>
      </c>
      <c r="I481" s="4"/>
      <c r="J481" s="4" t="s">
        <v>68</v>
      </c>
      <c r="K481" s="7">
        <v>-96</v>
      </c>
      <c r="L481" s="4" t="s">
        <v>1842</v>
      </c>
      <c r="M481" s="4" t="s">
        <v>38</v>
      </c>
      <c r="N481" s="4"/>
      <c r="Q481" t="s">
        <v>809</v>
      </c>
    </row>
    <row r="482" spans="1:17" ht="10.5" hidden="1" x14ac:dyDescent="0.25">
      <c r="A482" s="8" t="s">
        <v>240</v>
      </c>
      <c r="B482" s="4" t="s">
        <v>21</v>
      </c>
      <c r="C482" s="5">
        <v>44042</v>
      </c>
      <c r="D482" s="4" t="s">
        <v>1850</v>
      </c>
      <c r="E482" s="4" t="s">
        <v>1849</v>
      </c>
      <c r="F482" s="4" t="s">
        <v>1849</v>
      </c>
      <c r="G482" s="6">
        <v>-100.60994784</v>
      </c>
      <c r="H482" s="6">
        <f t="shared" si="8"/>
        <v>-114273.73564499572</v>
      </c>
      <c r="I482" s="4"/>
      <c r="J482" s="4" t="s">
        <v>68</v>
      </c>
      <c r="K482" s="7">
        <v>96</v>
      </c>
      <c r="L482" s="4" t="s">
        <v>1842</v>
      </c>
      <c r="M482" s="4" t="s">
        <v>38</v>
      </c>
      <c r="N482" s="4"/>
      <c r="Q482" t="s">
        <v>809</v>
      </c>
    </row>
    <row r="483" spans="1:17" ht="10.5" hidden="1" x14ac:dyDescent="0.25">
      <c r="A483" s="8" t="s">
        <v>240</v>
      </c>
      <c r="B483" s="4" t="s">
        <v>21</v>
      </c>
      <c r="C483" s="5">
        <v>44043</v>
      </c>
      <c r="D483" s="4" t="s">
        <v>1851</v>
      </c>
      <c r="E483" s="4" t="s">
        <v>1852</v>
      </c>
      <c r="F483" s="4" t="s">
        <v>1852</v>
      </c>
      <c r="G483" s="6">
        <v>-1996.47865245</v>
      </c>
      <c r="H483" s="6">
        <f t="shared" si="8"/>
        <v>-116270.21429744571</v>
      </c>
      <c r="I483" s="4"/>
      <c r="J483" s="4" t="s">
        <v>68</v>
      </c>
      <c r="K483" s="7">
        <v>1905</v>
      </c>
      <c r="L483" s="4" t="s">
        <v>1842</v>
      </c>
      <c r="M483" s="4" t="s">
        <v>38</v>
      </c>
      <c r="N483" s="4"/>
      <c r="Q483" t="s">
        <v>809</v>
      </c>
    </row>
    <row r="484" spans="1:17" ht="10.5" hidden="1" x14ac:dyDescent="0.25">
      <c r="A484" s="8" t="s">
        <v>240</v>
      </c>
      <c r="B484" s="4" t="s">
        <v>21</v>
      </c>
      <c r="C484" s="5">
        <v>44043</v>
      </c>
      <c r="D484" s="4" t="s">
        <v>1853</v>
      </c>
      <c r="E484" s="4" t="s">
        <v>1854</v>
      </c>
      <c r="F484" s="4" t="s">
        <v>1854</v>
      </c>
      <c r="G484" s="6">
        <v>-110.04213045</v>
      </c>
      <c r="H484" s="6">
        <f t="shared" si="8"/>
        <v>-116380.25642789571</v>
      </c>
      <c r="I484" s="4"/>
      <c r="J484" s="4" t="s">
        <v>68</v>
      </c>
      <c r="K484" s="7">
        <v>105</v>
      </c>
      <c r="L484" s="4" t="s">
        <v>1842</v>
      </c>
      <c r="M484" s="4" t="s">
        <v>38</v>
      </c>
      <c r="N484" s="4"/>
      <c r="Q484" t="s">
        <v>809</v>
      </c>
    </row>
    <row r="485" spans="1:17" ht="10.5" hidden="1" x14ac:dyDescent="0.25">
      <c r="A485" s="8" t="s">
        <v>240</v>
      </c>
      <c r="B485" s="4" t="s">
        <v>21</v>
      </c>
      <c r="C485" s="5">
        <v>44043</v>
      </c>
      <c r="D485" s="4" t="s">
        <v>1855</v>
      </c>
      <c r="E485" s="4" t="s">
        <v>1856</v>
      </c>
      <c r="F485" s="4" t="s">
        <v>1857</v>
      </c>
      <c r="G485" s="6">
        <v>47465.165748747233</v>
      </c>
      <c r="H485" s="6">
        <f t="shared" si="8"/>
        <v>-68915.090679148474</v>
      </c>
      <c r="I485" s="4"/>
      <c r="J485" s="4" t="s">
        <v>68</v>
      </c>
      <c r="K485" s="7">
        <v>-3749198</v>
      </c>
      <c r="L485" s="4" t="s">
        <v>1842</v>
      </c>
      <c r="M485" s="4" t="s">
        <v>204</v>
      </c>
      <c r="N485" s="4"/>
    </row>
    <row r="486" spans="1:17" ht="10.5" hidden="1" x14ac:dyDescent="0.25">
      <c r="A486" s="8" t="s">
        <v>240</v>
      </c>
      <c r="B486" s="4" t="s">
        <v>21</v>
      </c>
      <c r="C486" s="5">
        <v>44043</v>
      </c>
      <c r="D486" s="4" t="s">
        <v>1855</v>
      </c>
      <c r="E486" s="4" t="s">
        <v>1856</v>
      </c>
      <c r="F486" s="4" t="s">
        <v>1858</v>
      </c>
      <c r="G486" s="6">
        <v>-26422.192634378251</v>
      </c>
      <c r="H486" s="6">
        <f t="shared" si="8"/>
        <v>-95337.283313526728</v>
      </c>
      <c r="I486" s="4"/>
      <c r="J486" s="4" t="s">
        <v>68</v>
      </c>
      <c r="K486" s="7">
        <v>2087047</v>
      </c>
      <c r="L486" s="4" t="s">
        <v>1842</v>
      </c>
      <c r="M486" s="4" t="s">
        <v>204</v>
      </c>
      <c r="N486" s="4"/>
    </row>
    <row r="487" spans="1:17" ht="10.5" hidden="1" x14ac:dyDescent="0.25">
      <c r="A487" s="8" t="s">
        <v>240</v>
      </c>
      <c r="B487" s="4" t="s">
        <v>241</v>
      </c>
      <c r="C487" s="5">
        <v>44043</v>
      </c>
      <c r="D487" s="4" t="s">
        <v>1859</v>
      </c>
      <c r="E487" s="4"/>
      <c r="F487" s="4"/>
      <c r="G487" s="6">
        <v>996.87689984799999</v>
      </c>
      <c r="H487" s="6">
        <f t="shared" si="8"/>
        <v>-94340.406413678735</v>
      </c>
      <c r="I487" s="4"/>
      <c r="J487" s="4" t="s">
        <v>68</v>
      </c>
      <c r="K487" s="7">
        <v>0</v>
      </c>
      <c r="L487" s="4" t="s">
        <v>1842</v>
      </c>
      <c r="M487" s="4" t="s">
        <v>201</v>
      </c>
      <c r="N487" s="4"/>
    </row>
    <row r="488" spans="1:17" ht="10.5" hidden="1" x14ac:dyDescent="0.25">
      <c r="A488" s="8" t="s">
        <v>240</v>
      </c>
      <c r="B488" s="4" t="s">
        <v>241</v>
      </c>
      <c r="C488" s="5">
        <v>44044</v>
      </c>
      <c r="D488" s="4" t="s">
        <v>1860</v>
      </c>
      <c r="E488" s="4"/>
      <c r="F488" s="4"/>
      <c r="G488" s="6">
        <v>-996.87689984799999</v>
      </c>
      <c r="H488" s="6">
        <f t="shared" si="8"/>
        <v>-95337.283313526728</v>
      </c>
      <c r="I488" s="4"/>
      <c r="J488" s="4" t="s">
        <v>68</v>
      </c>
      <c r="K488" s="7">
        <v>0</v>
      </c>
      <c r="L488" s="4" t="s">
        <v>1861</v>
      </c>
      <c r="M488" s="4" t="s">
        <v>201</v>
      </c>
      <c r="N488" s="4"/>
    </row>
    <row r="489" spans="1:17" ht="10.5" hidden="1" x14ac:dyDescent="0.25">
      <c r="A489" s="8" t="s">
        <v>240</v>
      </c>
      <c r="B489" s="4" t="s">
        <v>21</v>
      </c>
      <c r="C489" s="5">
        <v>44062</v>
      </c>
      <c r="D489" s="4" t="s">
        <v>1862</v>
      </c>
      <c r="E489" s="4" t="s">
        <v>1863</v>
      </c>
      <c r="F489" s="4" t="s">
        <v>1863</v>
      </c>
      <c r="G489" s="6">
        <v>13000.0000040586</v>
      </c>
      <c r="H489" s="6">
        <f t="shared" si="8"/>
        <v>-82337.283309468126</v>
      </c>
      <c r="I489" s="4"/>
      <c r="J489" s="4" t="s">
        <v>68</v>
      </c>
      <c r="K489" s="7">
        <v>-13000</v>
      </c>
      <c r="L489" s="4" t="s">
        <v>1861</v>
      </c>
      <c r="M489" s="4" t="s">
        <v>27</v>
      </c>
      <c r="N489" s="4"/>
    </row>
    <row r="490" spans="1:17" ht="10.5" hidden="1" x14ac:dyDescent="0.25">
      <c r="A490" s="8" t="s">
        <v>240</v>
      </c>
      <c r="B490" s="4" t="s">
        <v>21</v>
      </c>
      <c r="C490" s="5">
        <v>44074</v>
      </c>
      <c r="D490" s="4" t="s">
        <v>1864</v>
      </c>
      <c r="E490" s="4" t="s">
        <v>1865</v>
      </c>
      <c r="F490" s="4" t="s">
        <v>1866</v>
      </c>
      <c r="G490" s="6">
        <v>-1769.0582495199999</v>
      </c>
      <c r="H490" s="6">
        <f t="shared" si="8"/>
        <v>-84106.341558988133</v>
      </c>
      <c r="I490" s="4"/>
      <c r="J490" s="4" t="s">
        <v>68</v>
      </c>
      <c r="K490" s="7">
        <v>1688</v>
      </c>
      <c r="L490" s="4" t="s">
        <v>1861</v>
      </c>
      <c r="M490" s="4" t="s">
        <v>38</v>
      </c>
      <c r="N490" s="4"/>
      <c r="Q490" t="s">
        <v>809</v>
      </c>
    </row>
    <row r="491" spans="1:17" ht="10.5" hidden="1" x14ac:dyDescent="0.25">
      <c r="A491" s="8" t="s">
        <v>240</v>
      </c>
      <c r="B491" s="4" t="s">
        <v>21</v>
      </c>
      <c r="C491" s="5">
        <v>44074</v>
      </c>
      <c r="D491" s="4" t="s">
        <v>1867</v>
      </c>
      <c r="E491" s="4" t="s">
        <v>1865</v>
      </c>
      <c r="F491" s="4" t="s">
        <v>1868</v>
      </c>
      <c r="G491" s="6">
        <v>-97.46588697</v>
      </c>
      <c r="H491" s="6">
        <f t="shared" si="8"/>
        <v>-84203.80744595814</v>
      </c>
      <c r="I491" s="4"/>
      <c r="J491" s="4" t="s">
        <v>68</v>
      </c>
      <c r="K491" s="7">
        <v>93</v>
      </c>
      <c r="L491" s="4" t="s">
        <v>1861</v>
      </c>
      <c r="M491" s="4" t="s">
        <v>38</v>
      </c>
      <c r="N491" s="4"/>
      <c r="Q491" t="s">
        <v>809</v>
      </c>
    </row>
    <row r="492" spans="1:17" ht="10.5" hidden="1" x14ac:dyDescent="0.25">
      <c r="A492" s="8" t="s">
        <v>240</v>
      </c>
      <c r="B492" s="4" t="s">
        <v>241</v>
      </c>
      <c r="C492" s="5">
        <v>44074</v>
      </c>
      <c r="D492" s="4" t="s">
        <v>1869</v>
      </c>
      <c r="E492" s="4"/>
      <c r="F492" s="4"/>
      <c r="G492" s="6">
        <v>1067.1466602925</v>
      </c>
      <c r="H492" s="6">
        <f t="shared" si="8"/>
        <v>-83136.660785665634</v>
      </c>
      <c r="I492" s="4"/>
      <c r="J492" s="4" t="s">
        <v>68</v>
      </c>
      <c r="K492" s="7">
        <v>0</v>
      </c>
      <c r="L492" s="4" t="s">
        <v>1861</v>
      </c>
      <c r="M492" s="4" t="s">
        <v>201</v>
      </c>
      <c r="N492" s="4"/>
    </row>
    <row r="493" spans="1:17" ht="10.5" hidden="1" x14ac:dyDescent="0.25">
      <c r="A493" s="8" t="s">
        <v>240</v>
      </c>
      <c r="B493" s="4" t="s">
        <v>241</v>
      </c>
      <c r="C493" s="5">
        <v>44075</v>
      </c>
      <c r="D493" s="4" t="s">
        <v>1870</v>
      </c>
      <c r="E493" s="4"/>
      <c r="F493" s="4"/>
      <c r="G493" s="6">
        <v>-1067.1466602925</v>
      </c>
      <c r="H493" s="6">
        <f t="shared" si="8"/>
        <v>-84203.80744595814</v>
      </c>
      <c r="I493" s="4"/>
      <c r="J493" s="4" t="s">
        <v>68</v>
      </c>
      <c r="K493" s="7">
        <v>0</v>
      </c>
      <c r="L493" s="4" t="s">
        <v>1052</v>
      </c>
      <c r="M493" s="4" t="s">
        <v>201</v>
      </c>
      <c r="N493" s="4"/>
    </row>
    <row r="494" spans="1:17" ht="10.5" hidden="1" x14ac:dyDescent="0.25">
      <c r="A494" s="8" t="s">
        <v>240</v>
      </c>
      <c r="B494" s="4" t="s">
        <v>21</v>
      </c>
      <c r="C494" s="5">
        <v>44089</v>
      </c>
      <c r="D494" s="4" t="s">
        <v>1871</v>
      </c>
      <c r="E494" s="4" t="s">
        <v>1872</v>
      </c>
      <c r="F494" s="4" t="s">
        <v>1872</v>
      </c>
      <c r="G494" s="6">
        <v>31453.766217453645</v>
      </c>
      <c r="H494" s="6">
        <f t="shared" si="8"/>
        <v>-52750.041228504495</v>
      </c>
      <c r="I494" s="4"/>
      <c r="J494" s="4" t="s">
        <v>68</v>
      </c>
      <c r="K494" s="7">
        <v>-2484483</v>
      </c>
      <c r="L494" s="4" t="s">
        <v>1052</v>
      </c>
      <c r="M494" s="4" t="s">
        <v>204</v>
      </c>
      <c r="N494" s="4"/>
    </row>
    <row r="495" spans="1:17" ht="10.5" hidden="1" x14ac:dyDescent="0.25">
      <c r="A495" s="8" t="s">
        <v>240</v>
      </c>
      <c r="B495" s="4" t="s">
        <v>21</v>
      </c>
      <c r="C495" s="5">
        <v>44092</v>
      </c>
      <c r="D495" s="4" t="s">
        <v>1873</v>
      </c>
      <c r="E495" s="4" t="s">
        <v>1874</v>
      </c>
      <c r="F495" s="4" t="s">
        <v>1874</v>
      </c>
      <c r="G495" s="6">
        <v>-10886.39000339873</v>
      </c>
      <c r="H495" s="6">
        <f t="shared" si="8"/>
        <v>-63636.431231903225</v>
      </c>
      <c r="I495" s="4"/>
      <c r="J495" s="4" t="s">
        <v>68</v>
      </c>
      <c r="K495" s="7">
        <v>10886.39</v>
      </c>
      <c r="L495" s="4" t="s">
        <v>1052</v>
      </c>
      <c r="M495" s="4" t="s">
        <v>27</v>
      </c>
      <c r="N495" s="4"/>
    </row>
    <row r="496" spans="1:17" ht="10.5" hidden="1" x14ac:dyDescent="0.25">
      <c r="A496" s="8" t="s">
        <v>240</v>
      </c>
      <c r="B496" s="4" t="s">
        <v>21</v>
      </c>
      <c r="C496" s="5">
        <v>44103</v>
      </c>
      <c r="D496" s="4" t="s">
        <v>1875</v>
      </c>
      <c r="E496" s="4" t="s">
        <v>1876</v>
      </c>
      <c r="F496" s="4" t="s">
        <v>1876</v>
      </c>
      <c r="G496" s="6">
        <v>27177.838571439501</v>
      </c>
      <c r="H496" s="6">
        <f t="shared" si="8"/>
        <v>-36458.592660463721</v>
      </c>
      <c r="I496" s="4"/>
      <c r="J496" s="4" t="s">
        <v>68</v>
      </c>
      <c r="K496" s="7">
        <v>-35000</v>
      </c>
      <c r="L496" s="4" t="s">
        <v>1052</v>
      </c>
      <c r="M496" s="4" t="s">
        <v>212</v>
      </c>
      <c r="N496" s="4"/>
    </row>
    <row r="497" spans="1:17" ht="10.5" hidden="1" x14ac:dyDescent="0.25">
      <c r="A497" s="8" t="s">
        <v>240</v>
      </c>
      <c r="B497" s="4" t="s">
        <v>21</v>
      </c>
      <c r="C497" s="5">
        <v>44103</v>
      </c>
      <c r="D497" s="4" t="s">
        <v>1877</v>
      </c>
      <c r="E497" s="4" t="s">
        <v>1878</v>
      </c>
      <c r="F497" s="4" t="s">
        <v>1878</v>
      </c>
      <c r="G497" s="6">
        <v>19412.741836742502</v>
      </c>
      <c r="H497" s="6">
        <f t="shared" si="8"/>
        <v>-17045.850823721219</v>
      </c>
      <c r="I497" s="4"/>
      <c r="J497" s="4" t="s">
        <v>68</v>
      </c>
      <c r="K497" s="7">
        <v>-25000</v>
      </c>
      <c r="L497" s="4" t="s">
        <v>1052</v>
      </c>
      <c r="M497" s="4" t="s">
        <v>212</v>
      </c>
      <c r="N497" s="4"/>
    </row>
    <row r="498" spans="1:17" ht="10.5" hidden="1" x14ac:dyDescent="0.25">
      <c r="A498" s="8" t="s">
        <v>240</v>
      </c>
      <c r="B498" s="4" t="s">
        <v>21</v>
      </c>
      <c r="C498" s="5">
        <v>44104</v>
      </c>
      <c r="D498" s="4" t="s">
        <v>1879</v>
      </c>
      <c r="E498" s="4" t="s">
        <v>1880</v>
      </c>
      <c r="F498" s="4" t="s">
        <v>1881</v>
      </c>
      <c r="G498" s="6">
        <v>-1240.8560233600001</v>
      </c>
      <c r="H498" s="6">
        <f t="shared" si="8"/>
        <v>-18286.706847081219</v>
      </c>
      <c r="I498" s="4"/>
      <c r="J498" s="4" t="s">
        <v>68</v>
      </c>
      <c r="K498" s="7">
        <v>1184</v>
      </c>
      <c r="L498" s="4" t="s">
        <v>1052</v>
      </c>
      <c r="M498" s="4" t="s">
        <v>38</v>
      </c>
      <c r="N498" s="4"/>
      <c r="Q498" t="s">
        <v>809</v>
      </c>
    </row>
    <row r="499" spans="1:17" ht="10.5" hidden="1" x14ac:dyDescent="0.25">
      <c r="A499" s="8" t="s">
        <v>240</v>
      </c>
      <c r="B499" s="4" t="s">
        <v>21</v>
      </c>
      <c r="C499" s="5">
        <v>44104</v>
      </c>
      <c r="D499" s="4" t="s">
        <v>1882</v>
      </c>
      <c r="E499" s="4" t="s">
        <v>1880</v>
      </c>
      <c r="F499" s="4" t="s">
        <v>1883</v>
      </c>
      <c r="G499" s="6">
        <v>-68.121318849999994</v>
      </c>
      <c r="H499" s="6">
        <f t="shared" si="8"/>
        <v>-18354.82816593122</v>
      </c>
      <c r="I499" s="4"/>
      <c r="J499" s="4" t="s">
        <v>68</v>
      </c>
      <c r="K499" s="7">
        <v>65</v>
      </c>
      <c r="L499" s="4" t="s">
        <v>1052</v>
      </c>
      <c r="M499" s="4" t="s">
        <v>38</v>
      </c>
      <c r="N499" s="4"/>
      <c r="Q499" t="s">
        <v>809</v>
      </c>
    </row>
    <row r="500" spans="1:17" ht="10.5" hidden="1" x14ac:dyDescent="0.25">
      <c r="A500" s="8" t="s">
        <v>240</v>
      </c>
      <c r="B500" s="4" t="s">
        <v>21</v>
      </c>
      <c r="C500" s="5">
        <v>44104</v>
      </c>
      <c r="D500" s="4" t="s">
        <v>1884</v>
      </c>
      <c r="E500" s="4" t="s">
        <v>1885</v>
      </c>
      <c r="F500" s="4" t="s">
        <v>1885</v>
      </c>
      <c r="G500" s="6">
        <v>2900.5647580792552</v>
      </c>
      <c r="H500" s="6">
        <f t="shared" si="8"/>
        <v>-15454.263407851964</v>
      </c>
      <c r="I500" s="4"/>
      <c r="J500" s="4" t="s">
        <v>68</v>
      </c>
      <c r="K500" s="7">
        <v>-229111</v>
      </c>
      <c r="L500" s="4" t="s">
        <v>1052</v>
      </c>
      <c r="M500" s="4" t="s">
        <v>204</v>
      </c>
      <c r="N500" s="4"/>
    </row>
    <row r="501" spans="1:17" ht="10.5" hidden="1" x14ac:dyDescent="0.25">
      <c r="A501" s="8" t="s">
        <v>240</v>
      </c>
      <c r="B501" s="4" t="s">
        <v>21</v>
      </c>
      <c r="C501" s="5">
        <v>44104</v>
      </c>
      <c r="D501" s="4" t="s">
        <v>1050</v>
      </c>
      <c r="E501" s="4" t="s">
        <v>1051</v>
      </c>
      <c r="F501" s="4" t="s">
        <v>1051</v>
      </c>
      <c r="G501" s="6">
        <v>-31453.766217453645</v>
      </c>
      <c r="H501" s="6">
        <f t="shared" si="8"/>
        <v>-46908.029625305608</v>
      </c>
      <c r="I501" s="4"/>
      <c r="J501" s="4" t="s">
        <v>68</v>
      </c>
      <c r="K501" s="7">
        <v>2484483</v>
      </c>
      <c r="L501" s="4" t="s">
        <v>1052</v>
      </c>
      <c r="M501" s="4" t="s">
        <v>204</v>
      </c>
      <c r="N501" s="4"/>
    </row>
    <row r="502" spans="1:17" ht="10.5" hidden="1" x14ac:dyDescent="0.25">
      <c r="A502" s="8" t="s">
        <v>240</v>
      </c>
      <c r="B502" s="4" t="s">
        <v>241</v>
      </c>
      <c r="C502" s="5">
        <v>44104</v>
      </c>
      <c r="D502" s="4" t="s">
        <v>1886</v>
      </c>
      <c r="E502" s="4"/>
      <c r="F502" s="4"/>
      <c r="G502" s="6">
        <v>870.40181125080005</v>
      </c>
      <c r="H502" s="6">
        <f t="shared" si="8"/>
        <v>-46037.627814054809</v>
      </c>
      <c r="I502" s="4"/>
      <c r="J502" s="4" t="s">
        <v>68</v>
      </c>
      <c r="K502" s="7">
        <v>0</v>
      </c>
      <c r="L502" s="4" t="s">
        <v>1052</v>
      </c>
      <c r="M502" s="4" t="s">
        <v>201</v>
      </c>
      <c r="N502" s="4"/>
    </row>
    <row r="503" spans="1:17" ht="10.5" hidden="1" x14ac:dyDescent="0.25">
      <c r="A503" s="8" t="s">
        <v>240</v>
      </c>
      <c r="B503" s="4" t="s">
        <v>241</v>
      </c>
      <c r="C503" s="5">
        <v>44105</v>
      </c>
      <c r="D503" s="4" t="s">
        <v>1887</v>
      </c>
      <c r="E503" s="4"/>
      <c r="F503" s="4"/>
      <c r="G503" s="6">
        <v>-870.40181125080005</v>
      </c>
      <c r="H503" s="6">
        <f t="shared" si="8"/>
        <v>-46908.029625305608</v>
      </c>
      <c r="I503" s="4"/>
      <c r="J503" s="4" t="s">
        <v>68</v>
      </c>
      <c r="K503" s="7">
        <v>0</v>
      </c>
      <c r="L503" s="4" t="s">
        <v>1888</v>
      </c>
      <c r="M503" s="4" t="s">
        <v>201</v>
      </c>
      <c r="N503" s="4"/>
    </row>
    <row r="504" spans="1:17" ht="10.5" hidden="1" x14ac:dyDescent="0.25">
      <c r="A504" s="8" t="s">
        <v>240</v>
      </c>
      <c r="B504" s="4" t="s">
        <v>21</v>
      </c>
      <c r="C504" s="5">
        <v>44135</v>
      </c>
      <c r="D504" s="4" t="s">
        <v>1889</v>
      </c>
      <c r="E504" s="4" t="s">
        <v>1890</v>
      </c>
      <c r="F504" s="4" t="s">
        <v>1891</v>
      </c>
      <c r="G504" s="6">
        <v>-1481.90069006</v>
      </c>
      <c r="H504" s="6">
        <f t="shared" si="8"/>
        <v>-48389.930315365607</v>
      </c>
      <c r="I504" s="4"/>
      <c r="J504" s="4" t="s">
        <v>68</v>
      </c>
      <c r="K504" s="7">
        <v>1414</v>
      </c>
      <c r="L504" s="4" t="s">
        <v>1888</v>
      </c>
      <c r="M504" s="4" t="s">
        <v>38</v>
      </c>
      <c r="N504" s="4"/>
      <c r="Q504" t="s">
        <v>809</v>
      </c>
    </row>
    <row r="505" spans="1:17" ht="10.5" hidden="1" x14ac:dyDescent="0.25">
      <c r="A505" s="8" t="s">
        <v>240</v>
      </c>
      <c r="B505" s="4" t="s">
        <v>21</v>
      </c>
      <c r="C505" s="5">
        <v>44135</v>
      </c>
      <c r="D505" s="4" t="s">
        <v>1892</v>
      </c>
      <c r="E505" s="4" t="s">
        <v>1890</v>
      </c>
      <c r="F505" s="4" t="s">
        <v>1893</v>
      </c>
      <c r="G505" s="6">
        <v>-81.745582619999993</v>
      </c>
      <c r="H505" s="6">
        <f t="shared" si="8"/>
        <v>-48471.675897985609</v>
      </c>
      <c r="I505" s="4"/>
      <c r="J505" s="4" t="s">
        <v>68</v>
      </c>
      <c r="K505" s="7">
        <v>78</v>
      </c>
      <c r="L505" s="4" t="s">
        <v>1888</v>
      </c>
      <c r="M505" s="4" t="s">
        <v>38</v>
      </c>
      <c r="N505" s="4"/>
      <c r="Q505" t="s">
        <v>809</v>
      </c>
    </row>
    <row r="506" spans="1:17" ht="10.5" hidden="1" x14ac:dyDescent="0.25">
      <c r="A506" s="8" t="s">
        <v>240</v>
      </c>
      <c r="B506" s="4" t="s">
        <v>241</v>
      </c>
      <c r="C506" s="5">
        <v>44135</v>
      </c>
      <c r="D506" s="4" t="s">
        <v>1894</v>
      </c>
      <c r="E506" s="4"/>
      <c r="F506" s="4"/>
      <c r="G506" s="6">
        <v>893.98226777579998</v>
      </c>
      <c r="H506" s="6">
        <f t="shared" si="8"/>
        <v>-47577.693630209811</v>
      </c>
      <c r="I506" s="4"/>
      <c r="J506" s="4" t="s">
        <v>68</v>
      </c>
      <c r="K506" s="7">
        <v>0</v>
      </c>
      <c r="L506" s="4" t="s">
        <v>1888</v>
      </c>
      <c r="M506" s="4" t="s">
        <v>201</v>
      </c>
      <c r="N506" s="4"/>
    </row>
    <row r="507" spans="1:17" ht="10.5" hidden="1" x14ac:dyDescent="0.25">
      <c r="A507" s="8" t="s">
        <v>240</v>
      </c>
      <c r="B507" s="4" t="s">
        <v>241</v>
      </c>
      <c r="C507" s="5">
        <v>44136</v>
      </c>
      <c r="D507" s="4" t="s">
        <v>1895</v>
      </c>
      <c r="E507" s="4"/>
      <c r="F507" s="4"/>
      <c r="G507" s="6">
        <v>-893.98226777579998</v>
      </c>
      <c r="H507" s="6">
        <f t="shared" si="8"/>
        <v>-48471.675897985609</v>
      </c>
      <c r="I507" s="4"/>
      <c r="J507" s="4" t="s">
        <v>68</v>
      </c>
      <c r="K507" s="7">
        <v>0</v>
      </c>
      <c r="L507" s="4" t="s">
        <v>1896</v>
      </c>
      <c r="M507" s="4" t="s">
        <v>201</v>
      </c>
      <c r="N507" s="4"/>
    </row>
    <row r="508" spans="1:17" ht="10.5" hidden="1" x14ac:dyDescent="0.25">
      <c r="A508" s="8" t="s">
        <v>240</v>
      </c>
      <c r="B508" s="4" t="s">
        <v>21</v>
      </c>
      <c r="C508" s="5">
        <v>44149</v>
      </c>
      <c r="D508" s="4" t="s">
        <v>1897</v>
      </c>
      <c r="E508" s="4" t="s">
        <v>1898</v>
      </c>
      <c r="F508" s="4" t="s">
        <v>1898</v>
      </c>
      <c r="G508" s="6">
        <v>10170.630003175271</v>
      </c>
      <c r="H508" s="6">
        <f t="shared" si="8"/>
        <v>-38301.045894810341</v>
      </c>
      <c r="I508" s="4"/>
      <c r="J508" s="4" t="s">
        <v>68</v>
      </c>
      <c r="K508" s="7">
        <v>-10170.629999999999</v>
      </c>
      <c r="L508" s="4" t="s">
        <v>1896</v>
      </c>
      <c r="M508" s="4" t="s">
        <v>27</v>
      </c>
      <c r="N508" s="4"/>
    </row>
    <row r="509" spans="1:17" ht="10.5" hidden="1" x14ac:dyDescent="0.25">
      <c r="A509" s="8" t="s">
        <v>240</v>
      </c>
      <c r="B509" s="4" t="s">
        <v>21</v>
      </c>
      <c r="C509" s="5">
        <v>44165</v>
      </c>
      <c r="D509" s="4" t="s">
        <v>1899</v>
      </c>
      <c r="E509" s="4" t="s">
        <v>1900</v>
      </c>
      <c r="F509" s="4" t="s">
        <v>1900</v>
      </c>
      <c r="G509" s="6">
        <v>-1732.37753937</v>
      </c>
      <c r="H509" s="6">
        <f t="shared" si="8"/>
        <v>-40033.423434180339</v>
      </c>
      <c r="I509" s="4"/>
      <c r="J509" s="4" t="s">
        <v>68</v>
      </c>
      <c r="K509" s="7">
        <v>1653</v>
      </c>
      <c r="L509" s="4" t="s">
        <v>1896</v>
      </c>
      <c r="M509" s="4" t="s">
        <v>38</v>
      </c>
      <c r="N509" s="4"/>
      <c r="Q509" t="s">
        <v>809</v>
      </c>
    </row>
    <row r="510" spans="1:17" ht="10.5" hidden="1" x14ac:dyDescent="0.25">
      <c r="A510" s="8" t="s">
        <v>240</v>
      </c>
      <c r="B510" s="4" t="s">
        <v>21</v>
      </c>
      <c r="C510" s="5">
        <v>44165</v>
      </c>
      <c r="D510" s="4" t="s">
        <v>1901</v>
      </c>
      <c r="E510" s="4" t="s">
        <v>1902</v>
      </c>
      <c r="F510" s="4" t="s">
        <v>1902</v>
      </c>
      <c r="G510" s="6">
        <v>-95.369846390000006</v>
      </c>
      <c r="H510" s="6">
        <f t="shared" si="8"/>
        <v>-40128.793280570339</v>
      </c>
      <c r="I510" s="4"/>
      <c r="J510" s="4" t="s">
        <v>68</v>
      </c>
      <c r="K510" s="7">
        <v>91</v>
      </c>
      <c r="L510" s="4" t="s">
        <v>1896</v>
      </c>
      <c r="M510" s="4" t="s">
        <v>38</v>
      </c>
      <c r="N510" s="4"/>
      <c r="Q510" t="s">
        <v>809</v>
      </c>
    </row>
    <row r="511" spans="1:17" ht="10.5" hidden="1" x14ac:dyDescent="0.25">
      <c r="A511" s="8" t="s">
        <v>240</v>
      </c>
      <c r="B511" s="4" t="s">
        <v>21</v>
      </c>
      <c r="C511" s="5">
        <v>44165</v>
      </c>
      <c r="D511" s="4" t="s">
        <v>1903</v>
      </c>
      <c r="E511" s="4" t="s">
        <v>1904</v>
      </c>
      <c r="F511" s="4" t="s">
        <v>1905</v>
      </c>
      <c r="G511" s="6">
        <v>-13088.565683517803</v>
      </c>
      <c r="H511" s="6">
        <f t="shared" si="8"/>
        <v>-53217.35896408814</v>
      </c>
      <c r="I511" s="4"/>
      <c r="J511" s="4" t="s">
        <v>68</v>
      </c>
      <c r="K511" s="7">
        <v>1033845</v>
      </c>
      <c r="L511" s="4" t="s">
        <v>1896</v>
      </c>
      <c r="M511" s="4" t="s">
        <v>204</v>
      </c>
      <c r="N511" s="4"/>
    </row>
    <row r="512" spans="1:17" ht="10.5" hidden="1" x14ac:dyDescent="0.25">
      <c r="A512" s="8" t="s">
        <v>240</v>
      </c>
      <c r="B512" s="4" t="s">
        <v>241</v>
      </c>
      <c r="C512" s="5">
        <v>44165</v>
      </c>
      <c r="D512" s="4" t="s">
        <v>1906</v>
      </c>
      <c r="E512" s="4"/>
      <c r="F512" s="4"/>
      <c r="G512" s="6">
        <v>863.61063977159995</v>
      </c>
      <c r="H512" s="6">
        <f t="shared" si="8"/>
        <v>-52353.748324316541</v>
      </c>
      <c r="I512" s="4"/>
      <c r="J512" s="4" t="s">
        <v>68</v>
      </c>
      <c r="K512" s="7">
        <v>0</v>
      </c>
      <c r="L512" s="4" t="s">
        <v>1896</v>
      </c>
      <c r="M512" s="4" t="s">
        <v>201</v>
      </c>
      <c r="N512" s="4"/>
    </row>
    <row r="513" spans="1:17" ht="10.5" hidden="1" x14ac:dyDescent="0.25">
      <c r="A513" s="8" t="s">
        <v>240</v>
      </c>
      <c r="B513" s="4" t="s">
        <v>241</v>
      </c>
      <c r="C513" s="5">
        <v>44166</v>
      </c>
      <c r="D513" s="4" t="s">
        <v>1907</v>
      </c>
      <c r="E513" s="4"/>
      <c r="F513" s="4"/>
      <c r="G513" s="6">
        <v>-863.61063977159995</v>
      </c>
      <c r="H513" s="6">
        <f t="shared" si="8"/>
        <v>-53217.35896408814</v>
      </c>
      <c r="I513" s="4"/>
      <c r="J513" s="4" t="s">
        <v>68</v>
      </c>
      <c r="K513" s="7">
        <v>0</v>
      </c>
      <c r="L513" s="4" t="s">
        <v>1056</v>
      </c>
      <c r="M513" s="4" t="s">
        <v>201</v>
      </c>
      <c r="N513" s="4"/>
    </row>
    <row r="514" spans="1:17" ht="10.5" hidden="1" x14ac:dyDescent="0.25">
      <c r="A514" s="8" t="s">
        <v>240</v>
      </c>
      <c r="B514" s="4" t="s">
        <v>21</v>
      </c>
      <c r="C514" s="5">
        <v>44176</v>
      </c>
      <c r="D514" s="4" t="s">
        <v>1908</v>
      </c>
      <c r="E514" s="4" t="s">
        <v>1909</v>
      </c>
      <c r="F514" s="4" t="s">
        <v>1909</v>
      </c>
      <c r="G514" s="6">
        <v>-1938.0000006050436</v>
      </c>
      <c r="H514" s="6">
        <f t="shared" si="8"/>
        <v>-55155.358964693187</v>
      </c>
      <c r="I514" s="4"/>
      <c r="J514" s="4" t="s">
        <v>746</v>
      </c>
      <c r="K514" s="7">
        <v>1938</v>
      </c>
      <c r="L514" s="4" t="s">
        <v>1056</v>
      </c>
      <c r="M514" s="4" t="s">
        <v>27</v>
      </c>
      <c r="N514" s="4"/>
    </row>
    <row r="515" spans="1:17" ht="10.5" hidden="1" x14ac:dyDescent="0.25">
      <c r="A515" s="8" t="s">
        <v>240</v>
      </c>
      <c r="B515" s="4" t="s">
        <v>21</v>
      </c>
      <c r="C515" s="5">
        <v>44180</v>
      </c>
      <c r="D515" s="4" t="s">
        <v>1910</v>
      </c>
      <c r="E515" s="4" t="s">
        <v>1911</v>
      </c>
      <c r="F515" s="4" t="s">
        <v>1911</v>
      </c>
      <c r="G515" s="6">
        <v>20969.304079153462</v>
      </c>
      <c r="H515" s="6">
        <f t="shared" si="8"/>
        <v>-34186.054885539721</v>
      </c>
      <c r="I515" s="4"/>
      <c r="J515" s="4" t="s">
        <v>68</v>
      </c>
      <c r="K515" s="7">
        <v>-1656332</v>
      </c>
      <c r="L515" s="4" t="s">
        <v>1056</v>
      </c>
      <c r="M515" s="4" t="s">
        <v>204</v>
      </c>
      <c r="N515" s="4"/>
    </row>
    <row r="516" spans="1:17" ht="10.5" hidden="1" x14ac:dyDescent="0.25">
      <c r="A516" s="8" t="s">
        <v>240</v>
      </c>
      <c r="B516" s="4" t="s">
        <v>21</v>
      </c>
      <c r="C516" s="5">
        <v>44195</v>
      </c>
      <c r="D516" s="4" t="s">
        <v>1912</v>
      </c>
      <c r="E516" s="4" t="s">
        <v>1913</v>
      </c>
      <c r="F516" s="4" t="s">
        <v>1913</v>
      </c>
      <c r="G516" s="6">
        <v>59502.39998504</v>
      </c>
      <c r="H516" s="6">
        <f t="shared" si="8"/>
        <v>25316.345099500279</v>
      </c>
      <c r="I516" s="4"/>
      <c r="J516" s="4" t="s">
        <v>68</v>
      </c>
      <c r="K516" s="7">
        <v>-4700000</v>
      </c>
      <c r="L516" s="4" t="s">
        <v>1056</v>
      </c>
      <c r="M516" s="4" t="s">
        <v>204</v>
      </c>
      <c r="N516" s="4"/>
    </row>
    <row r="517" spans="1:17" ht="10.5" hidden="1" x14ac:dyDescent="0.25">
      <c r="A517" s="8" t="s">
        <v>240</v>
      </c>
      <c r="B517" s="4" t="s">
        <v>21</v>
      </c>
      <c r="C517" s="5">
        <v>44195</v>
      </c>
      <c r="D517" s="4" t="s">
        <v>1914</v>
      </c>
      <c r="E517" s="4" t="s">
        <v>1915</v>
      </c>
      <c r="F517" s="4" t="s">
        <v>1915</v>
      </c>
      <c r="G517" s="6">
        <v>-1290.1129769900001</v>
      </c>
      <c r="H517" s="6">
        <f t="shared" si="8"/>
        <v>24026.232122510279</v>
      </c>
      <c r="I517" s="4"/>
      <c r="J517" s="4" t="s">
        <v>748</v>
      </c>
      <c r="K517" s="7">
        <v>1231</v>
      </c>
      <c r="L517" s="4" t="s">
        <v>1056</v>
      </c>
      <c r="M517" s="4" t="s">
        <v>38</v>
      </c>
      <c r="N517" s="4"/>
      <c r="Q517" t="s">
        <v>809</v>
      </c>
    </row>
    <row r="518" spans="1:17" ht="10.5" hidden="1" x14ac:dyDescent="0.25">
      <c r="A518" s="8" t="s">
        <v>240</v>
      </c>
      <c r="B518" s="4" t="s">
        <v>21</v>
      </c>
      <c r="C518" s="5">
        <v>44195</v>
      </c>
      <c r="D518" s="4" t="s">
        <v>1914</v>
      </c>
      <c r="E518" s="4" t="s">
        <v>1915</v>
      </c>
      <c r="F518" s="4" t="s">
        <v>1915</v>
      </c>
      <c r="G518" s="6">
        <v>-70.217359430000002</v>
      </c>
      <c r="H518" s="6">
        <f t="shared" si="8"/>
        <v>23956.014763080278</v>
      </c>
      <c r="I518" s="4"/>
      <c r="J518" s="4" t="s">
        <v>748</v>
      </c>
      <c r="K518" s="7">
        <v>67</v>
      </c>
      <c r="L518" s="4" t="s">
        <v>1056</v>
      </c>
      <c r="M518" s="4" t="s">
        <v>38</v>
      </c>
      <c r="N518" s="4"/>
      <c r="Q518" t="s">
        <v>809</v>
      </c>
    </row>
    <row r="519" spans="1:17" ht="10.5" hidden="1" x14ac:dyDescent="0.25">
      <c r="A519" s="8" t="s">
        <v>240</v>
      </c>
      <c r="B519" s="4" t="s">
        <v>21</v>
      </c>
      <c r="C519" s="5">
        <v>44195</v>
      </c>
      <c r="D519" s="4" t="s">
        <v>1916</v>
      </c>
      <c r="E519" s="4" t="s">
        <v>1917</v>
      </c>
      <c r="F519" s="4" t="s">
        <v>1918</v>
      </c>
      <c r="G519" s="6">
        <v>-73217.677861421515</v>
      </c>
      <c r="H519" s="6">
        <f t="shared" si="8"/>
        <v>-49261.663098341232</v>
      </c>
      <c r="I519" s="4"/>
      <c r="J519" s="4" t="s">
        <v>68</v>
      </c>
      <c r="K519" s="7">
        <v>5783348</v>
      </c>
      <c r="L519" s="4" t="s">
        <v>1056</v>
      </c>
      <c r="M519" s="4" t="s">
        <v>204</v>
      </c>
      <c r="N519" s="4"/>
    </row>
    <row r="520" spans="1:17" ht="10.5" hidden="1" x14ac:dyDescent="0.25">
      <c r="A520" s="8" t="s">
        <v>240</v>
      </c>
      <c r="B520" s="4" t="s">
        <v>21</v>
      </c>
      <c r="C520" s="5">
        <v>44195</v>
      </c>
      <c r="D520" s="4" t="s">
        <v>1919</v>
      </c>
      <c r="E520" s="4" t="s">
        <v>1920</v>
      </c>
      <c r="F520" s="4" t="s">
        <v>1920</v>
      </c>
      <c r="G520" s="6">
        <v>-10241.386083391873</v>
      </c>
      <c r="H520" s="6">
        <f t="shared" si="8"/>
        <v>-59503.049181733106</v>
      </c>
      <c r="I520" s="4"/>
      <c r="J520" s="4" t="s">
        <v>68</v>
      </c>
      <c r="K520" s="7">
        <v>13189</v>
      </c>
      <c r="L520" s="4" t="s">
        <v>1056</v>
      </c>
      <c r="M520" s="4" t="s">
        <v>212</v>
      </c>
      <c r="N520" s="4"/>
    </row>
    <row r="521" spans="1:17" ht="10.5" hidden="1" x14ac:dyDescent="0.25">
      <c r="A521" s="8" t="s">
        <v>240</v>
      </c>
      <c r="B521" s="4" t="s">
        <v>21</v>
      </c>
      <c r="C521" s="5">
        <v>44195</v>
      </c>
      <c r="D521" s="4" t="s">
        <v>1053</v>
      </c>
      <c r="E521" s="4" t="s">
        <v>1054</v>
      </c>
      <c r="F521" s="4" t="s">
        <v>1921</v>
      </c>
      <c r="G521" s="6">
        <v>20000.000006244001</v>
      </c>
      <c r="H521" s="6">
        <f t="shared" si="8"/>
        <v>-39503.049175489105</v>
      </c>
      <c r="I521" s="4"/>
      <c r="J521" s="4" t="s">
        <v>68</v>
      </c>
      <c r="K521" s="7">
        <v>-20000</v>
      </c>
      <c r="L521" s="4" t="s">
        <v>1056</v>
      </c>
      <c r="M521" s="4" t="s">
        <v>27</v>
      </c>
      <c r="N521" s="4"/>
    </row>
    <row r="522" spans="1:17" ht="10.5" hidden="1" x14ac:dyDescent="0.25">
      <c r="A522" s="8" t="s">
        <v>240</v>
      </c>
      <c r="B522" s="4" t="s">
        <v>21</v>
      </c>
      <c r="C522" s="5">
        <v>44195</v>
      </c>
      <c r="D522" s="4" t="s">
        <v>1922</v>
      </c>
      <c r="E522" s="4" t="s">
        <v>1923</v>
      </c>
      <c r="F522" s="4" t="s">
        <v>1924</v>
      </c>
      <c r="G522" s="6">
        <v>1150.0000003590301</v>
      </c>
      <c r="H522" s="6">
        <f t="shared" si="8"/>
        <v>-38353.049175130072</v>
      </c>
      <c r="I522" s="4"/>
      <c r="J522" s="4" t="s">
        <v>68</v>
      </c>
      <c r="K522" s="7">
        <v>-1150</v>
      </c>
      <c r="L522" s="4" t="s">
        <v>1056</v>
      </c>
      <c r="M522" s="4" t="s">
        <v>27</v>
      </c>
      <c r="N522" s="4"/>
    </row>
    <row r="523" spans="1:17" ht="10.5" hidden="1" x14ac:dyDescent="0.25">
      <c r="A523" s="8" t="s">
        <v>240</v>
      </c>
      <c r="B523" s="4" t="s">
        <v>21</v>
      </c>
      <c r="C523" s="5">
        <v>44195</v>
      </c>
      <c r="D523" s="4" t="s">
        <v>1922</v>
      </c>
      <c r="E523" s="4" t="s">
        <v>1923</v>
      </c>
      <c r="F523" s="4" t="s">
        <v>1202</v>
      </c>
      <c r="G523" s="6">
        <v>1352.2200004221631</v>
      </c>
      <c r="H523" s="6">
        <f t="shared" si="8"/>
        <v>-37000.829174707906</v>
      </c>
      <c r="I523" s="4"/>
      <c r="J523" s="4" t="s">
        <v>68</v>
      </c>
      <c r="K523" s="7">
        <v>-1352.22</v>
      </c>
      <c r="L523" s="4" t="s">
        <v>1056</v>
      </c>
      <c r="M523" s="4" t="s">
        <v>27</v>
      </c>
      <c r="N523" s="4"/>
    </row>
    <row r="524" spans="1:17" ht="10.5" hidden="1" x14ac:dyDescent="0.25">
      <c r="A524" s="8" t="s">
        <v>240</v>
      </c>
      <c r="B524" s="4" t="s">
        <v>21</v>
      </c>
      <c r="C524" s="5">
        <v>44195</v>
      </c>
      <c r="D524" s="4" t="s">
        <v>1922</v>
      </c>
      <c r="E524" s="4" t="s">
        <v>1923</v>
      </c>
      <c r="F524" s="4" t="s">
        <v>1925</v>
      </c>
      <c r="G524" s="6">
        <v>5000.0000015610003</v>
      </c>
      <c r="H524" s="6">
        <f t="shared" si="8"/>
        <v>-32000.829173146907</v>
      </c>
      <c r="I524" s="4"/>
      <c r="J524" s="4" t="s">
        <v>68</v>
      </c>
      <c r="K524" s="7">
        <v>-5000</v>
      </c>
      <c r="L524" s="4" t="s">
        <v>1056</v>
      </c>
      <c r="M524" s="4" t="s">
        <v>27</v>
      </c>
      <c r="N524" s="4"/>
    </row>
    <row r="525" spans="1:17" ht="10.5" hidden="1" x14ac:dyDescent="0.25">
      <c r="A525" s="8" t="s">
        <v>240</v>
      </c>
      <c r="B525" s="4" t="s">
        <v>21</v>
      </c>
      <c r="C525" s="5">
        <v>44195</v>
      </c>
      <c r="D525" s="4" t="s">
        <v>1922</v>
      </c>
      <c r="E525" s="4" t="s">
        <v>1923</v>
      </c>
      <c r="F525" s="4" t="s">
        <v>1926</v>
      </c>
      <c r="G525" s="6">
        <v>5000.0000015610003</v>
      </c>
      <c r="H525" s="6">
        <f t="shared" si="8"/>
        <v>-27000.829171585909</v>
      </c>
      <c r="I525" s="4"/>
      <c r="J525" s="4" t="s">
        <v>68</v>
      </c>
      <c r="K525" s="7">
        <v>-5000</v>
      </c>
      <c r="L525" s="4" t="s">
        <v>1056</v>
      </c>
      <c r="M525" s="4" t="s">
        <v>27</v>
      </c>
      <c r="N525" s="4"/>
    </row>
    <row r="526" spans="1:17" ht="10.5" hidden="1" x14ac:dyDescent="0.25">
      <c r="A526" s="8" t="s">
        <v>240</v>
      </c>
      <c r="B526" s="4" t="s">
        <v>21</v>
      </c>
      <c r="C526" s="5">
        <v>44195</v>
      </c>
      <c r="D526" s="4" t="s">
        <v>1922</v>
      </c>
      <c r="E526" s="4" t="s">
        <v>1923</v>
      </c>
      <c r="F526" s="4" t="s">
        <v>1189</v>
      </c>
      <c r="G526" s="6">
        <v>-150.00000004683</v>
      </c>
      <c r="H526" s="6">
        <f t="shared" si="8"/>
        <v>-27150.82917163274</v>
      </c>
      <c r="I526" s="4"/>
      <c r="J526" s="4" t="s">
        <v>68</v>
      </c>
      <c r="K526" s="7">
        <v>150</v>
      </c>
      <c r="L526" s="4" t="s">
        <v>1056</v>
      </c>
      <c r="M526" s="4" t="s">
        <v>27</v>
      </c>
      <c r="N526" s="4"/>
    </row>
    <row r="527" spans="1:17" ht="10.5" hidden="1" x14ac:dyDescent="0.25">
      <c r="A527" s="8" t="s">
        <v>240</v>
      </c>
      <c r="B527" s="4" t="s">
        <v>21</v>
      </c>
      <c r="C527" s="5">
        <v>44195</v>
      </c>
      <c r="D527" s="4" t="s">
        <v>1922</v>
      </c>
      <c r="E527" s="4" t="s">
        <v>1923</v>
      </c>
      <c r="F527" s="4" t="s">
        <v>1186</v>
      </c>
      <c r="G527" s="6">
        <v>-1000.0000003122</v>
      </c>
      <c r="H527" s="6">
        <f t="shared" si="8"/>
        <v>-28150.829171944941</v>
      </c>
      <c r="I527" s="4"/>
      <c r="J527" s="4" t="s">
        <v>68</v>
      </c>
      <c r="K527" s="7">
        <v>1000</v>
      </c>
      <c r="L527" s="4" t="s">
        <v>1056</v>
      </c>
      <c r="M527" s="4" t="s">
        <v>27</v>
      </c>
      <c r="N527" s="4"/>
    </row>
    <row r="528" spans="1:17" ht="10.5" hidden="1" x14ac:dyDescent="0.25">
      <c r="A528" s="8" t="s">
        <v>240</v>
      </c>
      <c r="B528" s="4" t="s">
        <v>21</v>
      </c>
      <c r="C528" s="5">
        <v>44195</v>
      </c>
      <c r="D528" s="4" t="s">
        <v>1922</v>
      </c>
      <c r="E528" s="4" t="s">
        <v>1923</v>
      </c>
      <c r="F528" s="4" t="s">
        <v>1204</v>
      </c>
      <c r="G528" s="6">
        <v>41000.44001280034</v>
      </c>
      <c r="H528" s="6">
        <f t="shared" si="8"/>
        <v>12849.610840855399</v>
      </c>
      <c r="I528" s="4"/>
      <c r="J528" s="4" t="s">
        <v>68</v>
      </c>
      <c r="K528" s="7">
        <v>-41000.44</v>
      </c>
      <c r="L528" s="4" t="s">
        <v>1056</v>
      </c>
      <c r="M528" s="4" t="s">
        <v>27</v>
      </c>
      <c r="N528" s="4"/>
    </row>
    <row r="529" spans="1:17" ht="10.5" hidden="1" x14ac:dyDescent="0.25">
      <c r="A529" s="8" t="s">
        <v>240</v>
      </c>
      <c r="B529" s="4" t="s">
        <v>21</v>
      </c>
      <c r="C529" s="5">
        <v>44195</v>
      </c>
      <c r="D529" s="4" t="s">
        <v>1922</v>
      </c>
      <c r="E529" s="4" t="s">
        <v>1923</v>
      </c>
      <c r="F529" s="4" t="s">
        <v>1909</v>
      </c>
      <c r="G529" s="6">
        <v>1938.0000006050436</v>
      </c>
      <c r="H529" s="6">
        <f t="shared" si="8"/>
        <v>14787.610841460442</v>
      </c>
      <c r="I529" s="4"/>
      <c r="J529" s="4" t="s">
        <v>68</v>
      </c>
      <c r="K529" s="7">
        <v>-1938</v>
      </c>
      <c r="L529" s="4" t="s">
        <v>1056</v>
      </c>
      <c r="M529" s="4" t="s">
        <v>27</v>
      </c>
      <c r="N529" s="4"/>
    </row>
    <row r="530" spans="1:17" ht="10.5" hidden="1" x14ac:dyDescent="0.25">
      <c r="A530" s="8" t="s">
        <v>240</v>
      </c>
      <c r="B530" s="4" t="s">
        <v>21</v>
      </c>
      <c r="C530" s="5">
        <v>44195</v>
      </c>
      <c r="D530" s="4" t="s">
        <v>1922</v>
      </c>
      <c r="E530" s="4" t="s">
        <v>1923</v>
      </c>
      <c r="F530" s="4" t="s">
        <v>1927</v>
      </c>
      <c r="G530" s="6">
        <v>4061.0000012678443</v>
      </c>
      <c r="H530" s="6">
        <f t="shared" si="8"/>
        <v>18848.610842728285</v>
      </c>
      <c r="I530" s="4"/>
      <c r="J530" s="4" t="s">
        <v>68</v>
      </c>
      <c r="K530" s="7">
        <v>-4061</v>
      </c>
      <c r="L530" s="4" t="s">
        <v>1056</v>
      </c>
      <c r="M530" s="4" t="s">
        <v>27</v>
      </c>
      <c r="N530" s="4"/>
    </row>
    <row r="531" spans="1:17" ht="10.5" hidden="1" x14ac:dyDescent="0.25">
      <c r="A531" s="8" t="s">
        <v>240</v>
      </c>
      <c r="B531" s="4" t="s">
        <v>21</v>
      </c>
      <c r="C531" s="5">
        <v>44195</v>
      </c>
      <c r="D531" s="4" t="s">
        <v>1066</v>
      </c>
      <c r="E531" s="4" t="s">
        <v>1067</v>
      </c>
      <c r="F531" s="4" t="s">
        <v>1928</v>
      </c>
      <c r="G531" s="6">
        <v>-10171.000003175386</v>
      </c>
      <c r="H531" s="6">
        <f t="shared" si="8"/>
        <v>8677.6108395528991</v>
      </c>
      <c r="I531" s="4"/>
      <c r="J531" s="4" t="s">
        <v>68</v>
      </c>
      <c r="K531" s="7">
        <v>10171</v>
      </c>
      <c r="L531" s="4" t="s">
        <v>1056</v>
      </c>
      <c r="M531" s="4" t="s">
        <v>27</v>
      </c>
      <c r="N531" s="4"/>
    </row>
    <row r="532" spans="1:17" ht="10.5" hidden="1" x14ac:dyDescent="0.25">
      <c r="A532" s="8" t="s">
        <v>240</v>
      </c>
      <c r="B532" s="4" t="s">
        <v>21</v>
      </c>
      <c r="C532" s="5">
        <v>44195</v>
      </c>
      <c r="D532" s="4" t="s">
        <v>1066</v>
      </c>
      <c r="E532" s="4" t="s">
        <v>1067</v>
      </c>
      <c r="F532" s="4" t="s">
        <v>1929</v>
      </c>
      <c r="G532" s="6">
        <v>-75.000000023414998</v>
      </c>
      <c r="H532" s="6">
        <f t="shared" si="8"/>
        <v>8602.6108395294832</v>
      </c>
      <c r="I532" s="4"/>
      <c r="J532" s="4" t="s">
        <v>68</v>
      </c>
      <c r="K532" s="7">
        <v>75</v>
      </c>
      <c r="L532" s="4" t="s">
        <v>1056</v>
      </c>
      <c r="M532" s="4" t="s">
        <v>27</v>
      </c>
      <c r="N532" s="4"/>
    </row>
    <row r="533" spans="1:17" ht="10.5" hidden="1" x14ac:dyDescent="0.25">
      <c r="A533" s="8" t="s">
        <v>240</v>
      </c>
      <c r="B533" s="4" t="s">
        <v>21</v>
      </c>
      <c r="C533" s="5">
        <v>44195</v>
      </c>
      <c r="D533" s="4" t="s">
        <v>1066</v>
      </c>
      <c r="E533" s="4" t="s">
        <v>1067</v>
      </c>
      <c r="F533" s="4" t="s">
        <v>1930</v>
      </c>
      <c r="G533" s="6">
        <v>-1783.0000005566526</v>
      </c>
      <c r="H533" s="6">
        <f t="shared" si="8"/>
        <v>6819.6108389728306</v>
      </c>
      <c r="I533" s="4"/>
      <c r="J533" s="4" t="s">
        <v>68</v>
      </c>
      <c r="K533" s="7">
        <v>1783</v>
      </c>
      <c r="L533" s="4" t="s">
        <v>1056</v>
      </c>
      <c r="M533" s="4" t="s">
        <v>27</v>
      </c>
      <c r="N533" s="4"/>
    </row>
    <row r="534" spans="1:17" ht="10.5" hidden="1" x14ac:dyDescent="0.25">
      <c r="A534" s="8" t="s">
        <v>240</v>
      </c>
      <c r="B534" s="4" t="s">
        <v>21</v>
      </c>
      <c r="C534" s="5">
        <v>44195</v>
      </c>
      <c r="D534" s="4" t="s">
        <v>1076</v>
      </c>
      <c r="E534" s="4" t="s">
        <v>1077</v>
      </c>
      <c r="F534" s="4" t="s">
        <v>1078</v>
      </c>
      <c r="G534" s="6">
        <v>-500.00000015609999</v>
      </c>
      <c r="H534" s="6">
        <f t="shared" si="8"/>
        <v>6319.6108388167304</v>
      </c>
      <c r="I534" s="4"/>
      <c r="J534" s="4" t="s">
        <v>68</v>
      </c>
      <c r="K534" s="7">
        <v>500</v>
      </c>
      <c r="L534" s="4" t="s">
        <v>1056</v>
      </c>
      <c r="M534" s="4" t="s">
        <v>27</v>
      </c>
      <c r="N534" s="4"/>
    </row>
    <row r="535" spans="1:17" ht="10.5" hidden="1" x14ac:dyDescent="0.25">
      <c r="A535" s="8" t="s">
        <v>240</v>
      </c>
      <c r="B535" s="4" t="s">
        <v>21</v>
      </c>
      <c r="C535" s="5">
        <v>44195</v>
      </c>
      <c r="D535" s="4" t="s">
        <v>1076</v>
      </c>
      <c r="E535" s="4" t="s">
        <v>1077</v>
      </c>
      <c r="F535" s="4" t="s">
        <v>1079</v>
      </c>
      <c r="G535" s="6">
        <v>-2113.610000659869</v>
      </c>
      <c r="H535" s="6">
        <f t="shared" si="8"/>
        <v>4206.0008381568614</v>
      </c>
      <c r="I535" s="4"/>
      <c r="J535" s="4" t="s">
        <v>68</v>
      </c>
      <c r="K535" s="7">
        <v>2113.61</v>
      </c>
      <c r="L535" s="4" t="s">
        <v>1056</v>
      </c>
      <c r="M535" s="4" t="s">
        <v>27</v>
      </c>
      <c r="N535" s="4"/>
    </row>
    <row r="536" spans="1:17" ht="10.5" hidden="1" x14ac:dyDescent="0.25">
      <c r="A536" s="8" t="s">
        <v>240</v>
      </c>
      <c r="B536" s="4" t="s">
        <v>21</v>
      </c>
      <c r="C536" s="5">
        <v>44195</v>
      </c>
      <c r="D536" s="4" t="s">
        <v>1931</v>
      </c>
      <c r="E536" s="4" t="s">
        <v>1932</v>
      </c>
      <c r="F536" s="4" t="s">
        <v>1933</v>
      </c>
      <c r="G536" s="6">
        <v>880246.91385506</v>
      </c>
      <c r="H536" s="6">
        <f t="shared" si="8"/>
        <v>884452.91469321691</v>
      </c>
      <c r="I536" s="4"/>
      <c r="J536" s="4" t="s">
        <v>68</v>
      </c>
      <c r="K536" s="7">
        <v>-839914</v>
      </c>
      <c r="L536" s="4" t="s">
        <v>1056</v>
      </c>
      <c r="M536" s="4" t="s">
        <v>61</v>
      </c>
      <c r="N536" s="4"/>
    </row>
    <row r="537" spans="1:17" ht="10.5" hidden="1" x14ac:dyDescent="0.25">
      <c r="A537" s="8" t="s">
        <v>240</v>
      </c>
      <c r="B537" s="4" t="s">
        <v>21</v>
      </c>
      <c r="C537" s="5">
        <v>44196</v>
      </c>
      <c r="D537" s="4" t="s">
        <v>1934</v>
      </c>
      <c r="E537" s="4" t="s">
        <v>1935</v>
      </c>
      <c r="F537" s="4" t="s">
        <v>1935</v>
      </c>
      <c r="G537" s="6">
        <v>17348.927880660001</v>
      </c>
      <c r="H537" s="6">
        <f t="shared" si="8"/>
        <v>901801.84257387696</v>
      </c>
      <c r="I537" s="4"/>
      <c r="J537" s="4" t="s">
        <v>748</v>
      </c>
      <c r="K537" s="7">
        <v>-16554</v>
      </c>
      <c r="L537" s="4" t="s">
        <v>1056</v>
      </c>
      <c r="M537" s="4" t="s">
        <v>38</v>
      </c>
      <c r="N537" s="4"/>
      <c r="Q537" t="s">
        <v>809</v>
      </c>
    </row>
    <row r="538" spans="1:17" ht="10.5" hidden="1" x14ac:dyDescent="0.25">
      <c r="A538" s="8" t="s">
        <v>240</v>
      </c>
      <c r="B538" s="4" t="s">
        <v>21</v>
      </c>
      <c r="C538" s="5">
        <v>44196</v>
      </c>
      <c r="D538" s="4" t="s">
        <v>1936</v>
      </c>
      <c r="E538" s="4" t="s">
        <v>1937</v>
      </c>
      <c r="F538" s="4" t="s">
        <v>1937</v>
      </c>
      <c r="G538" s="6">
        <v>954.74648419000005</v>
      </c>
      <c r="H538" s="6">
        <f t="shared" si="8"/>
        <v>902756.58905806695</v>
      </c>
      <c r="I538" s="4"/>
      <c r="J538" s="4" t="s">
        <v>748</v>
      </c>
      <c r="K538" s="7">
        <v>-911</v>
      </c>
      <c r="L538" s="4" t="s">
        <v>1056</v>
      </c>
      <c r="M538" s="4" t="s">
        <v>38</v>
      </c>
      <c r="N538" s="4"/>
      <c r="Q538" t="s">
        <v>809</v>
      </c>
    </row>
    <row r="539" spans="1:17" ht="10.5" hidden="1" x14ac:dyDescent="0.25">
      <c r="A539" s="8" t="s">
        <v>240</v>
      </c>
      <c r="B539" s="4" t="s">
        <v>21</v>
      </c>
      <c r="C539" s="5">
        <v>44196</v>
      </c>
      <c r="D539" s="4" t="s">
        <v>1938</v>
      </c>
      <c r="E539" s="4" t="s">
        <v>1939</v>
      </c>
      <c r="F539" s="4" t="s">
        <v>1939</v>
      </c>
      <c r="G539" s="6">
        <v>-20010.89941726</v>
      </c>
      <c r="H539" s="6">
        <f t="shared" si="8"/>
        <v>882745.68964080699</v>
      </c>
      <c r="I539" s="4"/>
      <c r="J539" s="4" t="s">
        <v>748</v>
      </c>
      <c r="K539" s="7">
        <v>19094</v>
      </c>
      <c r="L539" s="4" t="s">
        <v>1056</v>
      </c>
      <c r="M539" s="4" t="s">
        <v>38</v>
      </c>
      <c r="N539" s="4"/>
      <c r="Q539" t="s">
        <v>809</v>
      </c>
    </row>
    <row r="540" spans="1:17" ht="10.5" hidden="1" x14ac:dyDescent="0.25">
      <c r="A540" s="8" t="s">
        <v>240</v>
      </c>
      <c r="B540" s="4" t="s">
        <v>21</v>
      </c>
      <c r="C540" s="5">
        <v>44196</v>
      </c>
      <c r="D540" s="4" t="s">
        <v>1940</v>
      </c>
      <c r="E540" s="4" t="s">
        <v>1941</v>
      </c>
      <c r="F540" s="4" t="s">
        <v>1941</v>
      </c>
      <c r="G540" s="6">
        <v>-1100.5994679493001</v>
      </c>
      <c r="H540" s="6">
        <f t="shared" ref="H540:H603" si="9">H539+G540</f>
        <v>881645.09017285774</v>
      </c>
      <c r="I540" s="4"/>
      <c r="J540" s="4" t="s">
        <v>748</v>
      </c>
      <c r="K540" s="7">
        <v>1050.17</v>
      </c>
      <c r="L540" s="4" t="s">
        <v>1056</v>
      </c>
      <c r="M540" s="4" t="s">
        <v>38</v>
      </c>
      <c r="N540" s="4"/>
      <c r="Q540" t="s">
        <v>809</v>
      </c>
    </row>
    <row r="541" spans="1:17" ht="10.5" hidden="1" x14ac:dyDescent="0.25">
      <c r="A541" s="8" t="s">
        <v>240</v>
      </c>
      <c r="B541" s="4" t="s">
        <v>21</v>
      </c>
      <c r="C541" s="5">
        <v>44196</v>
      </c>
      <c r="D541" s="4" t="s">
        <v>1942</v>
      </c>
      <c r="E541" s="4" t="s">
        <v>1943</v>
      </c>
      <c r="F541" s="4" t="s">
        <v>1943</v>
      </c>
      <c r="G541" s="6">
        <v>2097.0886002900002</v>
      </c>
      <c r="H541" s="6">
        <f t="shared" si="9"/>
        <v>883742.17877314775</v>
      </c>
      <c r="I541" s="4"/>
      <c r="J541" s="4" t="s">
        <v>68</v>
      </c>
      <c r="K541" s="7">
        <v>-2001</v>
      </c>
      <c r="L541" s="4" t="s">
        <v>1056</v>
      </c>
      <c r="M541" s="4" t="s">
        <v>38</v>
      </c>
      <c r="N541" s="4"/>
      <c r="Q541" t="s">
        <v>809</v>
      </c>
    </row>
    <row r="542" spans="1:17" ht="10.5" hidden="1" x14ac:dyDescent="0.25">
      <c r="A542" s="8" t="s">
        <v>240</v>
      </c>
      <c r="B542" s="4" t="s">
        <v>21</v>
      </c>
      <c r="C542" s="5">
        <v>44196</v>
      </c>
      <c r="D542" s="4" t="s">
        <v>1944</v>
      </c>
      <c r="E542" s="4" t="s">
        <v>1945</v>
      </c>
      <c r="F542" s="4" t="s">
        <v>1945</v>
      </c>
      <c r="G542" s="6">
        <v>-40412.200012616689</v>
      </c>
      <c r="H542" s="6">
        <f t="shared" si="9"/>
        <v>843329.97876053106</v>
      </c>
      <c r="I542" s="4"/>
      <c r="J542" s="4" t="s">
        <v>68</v>
      </c>
      <c r="K542" s="7">
        <v>40412.199999999997</v>
      </c>
      <c r="L542" s="4" t="s">
        <v>1056</v>
      </c>
      <c r="M542" s="4" t="s">
        <v>27</v>
      </c>
      <c r="N542" s="4"/>
    </row>
    <row r="543" spans="1:17" ht="10.5" hidden="1" x14ac:dyDescent="0.25">
      <c r="A543" s="8" t="s">
        <v>240</v>
      </c>
      <c r="B543" s="4" t="s">
        <v>21</v>
      </c>
      <c r="C543" s="5">
        <v>44196</v>
      </c>
      <c r="D543" s="4" t="s">
        <v>1946</v>
      </c>
      <c r="E543" s="4" t="s">
        <v>1947</v>
      </c>
      <c r="F543" s="4" t="s">
        <v>1947</v>
      </c>
      <c r="G543" s="6">
        <v>-78357.527973068311</v>
      </c>
      <c r="H543" s="6">
        <f t="shared" si="9"/>
        <v>764972.45078746276</v>
      </c>
      <c r="I543" s="4"/>
      <c r="J543" s="4" t="s">
        <v>68</v>
      </c>
      <c r="K543" s="7">
        <v>64362.92</v>
      </c>
      <c r="L543" s="4" t="s">
        <v>1056</v>
      </c>
      <c r="M543" s="4" t="s">
        <v>186</v>
      </c>
      <c r="N543" s="4"/>
    </row>
    <row r="544" spans="1:17" ht="10.5" hidden="1" x14ac:dyDescent="0.25">
      <c r="A544" s="8" t="s">
        <v>240</v>
      </c>
      <c r="B544" s="4" t="s">
        <v>21</v>
      </c>
      <c r="C544" s="5">
        <v>44196</v>
      </c>
      <c r="D544" s="4" t="s">
        <v>1080</v>
      </c>
      <c r="E544" s="4" t="s">
        <v>1081</v>
      </c>
      <c r="F544" s="4" t="s">
        <v>1081</v>
      </c>
      <c r="G544" s="6">
        <v>-20969.304079153462</v>
      </c>
      <c r="H544" s="6">
        <f t="shared" si="9"/>
        <v>744003.1467083093</v>
      </c>
      <c r="I544" s="4"/>
      <c r="J544" s="4" t="s">
        <v>68</v>
      </c>
      <c r="K544" s="7">
        <v>1656332</v>
      </c>
      <c r="L544" s="4" t="s">
        <v>1056</v>
      </c>
      <c r="M544" s="4" t="s">
        <v>204</v>
      </c>
      <c r="N544" s="4"/>
    </row>
    <row r="545" spans="1:17" ht="10.5" hidden="1" x14ac:dyDescent="0.25">
      <c r="A545" s="8" t="s">
        <v>240</v>
      </c>
      <c r="B545" s="4" t="s">
        <v>21</v>
      </c>
      <c r="C545" s="5">
        <v>44196</v>
      </c>
      <c r="D545" s="4" t="s">
        <v>1948</v>
      </c>
      <c r="E545" s="4" t="s">
        <v>1949</v>
      </c>
      <c r="F545" s="4" t="s">
        <v>1949</v>
      </c>
      <c r="G545" s="6">
        <v>-10916.116459422599</v>
      </c>
      <c r="H545" s="6">
        <f t="shared" si="9"/>
        <v>733087.03024888667</v>
      </c>
      <c r="I545" s="4"/>
      <c r="J545" s="4" t="s">
        <v>68</v>
      </c>
      <c r="K545" s="7">
        <v>16701.849999999999</v>
      </c>
      <c r="L545" s="4" t="s">
        <v>1056</v>
      </c>
      <c r="M545" s="4" t="s">
        <v>197</v>
      </c>
      <c r="N545" s="4"/>
    </row>
    <row r="546" spans="1:17" ht="10.5" hidden="1" x14ac:dyDescent="0.25">
      <c r="A546" s="8" t="s">
        <v>240</v>
      </c>
      <c r="B546" s="4" t="s">
        <v>241</v>
      </c>
      <c r="C546" s="5">
        <v>44196</v>
      </c>
      <c r="D546" s="4" t="s">
        <v>1950</v>
      </c>
      <c r="E546" s="4"/>
      <c r="F546" s="4"/>
      <c r="G546" s="6">
        <v>1044.9286301444999</v>
      </c>
      <c r="H546" s="6">
        <f t="shared" si="9"/>
        <v>734131.95887903112</v>
      </c>
      <c r="I546" s="4"/>
      <c r="J546" s="4" t="s">
        <v>68</v>
      </c>
      <c r="K546" s="7">
        <v>0</v>
      </c>
      <c r="L546" s="4" t="s">
        <v>1056</v>
      </c>
      <c r="M546" s="4" t="s">
        <v>201</v>
      </c>
      <c r="N546" s="4"/>
    </row>
    <row r="547" spans="1:17" ht="10.5" hidden="1" x14ac:dyDescent="0.25">
      <c r="A547" s="8" t="s">
        <v>240</v>
      </c>
      <c r="B547" s="4" t="s">
        <v>21</v>
      </c>
      <c r="C547" s="5">
        <v>44196</v>
      </c>
      <c r="D547" s="4" t="s">
        <v>1951</v>
      </c>
      <c r="E547" s="4" t="s">
        <v>1952</v>
      </c>
      <c r="F547" s="4" t="s">
        <v>1952</v>
      </c>
      <c r="G547" s="6">
        <v>13976.7025133241</v>
      </c>
      <c r="H547" s="6">
        <f t="shared" si="9"/>
        <v>748108.66139235522</v>
      </c>
      <c r="I547" s="4"/>
      <c r="J547" s="4" t="s">
        <v>68</v>
      </c>
      <c r="K547" s="7">
        <v>-21627</v>
      </c>
      <c r="L547" s="4" t="s">
        <v>1056</v>
      </c>
      <c r="M547" s="4" t="s">
        <v>201</v>
      </c>
      <c r="N547" s="4"/>
    </row>
    <row r="548" spans="1:17" ht="10.5" hidden="1" x14ac:dyDescent="0.25">
      <c r="A548" s="8" t="s">
        <v>240</v>
      </c>
      <c r="B548" s="4" t="s">
        <v>21</v>
      </c>
      <c r="C548" s="5">
        <v>44196</v>
      </c>
      <c r="D548" s="4" t="s">
        <v>1953</v>
      </c>
      <c r="E548" s="4" t="s">
        <v>1954</v>
      </c>
      <c r="F548" s="4" t="s">
        <v>1955</v>
      </c>
      <c r="G548" s="6">
        <v>-10048.7224664041</v>
      </c>
      <c r="H548" s="6">
        <f t="shared" si="9"/>
        <v>738059.93892595114</v>
      </c>
      <c r="I548" s="4"/>
      <c r="J548" s="4" t="s">
        <v>68</v>
      </c>
      <c r="K548" s="7">
        <v>15549</v>
      </c>
      <c r="L548" s="4" t="s">
        <v>1056</v>
      </c>
      <c r="M548" s="4" t="s">
        <v>201</v>
      </c>
      <c r="N548" s="4" t="s">
        <v>198</v>
      </c>
    </row>
    <row r="549" spans="1:17" ht="10.5" hidden="1" x14ac:dyDescent="0.25">
      <c r="A549" s="8" t="s">
        <v>240</v>
      </c>
      <c r="B549" s="4" t="s">
        <v>21</v>
      </c>
      <c r="C549" s="5">
        <v>44196</v>
      </c>
      <c r="D549" s="4" t="s">
        <v>1953</v>
      </c>
      <c r="E549" s="4" t="s">
        <v>1954</v>
      </c>
      <c r="F549" s="4" t="s">
        <v>1955</v>
      </c>
      <c r="G549" s="6">
        <v>10048.7224664041</v>
      </c>
      <c r="H549" s="6">
        <f t="shared" si="9"/>
        <v>748108.66139235522</v>
      </c>
      <c r="I549" s="4"/>
      <c r="J549" s="4" t="s">
        <v>68</v>
      </c>
      <c r="K549" s="7">
        <v>-15549</v>
      </c>
      <c r="L549" s="4" t="s">
        <v>1056</v>
      </c>
      <c r="M549" s="4" t="s">
        <v>201</v>
      </c>
      <c r="N549" s="4" t="s">
        <v>198</v>
      </c>
    </row>
    <row r="550" spans="1:17" ht="10.5" hidden="1" x14ac:dyDescent="0.25">
      <c r="A550" s="8" t="s">
        <v>240</v>
      </c>
      <c r="B550" s="4" t="s">
        <v>21</v>
      </c>
      <c r="C550" s="5">
        <v>44196</v>
      </c>
      <c r="D550" s="4" t="s">
        <v>1083</v>
      </c>
      <c r="E550" s="4" t="s">
        <v>1041</v>
      </c>
      <c r="F550" s="4" t="s">
        <v>1042</v>
      </c>
      <c r="G550" s="6">
        <v>-880246.91385506</v>
      </c>
      <c r="H550" s="6">
        <f t="shared" si="9"/>
        <v>-132138.25246270478</v>
      </c>
      <c r="I550" s="4"/>
      <c r="J550" s="4" t="s">
        <v>68</v>
      </c>
      <c r="K550" s="7">
        <v>839914</v>
      </c>
      <c r="L550" s="4" t="s">
        <v>1056</v>
      </c>
      <c r="M550" s="4" t="s">
        <v>61</v>
      </c>
      <c r="N550" s="4" t="s">
        <v>181</v>
      </c>
    </row>
    <row r="551" spans="1:17" ht="10.5" hidden="1" x14ac:dyDescent="0.25">
      <c r="A551" s="8" t="s">
        <v>240</v>
      </c>
      <c r="B551" s="4" t="s">
        <v>21</v>
      </c>
      <c r="C551" s="5">
        <v>44196</v>
      </c>
      <c r="D551" s="4" t="s">
        <v>1084</v>
      </c>
      <c r="E551" s="4" t="s">
        <v>1085</v>
      </c>
      <c r="F551" s="4" t="s">
        <v>1086</v>
      </c>
      <c r="G551" s="6">
        <v>22270.59000695288</v>
      </c>
      <c r="H551" s="6">
        <f t="shared" si="9"/>
        <v>-109867.66245575191</v>
      </c>
      <c r="I551" s="4"/>
      <c r="J551" s="4" t="s">
        <v>68</v>
      </c>
      <c r="K551" s="7">
        <v>-22270.59</v>
      </c>
      <c r="L551" s="4" t="s">
        <v>1056</v>
      </c>
      <c r="M551" s="4" t="s">
        <v>27</v>
      </c>
      <c r="N551" s="4" t="s">
        <v>28</v>
      </c>
    </row>
    <row r="552" spans="1:17" ht="10.5" hidden="1" x14ac:dyDescent="0.25">
      <c r="A552" s="8" t="s">
        <v>240</v>
      </c>
      <c r="B552" s="4" t="s">
        <v>241</v>
      </c>
      <c r="C552" s="5">
        <v>44196</v>
      </c>
      <c r="D552" s="4" t="s">
        <v>1956</v>
      </c>
      <c r="E552" s="4"/>
      <c r="F552" s="4"/>
      <c r="G552" s="6">
        <v>-1042.1094555643999</v>
      </c>
      <c r="H552" s="6">
        <f t="shared" si="9"/>
        <v>-110909.7719113163</v>
      </c>
      <c r="I552" s="4"/>
      <c r="J552" s="4" t="s">
        <v>68</v>
      </c>
      <c r="K552" s="7">
        <v>0</v>
      </c>
      <c r="L552" s="4" t="s">
        <v>1056</v>
      </c>
      <c r="M552" s="4" t="s">
        <v>201</v>
      </c>
      <c r="N552" s="4"/>
    </row>
    <row r="553" spans="1:17" ht="10.5" hidden="1" x14ac:dyDescent="0.25">
      <c r="A553" s="8" t="s">
        <v>240</v>
      </c>
      <c r="B553" s="4" t="s">
        <v>241</v>
      </c>
      <c r="C553" s="5">
        <v>44197</v>
      </c>
      <c r="D553" s="4" t="s">
        <v>1957</v>
      </c>
      <c r="E553" s="4"/>
      <c r="F553" s="4"/>
      <c r="G553" s="6">
        <v>-1044.9286301444999</v>
      </c>
      <c r="H553" s="6">
        <f t="shared" si="9"/>
        <v>-111954.7005414608</v>
      </c>
      <c r="I553" s="4"/>
      <c r="J553" s="4" t="s">
        <v>68</v>
      </c>
      <c r="K553" s="7">
        <v>0</v>
      </c>
      <c r="L553" s="4" t="s">
        <v>1958</v>
      </c>
      <c r="M553" s="4" t="s">
        <v>201</v>
      </c>
      <c r="N553" s="4"/>
    </row>
    <row r="554" spans="1:17" ht="10.5" hidden="1" x14ac:dyDescent="0.25">
      <c r="A554" s="8" t="s">
        <v>240</v>
      </c>
      <c r="B554" s="4" t="s">
        <v>241</v>
      </c>
      <c r="C554" s="5">
        <v>44197</v>
      </c>
      <c r="D554" s="4" t="s">
        <v>1959</v>
      </c>
      <c r="E554" s="4"/>
      <c r="F554" s="4"/>
      <c r="G554" s="6">
        <v>1042.1094555643999</v>
      </c>
      <c r="H554" s="6">
        <f t="shared" si="9"/>
        <v>-110912.59108589641</v>
      </c>
      <c r="I554" s="4"/>
      <c r="J554" s="4" t="s">
        <v>68</v>
      </c>
      <c r="K554" s="7">
        <v>0</v>
      </c>
      <c r="L554" s="4" t="s">
        <v>1958</v>
      </c>
      <c r="M554" s="4" t="s">
        <v>201</v>
      </c>
      <c r="N554" s="4"/>
    </row>
    <row r="555" spans="1:17" ht="10.5" hidden="1" x14ac:dyDescent="0.25">
      <c r="A555" s="8" t="s">
        <v>240</v>
      </c>
      <c r="B555" s="4" t="s">
        <v>249</v>
      </c>
      <c r="C555" s="5">
        <v>44217</v>
      </c>
      <c r="D555" s="4" t="s">
        <v>1960</v>
      </c>
      <c r="E555" s="4" t="s">
        <v>1961</v>
      </c>
      <c r="F555" s="4" t="s">
        <v>1961</v>
      </c>
      <c r="G555" s="6">
        <v>10132.120750296912</v>
      </c>
      <c r="H555" s="6">
        <f t="shared" si="9"/>
        <v>-100780.4703355995</v>
      </c>
      <c r="I555" s="4" t="s">
        <v>252</v>
      </c>
      <c r="J555" s="4" t="s">
        <v>68</v>
      </c>
      <c r="K555" s="7">
        <v>-8322.5300000000007</v>
      </c>
      <c r="L555" s="4" t="s">
        <v>1958</v>
      </c>
      <c r="M555" s="4" t="s">
        <v>186</v>
      </c>
      <c r="N555" s="4"/>
    </row>
    <row r="556" spans="1:17" ht="10.5" hidden="1" x14ac:dyDescent="0.25">
      <c r="A556" s="8" t="s">
        <v>240</v>
      </c>
      <c r="B556" s="4" t="s">
        <v>21</v>
      </c>
      <c r="C556" s="5">
        <v>44227</v>
      </c>
      <c r="D556" s="4" t="s">
        <v>1962</v>
      </c>
      <c r="E556" s="4" t="s">
        <v>1963</v>
      </c>
      <c r="F556" s="4" t="s">
        <v>1963</v>
      </c>
      <c r="G556" s="6">
        <v>-2285.7322524900001</v>
      </c>
      <c r="H556" s="6">
        <f t="shared" si="9"/>
        <v>-103066.20258808949</v>
      </c>
      <c r="I556" s="4"/>
      <c r="J556" s="4" t="s">
        <v>748</v>
      </c>
      <c r="K556" s="7">
        <v>2181</v>
      </c>
      <c r="L556" s="4" t="s">
        <v>1958</v>
      </c>
      <c r="M556" s="4" t="s">
        <v>38</v>
      </c>
      <c r="N556" s="4"/>
      <c r="Q556" t="s">
        <v>778</v>
      </c>
    </row>
    <row r="557" spans="1:17" ht="10.5" hidden="1" x14ac:dyDescent="0.25">
      <c r="A557" s="8" t="s">
        <v>240</v>
      </c>
      <c r="B557" s="4" t="s">
        <v>21</v>
      </c>
      <c r="C557" s="5">
        <v>44227</v>
      </c>
      <c r="D557" s="4" t="s">
        <v>1964</v>
      </c>
      <c r="E557" s="4" t="s">
        <v>1965</v>
      </c>
      <c r="F557" s="4" t="s">
        <v>1965</v>
      </c>
      <c r="G557" s="6">
        <v>-125.76243479999999</v>
      </c>
      <c r="H557" s="6">
        <f t="shared" si="9"/>
        <v>-103191.96502288949</v>
      </c>
      <c r="I557" s="4"/>
      <c r="J557" s="4" t="s">
        <v>748</v>
      </c>
      <c r="K557" s="7">
        <v>120</v>
      </c>
      <c r="L557" s="4" t="s">
        <v>1958</v>
      </c>
      <c r="M557" s="4" t="s">
        <v>38</v>
      </c>
      <c r="N557" s="4"/>
      <c r="Q557" t="s">
        <v>778</v>
      </c>
    </row>
    <row r="558" spans="1:17" ht="10.5" hidden="1" x14ac:dyDescent="0.25">
      <c r="A558" s="8" t="s">
        <v>240</v>
      </c>
      <c r="B558" s="4" t="s">
        <v>241</v>
      </c>
      <c r="C558" s="5">
        <v>44227</v>
      </c>
      <c r="D558" s="4" t="s">
        <v>1966</v>
      </c>
      <c r="E558" s="4"/>
      <c r="F558" s="4"/>
      <c r="G558" s="6">
        <v>946.56144572510004</v>
      </c>
      <c r="H558" s="6">
        <f t="shared" si="9"/>
        <v>-102245.40357716438</v>
      </c>
      <c r="I558" s="4"/>
      <c r="J558" s="4" t="s">
        <v>68</v>
      </c>
      <c r="K558" s="7">
        <v>0</v>
      </c>
      <c r="L558" s="4" t="s">
        <v>1958</v>
      </c>
      <c r="M558" s="4" t="s">
        <v>201</v>
      </c>
      <c r="N558" s="4"/>
    </row>
    <row r="559" spans="1:17" ht="10.5" hidden="1" x14ac:dyDescent="0.25">
      <c r="A559" s="8" t="s">
        <v>240</v>
      </c>
      <c r="B559" s="4" t="s">
        <v>241</v>
      </c>
      <c r="C559" s="5">
        <v>44227</v>
      </c>
      <c r="D559" s="4" t="s">
        <v>1967</v>
      </c>
      <c r="E559" s="4"/>
      <c r="F559" s="4"/>
      <c r="G559" s="6">
        <v>-145.63289949840001</v>
      </c>
      <c r="H559" s="6">
        <f t="shared" si="9"/>
        <v>-102391.03647666279</v>
      </c>
      <c r="I559" s="4"/>
      <c r="J559" s="4" t="s">
        <v>68</v>
      </c>
      <c r="K559" s="7">
        <v>0</v>
      </c>
      <c r="L559" s="4" t="s">
        <v>1958</v>
      </c>
      <c r="M559" s="4" t="s">
        <v>197</v>
      </c>
      <c r="N559" s="4"/>
    </row>
    <row r="560" spans="1:17" ht="10.5" hidden="1" x14ac:dyDescent="0.25">
      <c r="A560" s="8" t="s">
        <v>240</v>
      </c>
      <c r="B560" s="4" t="s">
        <v>241</v>
      </c>
      <c r="C560" s="5">
        <v>44227</v>
      </c>
      <c r="D560" s="4" t="s">
        <v>1968</v>
      </c>
      <c r="E560" s="4"/>
      <c r="F560" s="4"/>
      <c r="G560" s="6">
        <v>98.367184419400004</v>
      </c>
      <c r="H560" s="6">
        <f t="shared" si="9"/>
        <v>-102292.66929224339</v>
      </c>
      <c r="I560" s="4"/>
      <c r="J560" s="4" t="s">
        <v>68</v>
      </c>
      <c r="K560" s="7">
        <v>0</v>
      </c>
      <c r="L560" s="4" t="s">
        <v>1958</v>
      </c>
      <c r="M560" s="4" t="s">
        <v>201</v>
      </c>
      <c r="N560" s="4"/>
    </row>
    <row r="561" spans="1:17" ht="10.5" hidden="1" x14ac:dyDescent="0.25">
      <c r="A561" s="8" t="s">
        <v>240</v>
      </c>
      <c r="B561" s="4" t="s">
        <v>241</v>
      </c>
      <c r="C561" s="5">
        <v>44227</v>
      </c>
      <c r="D561" s="4" t="s">
        <v>1969</v>
      </c>
      <c r="E561" s="4"/>
      <c r="F561" s="4"/>
      <c r="G561" s="6">
        <v>-943.74227114500002</v>
      </c>
      <c r="H561" s="6">
        <f t="shared" si="9"/>
        <v>-103236.41156338839</v>
      </c>
      <c r="I561" s="4"/>
      <c r="J561" s="4" t="s">
        <v>68</v>
      </c>
      <c r="K561" s="7">
        <v>0</v>
      </c>
      <c r="L561" s="4" t="s">
        <v>1958</v>
      </c>
      <c r="M561" s="4" t="s">
        <v>201</v>
      </c>
      <c r="N561" s="4"/>
    </row>
    <row r="562" spans="1:17" ht="10.5" hidden="1" x14ac:dyDescent="0.25">
      <c r="A562" s="8" t="s">
        <v>240</v>
      </c>
      <c r="B562" s="4" t="s">
        <v>241</v>
      </c>
      <c r="C562" s="5">
        <v>44228</v>
      </c>
      <c r="D562" s="4" t="s">
        <v>1970</v>
      </c>
      <c r="E562" s="4"/>
      <c r="F562" s="4"/>
      <c r="G562" s="6">
        <v>-946.56144572510004</v>
      </c>
      <c r="H562" s="6">
        <f t="shared" si="9"/>
        <v>-104182.9730091135</v>
      </c>
      <c r="I562" s="4"/>
      <c r="J562" s="4" t="s">
        <v>68</v>
      </c>
      <c r="K562" s="7">
        <v>0</v>
      </c>
      <c r="L562" s="4" t="s">
        <v>1971</v>
      </c>
      <c r="M562" s="4" t="s">
        <v>201</v>
      </c>
      <c r="N562" s="4"/>
    </row>
    <row r="563" spans="1:17" ht="10.5" hidden="1" x14ac:dyDescent="0.25">
      <c r="A563" s="8" t="s">
        <v>240</v>
      </c>
      <c r="B563" s="4" t="s">
        <v>241</v>
      </c>
      <c r="C563" s="5">
        <v>44228</v>
      </c>
      <c r="D563" s="4" t="s">
        <v>1972</v>
      </c>
      <c r="E563" s="4"/>
      <c r="F563" s="4"/>
      <c r="G563" s="6">
        <v>145.63289949840001</v>
      </c>
      <c r="H563" s="6">
        <f t="shared" si="9"/>
        <v>-104037.34010961509</v>
      </c>
      <c r="I563" s="4"/>
      <c r="J563" s="4" t="s">
        <v>68</v>
      </c>
      <c r="K563" s="7">
        <v>0</v>
      </c>
      <c r="L563" s="4" t="s">
        <v>1971</v>
      </c>
      <c r="M563" s="4" t="s">
        <v>197</v>
      </c>
      <c r="N563" s="4"/>
    </row>
    <row r="564" spans="1:17" ht="10.5" hidden="1" x14ac:dyDescent="0.25">
      <c r="A564" s="8" t="s">
        <v>240</v>
      </c>
      <c r="B564" s="4" t="s">
        <v>241</v>
      </c>
      <c r="C564" s="5">
        <v>44228</v>
      </c>
      <c r="D564" s="4" t="s">
        <v>1973</v>
      </c>
      <c r="E564" s="4"/>
      <c r="F564" s="4"/>
      <c r="G564" s="6">
        <v>-98.367184419400004</v>
      </c>
      <c r="H564" s="6">
        <f t="shared" si="9"/>
        <v>-104135.7072940345</v>
      </c>
      <c r="I564" s="4"/>
      <c r="J564" s="4" t="s">
        <v>68</v>
      </c>
      <c r="K564" s="7">
        <v>0</v>
      </c>
      <c r="L564" s="4" t="s">
        <v>1971</v>
      </c>
      <c r="M564" s="4" t="s">
        <v>201</v>
      </c>
      <c r="N564" s="4"/>
    </row>
    <row r="565" spans="1:17" ht="10.5" hidden="1" x14ac:dyDescent="0.25">
      <c r="A565" s="8" t="s">
        <v>240</v>
      </c>
      <c r="B565" s="4" t="s">
        <v>241</v>
      </c>
      <c r="C565" s="5">
        <v>44228</v>
      </c>
      <c r="D565" s="4" t="s">
        <v>1974</v>
      </c>
      <c r="E565" s="4"/>
      <c r="F565" s="4"/>
      <c r="G565" s="6">
        <v>943.74227114500002</v>
      </c>
      <c r="H565" s="6">
        <f t="shared" si="9"/>
        <v>-103191.96502288949</v>
      </c>
      <c r="I565" s="4"/>
      <c r="J565" s="4" t="s">
        <v>68</v>
      </c>
      <c r="K565" s="7">
        <v>0</v>
      </c>
      <c r="L565" s="4" t="s">
        <v>1971</v>
      </c>
      <c r="M565" s="4" t="s">
        <v>201</v>
      </c>
      <c r="N565" s="4"/>
    </row>
    <row r="566" spans="1:17" ht="10.5" hidden="1" x14ac:dyDescent="0.25">
      <c r="A566" s="8" t="s">
        <v>240</v>
      </c>
      <c r="B566" s="4" t="s">
        <v>21</v>
      </c>
      <c r="C566" s="5">
        <v>44232</v>
      </c>
      <c r="D566" s="4" t="s">
        <v>1975</v>
      </c>
      <c r="E566" s="4" t="s">
        <v>1976</v>
      </c>
      <c r="F566" s="4" t="s">
        <v>1976</v>
      </c>
      <c r="G566" s="6">
        <v>40412.200012616689</v>
      </c>
      <c r="H566" s="6">
        <f t="shared" si="9"/>
        <v>-62779.7650102728</v>
      </c>
      <c r="I566" s="4"/>
      <c r="J566" s="4" t="s">
        <v>68</v>
      </c>
      <c r="K566" s="7">
        <v>-40412.199999999997</v>
      </c>
      <c r="L566" s="4" t="s">
        <v>1971</v>
      </c>
      <c r="M566" s="4" t="s">
        <v>27</v>
      </c>
      <c r="N566" s="4"/>
    </row>
    <row r="567" spans="1:17" ht="10.5" hidden="1" x14ac:dyDescent="0.25">
      <c r="A567" s="8" t="s">
        <v>240</v>
      </c>
      <c r="B567" s="4" t="s">
        <v>1977</v>
      </c>
      <c r="C567" s="5">
        <v>44250</v>
      </c>
      <c r="D567" s="4" t="s">
        <v>1978</v>
      </c>
      <c r="E567" s="4" t="s">
        <v>1979</v>
      </c>
      <c r="F567" s="4" t="s">
        <v>1979</v>
      </c>
      <c r="G567" s="6">
        <v>-2442.9352959900002</v>
      </c>
      <c r="H567" s="6">
        <f t="shared" si="9"/>
        <v>-65222.700306262799</v>
      </c>
      <c r="I567" s="4"/>
      <c r="J567" s="4" t="s">
        <v>68</v>
      </c>
      <c r="K567" s="7">
        <v>2331</v>
      </c>
      <c r="L567" s="4" t="s">
        <v>1971</v>
      </c>
      <c r="M567" s="4" t="s">
        <v>61</v>
      </c>
      <c r="N567" s="4"/>
    </row>
    <row r="568" spans="1:17" ht="10.5" hidden="1" x14ac:dyDescent="0.25">
      <c r="A568" s="8" t="s">
        <v>240</v>
      </c>
      <c r="B568" s="4" t="s">
        <v>21</v>
      </c>
      <c r="C568" s="5">
        <v>44255</v>
      </c>
      <c r="D568" s="4" t="s">
        <v>1980</v>
      </c>
      <c r="E568" s="4" t="s">
        <v>1981</v>
      </c>
      <c r="F568" s="4" t="s">
        <v>1981</v>
      </c>
      <c r="G568" s="6">
        <v>-1202.0792726300001</v>
      </c>
      <c r="H568" s="6">
        <f t="shared" si="9"/>
        <v>-66424.779578892805</v>
      </c>
      <c r="I568" s="4"/>
      <c r="J568" s="4" t="s">
        <v>748</v>
      </c>
      <c r="K568" s="7">
        <v>1147</v>
      </c>
      <c r="L568" s="4" t="s">
        <v>1971</v>
      </c>
      <c r="M568" s="4" t="s">
        <v>38</v>
      </c>
      <c r="N568" s="4"/>
      <c r="Q568" t="s">
        <v>778</v>
      </c>
    </row>
    <row r="569" spans="1:17" ht="10.5" hidden="1" x14ac:dyDescent="0.25">
      <c r="A569" s="8" t="s">
        <v>240</v>
      </c>
      <c r="B569" s="4" t="s">
        <v>21</v>
      </c>
      <c r="C569" s="5">
        <v>44255</v>
      </c>
      <c r="D569" s="4" t="s">
        <v>1982</v>
      </c>
      <c r="E569" s="4" t="s">
        <v>1983</v>
      </c>
      <c r="F569" s="4" t="s">
        <v>1983</v>
      </c>
      <c r="G569" s="6">
        <v>-66.025278270000001</v>
      </c>
      <c r="H569" s="6">
        <f t="shared" si="9"/>
        <v>-66490.804857162802</v>
      </c>
      <c r="I569" s="4"/>
      <c r="J569" s="4" t="s">
        <v>748</v>
      </c>
      <c r="K569" s="7">
        <v>63</v>
      </c>
      <c r="L569" s="4" t="s">
        <v>1971</v>
      </c>
      <c r="M569" s="4" t="s">
        <v>38</v>
      </c>
      <c r="N569" s="4"/>
      <c r="Q569" t="s">
        <v>778</v>
      </c>
    </row>
    <row r="570" spans="1:17" ht="10.5" hidden="1" x14ac:dyDescent="0.25">
      <c r="A570" s="8" t="s">
        <v>240</v>
      </c>
      <c r="B570" s="4" t="s">
        <v>241</v>
      </c>
      <c r="C570" s="5">
        <v>44255</v>
      </c>
      <c r="D570" s="4" t="s">
        <v>1984</v>
      </c>
      <c r="E570" s="4"/>
      <c r="F570" s="4"/>
      <c r="G570" s="6">
        <v>930.47433427359999</v>
      </c>
      <c r="H570" s="6">
        <f t="shared" si="9"/>
        <v>-65560.330522889199</v>
      </c>
      <c r="I570" s="4"/>
      <c r="J570" s="4" t="s">
        <v>68</v>
      </c>
      <c r="K570" s="7">
        <v>0</v>
      </c>
      <c r="L570" s="4" t="s">
        <v>1971</v>
      </c>
      <c r="M570" s="4" t="s">
        <v>201</v>
      </c>
      <c r="N570" s="4"/>
    </row>
    <row r="571" spans="1:17" ht="10.5" hidden="1" x14ac:dyDescent="0.25">
      <c r="A571" s="8" t="s">
        <v>240</v>
      </c>
      <c r="B571" s="4" t="s">
        <v>241</v>
      </c>
      <c r="C571" s="5">
        <v>44255</v>
      </c>
      <c r="D571" s="4" t="s">
        <v>1985</v>
      </c>
      <c r="E571" s="4"/>
      <c r="F571" s="4"/>
      <c r="G571" s="6">
        <v>-256.08375786149998</v>
      </c>
      <c r="H571" s="6">
        <f t="shared" si="9"/>
        <v>-65816.414280750701</v>
      </c>
      <c r="I571" s="4"/>
      <c r="J571" s="4" t="s">
        <v>68</v>
      </c>
      <c r="K571" s="7">
        <v>0</v>
      </c>
      <c r="L571" s="4" t="s">
        <v>1971</v>
      </c>
      <c r="M571" s="4" t="s">
        <v>197</v>
      </c>
      <c r="N571" s="4"/>
    </row>
    <row r="572" spans="1:17" ht="10.5" hidden="1" x14ac:dyDescent="0.25">
      <c r="A572" s="8" t="s">
        <v>240</v>
      </c>
      <c r="B572" s="4" t="s">
        <v>241</v>
      </c>
      <c r="C572" s="5">
        <v>44255</v>
      </c>
      <c r="D572" s="4" t="s">
        <v>1986</v>
      </c>
      <c r="E572" s="4"/>
      <c r="F572" s="4"/>
      <c r="G572" s="6">
        <v>114.4542958709</v>
      </c>
      <c r="H572" s="6">
        <f t="shared" si="9"/>
        <v>-65701.959984879795</v>
      </c>
      <c r="I572" s="4"/>
      <c r="J572" s="4" t="s">
        <v>68</v>
      </c>
      <c r="K572" s="7">
        <v>0</v>
      </c>
      <c r="L572" s="4" t="s">
        <v>1971</v>
      </c>
      <c r="M572" s="4" t="s">
        <v>201</v>
      </c>
      <c r="N572" s="4"/>
    </row>
    <row r="573" spans="1:17" ht="10.5" hidden="1" x14ac:dyDescent="0.25">
      <c r="A573" s="8" t="s">
        <v>240</v>
      </c>
      <c r="B573" s="4" t="s">
        <v>241</v>
      </c>
      <c r="C573" s="5">
        <v>44255</v>
      </c>
      <c r="D573" s="4" t="s">
        <v>1987</v>
      </c>
      <c r="E573" s="4"/>
      <c r="F573" s="4"/>
      <c r="G573" s="6">
        <v>-927.64467949059997</v>
      </c>
      <c r="H573" s="6">
        <f t="shared" si="9"/>
        <v>-66629.604664370388</v>
      </c>
      <c r="I573" s="4"/>
      <c r="J573" s="4" t="s">
        <v>68</v>
      </c>
      <c r="K573" s="7">
        <v>0</v>
      </c>
      <c r="L573" s="4" t="s">
        <v>1971</v>
      </c>
      <c r="M573" s="4" t="s">
        <v>201</v>
      </c>
      <c r="N573" s="4"/>
    </row>
    <row r="574" spans="1:17" ht="10.5" hidden="1" x14ac:dyDescent="0.25">
      <c r="A574" s="8" t="s">
        <v>240</v>
      </c>
      <c r="B574" s="4" t="s">
        <v>241</v>
      </c>
      <c r="C574" s="5">
        <v>44256</v>
      </c>
      <c r="D574" s="4" t="s">
        <v>1988</v>
      </c>
      <c r="E574" s="4"/>
      <c r="F574" s="4"/>
      <c r="G574" s="6">
        <v>-930.47433427359999</v>
      </c>
      <c r="H574" s="6">
        <f t="shared" si="9"/>
        <v>-67560.078998643992</v>
      </c>
      <c r="I574" s="4"/>
      <c r="J574" s="4" t="s">
        <v>68</v>
      </c>
      <c r="K574" s="7">
        <v>0</v>
      </c>
      <c r="L574" s="4" t="s">
        <v>1029</v>
      </c>
      <c r="M574" s="4" t="s">
        <v>201</v>
      </c>
      <c r="N574" s="4"/>
    </row>
    <row r="575" spans="1:17" ht="10.5" hidden="1" x14ac:dyDescent="0.25">
      <c r="A575" s="8" t="s">
        <v>240</v>
      </c>
      <c r="B575" s="4" t="s">
        <v>241</v>
      </c>
      <c r="C575" s="5">
        <v>44256</v>
      </c>
      <c r="D575" s="4" t="s">
        <v>1989</v>
      </c>
      <c r="E575" s="4"/>
      <c r="F575" s="4"/>
      <c r="G575" s="6">
        <v>256.08375786149998</v>
      </c>
      <c r="H575" s="6">
        <f t="shared" si="9"/>
        <v>-67303.995240782489</v>
      </c>
      <c r="I575" s="4"/>
      <c r="J575" s="4" t="s">
        <v>68</v>
      </c>
      <c r="K575" s="7">
        <v>0</v>
      </c>
      <c r="L575" s="4" t="s">
        <v>1029</v>
      </c>
      <c r="M575" s="4" t="s">
        <v>197</v>
      </c>
      <c r="N575" s="4"/>
    </row>
    <row r="576" spans="1:17" ht="10.5" hidden="1" x14ac:dyDescent="0.25">
      <c r="A576" s="8" t="s">
        <v>240</v>
      </c>
      <c r="B576" s="4" t="s">
        <v>241</v>
      </c>
      <c r="C576" s="5">
        <v>44256</v>
      </c>
      <c r="D576" s="4" t="s">
        <v>1990</v>
      </c>
      <c r="E576" s="4"/>
      <c r="F576" s="4"/>
      <c r="G576" s="6">
        <v>-114.4542958709</v>
      </c>
      <c r="H576" s="6">
        <f t="shared" si="9"/>
        <v>-67418.449536653396</v>
      </c>
      <c r="I576" s="4"/>
      <c r="J576" s="4" t="s">
        <v>68</v>
      </c>
      <c r="K576" s="7">
        <v>0</v>
      </c>
      <c r="L576" s="4" t="s">
        <v>1029</v>
      </c>
      <c r="M576" s="4" t="s">
        <v>201</v>
      </c>
      <c r="N576" s="4"/>
    </row>
    <row r="577" spans="1:17" ht="10.5" hidden="1" x14ac:dyDescent="0.25">
      <c r="A577" s="8" t="s">
        <v>240</v>
      </c>
      <c r="B577" s="4" t="s">
        <v>241</v>
      </c>
      <c r="C577" s="5">
        <v>44256</v>
      </c>
      <c r="D577" s="4" t="s">
        <v>1991</v>
      </c>
      <c r="E577" s="4"/>
      <c r="F577" s="4"/>
      <c r="G577" s="6">
        <v>927.64467949059997</v>
      </c>
      <c r="H577" s="6">
        <f t="shared" si="9"/>
        <v>-66490.804857162802</v>
      </c>
      <c r="I577" s="4"/>
      <c r="J577" s="4" t="s">
        <v>68</v>
      </c>
      <c r="K577" s="7">
        <v>0</v>
      </c>
      <c r="L577" s="4" t="s">
        <v>1029</v>
      </c>
      <c r="M577" s="4" t="s">
        <v>201</v>
      </c>
      <c r="N577" s="4"/>
    </row>
    <row r="578" spans="1:17" ht="10.5" hidden="1" x14ac:dyDescent="0.25">
      <c r="A578" s="8" t="s">
        <v>240</v>
      </c>
      <c r="B578" s="4" t="s">
        <v>21</v>
      </c>
      <c r="C578" s="5">
        <v>44286</v>
      </c>
      <c r="D578" s="4" t="s">
        <v>1992</v>
      </c>
      <c r="E578" s="4" t="s">
        <v>1993</v>
      </c>
      <c r="F578" s="4" t="s">
        <v>1981</v>
      </c>
      <c r="G578" s="6">
        <v>-1202.0792726300001</v>
      </c>
      <c r="H578" s="6">
        <f t="shared" si="9"/>
        <v>-67692.884129792801</v>
      </c>
      <c r="I578" s="4"/>
      <c r="J578" s="4" t="s">
        <v>748</v>
      </c>
      <c r="K578" s="7">
        <v>1147</v>
      </c>
      <c r="L578" s="4" t="s">
        <v>1029</v>
      </c>
      <c r="M578" s="4" t="s">
        <v>38</v>
      </c>
      <c r="N578" s="4"/>
      <c r="Q578" t="s">
        <v>778</v>
      </c>
    </row>
    <row r="579" spans="1:17" ht="10.5" hidden="1" x14ac:dyDescent="0.25">
      <c r="A579" s="8" t="s">
        <v>240</v>
      </c>
      <c r="B579" s="4" t="s">
        <v>21</v>
      </c>
      <c r="C579" s="5">
        <v>44286</v>
      </c>
      <c r="D579" s="4" t="s">
        <v>1994</v>
      </c>
      <c r="E579" s="4" t="s">
        <v>1995</v>
      </c>
      <c r="F579" s="4" t="s">
        <v>1995</v>
      </c>
      <c r="G579" s="6">
        <v>-66.025278270000001</v>
      </c>
      <c r="H579" s="6">
        <f t="shared" si="9"/>
        <v>-67758.909408062798</v>
      </c>
      <c r="I579" s="4"/>
      <c r="J579" s="4" t="s">
        <v>748</v>
      </c>
      <c r="K579" s="7">
        <v>63</v>
      </c>
      <c r="L579" s="4" t="s">
        <v>1029</v>
      </c>
      <c r="M579" s="4" t="s">
        <v>38</v>
      </c>
      <c r="N579" s="4"/>
      <c r="Q579" t="s">
        <v>778</v>
      </c>
    </row>
    <row r="580" spans="1:17" ht="10.5" hidden="1" x14ac:dyDescent="0.25">
      <c r="A580" s="8" t="s">
        <v>240</v>
      </c>
      <c r="B580" s="4" t="s">
        <v>241</v>
      </c>
      <c r="C580" s="5">
        <v>44286</v>
      </c>
      <c r="D580" s="4" t="s">
        <v>1996</v>
      </c>
      <c r="E580" s="4"/>
      <c r="F580" s="4"/>
      <c r="G580" s="6">
        <v>-396.28791225769999</v>
      </c>
      <c r="H580" s="6">
        <f t="shared" si="9"/>
        <v>-68155.197320320498</v>
      </c>
      <c r="I580" s="4"/>
      <c r="J580" s="4" t="s">
        <v>68</v>
      </c>
      <c r="K580" s="7">
        <v>0</v>
      </c>
      <c r="L580" s="4" t="s">
        <v>1029</v>
      </c>
      <c r="M580" s="4" t="s">
        <v>197</v>
      </c>
      <c r="N580" s="4"/>
    </row>
    <row r="581" spans="1:17" ht="10.5" hidden="1" x14ac:dyDescent="0.25">
      <c r="A581" s="8" t="s">
        <v>240</v>
      </c>
      <c r="B581" s="4" t="s">
        <v>21</v>
      </c>
      <c r="C581" s="5">
        <v>44286</v>
      </c>
      <c r="D581" s="4" t="s">
        <v>1997</v>
      </c>
      <c r="E581" s="4" t="s">
        <v>1998</v>
      </c>
      <c r="F581" s="4" t="s">
        <v>1998</v>
      </c>
      <c r="G581" s="6">
        <v>-3715.2319280500001</v>
      </c>
      <c r="H581" s="6">
        <f t="shared" si="9"/>
        <v>-71870.429248370492</v>
      </c>
      <c r="I581" s="4"/>
      <c r="J581" s="4" t="s">
        <v>68</v>
      </c>
      <c r="K581" s="7">
        <v>3545</v>
      </c>
      <c r="L581" s="4" t="s">
        <v>1999</v>
      </c>
      <c r="M581" s="4" t="s">
        <v>38</v>
      </c>
      <c r="N581" s="4"/>
      <c r="Q581" t="s">
        <v>778</v>
      </c>
    </row>
    <row r="582" spans="1:17" ht="10.5" hidden="1" x14ac:dyDescent="0.25">
      <c r="A582" s="8" t="s">
        <v>240</v>
      </c>
      <c r="B582" s="4" t="s">
        <v>21</v>
      </c>
      <c r="C582" s="5">
        <v>44286</v>
      </c>
      <c r="D582" s="4" t="s">
        <v>2000</v>
      </c>
      <c r="E582" s="4" t="s">
        <v>2001</v>
      </c>
      <c r="F582" s="4" t="s">
        <v>2001</v>
      </c>
      <c r="G582" s="6">
        <v>-204.36395655000001</v>
      </c>
      <c r="H582" s="6">
        <f t="shared" si="9"/>
        <v>-72074.793204920497</v>
      </c>
      <c r="I582" s="4"/>
      <c r="J582" s="4" t="s">
        <v>68</v>
      </c>
      <c r="K582" s="7">
        <v>195</v>
      </c>
      <c r="L582" s="4" t="s">
        <v>1999</v>
      </c>
      <c r="M582" s="4" t="s">
        <v>38</v>
      </c>
      <c r="N582" s="4"/>
      <c r="Q582" t="s">
        <v>778</v>
      </c>
    </row>
    <row r="583" spans="1:17" ht="10.5" hidden="1" x14ac:dyDescent="0.25">
      <c r="A583" s="8" t="s">
        <v>240</v>
      </c>
      <c r="B583" s="4" t="s">
        <v>241</v>
      </c>
      <c r="C583" s="5">
        <v>44286</v>
      </c>
      <c r="D583" s="4" t="s">
        <v>2002</v>
      </c>
      <c r="E583" s="4"/>
      <c r="F583" s="4"/>
      <c r="G583" s="6">
        <v>1044.9286301444999</v>
      </c>
      <c r="H583" s="6">
        <f t="shared" si="9"/>
        <v>-71029.864574776002</v>
      </c>
      <c r="I583" s="4"/>
      <c r="J583" s="4" t="s">
        <v>68</v>
      </c>
      <c r="K583" s="7">
        <v>0</v>
      </c>
      <c r="L583" s="4" t="s">
        <v>1029</v>
      </c>
      <c r="M583" s="4" t="s">
        <v>201</v>
      </c>
      <c r="N583" s="4"/>
    </row>
    <row r="584" spans="1:17" ht="10.5" hidden="1" x14ac:dyDescent="0.25">
      <c r="A584" s="8" t="s">
        <v>240</v>
      </c>
      <c r="B584" s="4" t="s">
        <v>21</v>
      </c>
      <c r="C584" s="5">
        <v>44286</v>
      </c>
      <c r="D584" s="4" t="s">
        <v>1100</v>
      </c>
      <c r="E584" s="4" t="s">
        <v>1101</v>
      </c>
      <c r="F584" s="93" t="s">
        <v>1102</v>
      </c>
      <c r="G584" s="6">
        <v>84073.283054607105</v>
      </c>
      <c r="H584" s="6">
        <f t="shared" si="9"/>
        <v>13043.418479831103</v>
      </c>
      <c r="I584" s="4"/>
      <c r="J584" s="4" t="s">
        <v>68</v>
      </c>
      <c r="K584" s="7">
        <v>-6640815</v>
      </c>
      <c r="L584" s="4" t="s">
        <v>1029</v>
      </c>
      <c r="M584" s="4" t="s">
        <v>204</v>
      </c>
      <c r="N584" s="4" t="s">
        <v>198</v>
      </c>
    </row>
    <row r="585" spans="1:17" ht="10.5" hidden="1" x14ac:dyDescent="0.25">
      <c r="A585" s="8" t="s">
        <v>240</v>
      </c>
      <c r="B585" s="4" t="s">
        <v>21</v>
      </c>
      <c r="C585" s="5">
        <v>44286</v>
      </c>
      <c r="D585" s="4" t="s">
        <v>1100</v>
      </c>
      <c r="E585" s="4" t="s">
        <v>1101</v>
      </c>
      <c r="F585" s="4" t="s">
        <v>2003</v>
      </c>
      <c r="G585" s="6">
        <v>-28050.963223245344</v>
      </c>
      <c r="H585" s="6">
        <f t="shared" si="9"/>
        <v>-15007.544743414241</v>
      </c>
      <c r="I585" s="4"/>
      <c r="J585" s="4" t="s">
        <v>68</v>
      </c>
      <c r="K585" s="7">
        <v>2215701</v>
      </c>
      <c r="L585" s="4" t="s">
        <v>1029</v>
      </c>
      <c r="M585" s="4" t="s">
        <v>204</v>
      </c>
      <c r="N585" s="4" t="s">
        <v>198</v>
      </c>
    </row>
    <row r="586" spans="1:17" ht="10.5" hidden="1" x14ac:dyDescent="0.25">
      <c r="A586" s="8" t="s">
        <v>240</v>
      </c>
      <c r="B586" s="4" t="s">
        <v>241</v>
      </c>
      <c r="C586" s="5">
        <v>44286</v>
      </c>
      <c r="D586" s="4" t="s">
        <v>2004</v>
      </c>
      <c r="E586" s="4"/>
      <c r="F586" s="4"/>
      <c r="G586" s="6">
        <v>-776.91840138279997</v>
      </c>
      <c r="H586" s="6">
        <f t="shared" si="9"/>
        <v>-15784.463144797041</v>
      </c>
      <c r="I586" s="4"/>
      <c r="J586" s="4" t="s">
        <v>68</v>
      </c>
      <c r="K586" s="7">
        <v>0</v>
      </c>
      <c r="L586" s="4" t="s">
        <v>1029</v>
      </c>
      <c r="M586" s="4" t="s">
        <v>201</v>
      </c>
      <c r="N586" s="4"/>
    </row>
    <row r="587" spans="1:17" ht="10.5" hidden="1" x14ac:dyDescent="0.25">
      <c r="A587" s="8" t="s">
        <v>240</v>
      </c>
      <c r="B587" s="4" t="s">
        <v>21</v>
      </c>
      <c r="C587" s="5">
        <v>44286</v>
      </c>
      <c r="D587" s="4" t="s">
        <v>2005</v>
      </c>
      <c r="E587" s="4" t="s">
        <v>2006</v>
      </c>
      <c r="F587" s="4" t="s">
        <v>2007</v>
      </c>
      <c r="G587" s="6">
        <v>-4403.5506941162002</v>
      </c>
      <c r="H587" s="6">
        <f t="shared" si="9"/>
        <v>-20188.013838913241</v>
      </c>
      <c r="I587" s="4"/>
      <c r="J587" s="4" t="s">
        <v>68</v>
      </c>
      <c r="K587" s="7">
        <v>6687</v>
      </c>
      <c r="L587" s="4" t="s">
        <v>1029</v>
      </c>
      <c r="M587" s="4" t="s">
        <v>201</v>
      </c>
      <c r="N587" s="4" t="s">
        <v>198</v>
      </c>
    </row>
    <row r="588" spans="1:17" ht="10.5" hidden="1" x14ac:dyDescent="0.25">
      <c r="A588" s="8" t="s">
        <v>240</v>
      </c>
      <c r="B588" s="4" t="s">
        <v>21</v>
      </c>
      <c r="C588" s="5">
        <v>44286</v>
      </c>
      <c r="D588" s="4" t="s">
        <v>1103</v>
      </c>
      <c r="E588" s="4" t="s">
        <v>1104</v>
      </c>
      <c r="F588" s="4" t="s">
        <v>1104</v>
      </c>
      <c r="G588" s="6">
        <v>-24041.134468508808</v>
      </c>
      <c r="H588" s="6">
        <f t="shared" si="9"/>
        <v>-44229.148307422045</v>
      </c>
      <c r="I588" s="4"/>
      <c r="J588" s="4" t="s">
        <v>68</v>
      </c>
      <c r="K588" s="7">
        <v>1898971</v>
      </c>
      <c r="L588" s="4" t="s">
        <v>1029</v>
      </c>
      <c r="M588" s="4" t="s">
        <v>204</v>
      </c>
      <c r="N588" s="4" t="s">
        <v>198</v>
      </c>
    </row>
    <row r="589" spans="1:17" ht="10.5" hidden="1" x14ac:dyDescent="0.25">
      <c r="A589" s="8" t="s">
        <v>240</v>
      </c>
      <c r="B589" s="4" t="s">
        <v>21</v>
      </c>
      <c r="C589" s="5">
        <v>44286</v>
      </c>
      <c r="D589" s="4" t="s">
        <v>2008</v>
      </c>
      <c r="E589" s="4" t="s">
        <v>2009</v>
      </c>
      <c r="F589" s="4" t="s">
        <v>2009</v>
      </c>
      <c r="G589" s="6">
        <v>-14241.9040477086</v>
      </c>
      <c r="H589" s="6">
        <f t="shared" si="9"/>
        <v>-58471.052355130647</v>
      </c>
      <c r="I589" s="4"/>
      <c r="J589" s="4" t="s">
        <v>68</v>
      </c>
      <c r="K589" s="7">
        <v>21627.03</v>
      </c>
      <c r="L589" s="4" t="s">
        <v>1029</v>
      </c>
      <c r="M589" s="4" t="s">
        <v>201</v>
      </c>
      <c r="N589" s="4" t="s">
        <v>198</v>
      </c>
    </row>
    <row r="590" spans="1:17" ht="10.5" hidden="1" x14ac:dyDescent="0.25">
      <c r="A590" s="8" t="s">
        <v>240</v>
      </c>
      <c r="B590" s="4" t="s">
        <v>21</v>
      </c>
      <c r="C590" s="5">
        <v>44286</v>
      </c>
      <c r="D590" s="4" t="s">
        <v>2010</v>
      </c>
      <c r="E590" s="4" t="s">
        <v>1104</v>
      </c>
      <c r="F590" s="4" t="s">
        <v>2011</v>
      </c>
      <c r="G590" s="6">
        <v>24041.134468508808</v>
      </c>
      <c r="H590" s="6">
        <f t="shared" si="9"/>
        <v>-34429.917886621843</v>
      </c>
      <c r="I590" s="4"/>
      <c r="J590" s="4" t="s">
        <v>68</v>
      </c>
      <c r="K590" s="7">
        <v>-1898971</v>
      </c>
      <c r="L590" s="4" t="s">
        <v>1029</v>
      </c>
      <c r="M590" s="4" t="s">
        <v>204</v>
      </c>
      <c r="N590" s="4" t="s">
        <v>198</v>
      </c>
    </row>
    <row r="591" spans="1:17" ht="10.5" hidden="1" x14ac:dyDescent="0.25">
      <c r="A591" s="8" t="s">
        <v>240</v>
      </c>
      <c r="B591" s="4" t="s">
        <v>241</v>
      </c>
      <c r="C591" s="5">
        <v>44286</v>
      </c>
      <c r="D591" s="4" t="s">
        <v>2012</v>
      </c>
      <c r="E591" s="4"/>
      <c r="F591" s="4"/>
      <c r="G591" s="6">
        <v>-1.0480202900000001E-2</v>
      </c>
      <c r="H591" s="6">
        <f t="shared" si="9"/>
        <v>-34429.928366824744</v>
      </c>
      <c r="I591" s="4"/>
      <c r="J591" s="4" t="s">
        <v>68</v>
      </c>
      <c r="K591" s="7">
        <v>0</v>
      </c>
      <c r="L591" s="4" t="s">
        <v>1029</v>
      </c>
      <c r="M591" s="4" t="s">
        <v>201</v>
      </c>
      <c r="N591" s="4"/>
    </row>
    <row r="592" spans="1:17" ht="10.5" hidden="1" x14ac:dyDescent="0.25">
      <c r="A592" s="8" t="s">
        <v>240</v>
      </c>
      <c r="B592" s="4" t="s">
        <v>21</v>
      </c>
      <c r="C592" s="5">
        <v>44286</v>
      </c>
      <c r="D592" s="4" t="s">
        <v>2013</v>
      </c>
      <c r="E592" s="4" t="s">
        <v>2014</v>
      </c>
      <c r="F592" s="4" t="s">
        <v>2014</v>
      </c>
      <c r="G592" s="6">
        <v>-24648.131684632412</v>
      </c>
      <c r="H592" s="6">
        <f t="shared" si="9"/>
        <v>-59078.060051457156</v>
      </c>
      <c r="I592" s="4"/>
      <c r="J592" s="4" t="s">
        <v>68</v>
      </c>
      <c r="K592" s="116">
        <v>20245.990000000002</v>
      </c>
      <c r="L592" s="4" t="s">
        <v>1029</v>
      </c>
      <c r="M592" s="4" t="s">
        <v>186</v>
      </c>
      <c r="N592" s="4" t="s">
        <v>118</v>
      </c>
    </row>
    <row r="593" spans="1:17" ht="10.5" hidden="1" x14ac:dyDescent="0.25">
      <c r="A593" s="8" t="s">
        <v>240</v>
      </c>
      <c r="B593" s="4" t="s">
        <v>21</v>
      </c>
      <c r="C593" s="5">
        <v>44286</v>
      </c>
      <c r="D593" s="4" t="s">
        <v>2015</v>
      </c>
      <c r="E593" s="4" t="s">
        <v>1113</v>
      </c>
      <c r="F593" s="4" t="s">
        <v>1113</v>
      </c>
      <c r="G593" s="6">
        <v>670736.12966086995</v>
      </c>
      <c r="H593" s="6">
        <f t="shared" si="9"/>
        <v>611658.06960941281</v>
      </c>
      <c r="I593" s="4"/>
      <c r="J593" s="4" t="s">
        <v>68</v>
      </c>
      <c r="K593" s="7">
        <v>-640003</v>
      </c>
      <c r="L593" s="4" t="s">
        <v>1029</v>
      </c>
      <c r="M593" s="4" t="s">
        <v>61</v>
      </c>
      <c r="N593" s="4" t="s">
        <v>118</v>
      </c>
    </row>
    <row r="594" spans="1:17" ht="10.5" hidden="1" x14ac:dyDescent="0.25">
      <c r="A594" s="8" t="s">
        <v>240</v>
      </c>
      <c r="B594" s="4" t="s">
        <v>21</v>
      </c>
      <c r="C594" s="5">
        <v>44287</v>
      </c>
      <c r="D594" s="4" t="s">
        <v>2016</v>
      </c>
      <c r="E594" s="4" t="s">
        <v>1993</v>
      </c>
      <c r="F594" s="4" t="s">
        <v>1981</v>
      </c>
      <c r="G594" s="6">
        <v>1202.0792726300001</v>
      </c>
      <c r="H594" s="6">
        <f t="shared" si="9"/>
        <v>612860.14888204285</v>
      </c>
      <c r="I594" s="4"/>
      <c r="J594" s="4" t="s">
        <v>748</v>
      </c>
      <c r="K594" s="7">
        <v>-1147</v>
      </c>
      <c r="L594" s="4" t="s">
        <v>1999</v>
      </c>
      <c r="M594" s="4" t="s">
        <v>38</v>
      </c>
      <c r="N594" s="4"/>
      <c r="Q594" t="s">
        <v>778</v>
      </c>
    </row>
    <row r="595" spans="1:17" ht="10.5" hidden="1" x14ac:dyDescent="0.25">
      <c r="A595" s="8" t="s">
        <v>240</v>
      </c>
      <c r="B595" s="4" t="s">
        <v>21</v>
      </c>
      <c r="C595" s="5">
        <v>44287</v>
      </c>
      <c r="D595" s="4" t="s">
        <v>2017</v>
      </c>
      <c r="E595" s="4" t="s">
        <v>1995</v>
      </c>
      <c r="F595" s="4" t="s">
        <v>1995</v>
      </c>
      <c r="G595" s="6">
        <v>66.025278270000001</v>
      </c>
      <c r="H595" s="6">
        <f t="shared" si="9"/>
        <v>612926.17416031286</v>
      </c>
      <c r="I595" s="4"/>
      <c r="J595" s="4" t="s">
        <v>748</v>
      </c>
      <c r="K595" s="7">
        <v>-63</v>
      </c>
      <c r="L595" s="4" t="s">
        <v>1999</v>
      </c>
      <c r="M595" s="4" t="s">
        <v>38</v>
      </c>
      <c r="N595" s="4"/>
      <c r="Q595" t="s">
        <v>778</v>
      </c>
    </row>
    <row r="596" spans="1:17" ht="10.5" hidden="1" x14ac:dyDescent="0.25">
      <c r="A596" s="8" t="s">
        <v>240</v>
      </c>
      <c r="B596" s="4" t="s">
        <v>241</v>
      </c>
      <c r="C596" s="5">
        <v>44287</v>
      </c>
      <c r="D596" s="4" t="s">
        <v>2018</v>
      </c>
      <c r="E596" s="4"/>
      <c r="F596" s="4"/>
      <c r="G596" s="6">
        <v>396.28791225769999</v>
      </c>
      <c r="H596" s="6">
        <f t="shared" si="9"/>
        <v>613322.46207257058</v>
      </c>
      <c r="I596" s="4"/>
      <c r="J596" s="4" t="s">
        <v>68</v>
      </c>
      <c r="K596" s="7">
        <v>0</v>
      </c>
      <c r="L596" s="4" t="s">
        <v>1999</v>
      </c>
      <c r="M596" s="4" t="s">
        <v>197</v>
      </c>
      <c r="N596" s="4"/>
    </row>
    <row r="597" spans="1:17" ht="10.5" hidden="1" x14ac:dyDescent="0.25">
      <c r="A597" s="8" t="s">
        <v>240</v>
      </c>
      <c r="B597" s="4" t="s">
        <v>241</v>
      </c>
      <c r="C597" s="5">
        <v>44287</v>
      </c>
      <c r="D597" s="4" t="s">
        <v>2019</v>
      </c>
      <c r="E597" s="4"/>
      <c r="F597" s="4"/>
      <c r="G597" s="6">
        <v>-1044.9286301444999</v>
      </c>
      <c r="H597" s="6">
        <f t="shared" si="9"/>
        <v>612277.53344242612</v>
      </c>
      <c r="I597" s="4"/>
      <c r="J597" s="4" t="s">
        <v>68</v>
      </c>
      <c r="K597" s="7">
        <v>0</v>
      </c>
      <c r="L597" s="4" t="s">
        <v>1999</v>
      </c>
      <c r="M597" s="4" t="s">
        <v>201</v>
      </c>
      <c r="N597" s="4"/>
    </row>
    <row r="598" spans="1:17" ht="10.5" hidden="1" x14ac:dyDescent="0.25">
      <c r="A598" s="8" t="s">
        <v>240</v>
      </c>
      <c r="B598" s="4" t="s">
        <v>241</v>
      </c>
      <c r="C598" s="5">
        <v>44287</v>
      </c>
      <c r="D598" s="4" t="s">
        <v>2020</v>
      </c>
      <c r="E598" s="4"/>
      <c r="F598" s="4"/>
      <c r="G598" s="6">
        <v>776.91840138279997</v>
      </c>
      <c r="H598" s="6">
        <f t="shared" si="9"/>
        <v>613054.45184380887</v>
      </c>
      <c r="I598" s="4"/>
      <c r="J598" s="4" t="s">
        <v>68</v>
      </c>
      <c r="K598" s="7">
        <v>0</v>
      </c>
      <c r="L598" s="4" t="s">
        <v>1999</v>
      </c>
      <c r="M598" s="4" t="s">
        <v>201</v>
      </c>
      <c r="N598" s="4"/>
    </row>
    <row r="599" spans="1:17" ht="10.5" hidden="1" x14ac:dyDescent="0.25">
      <c r="A599" s="8" t="s">
        <v>240</v>
      </c>
      <c r="B599" s="4" t="s">
        <v>241</v>
      </c>
      <c r="C599" s="5">
        <v>44287</v>
      </c>
      <c r="D599" s="4" t="s">
        <v>2021</v>
      </c>
      <c r="E599" s="4"/>
      <c r="F599" s="4"/>
      <c r="G599" s="6">
        <v>1.0480202900000001E-2</v>
      </c>
      <c r="H599" s="6">
        <f t="shared" si="9"/>
        <v>613054.46232401172</v>
      </c>
      <c r="I599" s="4"/>
      <c r="J599" s="4" t="s">
        <v>68</v>
      </c>
      <c r="K599" s="7">
        <v>0</v>
      </c>
      <c r="L599" s="4" t="s">
        <v>1999</v>
      </c>
      <c r="M599" s="4" t="s">
        <v>201</v>
      </c>
      <c r="N599" s="4"/>
    </row>
    <row r="600" spans="1:17" ht="10.5" hidden="1" x14ac:dyDescent="0.25">
      <c r="A600" s="8" t="s">
        <v>240</v>
      </c>
      <c r="B600" s="4" t="s">
        <v>21</v>
      </c>
      <c r="C600" s="5">
        <v>44298</v>
      </c>
      <c r="D600" s="4" t="s">
        <v>2022</v>
      </c>
      <c r="E600" s="4" t="s">
        <v>2023</v>
      </c>
      <c r="F600" s="4" t="s">
        <v>2024</v>
      </c>
      <c r="G600" s="6">
        <v>100.00000003122</v>
      </c>
      <c r="H600" s="6">
        <f t="shared" si="9"/>
        <v>613154.46232404292</v>
      </c>
      <c r="I600" s="4"/>
      <c r="J600" s="4" t="s">
        <v>68</v>
      </c>
      <c r="K600" s="7">
        <v>-100</v>
      </c>
      <c r="L600" s="4" t="s">
        <v>1999</v>
      </c>
      <c r="M600" s="4" t="s">
        <v>27</v>
      </c>
      <c r="N600" s="4"/>
    </row>
    <row r="601" spans="1:17" ht="10.5" hidden="1" x14ac:dyDescent="0.25">
      <c r="A601" s="8" t="s">
        <v>240</v>
      </c>
      <c r="B601" s="4" t="s">
        <v>21</v>
      </c>
      <c r="C601" s="5">
        <v>44298</v>
      </c>
      <c r="D601" s="4" t="s">
        <v>2022</v>
      </c>
      <c r="E601" s="4" t="s">
        <v>2023</v>
      </c>
      <c r="F601" s="4" t="s">
        <v>2025</v>
      </c>
      <c r="G601" s="6">
        <v>300.00000009365999</v>
      </c>
      <c r="H601" s="6">
        <f t="shared" si="9"/>
        <v>613454.46232413664</v>
      </c>
      <c r="I601" s="4"/>
      <c r="J601" s="4" t="s">
        <v>68</v>
      </c>
      <c r="K601" s="7">
        <v>-300</v>
      </c>
      <c r="L601" s="4" t="s">
        <v>1999</v>
      </c>
      <c r="M601" s="4" t="s">
        <v>27</v>
      </c>
      <c r="N601" s="4"/>
    </row>
    <row r="602" spans="1:17" ht="10.5" hidden="1" x14ac:dyDescent="0.25">
      <c r="A602" s="8" t="s">
        <v>240</v>
      </c>
      <c r="B602" s="4" t="s">
        <v>21</v>
      </c>
      <c r="C602" s="5">
        <v>44298</v>
      </c>
      <c r="D602" s="4" t="s">
        <v>2022</v>
      </c>
      <c r="E602" s="4" t="s">
        <v>2023</v>
      </c>
      <c r="F602" s="4" t="s">
        <v>2026</v>
      </c>
      <c r="G602" s="6">
        <v>4000.0000012487999</v>
      </c>
      <c r="H602" s="6">
        <f t="shared" si="9"/>
        <v>617454.46232538542</v>
      </c>
      <c r="I602" s="4"/>
      <c r="J602" s="4" t="s">
        <v>68</v>
      </c>
      <c r="K602" s="7">
        <v>-4000</v>
      </c>
      <c r="L602" s="4" t="s">
        <v>1999</v>
      </c>
      <c r="M602" s="4" t="s">
        <v>27</v>
      </c>
      <c r="N602" s="4"/>
    </row>
    <row r="603" spans="1:17" ht="10.5" hidden="1" x14ac:dyDescent="0.25">
      <c r="A603" s="8" t="s">
        <v>240</v>
      </c>
      <c r="B603" s="4" t="s">
        <v>21</v>
      </c>
      <c r="C603" s="5">
        <v>44298</v>
      </c>
      <c r="D603" s="4" t="s">
        <v>2022</v>
      </c>
      <c r="E603" s="4" t="s">
        <v>2023</v>
      </c>
      <c r="F603" s="4" t="s">
        <v>2027</v>
      </c>
      <c r="G603" s="6">
        <v>11000.000003434199</v>
      </c>
      <c r="H603" s="6">
        <f t="shared" si="9"/>
        <v>628454.46232881967</v>
      </c>
      <c r="I603" s="4"/>
      <c r="J603" s="4" t="s">
        <v>68</v>
      </c>
      <c r="K603" s="7">
        <v>-11000</v>
      </c>
      <c r="L603" s="4" t="s">
        <v>1999</v>
      </c>
      <c r="M603" s="4" t="s">
        <v>27</v>
      </c>
      <c r="N603" s="4"/>
    </row>
    <row r="604" spans="1:17" ht="10.5" hidden="1" x14ac:dyDescent="0.25">
      <c r="A604" s="8" t="s">
        <v>240</v>
      </c>
      <c r="B604" s="4" t="s">
        <v>241</v>
      </c>
      <c r="C604" s="5">
        <v>44316</v>
      </c>
      <c r="D604" s="4" t="s">
        <v>2028</v>
      </c>
      <c r="E604" s="4"/>
      <c r="F604" s="4"/>
      <c r="G604" s="6">
        <v>1044.9286301444999</v>
      </c>
      <c r="H604" s="6">
        <f t="shared" ref="H604:H667" si="10">H603+G604</f>
        <v>629499.39095896413</v>
      </c>
      <c r="I604" s="4"/>
      <c r="J604" s="4" t="s">
        <v>68</v>
      </c>
      <c r="K604" s="7">
        <v>0</v>
      </c>
      <c r="L604" s="4" t="s">
        <v>1999</v>
      </c>
      <c r="M604" s="4" t="s">
        <v>201</v>
      </c>
      <c r="N604" s="4"/>
    </row>
    <row r="605" spans="1:17" ht="10.5" hidden="1" x14ac:dyDescent="0.25">
      <c r="A605" s="8" t="s">
        <v>240</v>
      </c>
      <c r="B605" s="4" t="s">
        <v>241</v>
      </c>
      <c r="C605" s="5">
        <v>44316</v>
      </c>
      <c r="D605" s="4" t="s">
        <v>2029</v>
      </c>
      <c r="E605" s="4"/>
      <c r="F605" s="4"/>
      <c r="G605" s="6">
        <v>-322.07759552279998</v>
      </c>
      <c r="H605" s="6">
        <f t="shared" si="10"/>
        <v>629177.31336344138</v>
      </c>
      <c r="I605" s="4"/>
      <c r="J605" s="4" t="s">
        <v>68</v>
      </c>
      <c r="K605" s="7">
        <v>0</v>
      </c>
      <c r="L605" s="4" t="s">
        <v>1999</v>
      </c>
      <c r="M605" s="4" t="s">
        <v>197</v>
      </c>
      <c r="N605" s="4"/>
    </row>
    <row r="606" spans="1:17" ht="10.5" hidden="1" x14ac:dyDescent="0.25">
      <c r="A606" s="8" t="s">
        <v>240</v>
      </c>
      <c r="B606" s="4" t="s">
        <v>21</v>
      </c>
      <c r="C606" s="5">
        <v>44316</v>
      </c>
      <c r="D606" s="4" t="s">
        <v>2030</v>
      </c>
      <c r="E606" s="4" t="s">
        <v>2031</v>
      </c>
      <c r="F606" s="4" t="s">
        <v>2032</v>
      </c>
      <c r="G606" s="6">
        <v>-1848.70779156</v>
      </c>
      <c r="H606" s="6">
        <f t="shared" si="10"/>
        <v>627328.6055718814</v>
      </c>
      <c r="I606" s="4"/>
      <c r="J606" s="4" t="s">
        <v>68</v>
      </c>
      <c r="K606" s="7">
        <v>1764</v>
      </c>
      <c r="L606" s="4" t="s">
        <v>2033</v>
      </c>
      <c r="M606" s="4" t="s">
        <v>38</v>
      </c>
      <c r="N606" s="4"/>
      <c r="Q606" t="s">
        <v>778</v>
      </c>
    </row>
    <row r="607" spans="1:17" ht="10.5" hidden="1" x14ac:dyDescent="0.25">
      <c r="A607" s="8" t="s">
        <v>240</v>
      </c>
      <c r="B607" s="4" t="s">
        <v>21</v>
      </c>
      <c r="C607" s="5">
        <v>44316</v>
      </c>
      <c r="D607" s="4" t="s">
        <v>2030</v>
      </c>
      <c r="E607" s="4" t="s">
        <v>2031</v>
      </c>
      <c r="F607" s="4" t="s">
        <v>2034</v>
      </c>
      <c r="G607" s="6">
        <v>-101.65796813</v>
      </c>
      <c r="H607" s="6">
        <f t="shared" si="10"/>
        <v>627226.94760375144</v>
      </c>
      <c r="I607" s="4"/>
      <c r="J607" s="4" t="s">
        <v>68</v>
      </c>
      <c r="K607" s="7">
        <v>97</v>
      </c>
      <c r="L607" s="4" t="s">
        <v>2033</v>
      </c>
      <c r="M607" s="4" t="s">
        <v>38</v>
      </c>
      <c r="N607" s="4"/>
      <c r="Q607" t="s">
        <v>778</v>
      </c>
    </row>
    <row r="608" spans="1:17" ht="10.5" hidden="1" x14ac:dyDescent="0.25">
      <c r="A608" s="8" t="s">
        <v>240</v>
      </c>
      <c r="B608" s="4" t="s">
        <v>241</v>
      </c>
      <c r="C608" s="5">
        <v>44316</v>
      </c>
      <c r="D608" s="4" t="s">
        <v>2035</v>
      </c>
      <c r="E608" s="4"/>
      <c r="F608" s="4"/>
      <c r="G608" s="6">
        <v>-850.5837475669</v>
      </c>
      <c r="H608" s="6">
        <f t="shared" si="10"/>
        <v>626376.36385618453</v>
      </c>
      <c r="I608" s="4"/>
      <c r="J608" s="4" t="s">
        <v>68</v>
      </c>
      <c r="K608" s="7">
        <v>0</v>
      </c>
      <c r="L608" s="4" t="s">
        <v>1999</v>
      </c>
      <c r="M608" s="4" t="s">
        <v>201</v>
      </c>
      <c r="N608" s="4"/>
    </row>
    <row r="609" spans="1:17" ht="10.5" hidden="1" x14ac:dyDescent="0.25">
      <c r="A609" s="8" t="s">
        <v>240</v>
      </c>
      <c r="B609" s="4" t="s">
        <v>241</v>
      </c>
      <c r="C609" s="5">
        <v>44316</v>
      </c>
      <c r="D609" s="4" t="s">
        <v>2036</v>
      </c>
      <c r="E609" s="4"/>
      <c r="F609" s="4"/>
      <c r="G609" s="6">
        <v>96.4388270858</v>
      </c>
      <c r="H609" s="6">
        <f t="shared" si="10"/>
        <v>626472.8026832703</v>
      </c>
      <c r="I609" s="4"/>
      <c r="J609" s="4" t="s">
        <v>68</v>
      </c>
      <c r="K609" s="7">
        <v>0</v>
      </c>
      <c r="L609" s="4" t="s">
        <v>1999</v>
      </c>
      <c r="M609" s="4" t="s">
        <v>201</v>
      </c>
      <c r="N609" s="4"/>
    </row>
    <row r="610" spans="1:17" ht="10.5" hidden="1" x14ac:dyDescent="0.25">
      <c r="A610" s="8" t="s">
        <v>240</v>
      </c>
      <c r="B610" s="4" t="s">
        <v>241</v>
      </c>
      <c r="C610" s="5">
        <v>44317</v>
      </c>
      <c r="D610" s="4" t="s">
        <v>2037</v>
      </c>
      <c r="E610" s="4"/>
      <c r="F610" s="4"/>
      <c r="G610" s="6">
        <v>-1044.9286301444999</v>
      </c>
      <c r="H610" s="6">
        <f t="shared" si="10"/>
        <v>625427.87405312585</v>
      </c>
      <c r="I610" s="4"/>
      <c r="J610" s="4" t="s">
        <v>68</v>
      </c>
      <c r="K610" s="7">
        <v>0</v>
      </c>
      <c r="L610" s="4" t="s">
        <v>2033</v>
      </c>
      <c r="M610" s="4" t="s">
        <v>201</v>
      </c>
      <c r="N610" s="4"/>
    </row>
    <row r="611" spans="1:17" ht="10.5" hidden="1" x14ac:dyDescent="0.25">
      <c r="A611" s="8" t="s">
        <v>240</v>
      </c>
      <c r="B611" s="4" t="s">
        <v>241</v>
      </c>
      <c r="C611" s="5">
        <v>44317</v>
      </c>
      <c r="D611" s="4" t="s">
        <v>2038</v>
      </c>
      <c r="E611" s="4"/>
      <c r="F611" s="4"/>
      <c r="G611" s="6">
        <v>322.07759552279998</v>
      </c>
      <c r="H611" s="6">
        <f t="shared" si="10"/>
        <v>625749.9516486486</v>
      </c>
      <c r="I611" s="4"/>
      <c r="J611" s="4" t="s">
        <v>68</v>
      </c>
      <c r="K611" s="7">
        <v>0</v>
      </c>
      <c r="L611" s="4" t="s">
        <v>2033</v>
      </c>
      <c r="M611" s="4" t="s">
        <v>197</v>
      </c>
      <c r="N611" s="4"/>
    </row>
    <row r="612" spans="1:17" ht="10.5" hidden="1" x14ac:dyDescent="0.25">
      <c r="A612" s="8" t="s">
        <v>240</v>
      </c>
      <c r="B612" s="4" t="s">
        <v>241</v>
      </c>
      <c r="C612" s="5">
        <v>44317</v>
      </c>
      <c r="D612" s="4" t="s">
        <v>2039</v>
      </c>
      <c r="E612" s="4"/>
      <c r="F612" s="4"/>
      <c r="G612" s="6">
        <v>850.5837475669</v>
      </c>
      <c r="H612" s="6">
        <f t="shared" si="10"/>
        <v>626600.53539621551</v>
      </c>
      <c r="I612" s="4"/>
      <c r="J612" s="4" t="s">
        <v>68</v>
      </c>
      <c r="K612" s="7">
        <v>0</v>
      </c>
      <c r="L612" s="4" t="s">
        <v>2033</v>
      </c>
      <c r="M612" s="4" t="s">
        <v>201</v>
      </c>
      <c r="N612" s="4"/>
    </row>
    <row r="613" spans="1:17" ht="10.5" hidden="1" x14ac:dyDescent="0.25">
      <c r="A613" s="8" t="s">
        <v>240</v>
      </c>
      <c r="B613" s="4" t="s">
        <v>241</v>
      </c>
      <c r="C613" s="5">
        <v>44317</v>
      </c>
      <c r="D613" s="4" t="s">
        <v>2040</v>
      </c>
      <c r="E613" s="4"/>
      <c r="F613" s="4"/>
      <c r="G613" s="6">
        <v>-96.4388270858</v>
      </c>
      <c r="H613" s="6">
        <f t="shared" si="10"/>
        <v>626504.09656912973</v>
      </c>
      <c r="I613" s="4"/>
      <c r="J613" s="4" t="s">
        <v>68</v>
      </c>
      <c r="K613" s="7">
        <v>0</v>
      </c>
      <c r="L613" s="4" t="s">
        <v>2033</v>
      </c>
      <c r="M613" s="4" t="s">
        <v>201</v>
      </c>
      <c r="N613" s="4"/>
    </row>
    <row r="614" spans="1:17" ht="10.5" hidden="1" x14ac:dyDescent="0.25">
      <c r="A614" s="8" t="s">
        <v>240</v>
      </c>
      <c r="B614" s="4" t="s">
        <v>1977</v>
      </c>
      <c r="C614" s="5">
        <v>44319</v>
      </c>
      <c r="D614" s="4" t="s">
        <v>2041</v>
      </c>
      <c r="E614" s="4" t="s">
        <v>2042</v>
      </c>
      <c r="F614" s="4" t="s">
        <v>2042</v>
      </c>
      <c r="G614" s="6">
        <v>-3076.98757144</v>
      </c>
      <c r="H614" s="6">
        <f t="shared" si="10"/>
        <v>623427.10899768968</v>
      </c>
      <c r="I614" s="4"/>
      <c r="J614" s="4" t="s">
        <v>68</v>
      </c>
      <c r="K614" s="7">
        <v>2936</v>
      </c>
      <c r="L614" s="4" t="s">
        <v>2033</v>
      </c>
      <c r="M614" s="4" t="s">
        <v>61</v>
      </c>
      <c r="N614" s="4"/>
    </row>
    <row r="615" spans="1:17" ht="10.5" hidden="1" x14ac:dyDescent="0.25">
      <c r="A615" s="8" t="s">
        <v>240</v>
      </c>
      <c r="B615" s="4" t="s">
        <v>21</v>
      </c>
      <c r="C615" s="5">
        <v>44347</v>
      </c>
      <c r="D615" s="4" t="s">
        <v>2043</v>
      </c>
      <c r="E615" s="4" t="s">
        <v>2044</v>
      </c>
      <c r="F615" s="4" t="s">
        <v>2045</v>
      </c>
      <c r="G615" s="6">
        <v>4485.5268411999996</v>
      </c>
      <c r="H615" s="6">
        <f t="shared" si="10"/>
        <v>627912.63583888963</v>
      </c>
      <c r="I615" s="4"/>
      <c r="J615" s="4" t="s">
        <v>68</v>
      </c>
      <c r="K615" s="7">
        <v>-4280</v>
      </c>
      <c r="L615" s="4" t="s">
        <v>2033</v>
      </c>
      <c r="M615" s="4" t="s">
        <v>61</v>
      </c>
      <c r="N615" s="4"/>
    </row>
    <row r="616" spans="1:17" ht="10.5" hidden="1" x14ac:dyDescent="0.25">
      <c r="A616" s="8" t="s">
        <v>240</v>
      </c>
      <c r="B616" s="4" t="s">
        <v>21</v>
      </c>
      <c r="C616" s="5">
        <v>44347</v>
      </c>
      <c r="D616" s="4" t="s">
        <v>2046</v>
      </c>
      <c r="E616" s="4" t="s">
        <v>2047</v>
      </c>
      <c r="F616" s="4" t="s">
        <v>2048</v>
      </c>
      <c r="G616" s="6">
        <v>-2710.18046994</v>
      </c>
      <c r="H616" s="6">
        <f t="shared" si="10"/>
        <v>625202.45536894968</v>
      </c>
      <c r="I616" s="4"/>
      <c r="J616" s="4" t="s">
        <v>68</v>
      </c>
      <c r="K616" s="7">
        <v>2586</v>
      </c>
      <c r="L616" s="4" t="s">
        <v>2033</v>
      </c>
      <c r="M616" s="4" t="s">
        <v>38</v>
      </c>
      <c r="N616" s="4"/>
      <c r="Q616" t="s">
        <v>778</v>
      </c>
    </row>
    <row r="617" spans="1:17" ht="10.5" hidden="1" x14ac:dyDescent="0.25">
      <c r="A617" s="8" t="s">
        <v>240</v>
      </c>
      <c r="B617" s="4" t="s">
        <v>21</v>
      </c>
      <c r="C617" s="5">
        <v>44347</v>
      </c>
      <c r="D617" s="4" t="s">
        <v>2046</v>
      </c>
      <c r="E617" s="4" t="s">
        <v>2047</v>
      </c>
      <c r="F617" s="4" t="s">
        <v>2049</v>
      </c>
      <c r="G617" s="6">
        <v>-148.81888118000001</v>
      </c>
      <c r="H617" s="6">
        <f t="shared" si="10"/>
        <v>625053.63648776966</v>
      </c>
      <c r="I617" s="4"/>
      <c r="J617" s="4" t="s">
        <v>68</v>
      </c>
      <c r="K617" s="7">
        <v>142</v>
      </c>
      <c r="L617" s="4" t="s">
        <v>2033</v>
      </c>
      <c r="M617" s="4" t="s">
        <v>38</v>
      </c>
      <c r="N617" s="4"/>
      <c r="Q617" t="s">
        <v>778</v>
      </c>
    </row>
    <row r="618" spans="1:17" ht="10.5" hidden="1" x14ac:dyDescent="0.25">
      <c r="A618" s="8" t="s">
        <v>240</v>
      </c>
      <c r="B618" s="4" t="s">
        <v>241</v>
      </c>
      <c r="C618" s="5">
        <v>44347</v>
      </c>
      <c r="D618" s="4" t="s">
        <v>2050</v>
      </c>
      <c r="E618" s="4"/>
      <c r="F618" s="4"/>
      <c r="G618" s="6">
        <v>-165.58720582000001</v>
      </c>
      <c r="H618" s="6">
        <f t="shared" si="10"/>
        <v>624888.04928194964</v>
      </c>
      <c r="I618" s="4"/>
      <c r="J618" s="4" t="s">
        <v>68</v>
      </c>
      <c r="K618" s="7">
        <v>0</v>
      </c>
      <c r="L618" s="4" t="s">
        <v>2033</v>
      </c>
      <c r="M618" s="4" t="s">
        <v>197</v>
      </c>
      <c r="N618" s="4"/>
    </row>
    <row r="619" spans="1:17" ht="10.5" hidden="1" x14ac:dyDescent="0.25">
      <c r="A619" s="8" t="s">
        <v>240</v>
      </c>
      <c r="B619" s="4" t="s">
        <v>241</v>
      </c>
      <c r="C619" s="5">
        <v>44347</v>
      </c>
      <c r="D619" s="4" t="s">
        <v>2051</v>
      </c>
      <c r="E619" s="4"/>
      <c r="F619" s="4"/>
      <c r="G619" s="6">
        <v>1044.9286301444999</v>
      </c>
      <c r="H619" s="6">
        <f t="shared" si="10"/>
        <v>625932.97791209409</v>
      </c>
      <c r="I619" s="4"/>
      <c r="J619" s="4" t="s">
        <v>68</v>
      </c>
      <c r="K619" s="7">
        <v>0</v>
      </c>
      <c r="L619" s="4" t="s">
        <v>2033</v>
      </c>
      <c r="M619" s="4" t="s">
        <v>201</v>
      </c>
      <c r="N619" s="4"/>
    </row>
    <row r="620" spans="1:17" ht="10.5" hidden="1" x14ac:dyDescent="0.25">
      <c r="A620" s="8" t="s">
        <v>240</v>
      </c>
      <c r="B620" s="4" t="s">
        <v>241</v>
      </c>
      <c r="C620" s="5">
        <v>44347</v>
      </c>
      <c r="D620" s="4" t="s">
        <v>2052</v>
      </c>
      <c r="E620" s="4"/>
      <c r="F620" s="4"/>
      <c r="G620" s="6">
        <v>-991.34335271680004</v>
      </c>
      <c r="H620" s="6">
        <f t="shared" si="10"/>
        <v>624941.63455937733</v>
      </c>
      <c r="I620" s="4"/>
      <c r="J620" s="4" t="s">
        <v>68</v>
      </c>
      <c r="K620" s="7">
        <v>0</v>
      </c>
      <c r="L620" s="4" t="s">
        <v>2033</v>
      </c>
      <c r="M620" s="4" t="s">
        <v>201</v>
      </c>
      <c r="N620" s="4"/>
    </row>
    <row r="621" spans="1:17" ht="10.5" hidden="1" x14ac:dyDescent="0.25">
      <c r="A621" s="8" t="s">
        <v>240</v>
      </c>
      <c r="B621" s="4" t="s">
        <v>241</v>
      </c>
      <c r="C621" s="5">
        <v>44347</v>
      </c>
      <c r="D621" s="4" t="s">
        <v>2053</v>
      </c>
      <c r="E621" s="4"/>
      <c r="F621" s="4"/>
      <c r="G621" s="6">
        <v>280.71223467649997</v>
      </c>
      <c r="H621" s="6">
        <f t="shared" si="10"/>
        <v>625222.3467940538</v>
      </c>
      <c r="I621" s="4"/>
      <c r="J621" s="4" t="s">
        <v>68</v>
      </c>
      <c r="K621" s="7">
        <v>0</v>
      </c>
      <c r="L621" s="4" t="s">
        <v>2033</v>
      </c>
      <c r="M621" s="4" t="s">
        <v>201</v>
      </c>
      <c r="N621" s="4"/>
    </row>
    <row r="622" spans="1:17" ht="10.5" hidden="1" x14ac:dyDescent="0.25">
      <c r="A622" s="8" t="s">
        <v>240</v>
      </c>
      <c r="B622" s="4" t="s">
        <v>241</v>
      </c>
      <c r="C622" s="5">
        <v>44348</v>
      </c>
      <c r="D622" s="4" t="s">
        <v>2054</v>
      </c>
      <c r="E622" s="4"/>
      <c r="F622" s="4"/>
      <c r="G622" s="6">
        <v>165.58720582000001</v>
      </c>
      <c r="H622" s="6">
        <f t="shared" si="10"/>
        <v>625387.93399987381</v>
      </c>
      <c r="I622" s="4"/>
      <c r="J622" s="4" t="s">
        <v>68</v>
      </c>
      <c r="K622" s="7">
        <v>0</v>
      </c>
      <c r="L622" s="4" t="s">
        <v>1031</v>
      </c>
      <c r="M622" s="4" t="s">
        <v>197</v>
      </c>
      <c r="N622" s="4"/>
    </row>
    <row r="623" spans="1:17" ht="10.5" hidden="1" x14ac:dyDescent="0.25">
      <c r="A623" s="8" t="s">
        <v>240</v>
      </c>
      <c r="B623" s="4" t="s">
        <v>241</v>
      </c>
      <c r="C623" s="5">
        <v>44348</v>
      </c>
      <c r="D623" s="4" t="s">
        <v>2055</v>
      </c>
      <c r="E623" s="4"/>
      <c r="F623" s="4"/>
      <c r="G623" s="6">
        <v>-1044.9286301444999</v>
      </c>
      <c r="H623" s="6">
        <f t="shared" si="10"/>
        <v>624343.00536972936</v>
      </c>
      <c r="I623" s="4"/>
      <c r="J623" s="4" t="s">
        <v>68</v>
      </c>
      <c r="K623" s="7">
        <v>0</v>
      </c>
      <c r="L623" s="4" t="s">
        <v>1031</v>
      </c>
      <c r="M623" s="4" t="s">
        <v>201</v>
      </c>
      <c r="N623" s="4"/>
    </row>
    <row r="624" spans="1:17" ht="10.5" hidden="1" x14ac:dyDescent="0.25">
      <c r="A624" s="8" t="s">
        <v>240</v>
      </c>
      <c r="B624" s="4" t="s">
        <v>241</v>
      </c>
      <c r="C624" s="5">
        <v>44348</v>
      </c>
      <c r="D624" s="4" t="s">
        <v>2056</v>
      </c>
      <c r="E624" s="4"/>
      <c r="F624" s="4"/>
      <c r="G624" s="6">
        <v>991.34335271680004</v>
      </c>
      <c r="H624" s="6">
        <f t="shared" si="10"/>
        <v>625334.34872244613</v>
      </c>
      <c r="I624" s="4"/>
      <c r="J624" s="4" t="s">
        <v>68</v>
      </c>
      <c r="K624" s="7">
        <v>0</v>
      </c>
      <c r="L624" s="4" t="s">
        <v>1031</v>
      </c>
      <c r="M624" s="4" t="s">
        <v>201</v>
      </c>
      <c r="N624" s="4"/>
    </row>
    <row r="625" spans="1:17" ht="10.5" hidden="1" x14ac:dyDescent="0.25">
      <c r="A625" s="8" t="s">
        <v>240</v>
      </c>
      <c r="B625" s="4" t="s">
        <v>241</v>
      </c>
      <c r="C625" s="5">
        <v>44348</v>
      </c>
      <c r="D625" s="4" t="s">
        <v>2057</v>
      </c>
      <c r="E625" s="4"/>
      <c r="F625" s="4"/>
      <c r="G625" s="6">
        <v>-280.71223467649997</v>
      </c>
      <c r="H625" s="6">
        <f t="shared" si="10"/>
        <v>625053.63648776966</v>
      </c>
      <c r="I625" s="4"/>
      <c r="J625" s="4" t="s">
        <v>68</v>
      </c>
      <c r="K625" s="7">
        <v>0</v>
      </c>
      <c r="L625" s="4" t="s">
        <v>1031</v>
      </c>
      <c r="M625" s="4" t="s">
        <v>201</v>
      </c>
      <c r="N625" s="4"/>
    </row>
    <row r="626" spans="1:17" ht="10.5" hidden="1" x14ac:dyDescent="0.25">
      <c r="A626" s="8" t="s">
        <v>240</v>
      </c>
      <c r="B626" s="4" t="s">
        <v>21</v>
      </c>
      <c r="C626" s="5">
        <v>44356</v>
      </c>
      <c r="D626" s="4" t="s">
        <v>2058</v>
      </c>
      <c r="E626" s="4" t="s">
        <v>2059</v>
      </c>
      <c r="F626" s="4" t="s">
        <v>2060</v>
      </c>
      <c r="G626" s="6">
        <v>1907.4493288144999</v>
      </c>
      <c r="H626" s="6">
        <f t="shared" si="10"/>
        <v>626961.08581658418</v>
      </c>
      <c r="I626" s="4"/>
      <c r="J626" s="4" t="s">
        <v>68</v>
      </c>
      <c r="K626" s="7">
        <v>-2867.4</v>
      </c>
      <c r="L626" s="4" t="s">
        <v>1031</v>
      </c>
      <c r="M626" s="4" t="s">
        <v>197</v>
      </c>
      <c r="N626" s="4" t="s">
        <v>198</v>
      </c>
    </row>
    <row r="627" spans="1:17" ht="10.5" hidden="1" x14ac:dyDescent="0.25">
      <c r="A627" s="8" t="s">
        <v>240</v>
      </c>
      <c r="B627" s="4" t="s">
        <v>21</v>
      </c>
      <c r="C627" s="5">
        <v>44370</v>
      </c>
      <c r="D627" s="4" t="s">
        <v>2061</v>
      </c>
      <c r="E627" s="4" t="s">
        <v>2062</v>
      </c>
      <c r="F627" s="4" t="s">
        <v>2062</v>
      </c>
      <c r="G627" s="6">
        <v>12501.7187571781</v>
      </c>
      <c r="H627" s="6">
        <f t="shared" si="10"/>
        <v>639462.80457376223</v>
      </c>
      <c r="I627" s="4"/>
      <c r="J627" s="4" t="s">
        <v>68</v>
      </c>
      <c r="K627" s="7">
        <v>-18787.13</v>
      </c>
      <c r="L627" s="4" t="s">
        <v>1031</v>
      </c>
      <c r="M627" s="4" t="s">
        <v>197</v>
      </c>
      <c r="N627" s="4" t="s">
        <v>198</v>
      </c>
    </row>
    <row r="628" spans="1:17" ht="10.5" hidden="1" x14ac:dyDescent="0.25">
      <c r="A628" s="8" t="s">
        <v>240</v>
      </c>
      <c r="B628" s="4" t="s">
        <v>21</v>
      </c>
      <c r="C628" s="5">
        <v>44377</v>
      </c>
      <c r="D628" s="4" t="s">
        <v>2063</v>
      </c>
      <c r="E628" s="4" t="s">
        <v>2064</v>
      </c>
      <c r="F628" s="4" t="s">
        <v>2065</v>
      </c>
      <c r="G628" s="6">
        <v>-3282.4729097003001</v>
      </c>
      <c r="H628" s="6">
        <f t="shared" si="10"/>
        <v>636180.33166406187</v>
      </c>
      <c r="I628" s="4"/>
      <c r="J628" s="4" t="s">
        <v>68</v>
      </c>
      <c r="K628" s="7">
        <v>4952.68</v>
      </c>
      <c r="L628" s="4" t="s">
        <v>1031</v>
      </c>
      <c r="M628" s="4" t="s">
        <v>197</v>
      </c>
      <c r="N628" s="4" t="s">
        <v>198</v>
      </c>
    </row>
    <row r="629" spans="1:17" ht="10.5" hidden="1" x14ac:dyDescent="0.25">
      <c r="A629" s="8" t="s">
        <v>240</v>
      </c>
      <c r="B629" s="4" t="s">
        <v>21</v>
      </c>
      <c r="C629" s="5">
        <v>44377</v>
      </c>
      <c r="D629" s="4" t="s">
        <v>2066</v>
      </c>
      <c r="E629" s="4" t="s">
        <v>2067</v>
      </c>
      <c r="F629" s="4" t="s">
        <v>2068</v>
      </c>
      <c r="G629" s="6">
        <v>-2131.6732698599999</v>
      </c>
      <c r="H629" s="6">
        <f t="shared" si="10"/>
        <v>634048.65839420189</v>
      </c>
      <c r="I629" s="4"/>
      <c r="J629" s="4" t="s">
        <v>68</v>
      </c>
      <c r="K629" s="7">
        <v>2034</v>
      </c>
      <c r="L629" s="4" t="s">
        <v>1031</v>
      </c>
      <c r="M629" s="4" t="s">
        <v>38</v>
      </c>
      <c r="N629" s="4" t="s">
        <v>39</v>
      </c>
      <c r="Q629" t="s">
        <v>778</v>
      </c>
    </row>
    <row r="630" spans="1:17" ht="10.5" hidden="1" x14ac:dyDescent="0.25">
      <c r="A630" s="8" t="s">
        <v>240</v>
      </c>
      <c r="B630" s="4" t="s">
        <v>21</v>
      </c>
      <c r="C630" s="5">
        <v>44377</v>
      </c>
      <c r="D630" s="4" t="s">
        <v>2066</v>
      </c>
      <c r="E630" s="4" t="s">
        <v>2067</v>
      </c>
      <c r="F630" s="4" t="s">
        <v>2069</v>
      </c>
      <c r="G630" s="6">
        <v>-117.37827248000001</v>
      </c>
      <c r="H630" s="6">
        <f t="shared" si="10"/>
        <v>633931.28012172191</v>
      </c>
      <c r="I630" s="4"/>
      <c r="J630" s="4" t="s">
        <v>68</v>
      </c>
      <c r="K630" s="7">
        <v>112</v>
      </c>
      <c r="L630" s="4" t="s">
        <v>1031</v>
      </c>
      <c r="M630" s="4" t="s">
        <v>38</v>
      </c>
      <c r="N630" s="4" t="s">
        <v>39</v>
      </c>
      <c r="Q630" t="s">
        <v>778</v>
      </c>
    </row>
    <row r="631" spans="1:17" ht="10.5" hidden="1" x14ac:dyDescent="0.25">
      <c r="A631" s="8" t="s">
        <v>240</v>
      </c>
      <c r="B631" s="4" t="s">
        <v>21</v>
      </c>
      <c r="C631" s="5">
        <v>44377</v>
      </c>
      <c r="D631" s="4" t="s">
        <v>2070</v>
      </c>
      <c r="E631" s="4" t="s">
        <v>2071</v>
      </c>
      <c r="F631" s="4" t="s">
        <v>2068</v>
      </c>
      <c r="G631" s="6">
        <v>2131.6732698599999</v>
      </c>
      <c r="H631" s="6">
        <f t="shared" si="10"/>
        <v>636062.95339158189</v>
      </c>
      <c r="I631" s="4"/>
      <c r="J631" s="4" t="s">
        <v>68</v>
      </c>
      <c r="K631" s="7">
        <v>-2034</v>
      </c>
      <c r="L631" s="4" t="s">
        <v>1031</v>
      </c>
      <c r="M631" s="4" t="s">
        <v>38</v>
      </c>
      <c r="N631" s="4" t="s">
        <v>39</v>
      </c>
      <c r="Q631" t="s">
        <v>778</v>
      </c>
    </row>
    <row r="632" spans="1:17" ht="10.5" hidden="1" x14ac:dyDescent="0.25">
      <c r="A632" s="8" t="s">
        <v>240</v>
      </c>
      <c r="B632" s="4" t="s">
        <v>21</v>
      </c>
      <c r="C632" s="5">
        <v>44377</v>
      </c>
      <c r="D632" s="4" t="s">
        <v>2070</v>
      </c>
      <c r="E632" s="4" t="s">
        <v>2071</v>
      </c>
      <c r="F632" s="4" t="s">
        <v>2069</v>
      </c>
      <c r="G632" s="6">
        <v>117.37827248000001</v>
      </c>
      <c r="H632" s="6">
        <f t="shared" si="10"/>
        <v>636180.33166406187</v>
      </c>
      <c r="I632" s="4"/>
      <c r="J632" s="4" t="s">
        <v>68</v>
      </c>
      <c r="K632" s="7">
        <v>-112</v>
      </c>
      <c r="L632" s="4" t="s">
        <v>1031</v>
      </c>
      <c r="M632" s="4" t="s">
        <v>38</v>
      </c>
      <c r="N632" s="4" t="s">
        <v>39</v>
      </c>
      <c r="Q632" t="s">
        <v>778</v>
      </c>
    </row>
    <row r="633" spans="1:17" ht="10.5" hidden="1" x14ac:dyDescent="0.25">
      <c r="A633" s="8" t="s">
        <v>240</v>
      </c>
      <c r="B633" s="4" t="s">
        <v>21</v>
      </c>
      <c r="C633" s="5">
        <v>44377</v>
      </c>
      <c r="D633" s="4" t="s">
        <v>2072</v>
      </c>
      <c r="E633" s="4" t="s">
        <v>2073</v>
      </c>
      <c r="F633" s="4" t="s">
        <v>2068</v>
      </c>
      <c r="G633" s="6">
        <v>-3075.9395511500002</v>
      </c>
      <c r="H633" s="6">
        <f t="shared" si="10"/>
        <v>633104.39211291191</v>
      </c>
      <c r="I633" s="4"/>
      <c r="J633" s="4" t="s">
        <v>68</v>
      </c>
      <c r="K633" s="7">
        <v>2935</v>
      </c>
      <c r="L633" s="4" t="s">
        <v>1031</v>
      </c>
      <c r="M633" s="4" t="s">
        <v>38</v>
      </c>
      <c r="N633" s="4" t="s">
        <v>39</v>
      </c>
      <c r="Q633" t="s">
        <v>778</v>
      </c>
    </row>
    <row r="634" spans="1:17" ht="10.5" hidden="1" x14ac:dyDescent="0.25">
      <c r="A634" s="8" t="s">
        <v>240</v>
      </c>
      <c r="B634" s="4" t="s">
        <v>21</v>
      </c>
      <c r="C634" s="5">
        <v>44377</v>
      </c>
      <c r="D634" s="4" t="s">
        <v>2072</v>
      </c>
      <c r="E634" s="4" t="s">
        <v>2073</v>
      </c>
      <c r="F634" s="4" t="s">
        <v>2069</v>
      </c>
      <c r="G634" s="6">
        <v>-169.77928697999999</v>
      </c>
      <c r="H634" s="6">
        <f t="shared" si="10"/>
        <v>632934.61282593186</v>
      </c>
      <c r="I634" s="4"/>
      <c r="J634" s="4" t="s">
        <v>68</v>
      </c>
      <c r="K634" s="7">
        <v>162</v>
      </c>
      <c r="L634" s="4" t="s">
        <v>1031</v>
      </c>
      <c r="M634" s="4" t="s">
        <v>38</v>
      </c>
      <c r="N634" s="4" t="s">
        <v>39</v>
      </c>
      <c r="Q634" t="s">
        <v>778</v>
      </c>
    </row>
    <row r="635" spans="1:17" ht="10.5" hidden="1" x14ac:dyDescent="0.25">
      <c r="A635" s="8" t="s">
        <v>240</v>
      </c>
      <c r="B635" s="4" t="s">
        <v>241</v>
      </c>
      <c r="C635" s="5">
        <v>44377</v>
      </c>
      <c r="D635" s="4" t="s">
        <v>2074</v>
      </c>
      <c r="E635" s="4"/>
      <c r="F635" s="4"/>
      <c r="G635" s="6">
        <v>1044.9286301444999</v>
      </c>
      <c r="H635" s="6">
        <f t="shared" si="10"/>
        <v>633979.54145607632</v>
      </c>
      <c r="I635" s="4"/>
      <c r="J635" s="4" t="s">
        <v>68</v>
      </c>
      <c r="K635" s="7">
        <v>0</v>
      </c>
      <c r="L635" s="4" t="s">
        <v>1031</v>
      </c>
      <c r="M635" s="4" t="s">
        <v>201</v>
      </c>
      <c r="N635" s="4"/>
    </row>
    <row r="636" spans="1:17" ht="10.5" hidden="1" x14ac:dyDescent="0.25">
      <c r="A636" s="8" t="s">
        <v>240</v>
      </c>
      <c r="B636" s="4" t="s">
        <v>241</v>
      </c>
      <c r="C636" s="5">
        <v>44377</v>
      </c>
      <c r="D636" s="4" t="s">
        <v>2075</v>
      </c>
      <c r="E636" s="4"/>
      <c r="F636" s="4"/>
      <c r="G636" s="6">
        <v>-814.32224553289996</v>
      </c>
      <c r="H636" s="6">
        <f t="shared" si="10"/>
        <v>633165.21921054344</v>
      </c>
      <c r="I636" s="4"/>
      <c r="J636" s="4" t="s">
        <v>68</v>
      </c>
      <c r="K636" s="7">
        <v>0</v>
      </c>
      <c r="L636" s="4" t="s">
        <v>1031</v>
      </c>
      <c r="M636" s="4" t="s">
        <v>201</v>
      </c>
      <c r="N636" s="4"/>
    </row>
    <row r="637" spans="1:17" ht="10.5" hidden="1" x14ac:dyDescent="0.25">
      <c r="A637" s="8" t="s">
        <v>240</v>
      </c>
      <c r="B637" s="4" t="s">
        <v>21</v>
      </c>
      <c r="C637" s="5">
        <v>44377</v>
      </c>
      <c r="D637" s="4" t="s">
        <v>2076</v>
      </c>
      <c r="E637" s="4" t="s">
        <v>2077</v>
      </c>
      <c r="F637" s="4" t="s">
        <v>2078</v>
      </c>
      <c r="G637" s="6">
        <v>-4837.2948515384996</v>
      </c>
      <c r="H637" s="6">
        <f t="shared" si="10"/>
        <v>628327.92435900494</v>
      </c>
      <c r="I637" s="4"/>
      <c r="J637" s="4" t="s">
        <v>68</v>
      </c>
      <c r="K637" s="7">
        <v>7365</v>
      </c>
      <c r="L637" s="4" t="s">
        <v>1031</v>
      </c>
      <c r="M637" s="4" t="s">
        <v>201</v>
      </c>
      <c r="N637" s="4" t="s">
        <v>198</v>
      </c>
    </row>
    <row r="638" spans="1:17" ht="10.5" hidden="1" x14ac:dyDescent="0.25">
      <c r="A638" s="8" t="s">
        <v>240</v>
      </c>
      <c r="B638" s="4" t="s">
        <v>21</v>
      </c>
      <c r="C638" s="5">
        <v>44377</v>
      </c>
      <c r="D638" s="4" t="s">
        <v>2079</v>
      </c>
      <c r="E638" s="4" t="s">
        <v>2080</v>
      </c>
      <c r="F638" s="93" t="s">
        <v>2080</v>
      </c>
      <c r="G638" s="6">
        <v>-26591.483292378241</v>
      </c>
      <c r="H638" s="6">
        <f t="shared" si="10"/>
        <v>601736.44106662669</v>
      </c>
      <c r="I638" s="4"/>
      <c r="J638" s="4" t="s">
        <v>68</v>
      </c>
      <c r="K638" s="7">
        <v>2100419</v>
      </c>
      <c r="L638" s="4" t="s">
        <v>1031</v>
      </c>
      <c r="M638" s="4" t="s">
        <v>204</v>
      </c>
      <c r="N638" s="4" t="s">
        <v>198</v>
      </c>
    </row>
    <row r="639" spans="1:17" ht="10.5" hidden="1" x14ac:dyDescent="0.25">
      <c r="A639" s="8" t="s">
        <v>240</v>
      </c>
      <c r="B639" s="4" t="s">
        <v>241</v>
      </c>
      <c r="C639" s="5">
        <v>44377</v>
      </c>
      <c r="D639" s="4" t="s">
        <v>2081</v>
      </c>
      <c r="E639" s="4"/>
      <c r="F639" s="4"/>
      <c r="G639" s="6">
        <v>-210.5787168697</v>
      </c>
      <c r="H639" s="6">
        <f t="shared" si="10"/>
        <v>601525.86234975699</v>
      </c>
      <c r="I639" s="4"/>
      <c r="J639" s="4" t="s">
        <v>68</v>
      </c>
      <c r="K639" s="7">
        <v>0</v>
      </c>
      <c r="L639" s="4" t="s">
        <v>1031</v>
      </c>
      <c r="M639" s="4" t="s">
        <v>197</v>
      </c>
      <c r="N639" s="4"/>
    </row>
    <row r="640" spans="1:17" ht="10.5" hidden="1" x14ac:dyDescent="0.25">
      <c r="A640" s="8" t="s">
        <v>240</v>
      </c>
      <c r="B640" s="4" t="s">
        <v>241</v>
      </c>
      <c r="C640" s="5">
        <v>44377</v>
      </c>
      <c r="D640" s="4" t="s">
        <v>2082</v>
      </c>
      <c r="E640" s="4"/>
      <c r="F640" s="4"/>
      <c r="G640" s="6">
        <v>48.9635079488</v>
      </c>
      <c r="H640" s="6">
        <f t="shared" si="10"/>
        <v>601574.82585770579</v>
      </c>
      <c r="I640" s="4"/>
      <c r="J640" s="4" t="s">
        <v>68</v>
      </c>
      <c r="K640" s="7">
        <v>0</v>
      </c>
      <c r="L640" s="4" t="s">
        <v>1031</v>
      </c>
      <c r="M640" s="4" t="s">
        <v>201</v>
      </c>
      <c r="N640" s="4"/>
    </row>
    <row r="641" spans="1:17" ht="10.5" hidden="1" x14ac:dyDescent="0.25">
      <c r="A641" s="8" t="s">
        <v>240</v>
      </c>
      <c r="B641" s="4" t="s">
        <v>21</v>
      </c>
      <c r="C641" s="5">
        <v>44377</v>
      </c>
      <c r="D641" s="4" t="s">
        <v>2083</v>
      </c>
      <c r="E641" s="4" t="s">
        <v>2014</v>
      </c>
      <c r="F641" s="4" t="s">
        <v>2014</v>
      </c>
      <c r="G641" s="6">
        <v>-24469.668214895923</v>
      </c>
      <c r="H641" s="6">
        <f t="shared" si="10"/>
        <v>577105.15764280991</v>
      </c>
      <c r="I641" s="4"/>
      <c r="J641" s="4" t="s">
        <v>68</v>
      </c>
      <c r="K641" s="116">
        <v>20099.400000000001</v>
      </c>
      <c r="L641" s="4" t="s">
        <v>1031</v>
      </c>
      <c r="M641" s="4" t="s">
        <v>186</v>
      </c>
      <c r="N641" s="4" t="s">
        <v>118</v>
      </c>
    </row>
    <row r="642" spans="1:17" ht="10.5" hidden="1" x14ac:dyDescent="0.25">
      <c r="A642" s="8" t="s">
        <v>240</v>
      </c>
      <c r="B642" s="4" t="s">
        <v>21</v>
      </c>
      <c r="C642" s="5">
        <v>44377</v>
      </c>
      <c r="D642" s="4" t="s">
        <v>2084</v>
      </c>
      <c r="E642" s="4" t="s">
        <v>1113</v>
      </c>
      <c r="F642" s="4" t="s">
        <v>1113</v>
      </c>
      <c r="G642" s="6">
        <v>-432744.34606563998</v>
      </c>
      <c r="H642" s="6">
        <f t="shared" si="10"/>
        <v>144360.81157716992</v>
      </c>
      <c r="I642" s="4"/>
      <c r="J642" s="4" t="s">
        <v>68</v>
      </c>
      <c r="K642" s="7">
        <v>412916</v>
      </c>
      <c r="L642" s="4" t="s">
        <v>1031</v>
      </c>
      <c r="M642" s="4" t="s">
        <v>61</v>
      </c>
      <c r="N642" s="4" t="s">
        <v>118</v>
      </c>
    </row>
    <row r="643" spans="1:17" ht="10.5" hidden="1" x14ac:dyDescent="0.25">
      <c r="A643" s="8" t="s">
        <v>240</v>
      </c>
      <c r="B643" s="4" t="s">
        <v>241</v>
      </c>
      <c r="C643" s="5">
        <v>44378</v>
      </c>
      <c r="D643" s="4" t="s">
        <v>2085</v>
      </c>
      <c r="E643" s="4"/>
      <c r="F643" s="4"/>
      <c r="G643" s="6">
        <v>-1044.9286301444999</v>
      </c>
      <c r="H643" s="6">
        <f t="shared" si="10"/>
        <v>143315.88294702541</v>
      </c>
      <c r="I643" s="4"/>
      <c r="J643" s="4" t="s">
        <v>68</v>
      </c>
      <c r="K643" s="7">
        <v>0</v>
      </c>
      <c r="L643" s="4" t="s">
        <v>2086</v>
      </c>
      <c r="M643" s="4" t="s">
        <v>201</v>
      </c>
      <c r="N643" s="4"/>
    </row>
    <row r="644" spans="1:17" ht="10.5" hidden="1" x14ac:dyDescent="0.25">
      <c r="A644" s="8" t="s">
        <v>240</v>
      </c>
      <c r="B644" s="4" t="s">
        <v>241</v>
      </c>
      <c r="C644" s="5">
        <v>44378</v>
      </c>
      <c r="D644" s="4" t="s">
        <v>2087</v>
      </c>
      <c r="E644" s="4"/>
      <c r="F644" s="4"/>
      <c r="G644" s="6">
        <v>814.32224553289996</v>
      </c>
      <c r="H644" s="6">
        <f t="shared" si="10"/>
        <v>144130.20519255832</v>
      </c>
      <c r="I644" s="4"/>
      <c r="J644" s="4" t="s">
        <v>68</v>
      </c>
      <c r="K644" s="7">
        <v>0</v>
      </c>
      <c r="L644" s="4" t="s">
        <v>2086</v>
      </c>
      <c r="M644" s="4" t="s">
        <v>201</v>
      </c>
      <c r="N644" s="4"/>
    </row>
    <row r="645" spans="1:17" ht="10.5" hidden="1" x14ac:dyDescent="0.25">
      <c r="A645" s="8" t="s">
        <v>240</v>
      </c>
      <c r="B645" s="4" t="s">
        <v>241</v>
      </c>
      <c r="C645" s="5">
        <v>44378</v>
      </c>
      <c r="D645" s="4" t="s">
        <v>2088</v>
      </c>
      <c r="E645" s="4"/>
      <c r="F645" s="4"/>
      <c r="G645" s="6">
        <v>-48.9635079488</v>
      </c>
      <c r="H645" s="6">
        <f t="shared" si="10"/>
        <v>144081.24168460953</v>
      </c>
      <c r="I645" s="4"/>
      <c r="J645" s="4" t="s">
        <v>68</v>
      </c>
      <c r="K645" s="7">
        <v>0</v>
      </c>
      <c r="L645" s="4" t="s">
        <v>2086</v>
      </c>
      <c r="M645" s="4" t="s">
        <v>201</v>
      </c>
      <c r="N645" s="4"/>
    </row>
    <row r="646" spans="1:17" ht="10.5" hidden="1" x14ac:dyDescent="0.25">
      <c r="A646" s="8" t="s">
        <v>240</v>
      </c>
      <c r="B646" s="4" t="s">
        <v>21</v>
      </c>
      <c r="C646" s="5">
        <v>44408</v>
      </c>
      <c r="D646" s="4" t="s">
        <v>2089</v>
      </c>
      <c r="E646" s="4" t="s">
        <v>2090</v>
      </c>
      <c r="F646" s="4" t="s">
        <v>2090</v>
      </c>
      <c r="G646" s="6">
        <v>-446.35329050385297</v>
      </c>
      <c r="H646" s="6">
        <f t="shared" si="10"/>
        <v>143634.88839410568</v>
      </c>
      <c r="I646" s="4"/>
      <c r="J646" s="4" t="s">
        <v>68</v>
      </c>
      <c r="K646" s="7">
        <v>574.82000000000005</v>
      </c>
      <c r="L646" s="4" t="s">
        <v>2086</v>
      </c>
      <c r="M646" s="4" t="s">
        <v>212</v>
      </c>
      <c r="N646" s="4" t="s">
        <v>28</v>
      </c>
    </row>
    <row r="647" spans="1:17" ht="10.5" hidden="1" x14ac:dyDescent="0.25">
      <c r="A647" s="8" t="s">
        <v>240</v>
      </c>
      <c r="B647" s="4" t="s">
        <v>21</v>
      </c>
      <c r="C647" s="5">
        <v>44408</v>
      </c>
      <c r="D647" s="4" t="s">
        <v>2091</v>
      </c>
      <c r="E647" s="4" t="s">
        <v>2092</v>
      </c>
      <c r="F647" s="4" t="s">
        <v>2092</v>
      </c>
      <c r="G647" s="6">
        <v>-2849.5671685100001</v>
      </c>
      <c r="H647" s="6">
        <f t="shared" si="10"/>
        <v>140785.32122559569</v>
      </c>
      <c r="I647" s="4"/>
      <c r="J647" s="4" t="s">
        <v>68</v>
      </c>
      <c r="K647" s="7">
        <v>2719</v>
      </c>
      <c r="L647" s="4" t="s">
        <v>2086</v>
      </c>
      <c r="M647" s="4" t="s">
        <v>38</v>
      </c>
      <c r="N647" s="4" t="s">
        <v>39</v>
      </c>
      <c r="Q647" t="s">
        <v>778</v>
      </c>
    </row>
    <row r="648" spans="1:17" ht="10.5" hidden="1" x14ac:dyDescent="0.25">
      <c r="A648" s="8" t="s">
        <v>240</v>
      </c>
      <c r="B648" s="4" t="s">
        <v>21</v>
      </c>
      <c r="C648" s="5">
        <v>44408</v>
      </c>
      <c r="D648" s="4" t="s">
        <v>2091</v>
      </c>
      <c r="E648" s="4" t="s">
        <v>2092</v>
      </c>
      <c r="F648" s="4" t="s">
        <v>2092</v>
      </c>
      <c r="G648" s="6">
        <v>-157.20304350000001</v>
      </c>
      <c r="H648" s="6">
        <f t="shared" si="10"/>
        <v>140628.1181820957</v>
      </c>
      <c r="I648" s="4"/>
      <c r="J648" s="4" t="s">
        <v>68</v>
      </c>
      <c r="K648" s="7">
        <v>150</v>
      </c>
      <c r="L648" s="4" t="s">
        <v>2086</v>
      </c>
      <c r="M648" s="4" t="s">
        <v>38</v>
      </c>
      <c r="N648" s="4" t="s">
        <v>39</v>
      </c>
      <c r="Q648" t="s">
        <v>778</v>
      </c>
    </row>
    <row r="649" spans="1:17" ht="10.5" hidden="1" x14ac:dyDescent="0.25">
      <c r="A649" s="8" t="s">
        <v>240</v>
      </c>
      <c r="B649" s="4" t="s">
        <v>241</v>
      </c>
      <c r="C649" s="5">
        <v>44408</v>
      </c>
      <c r="D649" s="4" t="s">
        <v>2093</v>
      </c>
      <c r="E649" s="4"/>
      <c r="F649" s="4"/>
      <c r="G649" s="6">
        <v>1044.9286301444999</v>
      </c>
      <c r="H649" s="6">
        <f t="shared" si="10"/>
        <v>141673.04681224021</v>
      </c>
      <c r="I649" s="4"/>
      <c r="J649" s="4" t="s">
        <v>68</v>
      </c>
      <c r="K649" s="7">
        <v>0</v>
      </c>
      <c r="L649" s="4" t="s">
        <v>2086</v>
      </c>
      <c r="M649" s="4" t="s">
        <v>201</v>
      </c>
      <c r="N649" s="4"/>
    </row>
    <row r="650" spans="1:17" ht="10.5" hidden="1" x14ac:dyDescent="0.25">
      <c r="A650" s="8" t="s">
        <v>240</v>
      </c>
      <c r="B650" s="4" t="s">
        <v>241</v>
      </c>
      <c r="C650" s="5">
        <v>44408</v>
      </c>
      <c r="D650" s="4" t="s">
        <v>2094</v>
      </c>
      <c r="E650" s="4"/>
      <c r="F650" s="4"/>
      <c r="G650" s="6">
        <v>-916.31558015569999</v>
      </c>
      <c r="H650" s="6">
        <f t="shared" si="10"/>
        <v>140756.73123208451</v>
      </c>
      <c r="I650" s="4"/>
      <c r="J650" s="4" t="s">
        <v>68</v>
      </c>
      <c r="K650" s="7">
        <v>0</v>
      </c>
      <c r="L650" s="4" t="s">
        <v>2086</v>
      </c>
      <c r="M650" s="4" t="s">
        <v>201</v>
      </c>
      <c r="N650" s="4"/>
    </row>
    <row r="651" spans="1:17" ht="10.5" hidden="1" x14ac:dyDescent="0.25">
      <c r="A651" s="8" t="s">
        <v>240</v>
      </c>
      <c r="B651" s="4" t="s">
        <v>241</v>
      </c>
      <c r="C651" s="5">
        <v>44408</v>
      </c>
      <c r="D651" s="4" t="s">
        <v>2095</v>
      </c>
      <c r="E651" s="4"/>
      <c r="F651" s="4"/>
      <c r="G651" s="6">
        <v>217.23364571120001</v>
      </c>
      <c r="H651" s="6">
        <f t="shared" si="10"/>
        <v>140973.96487779572</v>
      </c>
      <c r="I651" s="4"/>
      <c r="J651" s="4" t="s">
        <v>68</v>
      </c>
      <c r="K651" s="7">
        <v>0</v>
      </c>
      <c r="L651" s="4" t="s">
        <v>2086</v>
      </c>
      <c r="M651" s="4" t="s">
        <v>201</v>
      </c>
      <c r="N651" s="4"/>
    </row>
    <row r="652" spans="1:17" ht="10.5" hidden="1" x14ac:dyDescent="0.25">
      <c r="A652" s="8" t="s">
        <v>240</v>
      </c>
      <c r="B652" s="4" t="s">
        <v>241</v>
      </c>
      <c r="C652" s="5">
        <v>44409</v>
      </c>
      <c r="D652" s="4" t="s">
        <v>2096</v>
      </c>
      <c r="E652" s="4"/>
      <c r="F652" s="4"/>
      <c r="G652" s="6">
        <v>-1044.9286301444999</v>
      </c>
      <c r="H652" s="6">
        <f t="shared" si="10"/>
        <v>139929.03624765121</v>
      </c>
      <c r="I652" s="4"/>
      <c r="J652" s="4" t="s">
        <v>68</v>
      </c>
      <c r="K652" s="7">
        <v>0</v>
      </c>
      <c r="L652" s="4" t="s">
        <v>2097</v>
      </c>
      <c r="M652" s="4" t="s">
        <v>201</v>
      </c>
      <c r="N652" s="4"/>
    </row>
    <row r="653" spans="1:17" ht="10.5" hidden="1" x14ac:dyDescent="0.25">
      <c r="A653" s="8" t="s">
        <v>240</v>
      </c>
      <c r="B653" s="4" t="s">
        <v>241</v>
      </c>
      <c r="C653" s="5">
        <v>44409</v>
      </c>
      <c r="D653" s="4" t="s">
        <v>2098</v>
      </c>
      <c r="E653" s="4"/>
      <c r="F653" s="4"/>
      <c r="G653" s="6">
        <v>916.31558015569999</v>
      </c>
      <c r="H653" s="6">
        <f t="shared" si="10"/>
        <v>140845.35182780691</v>
      </c>
      <c r="I653" s="4"/>
      <c r="J653" s="4" t="s">
        <v>68</v>
      </c>
      <c r="K653" s="7">
        <v>0</v>
      </c>
      <c r="L653" s="4" t="s">
        <v>2097</v>
      </c>
      <c r="M653" s="4" t="s">
        <v>201</v>
      </c>
      <c r="N653" s="4"/>
    </row>
    <row r="654" spans="1:17" ht="10.5" hidden="1" x14ac:dyDescent="0.25">
      <c r="A654" s="8" t="s">
        <v>240</v>
      </c>
      <c r="B654" s="4" t="s">
        <v>241</v>
      </c>
      <c r="C654" s="5">
        <v>44409</v>
      </c>
      <c r="D654" s="4" t="s">
        <v>2099</v>
      </c>
      <c r="E654" s="4"/>
      <c r="F654" s="4"/>
      <c r="G654" s="6">
        <v>-217.23364571120001</v>
      </c>
      <c r="H654" s="6">
        <f t="shared" si="10"/>
        <v>140628.1181820957</v>
      </c>
      <c r="I654" s="4"/>
      <c r="J654" s="4" t="s">
        <v>68</v>
      </c>
      <c r="K654" s="7">
        <v>0</v>
      </c>
      <c r="L654" s="4" t="s">
        <v>2097</v>
      </c>
      <c r="M654" s="4" t="s">
        <v>201</v>
      </c>
      <c r="N654" s="4"/>
    </row>
    <row r="655" spans="1:17" ht="10.5" hidden="1" x14ac:dyDescent="0.25">
      <c r="A655" s="8" t="s">
        <v>240</v>
      </c>
      <c r="B655" s="4" t="s">
        <v>1092</v>
      </c>
      <c r="C655" s="5">
        <v>44439</v>
      </c>
      <c r="D655" s="4" t="s">
        <v>2100</v>
      </c>
      <c r="E655" s="4" t="s">
        <v>2101</v>
      </c>
      <c r="F655" s="4" t="s">
        <v>2101</v>
      </c>
      <c r="G655" s="6">
        <v>17195.35803005975</v>
      </c>
      <c r="H655" s="6">
        <f t="shared" si="10"/>
        <v>157823.47621215545</v>
      </c>
      <c r="I655" s="4" t="s">
        <v>1099</v>
      </c>
      <c r="J655" s="4" t="s">
        <v>68</v>
      </c>
      <c r="K655" s="7">
        <v>-1358234</v>
      </c>
      <c r="L655" s="4" t="s">
        <v>2097</v>
      </c>
      <c r="M655" s="4" t="s">
        <v>204</v>
      </c>
      <c r="N655" s="4"/>
    </row>
    <row r="656" spans="1:17" ht="10.5" hidden="1" x14ac:dyDescent="0.25">
      <c r="A656" s="8" t="s">
        <v>240</v>
      </c>
      <c r="B656" s="4" t="s">
        <v>241</v>
      </c>
      <c r="C656" s="5">
        <v>44439</v>
      </c>
      <c r="D656" s="4" t="s">
        <v>2102</v>
      </c>
      <c r="E656" s="4"/>
      <c r="F656" s="4"/>
      <c r="G656" s="6">
        <v>1044.9286301444999</v>
      </c>
      <c r="H656" s="6">
        <f t="shared" si="10"/>
        <v>158868.40484229996</v>
      </c>
      <c r="I656" s="4"/>
      <c r="J656" s="4" t="s">
        <v>68</v>
      </c>
      <c r="K656" s="7">
        <v>0</v>
      </c>
      <c r="L656" s="4" t="s">
        <v>2097</v>
      </c>
      <c r="M656" s="4" t="s">
        <v>201</v>
      </c>
      <c r="N656" s="4"/>
    </row>
    <row r="657" spans="1:17" ht="10.5" hidden="1" x14ac:dyDescent="0.25">
      <c r="A657" s="8" t="s">
        <v>240</v>
      </c>
      <c r="B657" s="4" t="s">
        <v>21</v>
      </c>
      <c r="C657" s="5">
        <v>44439</v>
      </c>
      <c r="D657" s="4" t="s">
        <v>2103</v>
      </c>
      <c r="E657" s="4" t="s">
        <v>2104</v>
      </c>
      <c r="F657" s="4" t="s">
        <v>2104</v>
      </c>
      <c r="G657" s="6">
        <v>-1783.7305335799999</v>
      </c>
      <c r="H657" s="6">
        <f t="shared" si="10"/>
        <v>157084.67430871996</v>
      </c>
      <c r="I657" s="4"/>
      <c r="J657" s="4" t="s">
        <v>68</v>
      </c>
      <c r="K657" s="7">
        <v>1702</v>
      </c>
      <c r="L657" s="4" t="s">
        <v>2097</v>
      </c>
      <c r="M657" s="4" t="s">
        <v>38</v>
      </c>
      <c r="N657" s="4" t="s">
        <v>39</v>
      </c>
      <c r="Q657" t="s">
        <v>778</v>
      </c>
    </row>
    <row r="658" spans="1:17" ht="10.5" hidden="1" x14ac:dyDescent="0.25">
      <c r="A658" s="8" t="s">
        <v>240</v>
      </c>
      <c r="B658" s="4" t="s">
        <v>21</v>
      </c>
      <c r="C658" s="5">
        <v>44439</v>
      </c>
      <c r="D658" s="4" t="s">
        <v>2103</v>
      </c>
      <c r="E658" s="4" t="s">
        <v>2104</v>
      </c>
      <c r="F658" s="4" t="s">
        <v>2104</v>
      </c>
      <c r="G658" s="6">
        <v>-97.46588697</v>
      </c>
      <c r="H658" s="6">
        <f t="shared" si="10"/>
        <v>156987.20842174997</v>
      </c>
      <c r="I658" s="4"/>
      <c r="J658" s="4" t="s">
        <v>68</v>
      </c>
      <c r="K658" s="7">
        <v>93</v>
      </c>
      <c r="L658" s="4" t="s">
        <v>2097</v>
      </c>
      <c r="M658" s="4" t="s">
        <v>38</v>
      </c>
      <c r="N658" s="4" t="s">
        <v>39</v>
      </c>
      <c r="Q658" t="s">
        <v>778</v>
      </c>
    </row>
    <row r="659" spans="1:17" ht="10.5" hidden="1" x14ac:dyDescent="0.25">
      <c r="A659" s="8" t="s">
        <v>240</v>
      </c>
      <c r="B659" s="4" t="s">
        <v>241</v>
      </c>
      <c r="C659" s="5">
        <v>44439</v>
      </c>
      <c r="D659" s="4" t="s">
        <v>2105</v>
      </c>
      <c r="E659" s="4"/>
      <c r="F659" s="4"/>
      <c r="G659" s="6">
        <v>-746.09612465390001</v>
      </c>
      <c r="H659" s="6">
        <f t="shared" si="10"/>
        <v>156241.11229709606</v>
      </c>
      <c r="I659" s="4"/>
      <c r="J659" s="4" t="s">
        <v>68</v>
      </c>
      <c r="K659" s="7">
        <v>0</v>
      </c>
      <c r="L659" s="4" t="s">
        <v>2097</v>
      </c>
      <c r="M659" s="4" t="s">
        <v>201</v>
      </c>
      <c r="N659" s="4"/>
    </row>
    <row r="660" spans="1:17" ht="10.5" hidden="1" x14ac:dyDescent="0.25">
      <c r="A660" s="8" t="s">
        <v>240</v>
      </c>
      <c r="B660" s="4" t="s">
        <v>241</v>
      </c>
      <c r="C660" s="5">
        <v>44439</v>
      </c>
      <c r="D660" s="4" t="s">
        <v>2106</v>
      </c>
      <c r="E660" s="4"/>
      <c r="F660" s="4"/>
      <c r="G660" s="6">
        <v>-63.583390994299997</v>
      </c>
      <c r="H660" s="6">
        <f t="shared" si="10"/>
        <v>156177.52890610177</v>
      </c>
      <c r="I660" s="4"/>
      <c r="J660" s="4" t="s">
        <v>68</v>
      </c>
      <c r="K660" s="7">
        <v>0</v>
      </c>
      <c r="L660" s="4" t="s">
        <v>2097</v>
      </c>
      <c r="M660" s="4" t="s">
        <v>201</v>
      </c>
      <c r="N660" s="4"/>
    </row>
    <row r="661" spans="1:17" ht="10.5" hidden="1" x14ac:dyDescent="0.25">
      <c r="A661" s="8" t="s">
        <v>240</v>
      </c>
      <c r="B661" s="4" t="s">
        <v>241</v>
      </c>
      <c r="C661" s="5">
        <v>44440</v>
      </c>
      <c r="D661" s="4" t="s">
        <v>2107</v>
      </c>
      <c r="E661" s="4"/>
      <c r="F661" s="4"/>
      <c r="G661" s="6">
        <v>-1044.9286301444999</v>
      </c>
      <c r="H661" s="6">
        <f t="shared" si="10"/>
        <v>155132.60027595726</v>
      </c>
      <c r="I661" s="4"/>
      <c r="J661" s="4" t="s">
        <v>68</v>
      </c>
      <c r="K661" s="7">
        <v>0</v>
      </c>
      <c r="L661" s="4" t="s">
        <v>1033</v>
      </c>
      <c r="M661" s="4" t="s">
        <v>201</v>
      </c>
      <c r="N661" s="4"/>
    </row>
    <row r="662" spans="1:17" ht="10.5" hidden="1" x14ac:dyDescent="0.25">
      <c r="A662" s="8" t="s">
        <v>240</v>
      </c>
      <c r="B662" s="4" t="s">
        <v>241</v>
      </c>
      <c r="C662" s="5">
        <v>44440</v>
      </c>
      <c r="D662" s="4" t="s">
        <v>2108</v>
      </c>
      <c r="E662" s="4"/>
      <c r="F662" s="4"/>
      <c r="G662" s="6">
        <v>746.09612465390001</v>
      </c>
      <c r="H662" s="6">
        <f t="shared" si="10"/>
        <v>155878.69640061117</v>
      </c>
      <c r="I662" s="4"/>
      <c r="J662" s="4" t="s">
        <v>68</v>
      </c>
      <c r="K662" s="7">
        <v>0</v>
      </c>
      <c r="L662" s="4" t="s">
        <v>1033</v>
      </c>
      <c r="M662" s="4" t="s">
        <v>201</v>
      </c>
      <c r="N662" s="4"/>
    </row>
    <row r="663" spans="1:17" ht="10.5" hidden="1" x14ac:dyDescent="0.25">
      <c r="A663" s="8" t="s">
        <v>240</v>
      </c>
      <c r="B663" s="4" t="s">
        <v>241</v>
      </c>
      <c r="C663" s="5">
        <v>44440</v>
      </c>
      <c r="D663" s="4" t="s">
        <v>2109</v>
      </c>
      <c r="E663" s="4"/>
      <c r="F663" s="4"/>
      <c r="G663" s="6">
        <v>63.583390994299997</v>
      </c>
      <c r="H663" s="6">
        <f t="shared" si="10"/>
        <v>155942.27979160546</v>
      </c>
      <c r="I663" s="4"/>
      <c r="J663" s="4" t="s">
        <v>68</v>
      </c>
      <c r="K663" s="7">
        <v>0</v>
      </c>
      <c r="L663" s="4" t="s">
        <v>1033</v>
      </c>
      <c r="M663" s="4" t="s">
        <v>201</v>
      </c>
      <c r="N663" s="4"/>
    </row>
    <row r="664" spans="1:17" ht="10.5" hidden="1" x14ac:dyDescent="0.25">
      <c r="A664" s="8" t="s">
        <v>240</v>
      </c>
      <c r="B664" s="4" t="s">
        <v>249</v>
      </c>
      <c r="C664" s="5">
        <v>44467</v>
      </c>
      <c r="D664" s="4" t="s">
        <v>2110</v>
      </c>
      <c r="E664" s="4" t="s">
        <v>2111</v>
      </c>
      <c r="F664" s="4" t="s">
        <v>2111</v>
      </c>
      <c r="G664" s="6">
        <v>81117.265447467376</v>
      </c>
      <c r="H664" s="6">
        <f t="shared" si="10"/>
        <v>237059.54523907282</v>
      </c>
      <c r="I664" s="4" t="s">
        <v>252</v>
      </c>
      <c r="J664" s="4" t="s">
        <v>68</v>
      </c>
      <c r="K664" s="7">
        <v>-66629.77</v>
      </c>
      <c r="L664" s="4" t="s">
        <v>1033</v>
      </c>
      <c r="M664" s="4" t="s">
        <v>186</v>
      </c>
      <c r="N664" s="4"/>
    </row>
    <row r="665" spans="1:17" ht="10.5" hidden="1" x14ac:dyDescent="0.25">
      <c r="A665" s="8" t="s">
        <v>240</v>
      </c>
      <c r="B665" s="4" t="s">
        <v>21</v>
      </c>
      <c r="C665" s="5">
        <v>44469</v>
      </c>
      <c r="D665" s="4" t="s">
        <v>2112</v>
      </c>
      <c r="E665" s="4" t="s">
        <v>2113</v>
      </c>
      <c r="F665" s="4" t="s">
        <v>2113</v>
      </c>
      <c r="G665" s="6">
        <v>-2815.2037113947422</v>
      </c>
      <c r="H665" s="6">
        <f t="shared" si="10"/>
        <v>234244.34152767807</v>
      </c>
      <c r="I665" s="4"/>
      <c r="J665" s="4" t="s">
        <v>68</v>
      </c>
      <c r="K665" s="7">
        <v>2312.41</v>
      </c>
      <c r="L665" s="4" t="s">
        <v>1033</v>
      </c>
      <c r="M665" s="4" t="s">
        <v>186</v>
      </c>
      <c r="N665" s="4" t="s">
        <v>39</v>
      </c>
    </row>
    <row r="666" spans="1:17" ht="10.5" hidden="1" x14ac:dyDescent="0.25">
      <c r="A666" s="8" t="s">
        <v>240</v>
      </c>
      <c r="B666" s="4" t="s">
        <v>241</v>
      </c>
      <c r="C666" s="5">
        <v>44469</v>
      </c>
      <c r="D666" s="4" t="s">
        <v>2114</v>
      </c>
      <c r="E666" s="4"/>
      <c r="F666" s="4"/>
      <c r="G666" s="6">
        <v>1044.9286301444999</v>
      </c>
      <c r="H666" s="6">
        <f t="shared" si="10"/>
        <v>235289.27015782258</v>
      </c>
      <c r="I666" s="4"/>
      <c r="J666" s="4" t="s">
        <v>68</v>
      </c>
      <c r="K666" s="7">
        <v>0</v>
      </c>
      <c r="L666" s="4" t="s">
        <v>1033</v>
      </c>
      <c r="M666" s="4" t="s">
        <v>201</v>
      </c>
      <c r="N666" s="4"/>
    </row>
    <row r="667" spans="1:17" ht="10.5" hidden="1" x14ac:dyDescent="0.25">
      <c r="A667" s="8" t="s">
        <v>240</v>
      </c>
      <c r="B667" s="4" t="s">
        <v>21</v>
      </c>
      <c r="C667" s="5">
        <v>44469</v>
      </c>
      <c r="D667" s="4" t="s">
        <v>2115</v>
      </c>
      <c r="E667" s="4" t="s">
        <v>2116</v>
      </c>
      <c r="F667" s="4" t="s">
        <v>2116</v>
      </c>
      <c r="G667" s="6">
        <v>-2217.61093364</v>
      </c>
      <c r="H667" s="6">
        <f t="shared" si="10"/>
        <v>233071.65922418257</v>
      </c>
      <c r="I667" s="4"/>
      <c r="J667" s="4" t="s">
        <v>68</v>
      </c>
      <c r="K667" s="7">
        <v>2116</v>
      </c>
      <c r="L667" s="4" t="s">
        <v>1033</v>
      </c>
      <c r="M667" s="4" t="s">
        <v>38</v>
      </c>
      <c r="N667" s="4" t="s">
        <v>39</v>
      </c>
      <c r="Q667" t="s">
        <v>778</v>
      </c>
    </row>
    <row r="668" spans="1:17" ht="10.5" hidden="1" x14ac:dyDescent="0.25">
      <c r="A668" s="8" t="s">
        <v>240</v>
      </c>
      <c r="B668" s="4" t="s">
        <v>21</v>
      </c>
      <c r="C668" s="5">
        <v>44469</v>
      </c>
      <c r="D668" s="4" t="s">
        <v>2115</v>
      </c>
      <c r="E668" s="4" t="s">
        <v>2116</v>
      </c>
      <c r="F668" s="4" t="s">
        <v>2116</v>
      </c>
      <c r="G668" s="6">
        <v>-122.61837393</v>
      </c>
      <c r="H668" s="6">
        <f t="shared" ref="H668:H731" si="11">H667+G668</f>
        <v>232949.04085025258</v>
      </c>
      <c r="I668" s="4"/>
      <c r="J668" s="4" t="s">
        <v>68</v>
      </c>
      <c r="K668" s="7">
        <v>117</v>
      </c>
      <c r="L668" s="4" t="s">
        <v>1033</v>
      </c>
      <c r="M668" s="4" t="s">
        <v>38</v>
      </c>
      <c r="N668" s="4" t="s">
        <v>39</v>
      </c>
      <c r="Q668" t="s">
        <v>778</v>
      </c>
    </row>
    <row r="669" spans="1:17" ht="10.5" hidden="1" x14ac:dyDescent="0.25">
      <c r="A669" s="8" t="s">
        <v>240</v>
      </c>
      <c r="B669" s="4" t="s">
        <v>241</v>
      </c>
      <c r="C669" s="5">
        <v>44469</v>
      </c>
      <c r="D669" s="4" t="s">
        <v>2117</v>
      </c>
      <c r="E669" s="4"/>
      <c r="F669" s="4"/>
      <c r="G669" s="6">
        <v>-605.34699970689996</v>
      </c>
      <c r="H669" s="6">
        <f t="shared" si="11"/>
        <v>232343.69385054568</v>
      </c>
      <c r="I669" s="4"/>
      <c r="J669" s="4" t="s">
        <v>68</v>
      </c>
      <c r="K669" s="7">
        <v>0</v>
      </c>
      <c r="L669" s="4" t="s">
        <v>1033</v>
      </c>
      <c r="M669" s="4" t="s">
        <v>201</v>
      </c>
      <c r="N669" s="4"/>
    </row>
    <row r="670" spans="1:17" ht="10.5" hidden="1" x14ac:dyDescent="0.25">
      <c r="A670" s="8" t="s">
        <v>240</v>
      </c>
      <c r="B670" s="4" t="s">
        <v>21</v>
      </c>
      <c r="C670" s="5">
        <v>44469</v>
      </c>
      <c r="D670" s="4" t="s">
        <v>2118</v>
      </c>
      <c r="E670" s="4" t="s">
        <v>2119</v>
      </c>
      <c r="F670" s="4" t="s">
        <v>2120</v>
      </c>
      <c r="G670" s="6">
        <v>-5158.3768277857998</v>
      </c>
      <c r="H670" s="6">
        <f t="shared" si="11"/>
        <v>227185.31702275987</v>
      </c>
      <c r="I670" s="4"/>
      <c r="J670" s="4" t="s">
        <v>68</v>
      </c>
      <c r="K670" s="7">
        <v>7740</v>
      </c>
      <c r="L670" s="4" t="s">
        <v>1033</v>
      </c>
      <c r="M670" s="4" t="s">
        <v>201</v>
      </c>
      <c r="N670" s="4" t="s">
        <v>198</v>
      </c>
    </row>
    <row r="671" spans="1:17" ht="10.5" hidden="1" x14ac:dyDescent="0.25">
      <c r="A671" s="8" t="s">
        <v>240</v>
      </c>
      <c r="B671" s="4" t="s">
        <v>21</v>
      </c>
      <c r="C671" s="5">
        <v>44469</v>
      </c>
      <c r="D671" s="4" t="s">
        <v>2121</v>
      </c>
      <c r="E671" s="4" t="s">
        <v>2122</v>
      </c>
      <c r="F671" s="93" t="s">
        <v>2122</v>
      </c>
      <c r="G671" s="6">
        <v>-26900.693210938796</v>
      </c>
      <c r="H671" s="6">
        <f t="shared" si="11"/>
        <v>200284.62381182107</v>
      </c>
      <c r="I671" s="4"/>
      <c r="J671" s="4" t="s">
        <v>68</v>
      </c>
      <c r="K671" s="7">
        <v>2124843</v>
      </c>
      <c r="L671" s="4" t="s">
        <v>1033</v>
      </c>
      <c r="M671" s="4" t="s">
        <v>204</v>
      </c>
      <c r="N671" s="4" t="s">
        <v>198</v>
      </c>
    </row>
    <row r="672" spans="1:17" ht="10.5" hidden="1" x14ac:dyDescent="0.25">
      <c r="A672" s="8" t="s">
        <v>240</v>
      </c>
      <c r="B672" s="4" t="s">
        <v>241</v>
      </c>
      <c r="C672" s="5">
        <v>44469</v>
      </c>
      <c r="D672" s="4" t="s">
        <v>2123</v>
      </c>
      <c r="E672" s="4"/>
      <c r="F672" s="4"/>
      <c r="G672" s="6">
        <v>-295.79324664960001</v>
      </c>
      <c r="H672" s="6">
        <f t="shared" si="11"/>
        <v>199988.83056517146</v>
      </c>
      <c r="I672" s="4"/>
      <c r="J672" s="4" t="s">
        <v>68</v>
      </c>
      <c r="K672" s="7">
        <v>0</v>
      </c>
      <c r="L672" s="4" t="s">
        <v>1033</v>
      </c>
      <c r="M672" s="4" t="s">
        <v>201</v>
      </c>
      <c r="N672" s="4"/>
    </row>
    <row r="673" spans="1:17" ht="10.5" hidden="1" x14ac:dyDescent="0.25">
      <c r="A673" s="8" t="s">
        <v>240</v>
      </c>
      <c r="B673" s="4" t="s">
        <v>21</v>
      </c>
      <c r="C673" s="5">
        <v>44469</v>
      </c>
      <c r="D673" s="4" t="s">
        <v>2124</v>
      </c>
      <c r="E673" s="4" t="s">
        <v>2014</v>
      </c>
      <c r="F673" s="4" t="s">
        <v>2014</v>
      </c>
      <c r="G673" s="6">
        <v>-18419.550844690824</v>
      </c>
      <c r="H673" s="6">
        <f t="shared" si="11"/>
        <v>181569.27972048064</v>
      </c>
      <c r="I673" s="4"/>
      <c r="J673" s="4" t="s">
        <v>68</v>
      </c>
      <c r="K673" s="116">
        <v>15129.83</v>
      </c>
      <c r="L673" s="4" t="s">
        <v>1033</v>
      </c>
      <c r="M673" s="4" t="s">
        <v>186</v>
      </c>
      <c r="N673" s="4" t="s">
        <v>118</v>
      </c>
    </row>
    <row r="674" spans="1:17" ht="10.5" hidden="1" x14ac:dyDescent="0.25">
      <c r="A674" s="8" t="s">
        <v>240</v>
      </c>
      <c r="B674" s="4" t="s">
        <v>21</v>
      </c>
      <c r="C674" s="5">
        <v>44469</v>
      </c>
      <c r="D674" s="4" t="s">
        <v>2125</v>
      </c>
      <c r="E674" s="4" t="s">
        <v>1113</v>
      </c>
      <c r="F674" s="4" t="s">
        <v>1113</v>
      </c>
      <c r="G674" s="6">
        <v>-93074.681954900007</v>
      </c>
      <c r="H674" s="6">
        <f t="shared" si="11"/>
        <v>88494.597765580635</v>
      </c>
      <c r="I674" s="4"/>
      <c r="J674" s="4" t="s">
        <v>68</v>
      </c>
      <c r="K674" s="7">
        <v>88810</v>
      </c>
      <c r="L674" s="4" t="s">
        <v>1033</v>
      </c>
      <c r="M674" s="4" t="s">
        <v>61</v>
      </c>
      <c r="N674" s="4" t="s">
        <v>118</v>
      </c>
    </row>
    <row r="675" spans="1:17" ht="10.5" hidden="1" x14ac:dyDescent="0.25">
      <c r="A675" s="8" t="s">
        <v>240</v>
      </c>
      <c r="B675" s="4" t="s">
        <v>241</v>
      </c>
      <c r="C675" s="5">
        <v>44470</v>
      </c>
      <c r="D675" s="4" t="s">
        <v>2126</v>
      </c>
      <c r="E675" s="4"/>
      <c r="F675" s="4"/>
      <c r="G675" s="6">
        <v>-1044.9286301444999</v>
      </c>
      <c r="H675" s="6">
        <f t="shared" si="11"/>
        <v>87449.669135436139</v>
      </c>
      <c r="I675" s="4"/>
      <c r="J675" s="4" t="s">
        <v>68</v>
      </c>
      <c r="K675" s="7">
        <v>0</v>
      </c>
      <c r="L675" s="4" t="s">
        <v>2127</v>
      </c>
      <c r="M675" s="4" t="s">
        <v>201</v>
      </c>
      <c r="N675" s="4"/>
    </row>
    <row r="676" spans="1:17" ht="10.5" hidden="1" x14ac:dyDescent="0.25">
      <c r="A676" s="8" t="s">
        <v>240</v>
      </c>
      <c r="B676" s="4" t="s">
        <v>241</v>
      </c>
      <c r="C676" s="5">
        <v>44470</v>
      </c>
      <c r="D676" s="4" t="s">
        <v>2128</v>
      </c>
      <c r="E676" s="4"/>
      <c r="F676" s="4"/>
      <c r="G676" s="6">
        <v>605.34699970689996</v>
      </c>
      <c r="H676" s="6">
        <f t="shared" si="11"/>
        <v>88055.016135143043</v>
      </c>
      <c r="I676" s="4"/>
      <c r="J676" s="4" t="s">
        <v>68</v>
      </c>
      <c r="K676" s="7">
        <v>0</v>
      </c>
      <c r="L676" s="4" t="s">
        <v>2127</v>
      </c>
      <c r="M676" s="4" t="s">
        <v>201</v>
      </c>
      <c r="N676" s="4"/>
    </row>
    <row r="677" spans="1:17" ht="10.5" hidden="1" x14ac:dyDescent="0.25">
      <c r="A677" s="8" t="s">
        <v>240</v>
      </c>
      <c r="B677" s="4" t="s">
        <v>241</v>
      </c>
      <c r="C677" s="5">
        <v>44470</v>
      </c>
      <c r="D677" s="4" t="s">
        <v>2129</v>
      </c>
      <c r="E677" s="4"/>
      <c r="F677" s="4"/>
      <c r="G677" s="6">
        <v>295.79324664960001</v>
      </c>
      <c r="H677" s="6">
        <f t="shared" si="11"/>
        <v>88350.809381792642</v>
      </c>
      <c r="I677" s="4"/>
      <c r="J677" s="4" t="s">
        <v>68</v>
      </c>
      <c r="K677" s="7">
        <v>0</v>
      </c>
      <c r="L677" s="4" t="s">
        <v>2127</v>
      </c>
      <c r="M677" s="4" t="s">
        <v>201</v>
      </c>
      <c r="N677" s="4"/>
    </row>
    <row r="678" spans="1:17" ht="10.5" hidden="1" x14ac:dyDescent="0.25">
      <c r="A678" s="8" t="s">
        <v>240</v>
      </c>
      <c r="B678" s="4" t="s">
        <v>241</v>
      </c>
      <c r="C678" s="5">
        <v>44500</v>
      </c>
      <c r="D678" s="4" t="s">
        <v>2130</v>
      </c>
      <c r="E678" s="4"/>
      <c r="F678" s="4"/>
      <c r="G678" s="6">
        <v>1044.9286301444999</v>
      </c>
      <c r="H678" s="6">
        <f t="shared" si="11"/>
        <v>89395.738011937137</v>
      </c>
      <c r="I678" s="4"/>
      <c r="J678" s="4" t="s">
        <v>68</v>
      </c>
      <c r="K678" s="7">
        <v>0</v>
      </c>
      <c r="L678" s="4" t="s">
        <v>2127</v>
      </c>
      <c r="M678" s="4" t="s">
        <v>201</v>
      </c>
      <c r="N678" s="4"/>
    </row>
    <row r="679" spans="1:17" ht="10.5" hidden="1" x14ac:dyDescent="0.25">
      <c r="A679" s="8" t="s">
        <v>240</v>
      </c>
      <c r="B679" s="4" t="s">
        <v>241</v>
      </c>
      <c r="C679" s="5">
        <v>44500</v>
      </c>
      <c r="D679" s="4" t="s">
        <v>2131</v>
      </c>
      <c r="E679" s="4"/>
      <c r="F679" s="4"/>
      <c r="G679" s="6">
        <v>-490.66213937219999</v>
      </c>
      <c r="H679" s="6">
        <f t="shared" si="11"/>
        <v>88905.075872564936</v>
      </c>
      <c r="I679" s="4"/>
      <c r="J679" s="4" t="s">
        <v>68</v>
      </c>
      <c r="K679" s="7">
        <v>0</v>
      </c>
      <c r="L679" s="4" t="s">
        <v>2127</v>
      </c>
      <c r="M679" s="4" t="s">
        <v>201</v>
      </c>
      <c r="N679" s="4"/>
    </row>
    <row r="680" spans="1:17" ht="10.5" hidden="1" x14ac:dyDescent="0.25">
      <c r="A680" s="8" t="s">
        <v>240</v>
      </c>
      <c r="B680" s="4" t="s">
        <v>241</v>
      </c>
      <c r="C680" s="5">
        <v>44500</v>
      </c>
      <c r="D680" s="4" t="s">
        <v>2132</v>
      </c>
      <c r="E680" s="4"/>
      <c r="F680" s="4"/>
      <c r="G680" s="6">
        <v>-526.0433043626</v>
      </c>
      <c r="H680" s="6">
        <f t="shared" si="11"/>
        <v>88379.032568202339</v>
      </c>
      <c r="I680" s="4"/>
      <c r="J680" s="4" t="s">
        <v>68</v>
      </c>
      <c r="K680" s="7">
        <v>0</v>
      </c>
      <c r="L680" s="4" t="s">
        <v>2127</v>
      </c>
      <c r="M680" s="4" t="s">
        <v>201</v>
      </c>
      <c r="N680" s="4"/>
    </row>
    <row r="681" spans="1:17" ht="10.5" hidden="1" x14ac:dyDescent="0.25">
      <c r="A681" s="8" t="s">
        <v>240</v>
      </c>
      <c r="B681" s="4" t="s">
        <v>241</v>
      </c>
      <c r="C681" s="5">
        <v>44501</v>
      </c>
      <c r="D681" s="4" t="s">
        <v>2133</v>
      </c>
      <c r="E681" s="4"/>
      <c r="F681" s="4"/>
      <c r="G681" s="6">
        <v>-1044.9286301444999</v>
      </c>
      <c r="H681" s="6">
        <f t="shared" si="11"/>
        <v>87334.103938057844</v>
      </c>
      <c r="I681" s="4"/>
      <c r="J681" s="4" t="s">
        <v>68</v>
      </c>
      <c r="K681" s="7">
        <v>0</v>
      </c>
      <c r="L681" s="4" t="s">
        <v>1133</v>
      </c>
      <c r="M681" s="4" t="s">
        <v>201</v>
      </c>
      <c r="N681" s="4"/>
    </row>
    <row r="682" spans="1:17" ht="10.5" hidden="1" x14ac:dyDescent="0.25">
      <c r="A682" s="8" t="s">
        <v>240</v>
      </c>
      <c r="B682" s="4" t="s">
        <v>241</v>
      </c>
      <c r="C682" s="5">
        <v>44501</v>
      </c>
      <c r="D682" s="4" t="s">
        <v>2134</v>
      </c>
      <c r="E682" s="4"/>
      <c r="F682" s="4"/>
      <c r="G682" s="6">
        <v>490.66213937219999</v>
      </c>
      <c r="H682" s="6">
        <f t="shared" si="11"/>
        <v>87824.766077430046</v>
      </c>
      <c r="I682" s="4"/>
      <c r="J682" s="4" t="s">
        <v>68</v>
      </c>
      <c r="K682" s="7">
        <v>0</v>
      </c>
      <c r="L682" s="4" t="s">
        <v>1133</v>
      </c>
      <c r="M682" s="4" t="s">
        <v>201</v>
      </c>
      <c r="N682" s="4"/>
    </row>
    <row r="683" spans="1:17" ht="10.5" hidden="1" x14ac:dyDescent="0.25">
      <c r="A683" s="8" t="s">
        <v>240</v>
      </c>
      <c r="B683" s="4" t="s">
        <v>241</v>
      </c>
      <c r="C683" s="5">
        <v>44501</v>
      </c>
      <c r="D683" s="4" t="s">
        <v>2135</v>
      </c>
      <c r="E683" s="4"/>
      <c r="F683" s="4"/>
      <c r="G683" s="6">
        <v>526.0433043626</v>
      </c>
      <c r="H683" s="6">
        <f t="shared" si="11"/>
        <v>88350.809381792642</v>
      </c>
      <c r="I683" s="4"/>
      <c r="J683" s="4" t="s">
        <v>68</v>
      </c>
      <c r="K683" s="7">
        <v>0</v>
      </c>
      <c r="L683" s="4" t="s">
        <v>1133</v>
      </c>
      <c r="M683" s="4" t="s">
        <v>201</v>
      </c>
      <c r="N683" s="4"/>
    </row>
    <row r="684" spans="1:17" ht="10.5" hidden="1" x14ac:dyDescent="0.25">
      <c r="A684" s="8" t="s">
        <v>240</v>
      </c>
      <c r="B684" s="4" t="s">
        <v>241</v>
      </c>
      <c r="C684" s="5">
        <v>44530</v>
      </c>
      <c r="D684" s="4" t="s">
        <v>2136</v>
      </c>
      <c r="E684" s="4"/>
      <c r="F684" s="4"/>
      <c r="G684" s="6">
        <v>1044.9286301444999</v>
      </c>
      <c r="H684" s="6">
        <f t="shared" si="11"/>
        <v>89395.738011937137</v>
      </c>
      <c r="I684" s="4"/>
      <c r="J684" s="4" t="s">
        <v>68</v>
      </c>
      <c r="K684" s="7">
        <v>0</v>
      </c>
      <c r="L684" s="4" t="s">
        <v>1133</v>
      </c>
      <c r="M684" s="4" t="s">
        <v>201</v>
      </c>
      <c r="N684" s="4"/>
    </row>
    <row r="685" spans="1:17" ht="10.5" hidden="1" x14ac:dyDescent="0.25">
      <c r="A685" s="8" t="s">
        <v>240</v>
      </c>
      <c r="B685" s="4" t="s">
        <v>21</v>
      </c>
      <c r="C685" s="5">
        <v>44530</v>
      </c>
      <c r="D685" s="4" t="s">
        <v>2137</v>
      </c>
      <c r="E685" s="4" t="s">
        <v>2138</v>
      </c>
      <c r="F685" s="4" t="s">
        <v>2138</v>
      </c>
      <c r="G685" s="6">
        <v>-4383.8688730699996</v>
      </c>
      <c r="H685" s="6">
        <f t="shared" si="11"/>
        <v>85011.869138867143</v>
      </c>
      <c r="I685" s="4"/>
      <c r="J685" s="4" t="s">
        <v>68</v>
      </c>
      <c r="K685" s="7">
        <v>4183</v>
      </c>
      <c r="L685" s="4" t="s">
        <v>1133</v>
      </c>
      <c r="M685" s="4" t="s">
        <v>38</v>
      </c>
      <c r="N685" s="4" t="s">
        <v>39</v>
      </c>
      <c r="Q685" t="s">
        <v>778</v>
      </c>
    </row>
    <row r="686" spans="1:17" ht="10.5" hidden="1" x14ac:dyDescent="0.25">
      <c r="A686" s="8" t="s">
        <v>240</v>
      </c>
      <c r="B686" s="4" t="s">
        <v>21</v>
      </c>
      <c r="C686" s="5">
        <v>44530</v>
      </c>
      <c r="D686" s="4" t="s">
        <v>2137</v>
      </c>
      <c r="E686" s="4" t="s">
        <v>2138</v>
      </c>
      <c r="F686" s="4" t="s">
        <v>2138</v>
      </c>
      <c r="G686" s="6">
        <v>-241.04466669999999</v>
      </c>
      <c r="H686" s="6">
        <f t="shared" si="11"/>
        <v>84770.824472167136</v>
      </c>
      <c r="I686" s="4"/>
      <c r="J686" s="4" t="s">
        <v>68</v>
      </c>
      <c r="K686" s="7">
        <v>230</v>
      </c>
      <c r="L686" s="4" t="s">
        <v>1133</v>
      </c>
      <c r="M686" s="4" t="s">
        <v>38</v>
      </c>
      <c r="N686" s="4" t="s">
        <v>39</v>
      </c>
      <c r="Q686" t="s">
        <v>778</v>
      </c>
    </row>
    <row r="687" spans="1:17" ht="10.5" hidden="1" x14ac:dyDescent="0.25">
      <c r="A687" s="8" t="s">
        <v>240</v>
      </c>
      <c r="B687" s="4" t="s">
        <v>241</v>
      </c>
      <c r="C687" s="5">
        <v>44530</v>
      </c>
      <c r="D687" s="4" t="s">
        <v>2139</v>
      </c>
      <c r="E687" s="4"/>
      <c r="F687" s="4"/>
      <c r="G687" s="6">
        <v>-370.97822225419998</v>
      </c>
      <c r="H687" s="6">
        <f t="shared" si="11"/>
        <v>84399.846249912938</v>
      </c>
      <c r="I687" s="4"/>
      <c r="J687" s="4" t="s">
        <v>68</v>
      </c>
      <c r="K687" s="7">
        <v>0</v>
      </c>
      <c r="L687" s="4" t="s">
        <v>1133</v>
      </c>
      <c r="M687" s="4" t="s">
        <v>201</v>
      </c>
      <c r="N687" s="4"/>
    </row>
    <row r="688" spans="1:17" ht="10.5" hidden="1" x14ac:dyDescent="0.25">
      <c r="A688" s="8" t="s">
        <v>240</v>
      </c>
      <c r="B688" s="4" t="s">
        <v>241</v>
      </c>
      <c r="C688" s="5">
        <v>44530</v>
      </c>
      <c r="D688" s="4" t="s">
        <v>2140</v>
      </c>
      <c r="E688" s="4"/>
      <c r="F688" s="4"/>
      <c r="G688" s="6">
        <v>-766.312436048</v>
      </c>
      <c r="H688" s="6">
        <f t="shared" si="11"/>
        <v>83633.533813864939</v>
      </c>
      <c r="I688" s="4"/>
      <c r="J688" s="4" t="s">
        <v>68</v>
      </c>
      <c r="K688" s="7">
        <v>0</v>
      </c>
      <c r="L688" s="4" t="s">
        <v>1133</v>
      </c>
      <c r="M688" s="4" t="s">
        <v>201</v>
      </c>
      <c r="N688" s="4"/>
    </row>
    <row r="689" spans="1:17" ht="10.5" hidden="1" x14ac:dyDescent="0.25">
      <c r="A689" s="8" t="s">
        <v>240</v>
      </c>
      <c r="B689" s="4" t="s">
        <v>241</v>
      </c>
      <c r="C689" s="5">
        <v>44531</v>
      </c>
      <c r="D689" s="4" t="s">
        <v>2141</v>
      </c>
      <c r="E689" s="4"/>
      <c r="F689" s="4"/>
      <c r="G689" s="6">
        <v>-1044.9286301444999</v>
      </c>
      <c r="H689" s="6">
        <f t="shared" si="11"/>
        <v>82588.605183720443</v>
      </c>
      <c r="I689" s="4"/>
      <c r="J689" s="4" t="s">
        <v>68</v>
      </c>
      <c r="K689" s="7">
        <v>0</v>
      </c>
      <c r="L689" s="4" t="s">
        <v>1036</v>
      </c>
      <c r="M689" s="4" t="s">
        <v>201</v>
      </c>
      <c r="N689" s="4"/>
    </row>
    <row r="690" spans="1:17" ht="10.5" hidden="1" x14ac:dyDescent="0.25">
      <c r="A690" s="8" t="s">
        <v>240</v>
      </c>
      <c r="B690" s="4" t="s">
        <v>241</v>
      </c>
      <c r="C690" s="5">
        <v>44531</v>
      </c>
      <c r="D690" s="4" t="s">
        <v>2142</v>
      </c>
      <c r="E690" s="4"/>
      <c r="F690" s="4"/>
      <c r="G690" s="6">
        <v>370.97822225419998</v>
      </c>
      <c r="H690" s="6">
        <f t="shared" si="11"/>
        <v>82959.583405974641</v>
      </c>
      <c r="I690" s="4"/>
      <c r="J690" s="4" t="s">
        <v>68</v>
      </c>
      <c r="K690" s="7">
        <v>0</v>
      </c>
      <c r="L690" s="4" t="s">
        <v>1036</v>
      </c>
      <c r="M690" s="4" t="s">
        <v>201</v>
      </c>
      <c r="N690" s="4"/>
    </row>
    <row r="691" spans="1:17" ht="10.5" hidden="1" x14ac:dyDescent="0.25">
      <c r="A691" s="8" t="s">
        <v>240</v>
      </c>
      <c r="B691" s="4" t="s">
        <v>241</v>
      </c>
      <c r="C691" s="5">
        <v>44531</v>
      </c>
      <c r="D691" s="4" t="s">
        <v>2143</v>
      </c>
      <c r="E691" s="4"/>
      <c r="F691" s="4"/>
      <c r="G691" s="6">
        <v>766.312436048</v>
      </c>
      <c r="H691" s="6">
        <f t="shared" si="11"/>
        <v>83725.895842022641</v>
      </c>
      <c r="I691" s="4"/>
      <c r="J691" s="4" t="s">
        <v>68</v>
      </c>
      <c r="K691" s="7">
        <v>0</v>
      </c>
      <c r="L691" s="4" t="s">
        <v>1036</v>
      </c>
      <c r="M691" s="4" t="s">
        <v>201</v>
      </c>
      <c r="N691" s="4"/>
    </row>
    <row r="692" spans="1:17" ht="10.5" hidden="1" x14ac:dyDescent="0.25">
      <c r="A692" s="8" t="s">
        <v>240</v>
      </c>
      <c r="B692" s="4" t="s">
        <v>241</v>
      </c>
      <c r="C692" s="5">
        <v>44561</v>
      </c>
      <c r="D692" s="4" t="s">
        <v>2144</v>
      </c>
      <c r="E692" s="4"/>
      <c r="F692" s="4"/>
      <c r="G692" s="6">
        <v>805.40359286499995</v>
      </c>
      <c r="H692" s="6">
        <f t="shared" si="11"/>
        <v>84531.299434887638</v>
      </c>
      <c r="I692" s="4"/>
      <c r="J692" s="4" t="s">
        <v>68</v>
      </c>
      <c r="K692" s="7">
        <v>0</v>
      </c>
      <c r="L692" s="4" t="s">
        <v>1036</v>
      </c>
      <c r="M692" s="4" t="s">
        <v>201</v>
      </c>
      <c r="N692" s="4"/>
    </row>
    <row r="693" spans="1:17" ht="10.5" hidden="1" x14ac:dyDescent="0.25">
      <c r="A693" s="8" t="s">
        <v>240</v>
      </c>
      <c r="B693" s="4" t="s">
        <v>21</v>
      </c>
      <c r="C693" s="5">
        <v>44561</v>
      </c>
      <c r="D693" s="4" t="s">
        <v>2145</v>
      </c>
      <c r="E693" s="4" t="s">
        <v>2146</v>
      </c>
      <c r="F693" s="4" t="s">
        <v>2146</v>
      </c>
      <c r="G693" s="6">
        <v>-6001.1004231776997</v>
      </c>
      <c r="H693" s="6">
        <f t="shared" si="11"/>
        <v>78530.199011709934</v>
      </c>
      <c r="I693" s="4"/>
      <c r="J693" s="4" t="s">
        <v>68</v>
      </c>
      <c r="K693" s="7">
        <v>58929</v>
      </c>
      <c r="L693" s="4" t="s">
        <v>1036</v>
      </c>
      <c r="M693" s="4" t="s">
        <v>193</v>
      </c>
      <c r="N693" s="4" t="s">
        <v>39</v>
      </c>
    </row>
    <row r="694" spans="1:17" ht="10.5" hidden="1" x14ac:dyDescent="0.25">
      <c r="A694" s="8" t="s">
        <v>240</v>
      </c>
      <c r="B694" s="4" t="s">
        <v>21</v>
      </c>
      <c r="C694" s="5">
        <v>44561</v>
      </c>
      <c r="D694" s="4" t="s">
        <v>2147</v>
      </c>
      <c r="E694" s="4" t="s">
        <v>2148</v>
      </c>
      <c r="F694" s="4" t="s">
        <v>2148</v>
      </c>
      <c r="G694" s="6">
        <v>-4895.3027745899999</v>
      </c>
      <c r="H694" s="6">
        <f t="shared" si="11"/>
        <v>73634.89623711993</v>
      </c>
      <c r="I694" s="4"/>
      <c r="J694" s="4" t="s">
        <v>68</v>
      </c>
      <c r="K694" s="7">
        <v>4671</v>
      </c>
      <c r="L694" s="4" t="s">
        <v>1036</v>
      </c>
      <c r="M694" s="4" t="s">
        <v>38</v>
      </c>
      <c r="N694" s="4" t="s">
        <v>39</v>
      </c>
      <c r="Q694" t="s">
        <v>778</v>
      </c>
    </row>
    <row r="695" spans="1:17" ht="10.5" hidden="1" x14ac:dyDescent="0.25">
      <c r="A695" s="8" t="s">
        <v>240</v>
      </c>
      <c r="B695" s="4" t="s">
        <v>21</v>
      </c>
      <c r="C695" s="5">
        <v>44561</v>
      </c>
      <c r="D695" s="4" t="s">
        <v>2147</v>
      </c>
      <c r="E695" s="4" t="s">
        <v>2148</v>
      </c>
      <c r="F695" s="4" t="s">
        <v>2148</v>
      </c>
      <c r="G695" s="6">
        <v>-269.34121453</v>
      </c>
      <c r="H695" s="6">
        <f t="shared" si="11"/>
        <v>73365.555022589935</v>
      </c>
      <c r="I695" s="4"/>
      <c r="J695" s="4" t="s">
        <v>68</v>
      </c>
      <c r="K695" s="7">
        <v>257</v>
      </c>
      <c r="L695" s="4" t="s">
        <v>1036</v>
      </c>
      <c r="M695" s="4" t="s">
        <v>38</v>
      </c>
      <c r="N695" s="4" t="s">
        <v>39</v>
      </c>
      <c r="Q695" t="s">
        <v>778</v>
      </c>
    </row>
    <row r="696" spans="1:17" ht="10.5" hidden="1" x14ac:dyDescent="0.25">
      <c r="A696" s="8" t="s">
        <v>240</v>
      </c>
      <c r="B696" s="4" t="s">
        <v>21</v>
      </c>
      <c r="C696" s="5">
        <v>44561</v>
      </c>
      <c r="D696" s="4" t="s">
        <v>2149</v>
      </c>
      <c r="E696" s="4" t="s">
        <v>2150</v>
      </c>
      <c r="F696" s="4" t="s">
        <v>2150</v>
      </c>
      <c r="G696" s="6">
        <v>-90547.779692483309</v>
      </c>
      <c r="H696" s="6">
        <f t="shared" si="11"/>
        <v>-17182.224669893374</v>
      </c>
      <c r="I696" s="4"/>
      <c r="J696" s="4" t="s">
        <v>68</v>
      </c>
      <c r="K696" s="116">
        <v>74376</v>
      </c>
      <c r="L696" s="4" t="s">
        <v>1036</v>
      </c>
      <c r="M696" s="4" t="s">
        <v>186</v>
      </c>
      <c r="N696" s="4" t="s">
        <v>39</v>
      </c>
    </row>
    <row r="697" spans="1:17" ht="10.5" hidden="1" x14ac:dyDescent="0.25">
      <c r="A697" s="8" t="s">
        <v>240</v>
      </c>
      <c r="B697" s="4" t="s">
        <v>21</v>
      </c>
      <c r="C697" s="5">
        <v>44561</v>
      </c>
      <c r="D697" s="4" t="s">
        <v>2151</v>
      </c>
      <c r="E697" s="4" t="s">
        <v>2152</v>
      </c>
      <c r="F697" s="4" t="s">
        <v>2152</v>
      </c>
      <c r="G697" s="6">
        <v>-21698.432168420899</v>
      </c>
      <c r="H697" s="6">
        <f t="shared" si="11"/>
        <v>-38880.656838314273</v>
      </c>
      <c r="I697" s="4"/>
      <c r="J697" s="4" t="s">
        <v>68</v>
      </c>
      <c r="K697" s="7">
        <v>213072</v>
      </c>
      <c r="L697" s="4" t="s">
        <v>1036</v>
      </c>
      <c r="M697" s="4" t="s">
        <v>193</v>
      </c>
      <c r="N697" s="4" t="s">
        <v>39</v>
      </c>
    </row>
    <row r="698" spans="1:17" ht="10.5" hidden="1" x14ac:dyDescent="0.25">
      <c r="A698" s="8" t="s">
        <v>240</v>
      </c>
      <c r="B698" s="4" t="s">
        <v>21</v>
      </c>
      <c r="C698" s="5">
        <v>44561</v>
      </c>
      <c r="D698" s="4" t="s">
        <v>2153</v>
      </c>
      <c r="E698" s="4" t="s">
        <v>2154</v>
      </c>
      <c r="F698" s="4" t="s">
        <v>2155</v>
      </c>
      <c r="G698" s="6">
        <v>-6378.5973316357004</v>
      </c>
      <c r="H698" s="6">
        <f t="shared" si="11"/>
        <v>-45259.254169949971</v>
      </c>
      <c r="I698" s="4"/>
      <c r="J698" s="4" t="s">
        <v>68</v>
      </c>
      <c r="K698" s="7">
        <v>9334</v>
      </c>
      <c r="L698" s="4" t="s">
        <v>1036</v>
      </c>
      <c r="M698" s="4" t="s">
        <v>201</v>
      </c>
      <c r="N698" s="4" t="s">
        <v>198</v>
      </c>
    </row>
    <row r="699" spans="1:17" ht="10.5" hidden="1" x14ac:dyDescent="0.25">
      <c r="A699" s="8" t="s">
        <v>240</v>
      </c>
      <c r="B699" s="4" t="s">
        <v>21</v>
      </c>
      <c r="C699" s="5">
        <v>44561</v>
      </c>
      <c r="D699" s="4" t="s">
        <v>2156</v>
      </c>
      <c r="E699" s="4" t="s">
        <v>2157</v>
      </c>
      <c r="F699" s="4" t="s">
        <v>2158</v>
      </c>
      <c r="G699" s="6">
        <v>13634.0522795086</v>
      </c>
      <c r="H699" s="6">
        <f t="shared" si="11"/>
        <v>-31625.201890441371</v>
      </c>
      <c r="I699" s="4"/>
      <c r="J699" s="4" t="s">
        <v>68</v>
      </c>
      <c r="K699" s="7">
        <v>-19951.14</v>
      </c>
      <c r="L699" s="4" t="s">
        <v>1036</v>
      </c>
      <c r="M699" s="4" t="s">
        <v>201</v>
      </c>
      <c r="N699" s="4" t="s">
        <v>198</v>
      </c>
    </row>
    <row r="700" spans="1:17" ht="10.5" hidden="1" x14ac:dyDescent="0.25">
      <c r="A700" s="8" t="s">
        <v>240</v>
      </c>
      <c r="B700" s="4" t="s">
        <v>21</v>
      </c>
      <c r="C700" s="5">
        <v>44561</v>
      </c>
      <c r="D700" s="4" t="s">
        <v>2159</v>
      </c>
      <c r="E700" s="4" t="s">
        <v>2160</v>
      </c>
      <c r="F700" s="93" t="s">
        <v>2160</v>
      </c>
      <c r="G700" s="6">
        <v>-30961.934571279427</v>
      </c>
      <c r="H700" s="6">
        <f t="shared" si="11"/>
        <v>-62587.136461720802</v>
      </c>
      <c r="I700" s="4"/>
      <c r="J700" s="4" t="s">
        <v>68</v>
      </c>
      <c r="K700" s="7">
        <v>2445634</v>
      </c>
      <c r="L700" s="4" t="s">
        <v>1036</v>
      </c>
      <c r="M700" s="4" t="s">
        <v>204</v>
      </c>
      <c r="N700" s="4" t="s">
        <v>198</v>
      </c>
    </row>
    <row r="701" spans="1:17" ht="10.5" hidden="1" x14ac:dyDescent="0.25">
      <c r="A701" s="8" t="s">
        <v>240</v>
      </c>
      <c r="B701" s="4" t="s">
        <v>21</v>
      </c>
      <c r="C701" s="5">
        <v>44561</v>
      </c>
      <c r="D701" s="4" t="s">
        <v>2161</v>
      </c>
      <c r="E701" s="4" t="s">
        <v>185</v>
      </c>
      <c r="F701" s="4" t="s">
        <v>185</v>
      </c>
      <c r="G701" s="6">
        <v>1284.3915722218176</v>
      </c>
      <c r="H701" s="6">
        <f t="shared" si="11"/>
        <v>-61302.744889498987</v>
      </c>
      <c r="I701" s="4"/>
      <c r="J701" s="4" t="s">
        <v>68</v>
      </c>
      <c r="K701" s="116">
        <v>-1055</v>
      </c>
      <c r="L701" s="4" t="s">
        <v>1036</v>
      </c>
      <c r="M701" s="4" t="s">
        <v>186</v>
      </c>
      <c r="N701" s="4" t="s">
        <v>39</v>
      </c>
    </row>
    <row r="702" spans="1:17" ht="10.5" hidden="1" x14ac:dyDescent="0.25">
      <c r="A702" s="8" t="s">
        <v>240</v>
      </c>
      <c r="B702" s="4" t="s">
        <v>21</v>
      </c>
      <c r="C702" s="5">
        <v>44561</v>
      </c>
      <c r="D702" s="4" t="s">
        <v>2162</v>
      </c>
      <c r="E702" s="4" t="s">
        <v>2163</v>
      </c>
      <c r="F702" s="4" t="s">
        <v>2164</v>
      </c>
      <c r="G702" s="6">
        <v>-1844.8615570956999</v>
      </c>
      <c r="H702" s="6">
        <f t="shared" si="11"/>
        <v>-63147.606446594684</v>
      </c>
      <c r="I702" s="4"/>
      <c r="J702" s="4" t="s">
        <v>68</v>
      </c>
      <c r="K702" s="7">
        <v>18116</v>
      </c>
      <c r="L702" s="4" t="s">
        <v>1036</v>
      </c>
      <c r="M702" s="4" t="s">
        <v>193</v>
      </c>
      <c r="N702" s="4" t="s">
        <v>39</v>
      </c>
    </row>
    <row r="703" spans="1:17" ht="10.5" hidden="1" x14ac:dyDescent="0.25">
      <c r="A703" s="8" t="s">
        <v>240</v>
      </c>
      <c r="B703" s="4" t="s">
        <v>21</v>
      </c>
      <c r="C703" s="5">
        <v>44561</v>
      </c>
      <c r="D703" s="4" t="s">
        <v>2165</v>
      </c>
      <c r="E703" s="4" t="s">
        <v>2166</v>
      </c>
      <c r="F703" s="4" t="s">
        <v>2166</v>
      </c>
      <c r="G703" s="6">
        <v>-547815.92588734999</v>
      </c>
      <c r="H703" s="6">
        <f t="shared" si="11"/>
        <v>-610963.53233394469</v>
      </c>
      <c r="I703" s="4"/>
      <c r="J703" s="4" t="s">
        <v>68</v>
      </c>
      <c r="K703" s="7">
        <v>522715</v>
      </c>
      <c r="L703" s="4" t="s">
        <v>1036</v>
      </c>
      <c r="M703" s="4" t="s">
        <v>61</v>
      </c>
      <c r="N703" s="4" t="s">
        <v>181</v>
      </c>
    </row>
    <row r="704" spans="1:17" ht="10.5" hidden="1" x14ac:dyDescent="0.25">
      <c r="A704" s="8" t="s">
        <v>240</v>
      </c>
      <c r="B704" s="4" t="s">
        <v>21</v>
      </c>
      <c r="C704" s="5">
        <v>44561</v>
      </c>
      <c r="D704" s="4" t="s">
        <v>1138</v>
      </c>
      <c r="E704" s="4" t="s">
        <v>1035</v>
      </c>
      <c r="F704" s="4" t="s">
        <v>1139</v>
      </c>
      <c r="G704" s="6">
        <v>-55812.20001742457</v>
      </c>
      <c r="H704" s="6">
        <f t="shared" si="11"/>
        <v>-666775.73235136922</v>
      </c>
      <c r="I704" s="4"/>
      <c r="J704" s="4" t="s">
        <v>68</v>
      </c>
      <c r="K704" s="7">
        <v>55812.2</v>
      </c>
      <c r="L704" s="4" t="s">
        <v>1036</v>
      </c>
      <c r="M704" s="4" t="s">
        <v>27</v>
      </c>
      <c r="N704" s="4" t="s">
        <v>118</v>
      </c>
    </row>
    <row r="705" spans="1:14" ht="10.5" hidden="1" x14ac:dyDescent="0.25">
      <c r="A705" s="8" t="s">
        <v>240</v>
      </c>
      <c r="B705" s="4" t="s">
        <v>21</v>
      </c>
      <c r="C705" s="5">
        <v>44561</v>
      </c>
      <c r="D705" s="4" t="s">
        <v>1138</v>
      </c>
      <c r="E705" s="4" t="s">
        <v>1035</v>
      </c>
      <c r="F705" s="4" t="s">
        <v>1035</v>
      </c>
      <c r="G705" s="6">
        <v>-45288.780014139156</v>
      </c>
      <c r="H705" s="6">
        <f t="shared" si="11"/>
        <v>-712064.51236550836</v>
      </c>
      <c r="I705" s="4"/>
      <c r="J705" s="4" t="s">
        <v>68</v>
      </c>
      <c r="K705" s="7">
        <v>45288.78</v>
      </c>
      <c r="L705" s="4" t="s">
        <v>1036</v>
      </c>
      <c r="M705" s="4" t="s">
        <v>27</v>
      </c>
      <c r="N705" s="4" t="s">
        <v>118</v>
      </c>
    </row>
    <row r="706" spans="1:14" ht="10.5" hidden="1" x14ac:dyDescent="0.25">
      <c r="A706" s="8" t="s">
        <v>240</v>
      </c>
      <c r="B706" s="4" t="s">
        <v>21</v>
      </c>
      <c r="C706" s="5">
        <v>44561</v>
      </c>
      <c r="D706" s="4" t="s">
        <v>1034</v>
      </c>
      <c r="E706" s="4" t="s">
        <v>1035</v>
      </c>
      <c r="F706" s="4" t="s">
        <v>2167</v>
      </c>
      <c r="G706" s="6">
        <v>-69706.978313699045</v>
      </c>
      <c r="H706" s="6">
        <f t="shared" si="11"/>
        <v>-781771.49067920737</v>
      </c>
      <c r="I706" s="4"/>
      <c r="J706" s="4" t="s">
        <v>68</v>
      </c>
      <c r="K706" s="7">
        <v>89769.62</v>
      </c>
      <c r="L706" s="4" t="s">
        <v>1036</v>
      </c>
      <c r="M706" s="4" t="s">
        <v>212</v>
      </c>
      <c r="N706" s="4" t="s">
        <v>118</v>
      </c>
    </row>
    <row r="707" spans="1:14" ht="10.5" hidden="1" x14ac:dyDescent="0.25">
      <c r="A707" s="8" t="s">
        <v>240</v>
      </c>
      <c r="B707" s="4" t="s">
        <v>241</v>
      </c>
      <c r="C707" s="5">
        <v>44561</v>
      </c>
      <c r="D707" s="4" t="s">
        <v>2168</v>
      </c>
      <c r="E707" s="4"/>
      <c r="F707" s="4"/>
      <c r="G707" s="6">
        <v>-1030.2249054757999</v>
      </c>
      <c r="H707" s="6">
        <f t="shared" si="11"/>
        <v>-782801.71558468323</v>
      </c>
      <c r="I707" s="4"/>
      <c r="J707" s="4" t="s">
        <v>68</v>
      </c>
      <c r="K707" s="7">
        <v>0</v>
      </c>
      <c r="L707" s="4" t="s">
        <v>1036</v>
      </c>
      <c r="M707" s="4" t="s">
        <v>201</v>
      </c>
      <c r="N707" s="4"/>
    </row>
    <row r="708" spans="1:14" ht="10.5" hidden="1" x14ac:dyDescent="0.25">
      <c r="A708" s="8" t="s">
        <v>240</v>
      </c>
      <c r="B708" s="4" t="s">
        <v>21</v>
      </c>
      <c r="C708" s="5">
        <v>44561</v>
      </c>
      <c r="D708" s="4" t="s">
        <v>2169</v>
      </c>
      <c r="E708" s="4" t="s">
        <v>2170</v>
      </c>
      <c r="F708" s="4" t="s">
        <v>2170</v>
      </c>
      <c r="G708" s="6">
        <v>78835.230274670001</v>
      </c>
      <c r="H708" s="6">
        <f t="shared" si="11"/>
        <v>-703966.48531001317</v>
      </c>
      <c r="I708" s="4"/>
      <c r="J708" s="4" t="s">
        <v>68</v>
      </c>
      <c r="K708" s="7">
        <v>-75223</v>
      </c>
      <c r="L708" s="4" t="s">
        <v>1036</v>
      </c>
      <c r="M708" s="4" t="s">
        <v>61</v>
      </c>
      <c r="N708" s="4" t="s">
        <v>181</v>
      </c>
    </row>
    <row r="709" spans="1:14" ht="10.5" hidden="1" x14ac:dyDescent="0.25">
      <c r="A709" s="8" t="s">
        <v>240</v>
      </c>
      <c r="B709" s="4" t="s">
        <v>21</v>
      </c>
      <c r="C709" s="5">
        <v>44561</v>
      </c>
      <c r="D709" s="4" t="s">
        <v>1145</v>
      </c>
      <c r="E709" s="4" t="s">
        <v>1146</v>
      </c>
      <c r="F709" s="4" t="s">
        <v>2171</v>
      </c>
      <c r="G709" s="6">
        <v>1034.39602623</v>
      </c>
      <c r="H709" s="6">
        <f t="shared" si="11"/>
        <v>-702932.08928378322</v>
      </c>
      <c r="I709" s="4"/>
      <c r="J709" s="4" t="s">
        <v>68</v>
      </c>
      <c r="K709" s="7">
        <v>-987</v>
      </c>
      <c r="L709" s="4" t="s">
        <v>1036</v>
      </c>
      <c r="M709" s="4" t="s">
        <v>61</v>
      </c>
      <c r="N709" s="4" t="s">
        <v>181</v>
      </c>
    </row>
    <row r="710" spans="1:14" ht="10.5" hidden="1" x14ac:dyDescent="0.25">
      <c r="A710" s="8" t="s">
        <v>240</v>
      </c>
      <c r="B710" s="4" t="s">
        <v>21</v>
      </c>
      <c r="C710" s="5">
        <v>44561</v>
      </c>
      <c r="D710" s="4" t="s">
        <v>1148</v>
      </c>
      <c r="E710" s="4" t="s">
        <v>1149</v>
      </c>
      <c r="F710" s="4" t="s">
        <v>1150</v>
      </c>
      <c r="G710" s="6">
        <v>160014.88193807</v>
      </c>
      <c r="H710" s="6">
        <f t="shared" si="11"/>
        <v>-542917.20734571316</v>
      </c>
      <c r="I710" s="4"/>
      <c r="J710" s="4" t="s">
        <v>68</v>
      </c>
      <c r="K710" s="7">
        <v>-152683</v>
      </c>
      <c r="L710" s="4" t="s">
        <v>1036</v>
      </c>
      <c r="M710" s="4" t="s">
        <v>61</v>
      </c>
      <c r="N710" s="4" t="s">
        <v>181</v>
      </c>
    </row>
    <row r="711" spans="1:14" ht="10.5" hidden="1" x14ac:dyDescent="0.25">
      <c r="A711" s="8" t="s">
        <v>240</v>
      </c>
      <c r="B711" s="4" t="s">
        <v>21</v>
      </c>
      <c r="C711" s="5">
        <v>44561</v>
      </c>
      <c r="D711" s="4" t="s">
        <v>1148</v>
      </c>
      <c r="E711" s="4" t="s">
        <v>1149</v>
      </c>
      <c r="F711" s="4" t="s">
        <v>1150</v>
      </c>
      <c r="G711" s="6">
        <v>308965.93943704478</v>
      </c>
      <c r="H711" s="6">
        <f t="shared" si="11"/>
        <v>-233951.26790866838</v>
      </c>
      <c r="I711" s="4"/>
      <c r="J711" s="4" t="s">
        <v>68</v>
      </c>
      <c r="K711" s="7">
        <v>-294809.12</v>
      </c>
      <c r="L711" s="4" t="s">
        <v>1036</v>
      </c>
      <c r="M711" s="4" t="s">
        <v>61</v>
      </c>
      <c r="N711" s="4" t="s">
        <v>181</v>
      </c>
    </row>
    <row r="712" spans="1:14" ht="10.5" hidden="1" x14ac:dyDescent="0.25">
      <c r="A712" s="8" t="s">
        <v>240</v>
      </c>
      <c r="B712" s="4" t="s">
        <v>1151</v>
      </c>
      <c r="C712" s="5">
        <v>44561</v>
      </c>
      <c r="D712" s="4" t="s">
        <v>1152</v>
      </c>
      <c r="E712" s="4" t="s">
        <v>1153</v>
      </c>
      <c r="F712" s="4"/>
      <c r="G712" s="6">
        <v>547815.92588734999</v>
      </c>
      <c r="H712" s="6">
        <f t="shared" si="11"/>
        <v>313864.65797868161</v>
      </c>
      <c r="I712" s="4"/>
      <c r="J712" s="4" t="s">
        <v>68</v>
      </c>
      <c r="K712" s="7">
        <v>-522715</v>
      </c>
      <c r="L712" s="4" t="s">
        <v>1036</v>
      </c>
      <c r="M712" s="4" t="s">
        <v>61</v>
      </c>
      <c r="N712" s="4"/>
    </row>
    <row r="713" spans="1:14" ht="10.5" hidden="1" x14ac:dyDescent="0.25">
      <c r="A713" s="8" t="s">
        <v>240</v>
      </c>
      <c r="B713" s="4" t="s">
        <v>1151</v>
      </c>
      <c r="C713" s="5">
        <v>44561</v>
      </c>
      <c r="D713" s="4" t="s">
        <v>1154</v>
      </c>
      <c r="E713" s="4"/>
      <c r="F713" s="4"/>
      <c r="G713" s="6">
        <v>-547815.92588734999</v>
      </c>
      <c r="H713" s="6">
        <f t="shared" si="11"/>
        <v>-233951.26790866838</v>
      </c>
      <c r="I713" s="4"/>
      <c r="J713" s="4" t="s">
        <v>68</v>
      </c>
      <c r="K713" s="7">
        <v>522715</v>
      </c>
      <c r="L713" s="4" t="s">
        <v>1036</v>
      </c>
      <c r="M713" s="4" t="s">
        <v>61</v>
      </c>
      <c r="N713" s="4"/>
    </row>
    <row r="714" spans="1:14" ht="10.5" hidden="1" x14ac:dyDescent="0.25">
      <c r="A714" s="8" t="s">
        <v>240</v>
      </c>
      <c r="B714" s="4" t="s">
        <v>21</v>
      </c>
      <c r="C714" s="5">
        <v>44561</v>
      </c>
      <c r="D714" s="4" t="s">
        <v>2172</v>
      </c>
      <c r="E714" s="4" t="s">
        <v>2014</v>
      </c>
      <c r="F714" s="4" t="s">
        <v>2014</v>
      </c>
      <c r="G714" s="6">
        <v>67537.338569891464</v>
      </c>
      <c r="H714" s="6">
        <f t="shared" si="11"/>
        <v>-166413.92933877691</v>
      </c>
      <c r="I714" s="4"/>
      <c r="J714" s="4" t="s">
        <v>68</v>
      </c>
      <c r="K714" s="116">
        <v>-55475.21</v>
      </c>
      <c r="L714" s="4" t="s">
        <v>1036</v>
      </c>
      <c r="M714" s="4" t="s">
        <v>186</v>
      </c>
      <c r="N714" s="4" t="s">
        <v>118</v>
      </c>
    </row>
    <row r="715" spans="1:14" ht="10.5" hidden="1" x14ac:dyDescent="0.25">
      <c r="A715" s="8" t="s">
        <v>240</v>
      </c>
      <c r="B715" s="4" t="s">
        <v>21</v>
      </c>
      <c r="C715" s="5">
        <v>44561</v>
      </c>
      <c r="D715" s="4" t="s">
        <v>2173</v>
      </c>
      <c r="E715" s="4" t="s">
        <v>1113</v>
      </c>
      <c r="F715" s="4" t="s">
        <v>1113</v>
      </c>
      <c r="G715" s="6">
        <v>-144917.10164032999</v>
      </c>
      <c r="H715" s="6">
        <f t="shared" si="11"/>
        <v>-311331.0309791069</v>
      </c>
      <c r="I715" s="4"/>
      <c r="J715" s="4" t="s">
        <v>68</v>
      </c>
      <c r="K715" s="7">
        <v>138277</v>
      </c>
      <c r="L715" s="4" t="s">
        <v>1036</v>
      </c>
      <c r="M715" s="4" t="s">
        <v>61</v>
      </c>
      <c r="N715" s="4" t="s">
        <v>118</v>
      </c>
    </row>
    <row r="716" spans="1:14" ht="10.5" hidden="1" x14ac:dyDescent="0.25">
      <c r="A716" s="8" t="s">
        <v>240</v>
      </c>
      <c r="B716" s="4" t="s">
        <v>241</v>
      </c>
      <c r="C716" s="5">
        <v>44562</v>
      </c>
      <c r="D716" s="4" t="s">
        <v>242</v>
      </c>
      <c r="E716" s="4"/>
      <c r="F716" s="4"/>
      <c r="G716" s="6">
        <v>-805.40359286499995</v>
      </c>
      <c r="H716" s="6">
        <f t="shared" si="11"/>
        <v>-312136.43457197188</v>
      </c>
      <c r="I716" s="4"/>
      <c r="J716" s="4" t="s">
        <v>68</v>
      </c>
      <c r="K716" s="7">
        <v>0</v>
      </c>
      <c r="L716" s="4" t="s">
        <v>60</v>
      </c>
      <c r="M716" s="4" t="s">
        <v>201</v>
      </c>
      <c r="N716" s="4"/>
    </row>
    <row r="717" spans="1:14" ht="10.5" hidden="1" x14ac:dyDescent="0.25">
      <c r="A717" s="8" t="s">
        <v>240</v>
      </c>
      <c r="B717" s="4" t="s">
        <v>21</v>
      </c>
      <c r="C717" s="5">
        <v>44562</v>
      </c>
      <c r="D717" s="4" t="s">
        <v>184</v>
      </c>
      <c r="E717" s="4" t="s">
        <v>185</v>
      </c>
      <c r="F717" s="4" t="s">
        <v>185</v>
      </c>
      <c r="G717" s="6">
        <v>-1284.3915722218176</v>
      </c>
      <c r="H717" s="6">
        <f t="shared" si="11"/>
        <v>-313420.82614419371</v>
      </c>
      <c r="I717" s="4"/>
      <c r="J717" s="4" t="s">
        <v>68</v>
      </c>
      <c r="K717" s="116">
        <v>1055</v>
      </c>
      <c r="L717" s="4" t="s">
        <v>60</v>
      </c>
      <c r="M717" s="4" t="s">
        <v>186</v>
      </c>
      <c r="N717" s="4" t="s">
        <v>39</v>
      </c>
    </row>
    <row r="718" spans="1:14" ht="10.5" hidden="1" x14ac:dyDescent="0.25">
      <c r="A718" s="8" t="s">
        <v>240</v>
      </c>
      <c r="B718" s="4" t="s">
        <v>241</v>
      </c>
      <c r="C718" s="5">
        <v>44562</v>
      </c>
      <c r="D718" s="4" t="s">
        <v>244</v>
      </c>
      <c r="E718" s="4"/>
      <c r="F718" s="4"/>
      <c r="G718" s="6">
        <v>1030.2249054757999</v>
      </c>
      <c r="H718" s="6">
        <f t="shared" si="11"/>
        <v>-312390.60123871791</v>
      </c>
      <c r="I718" s="4"/>
      <c r="J718" s="4" t="s">
        <v>68</v>
      </c>
      <c r="K718" s="7">
        <v>0</v>
      </c>
      <c r="L718" s="4" t="s">
        <v>60</v>
      </c>
      <c r="M718" s="4" t="s">
        <v>201</v>
      </c>
      <c r="N718" s="4"/>
    </row>
    <row r="719" spans="1:14" ht="10.5" hidden="1" x14ac:dyDescent="0.25">
      <c r="A719" s="8" t="s">
        <v>240</v>
      </c>
      <c r="B719" s="4" t="s">
        <v>241</v>
      </c>
      <c r="C719" s="5">
        <v>44592</v>
      </c>
      <c r="D719" s="4" t="s">
        <v>245</v>
      </c>
      <c r="E719" s="4"/>
      <c r="F719" s="4"/>
      <c r="G719" s="6">
        <v>-301.88224453449999</v>
      </c>
      <c r="H719" s="6">
        <f t="shared" si="11"/>
        <v>-312692.48348325241</v>
      </c>
      <c r="I719" s="4"/>
      <c r="J719" s="4" t="s">
        <v>68</v>
      </c>
      <c r="K719" s="7">
        <v>0</v>
      </c>
      <c r="L719" s="4" t="s">
        <v>60</v>
      </c>
      <c r="M719" s="4" t="s">
        <v>201</v>
      </c>
      <c r="N719" s="4"/>
    </row>
    <row r="720" spans="1:14" ht="10.5" hidden="1" x14ac:dyDescent="0.25">
      <c r="A720" s="8" t="s">
        <v>240</v>
      </c>
      <c r="B720" s="4" t="s">
        <v>241</v>
      </c>
      <c r="C720" s="5">
        <v>44592</v>
      </c>
      <c r="D720" s="4" t="s">
        <v>246</v>
      </c>
      <c r="E720" s="4"/>
      <c r="F720" s="4"/>
      <c r="G720" s="6">
        <v>553.36519332290004</v>
      </c>
      <c r="H720" s="6">
        <f t="shared" si="11"/>
        <v>-312139.11828992952</v>
      </c>
      <c r="I720" s="4"/>
      <c r="J720" s="4" t="s">
        <v>68</v>
      </c>
      <c r="K720" s="7">
        <v>0</v>
      </c>
      <c r="L720" s="4" t="s">
        <v>60</v>
      </c>
      <c r="M720" s="4" t="s">
        <v>193</v>
      </c>
      <c r="N720" s="4"/>
    </row>
    <row r="721" spans="1:17" ht="10.5" hidden="1" x14ac:dyDescent="0.25">
      <c r="A721" s="8" t="s">
        <v>240</v>
      </c>
      <c r="B721" s="4" t="s">
        <v>21</v>
      </c>
      <c r="C721" s="5">
        <v>44592</v>
      </c>
      <c r="D721" s="4" t="s">
        <v>187</v>
      </c>
      <c r="E721" s="4" t="s">
        <v>188</v>
      </c>
      <c r="F721" s="4" t="s">
        <v>188</v>
      </c>
      <c r="G721" s="6">
        <v>1284.3915722218176</v>
      </c>
      <c r="H721" s="6">
        <f t="shared" si="11"/>
        <v>-310854.7267177077</v>
      </c>
      <c r="I721" s="4"/>
      <c r="J721" s="4" t="s">
        <v>68</v>
      </c>
      <c r="K721" s="116">
        <v>-1055</v>
      </c>
      <c r="L721" s="4" t="s">
        <v>60</v>
      </c>
      <c r="M721" s="4" t="s">
        <v>186</v>
      </c>
      <c r="N721" s="4" t="s">
        <v>39</v>
      </c>
    </row>
    <row r="722" spans="1:17" ht="10.5" hidden="1" x14ac:dyDescent="0.25">
      <c r="A722" s="8" t="s">
        <v>240</v>
      </c>
      <c r="B722" s="4" t="s">
        <v>241</v>
      </c>
      <c r="C722" s="5">
        <v>44593</v>
      </c>
      <c r="D722" s="4" t="s">
        <v>247</v>
      </c>
      <c r="E722" s="4"/>
      <c r="F722" s="4"/>
      <c r="G722" s="6">
        <v>301.88224453449999</v>
      </c>
      <c r="H722" s="6">
        <f t="shared" si="11"/>
        <v>-310552.8444731732</v>
      </c>
      <c r="I722" s="4"/>
      <c r="J722" s="4" t="s">
        <v>68</v>
      </c>
      <c r="K722" s="7">
        <v>0</v>
      </c>
      <c r="L722" s="4" t="s">
        <v>26</v>
      </c>
      <c r="M722" s="4" t="s">
        <v>201</v>
      </c>
      <c r="N722" s="4"/>
    </row>
    <row r="723" spans="1:17" ht="10.5" hidden="1" x14ac:dyDescent="0.25">
      <c r="A723" s="8" t="s">
        <v>240</v>
      </c>
      <c r="B723" s="4" t="s">
        <v>241</v>
      </c>
      <c r="C723" s="5">
        <v>44593</v>
      </c>
      <c r="D723" s="4" t="s">
        <v>248</v>
      </c>
      <c r="E723" s="4"/>
      <c r="F723" s="4"/>
      <c r="G723" s="6">
        <v>-553.36519332290004</v>
      </c>
      <c r="H723" s="6">
        <f t="shared" si="11"/>
        <v>-311106.20966649608</v>
      </c>
      <c r="I723" s="4"/>
      <c r="J723" s="4" t="s">
        <v>68</v>
      </c>
      <c r="K723" s="7">
        <v>0</v>
      </c>
      <c r="L723" s="4" t="s">
        <v>26</v>
      </c>
      <c r="M723" s="4" t="s">
        <v>193</v>
      </c>
      <c r="N723" s="4"/>
    </row>
    <row r="724" spans="1:17" ht="10.5" hidden="1" x14ac:dyDescent="0.25">
      <c r="A724" s="8" t="s">
        <v>240</v>
      </c>
      <c r="B724" s="4" t="s">
        <v>249</v>
      </c>
      <c r="C724" s="5">
        <v>44606</v>
      </c>
      <c r="D724" s="4" t="s">
        <v>250</v>
      </c>
      <c r="E724" s="4" t="s">
        <v>251</v>
      </c>
      <c r="F724" s="4" t="s">
        <v>251</v>
      </c>
      <c r="G724" s="6">
        <v>6102.4963862351997</v>
      </c>
      <c r="H724" s="6">
        <f t="shared" si="11"/>
        <v>-305003.71328026091</v>
      </c>
      <c r="I724" s="4" t="s">
        <v>252</v>
      </c>
      <c r="J724" s="4" t="s">
        <v>68</v>
      </c>
      <c r="K724" s="7">
        <v>-61860</v>
      </c>
      <c r="L724" s="4" t="s">
        <v>26</v>
      </c>
      <c r="M724" s="4" t="s">
        <v>193</v>
      </c>
      <c r="N724" s="4"/>
    </row>
    <row r="725" spans="1:17" ht="10.5" hidden="1" x14ac:dyDescent="0.25">
      <c r="A725" s="8" t="s">
        <v>240</v>
      </c>
      <c r="B725" s="4" t="s">
        <v>241</v>
      </c>
      <c r="C725" s="5">
        <v>44620</v>
      </c>
      <c r="D725" s="4" t="s">
        <v>253</v>
      </c>
      <c r="E725" s="4"/>
      <c r="F725" s="4"/>
      <c r="G725" s="6">
        <v>-291.3391604171</v>
      </c>
      <c r="H725" s="6">
        <f t="shared" si="11"/>
        <v>-305295.052440678</v>
      </c>
      <c r="I725" s="4"/>
      <c r="J725" s="4" t="s">
        <v>68</v>
      </c>
      <c r="K725" s="7">
        <v>0</v>
      </c>
      <c r="L725" s="4" t="s">
        <v>26</v>
      </c>
      <c r="M725" s="4" t="s">
        <v>201</v>
      </c>
      <c r="N725" s="4"/>
    </row>
    <row r="726" spans="1:17" ht="10.5" hidden="1" x14ac:dyDescent="0.25">
      <c r="A726" s="8" t="s">
        <v>240</v>
      </c>
      <c r="B726" s="4" t="s">
        <v>241</v>
      </c>
      <c r="C726" s="5">
        <v>44620</v>
      </c>
      <c r="D726" s="4" t="s">
        <v>254</v>
      </c>
      <c r="E726" s="4"/>
      <c r="F726" s="4"/>
      <c r="G726" s="6">
        <v>914.7435497207</v>
      </c>
      <c r="H726" s="6">
        <f t="shared" si="11"/>
        <v>-304380.30889095733</v>
      </c>
      <c r="I726" s="4"/>
      <c r="J726" s="4" t="s">
        <v>68</v>
      </c>
      <c r="K726" s="7">
        <v>0</v>
      </c>
      <c r="L726" s="4" t="s">
        <v>26</v>
      </c>
      <c r="M726" s="4" t="s">
        <v>193</v>
      </c>
      <c r="N726" s="4"/>
    </row>
    <row r="727" spans="1:17" ht="10.5" hidden="1" x14ac:dyDescent="0.25">
      <c r="A727" s="8" t="s">
        <v>240</v>
      </c>
      <c r="B727" s="4" t="s">
        <v>21</v>
      </c>
      <c r="C727" s="5">
        <v>44620</v>
      </c>
      <c r="D727" s="4" t="s">
        <v>35</v>
      </c>
      <c r="E727" s="4" t="s">
        <v>36</v>
      </c>
      <c r="F727" s="4" t="s">
        <v>36</v>
      </c>
      <c r="G727" s="6">
        <v>-5024.2092702600003</v>
      </c>
      <c r="H727" s="6">
        <f t="shared" si="11"/>
        <v>-309404.51816121733</v>
      </c>
      <c r="I727" s="4"/>
      <c r="J727" s="4" t="s">
        <v>68</v>
      </c>
      <c r="K727" s="7">
        <v>4794</v>
      </c>
      <c r="L727" s="4" t="s">
        <v>26</v>
      </c>
      <c r="M727" s="4" t="s">
        <v>38</v>
      </c>
      <c r="N727" s="4" t="s">
        <v>39</v>
      </c>
      <c r="Q727" s="4" t="s">
        <v>779</v>
      </c>
    </row>
    <row r="728" spans="1:17" ht="10.5" hidden="1" x14ac:dyDescent="0.25">
      <c r="A728" s="8" t="s">
        <v>240</v>
      </c>
      <c r="B728" s="4" t="s">
        <v>21</v>
      </c>
      <c r="C728" s="5">
        <v>44620</v>
      </c>
      <c r="D728" s="4" t="s">
        <v>35</v>
      </c>
      <c r="E728" s="4" t="s">
        <v>36</v>
      </c>
      <c r="F728" s="4" t="s">
        <v>36</v>
      </c>
      <c r="G728" s="6">
        <v>-276.67735656000002</v>
      </c>
      <c r="H728" s="6">
        <f t="shared" si="11"/>
        <v>-309681.19551777735</v>
      </c>
      <c r="I728" s="4"/>
      <c r="J728" s="4" t="s">
        <v>68</v>
      </c>
      <c r="K728" s="7">
        <v>264</v>
      </c>
      <c r="L728" s="4" t="s">
        <v>26</v>
      </c>
      <c r="M728" s="4" t="s">
        <v>38</v>
      </c>
      <c r="N728" s="4" t="s">
        <v>39</v>
      </c>
      <c r="Q728" s="4" t="s">
        <v>779</v>
      </c>
    </row>
    <row r="729" spans="1:17" ht="10.5" hidden="1" x14ac:dyDescent="0.25">
      <c r="A729" s="8" t="s">
        <v>240</v>
      </c>
      <c r="B729" s="4" t="s">
        <v>241</v>
      </c>
      <c r="C729" s="5">
        <v>44621</v>
      </c>
      <c r="D729" s="4" t="s">
        <v>255</v>
      </c>
      <c r="E729" s="4"/>
      <c r="F729" s="4"/>
      <c r="G729" s="6">
        <v>291.3391604171</v>
      </c>
      <c r="H729" s="6">
        <f t="shared" si="11"/>
        <v>-309389.85635736026</v>
      </c>
      <c r="I729" s="4"/>
      <c r="J729" s="4" t="s">
        <v>68</v>
      </c>
      <c r="K729" s="7">
        <v>0</v>
      </c>
      <c r="L729" s="4" t="s">
        <v>42</v>
      </c>
      <c r="M729" s="4" t="s">
        <v>201</v>
      </c>
      <c r="N729" s="4"/>
    </row>
    <row r="730" spans="1:17" ht="10.5" hidden="1" x14ac:dyDescent="0.25">
      <c r="A730" s="8" t="s">
        <v>240</v>
      </c>
      <c r="B730" s="4" t="s">
        <v>241</v>
      </c>
      <c r="C730" s="5">
        <v>44621</v>
      </c>
      <c r="D730" s="4" t="s">
        <v>256</v>
      </c>
      <c r="E730" s="4"/>
      <c r="F730" s="4"/>
      <c r="G730" s="6">
        <v>-914.7435497207</v>
      </c>
      <c r="H730" s="6">
        <f t="shared" si="11"/>
        <v>-310304.59990708093</v>
      </c>
      <c r="I730" s="4"/>
      <c r="J730" s="4" t="s">
        <v>68</v>
      </c>
      <c r="K730" s="7">
        <v>0</v>
      </c>
      <c r="L730" s="4" t="s">
        <v>42</v>
      </c>
      <c r="M730" s="4" t="s">
        <v>193</v>
      </c>
      <c r="N730" s="4"/>
    </row>
    <row r="731" spans="1:17" ht="10.5" hidden="1" x14ac:dyDescent="0.25">
      <c r="A731" s="8" t="s">
        <v>240</v>
      </c>
      <c r="B731" s="4" t="s">
        <v>249</v>
      </c>
      <c r="C731" s="5">
        <v>44631</v>
      </c>
      <c r="D731" s="4" t="s">
        <v>257</v>
      </c>
      <c r="E731" s="4" t="s">
        <v>258</v>
      </c>
      <c r="F731" s="4" t="s">
        <v>258</v>
      </c>
      <c r="G731" s="6">
        <v>22472.562835832301</v>
      </c>
      <c r="H731" s="6">
        <f t="shared" si="11"/>
        <v>-287832.03707124863</v>
      </c>
      <c r="I731" s="4" t="s">
        <v>252</v>
      </c>
      <c r="J731" s="4" t="s">
        <v>68</v>
      </c>
      <c r="K731" s="7">
        <v>-21442.87</v>
      </c>
      <c r="L731" s="4" t="s">
        <v>42</v>
      </c>
      <c r="M731" s="4" t="s">
        <v>38</v>
      </c>
      <c r="N731" s="4"/>
    </row>
    <row r="732" spans="1:17" ht="10.5" hidden="1" x14ac:dyDescent="0.25">
      <c r="A732" s="8" t="s">
        <v>240</v>
      </c>
      <c r="B732" s="4" t="s">
        <v>249</v>
      </c>
      <c r="C732" s="5">
        <v>44631</v>
      </c>
      <c r="D732" s="4" t="s">
        <v>257</v>
      </c>
      <c r="E732" s="4" t="s">
        <v>258</v>
      </c>
      <c r="F732" s="4" t="s">
        <v>259</v>
      </c>
      <c r="G732" s="6">
        <v>22472.562835832301</v>
      </c>
      <c r="H732" s="6">
        <f t="shared" ref="H732:H783" si="12">H731+G732</f>
        <v>-265359.47423541633</v>
      </c>
      <c r="I732" s="4" t="s">
        <v>252</v>
      </c>
      <c r="J732" s="4" t="s">
        <v>68</v>
      </c>
      <c r="K732" s="7">
        <v>-21442.87</v>
      </c>
      <c r="L732" s="4" t="s">
        <v>42</v>
      </c>
      <c r="M732" s="4" t="s">
        <v>38</v>
      </c>
      <c r="N732" s="4"/>
    </row>
    <row r="733" spans="1:17" ht="10.5" hidden="1" x14ac:dyDescent="0.25">
      <c r="A733" s="8" t="s">
        <v>240</v>
      </c>
      <c r="B733" s="4" t="s">
        <v>241</v>
      </c>
      <c r="C733" s="5">
        <v>44651</v>
      </c>
      <c r="D733" s="4" t="s">
        <v>260</v>
      </c>
      <c r="E733" s="4"/>
      <c r="F733" s="4"/>
      <c r="G733" s="6">
        <v>-398.038106142</v>
      </c>
      <c r="H733" s="6">
        <f t="shared" si="12"/>
        <v>-265757.51234155835</v>
      </c>
      <c r="I733" s="4"/>
      <c r="J733" s="4" t="s">
        <v>68</v>
      </c>
      <c r="K733" s="7">
        <v>0</v>
      </c>
      <c r="L733" s="4" t="s">
        <v>42</v>
      </c>
      <c r="M733" s="4" t="s">
        <v>201</v>
      </c>
      <c r="N733" s="4"/>
    </row>
    <row r="734" spans="1:17" ht="10.5" hidden="1" x14ac:dyDescent="0.25">
      <c r="A734" s="8" t="s">
        <v>240</v>
      </c>
      <c r="B734" s="4" t="s">
        <v>241</v>
      </c>
      <c r="C734" s="5">
        <v>44651</v>
      </c>
      <c r="D734" s="4" t="s">
        <v>261</v>
      </c>
      <c r="E734" s="4"/>
      <c r="F734" s="4"/>
      <c r="G734" s="6">
        <v>417.16447643449999</v>
      </c>
      <c r="H734" s="6">
        <f t="shared" si="12"/>
        <v>-265340.34786512383</v>
      </c>
      <c r="I734" s="4"/>
      <c r="J734" s="4" t="s">
        <v>68</v>
      </c>
      <c r="K734" s="7">
        <v>0</v>
      </c>
      <c r="L734" s="4" t="s">
        <v>42</v>
      </c>
      <c r="M734" s="4" t="s">
        <v>193</v>
      </c>
      <c r="N734" s="4"/>
    </row>
    <row r="735" spans="1:17" ht="10.5" hidden="1" x14ac:dyDescent="0.25">
      <c r="A735" s="8" t="s">
        <v>240</v>
      </c>
      <c r="B735" s="4" t="s">
        <v>21</v>
      </c>
      <c r="C735" s="5">
        <v>44651</v>
      </c>
      <c r="D735" s="4" t="s">
        <v>40</v>
      </c>
      <c r="E735" s="4" t="s">
        <v>41</v>
      </c>
      <c r="F735" s="4" t="s">
        <v>41</v>
      </c>
      <c r="G735" s="6">
        <v>-3678.5512179000002</v>
      </c>
      <c r="H735" s="6">
        <f t="shared" si="12"/>
        <v>-269018.89908302383</v>
      </c>
      <c r="I735" s="4"/>
      <c r="J735" s="4" t="s">
        <v>68</v>
      </c>
      <c r="K735" s="7">
        <v>3510</v>
      </c>
      <c r="L735" s="4" t="s">
        <v>42</v>
      </c>
      <c r="M735" s="4" t="s">
        <v>38</v>
      </c>
      <c r="N735" s="4" t="s">
        <v>39</v>
      </c>
      <c r="Q735" s="4" t="s">
        <v>779</v>
      </c>
    </row>
    <row r="736" spans="1:17" ht="10.5" hidden="1" x14ac:dyDescent="0.25">
      <c r="A736" s="8" t="s">
        <v>240</v>
      </c>
      <c r="B736" s="4" t="s">
        <v>21</v>
      </c>
      <c r="C736" s="5">
        <v>44651</v>
      </c>
      <c r="D736" s="4" t="s">
        <v>40</v>
      </c>
      <c r="E736" s="4" t="s">
        <v>41</v>
      </c>
      <c r="F736" s="4" t="s">
        <v>41</v>
      </c>
      <c r="G736" s="6">
        <v>-202.26791596999999</v>
      </c>
      <c r="H736" s="6">
        <f t="shared" si="12"/>
        <v>-269221.16699899384</v>
      </c>
      <c r="I736" s="4"/>
      <c r="J736" s="4" t="s">
        <v>68</v>
      </c>
      <c r="K736" s="7">
        <v>193</v>
      </c>
      <c r="L736" s="4" t="s">
        <v>42</v>
      </c>
      <c r="M736" s="4" t="s">
        <v>38</v>
      </c>
      <c r="N736" s="4" t="s">
        <v>39</v>
      </c>
      <c r="Q736" s="4" t="s">
        <v>779</v>
      </c>
    </row>
    <row r="737" spans="1:14" ht="10.5" hidden="1" x14ac:dyDescent="0.25">
      <c r="A737" s="8" t="s">
        <v>240</v>
      </c>
      <c r="B737" s="4" t="s">
        <v>21</v>
      </c>
      <c r="C737" s="5">
        <v>44651</v>
      </c>
      <c r="D737" s="4" t="s">
        <v>189</v>
      </c>
      <c r="E737" s="4" t="s">
        <v>190</v>
      </c>
      <c r="F737" s="4" t="s">
        <v>190</v>
      </c>
      <c r="G737" s="6">
        <v>-20243.472097539699</v>
      </c>
      <c r="H737" s="6">
        <f t="shared" si="12"/>
        <v>-289464.63909653353</v>
      </c>
      <c r="I737" s="4"/>
      <c r="J737" s="4" t="s">
        <v>68</v>
      </c>
      <c r="K737" s="116">
        <v>16628</v>
      </c>
      <c r="L737" s="4" t="s">
        <v>42</v>
      </c>
      <c r="M737" s="4" t="s">
        <v>186</v>
      </c>
      <c r="N737" s="4" t="s">
        <v>39</v>
      </c>
    </row>
    <row r="738" spans="1:14" ht="10.5" hidden="1" x14ac:dyDescent="0.25">
      <c r="A738" s="8" t="s">
        <v>240</v>
      </c>
      <c r="B738" s="4" t="s">
        <v>21</v>
      </c>
      <c r="C738" s="5">
        <v>44651</v>
      </c>
      <c r="D738" s="4" t="s">
        <v>191</v>
      </c>
      <c r="E738" s="4" t="s">
        <v>192</v>
      </c>
      <c r="F738" s="4" t="s">
        <v>192</v>
      </c>
      <c r="G738" s="6">
        <v>-5154.7611577853004</v>
      </c>
      <c r="H738" s="6">
        <f t="shared" si="12"/>
        <v>-294619.40025431884</v>
      </c>
      <c r="I738" s="4"/>
      <c r="J738" s="4" t="s">
        <v>68</v>
      </c>
      <c r="K738" s="7">
        <v>51102</v>
      </c>
      <c r="L738" s="4" t="s">
        <v>42</v>
      </c>
      <c r="M738" s="4" t="s">
        <v>193</v>
      </c>
      <c r="N738" s="4" t="s">
        <v>39</v>
      </c>
    </row>
    <row r="739" spans="1:14" ht="10.5" hidden="1" x14ac:dyDescent="0.25">
      <c r="A739" s="8" t="s">
        <v>240</v>
      </c>
      <c r="B739" s="4" t="s">
        <v>241</v>
      </c>
      <c r="C739" s="5">
        <v>44651</v>
      </c>
      <c r="D739" s="4" t="s">
        <v>262</v>
      </c>
      <c r="E739" s="4"/>
      <c r="F739" s="4"/>
      <c r="G739" s="6">
        <v>1.0480202900000001E-2</v>
      </c>
      <c r="H739" s="6">
        <f t="shared" si="12"/>
        <v>-294619.38977411593</v>
      </c>
      <c r="I739" s="4"/>
      <c r="J739" s="4" t="s">
        <v>68</v>
      </c>
      <c r="K739" s="7">
        <v>0</v>
      </c>
      <c r="L739" s="4" t="s">
        <v>42</v>
      </c>
      <c r="M739" s="4" t="s">
        <v>193</v>
      </c>
      <c r="N739" s="4"/>
    </row>
    <row r="740" spans="1:14" ht="10.5" hidden="1" x14ac:dyDescent="0.25">
      <c r="A740" s="8" t="s">
        <v>240</v>
      </c>
      <c r="B740" s="4" t="s">
        <v>21</v>
      </c>
      <c r="C740" s="5">
        <v>44651</v>
      </c>
      <c r="D740" s="4" t="s">
        <v>194</v>
      </c>
      <c r="E740" s="4" t="s">
        <v>195</v>
      </c>
      <c r="F740" s="4" t="s">
        <v>196</v>
      </c>
      <c r="G740" s="6">
        <v>-2980.0037738033998</v>
      </c>
      <c r="H740" s="6">
        <f t="shared" si="12"/>
        <v>-297599.39354791935</v>
      </c>
      <c r="I740" s="4"/>
      <c r="J740" s="4" t="s">
        <v>68</v>
      </c>
      <c r="K740" s="7">
        <v>4204.43</v>
      </c>
      <c r="L740" s="4" t="s">
        <v>42</v>
      </c>
      <c r="M740" s="4" t="s">
        <v>197</v>
      </c>
      <c r="N740" s="4" t="s">
        <v>198</v>
      </c>
    </row>
    <row r="741" spans="1:14" ht="10.5" hidden="1" x14ac:dyDescent="0.25">
      <c r="A741" s="8" t="s">
        <v>240</v>
      </c>
      <c r="B741" s="4" t="s">
        <v>21</v>
      </c>
      <c r="C741" s="5">
        <v>44651</v>
      </c>
      <c r="D741" s="4" t="s">
        <v>199</v>
      </c>
      <c r="E741" s="4" t="s">
        <v>195</v>
      </c>
      <c r="F741" s="4" t="s">
        <v>200</v>
      </c>
      <c r="G741" s="6">
        <v>-4911.5680494908001</v>
      </c>
      <c r="H741" s="6">
        <f t="shared" si="12"/>
        <v>-302510.96159741015</v>
      </c>
      <c r="I741" s="4"/>
      <c r="J741" s="4" t="s">
        <v>68</v>
      </c>
      <c r="K741" s="7">
        <v>7027.85</v>
      </c>
      <c r="L741" s="4" t="s">
        <v>42</v>
      </c>
      <c r="M741" s="4" t="s">
        <v>201</v>
      </c>
      <c r="N741" s="4" t="s">
        <v>198</v>
      </c>
    </row>
    <row r="742" spans="1:14" ht="10.5" hidden="1" x14ac:dyDescent="0.25">
      <c r="A742" s="8" t="s">
        <v>240</v>
      </c>
      <c r="B742" s="4" t="s">
        <v>21</v>
      </c>
      <c r="C742" s="5">
        <v>44651</v>
      </c>
      <c r="D742" s="4" t="s">
        <v>202</v>
      </c>
      <c r="E742" s="4" t="s">
        <v>195</v>
      </c>
      <c r="F742" s="4" t="s">
        <v>195</v>
      </c>
      <c r="G742" s="6">
        <v>-55497.863145876603</v>
      </c>
      <c r="H742" s="6">
        <f t="shared" si="12"/>
        <v>-358008.82474328676</v>
      </c>
      <c r="I742" s="4"/>
      <c r="J742" s="4" t="s">
        <v>68</v>
      </c>
      <c r="K742" s="7">
        <v>4383688</v>
      </c>
      <c r="L742" s="4" t="s">
        <v>42</v>
      </c>
      <c r="M742" s="4" t="s">
        <v>204</v>
      </c>
      <c r="N742" s="4" t="s">
        <v>198</v>
      </c>
    </row>
    <row r="743" spans="1:14" ht="10.5" hidden="1" x14ac:dyDescent="0.25">
      <c r="A743" s="8" t="s">
        <v>240</v>
      </c>
      <c r="B743" s="4" t="s">
        <v>21</v>
      </c>
      <c r="C743" s="5">
        <v>44651</v>
      </c>
      <c r="D743" s="4" t="s">
        <v>115</v>
      </c>
      <c r="E743" s="4" t="s">
        <v>116</v>
      </c>
      <c r="F743" s="4" t="s">
        <v>116</v>
      </c>
      <c r="G743" s="6">
        <v>-29193</v>
      </c>
      <c r="H743" s="6">
        <f t="shared" si="12"/>
        <v>-387201.82474328676</v>
      </c>
      <c r="I743" s="4"/>
      <c r="J743" s="4" t="s">
        <v>68</v>
      </c>
      <c r="K743" s="7">
        <v>29193</v>
      </c>
      <c r="L743" s="4" t="s">
        <v>42</v>
      </c>
      <c r="M743" s="4" t="s">
        <v>117</v>
      </c>
      <c r="N743" s="4" t="s">
        <v>118</v>
      </c>
    </row>
    <row r="744" spans="1:14" ht="10.5" hidden="1" x14ac:dyDescent="0.25">
      <c r="A744" s="8" t="s">
        <v>240</v>
      </c>
      <c r="B744" s="4" t="s">
        <v>241</v>
      </c>
      <c r="C744" s="5">
        <v>44652</v>
      </c>
      <c r="D744" s="4" t="s">
        <v>263</v>
      </c>
      <c r="E744" s="4"/>
      <c r="F744" s="4"/>
      <c r="G744" s="6">
        <v>398.038106142</v>
      </c>
      <c r="H744" s="6">
        <f t="shared" si="12"/>
        <v>-386803.78663714475</v>
      </c>
      <c r="I744" s="4"/>
      <c r="J744" s="4" t="s">
        <v>68</v>
      </c>
      <c r="K744" s="7">
        <v>0</v>
      </c>
      <c r="L744" s="4" t="s">
        <v>45</v>
      </c>
      <c r="M744" s="4" t="s">
        <v>201</v>
      </c>
      <c r="N744" s="4"/>
    </row>
    <row r="745" spans="1:14" ht="10.5" hidden="1" x14ac:dyDescent="0.25">
      <c r="A745" s="8" t="s">
        <v>240</v>
      </c>
      <c r="B745" s="4" t="s">
        <v>241</v>
      </c>
      <c r="C745" s="5">
        <v>44652</v>
      </c>
      <c r="D745" s="4" t="s">
        <v>264</v>
      </c>
      <c r="E745" s="4"/>
      <c r="F745" s="4"/>
      <c r="G745" s="6">
        <v>-417.16447643449999</v>
      </c>
      <c r="H745" s="6">
        <f t="shared" si="12"/>
        <v>-387220.95111357927</v>
      </c>
      <c r="I745" s="4"/>
      <c r="J745" s="4" t="s">
        <v>68</v>
      </c>
      <c r="K745" s="7">
        <v>0</v>
      </c>
      <c r="L745" s="4" t="s">
        <v>45</v>
      </c>
      <c r="M745" s="4" t="s">
        <v>193</v>
      </c>
      <c r="N745" s="4"/>
    </row>
    <row r="746" spans="1:14" ht="10.5" hidden="1" x14ac:dyDescent="0.25">
      <c r="A746" s="8" t="s">
        <v>240</v>
      </c>
      <c r="B746" s="4" t="s">
        <v>241</v>
      </c>
      <c r="C746" s="5">
        <v>44652</v>
      </c>
      <c r="D746" s="4" t="s">
        <v>265</v>
      </c>
      <c r="E746" s="4"/>
      <c r="F746" s="4"/>
      <c r="G746" s="6">
        <v>-1.0480202900000001E-2</v>
      </c>
      <c r="H746" s="6">
        <f t="shared" si="12"/>
        <v>-387220.96159378218</v>
      </c>
      <c r="I746" s="4"/>
      <c r="J746" s="4" t="s">
        <v>68</v>
      </c>
      <c r="K746" s="7">
        <v>0</v>
      </c>
      <c r="L746" s="4" t="s">
        <v>45</v>
      </c>
      <c r="M746" s="4" t="s">
        <v>193</v>
      </c>
      <c r="N746" s="4"/>
    </row>
    <row r="747" spans="1:14" ht="10.5" hidden="1" x14ac:dyDescent="0.25">
      <c r="A747" s="8" t="s">
        <v>240</v>
      </c>
      <c r="B747" s="4" t="s">
        <v>21</v>
      </c>
      <c r="C747" s="5">
        <v>44664</v>
      </c>
      <c r="D747" s="4" t="s">
        <v>266</v>
      </c>
      <c r="E747" s="4" t="s">
        <v>267</v>
      </c>
      <c r="F747" s="4" t="s">
        <v>268</v>
      </c>
      <c r="G747" s="6">
        <v>124400.00003883768</v>
      </c>
      <c r="H747" s="6">
        <f t="shared" si="12"/>
        <v>-262820.96155494452</v>
      </c>
      <c r="I747" s="4"/>
      <c r="J747" s="4" t="s">
        <v>68</v>
      </c>
      <c r="K747" s="7">
        <v>-124400</v>
      </c>
      <c r="L747" s="4" t="s">
        <v>45</v>
      </c>
      <c r="M747" s="4" t="s">
        <v>27</v>
      </c>
      <c r="N747" s="4" t="s">
        <v>28</v>
      </c>
    </row>
    <row r="748" spans="1:14" ht="10.5" hidden="1" x14ac:dyDescent="0.25">
      <c r="A748" s="8" t="s">
        <v>240</v>
      </c>
      <c r="B748" s="4" t="s">
        <v>21</v>
      </c>
      <c r="C748" s="5">
        <v>44664</v>
      </c>
      <c r="D748" s="4" t="s">
        <v>266</v>
      </c>
      <c r="E748" s="4" t="s">
        <v>267</v>
      </c>
      <c r="F748" s="4" t="s">
        <v>269</v>
      </c>
      <c r="G748" s="6">
        <v>3400.0000010614799</v>
      </c>
      <c r="H748" s="6">
        <f t="shared" si="12"/>
        <v>-259420.96155388304</v>
      </c>
      <c r="I748" s="4"/>
      <c r="J748" s="4" t="s">
        <v>68</v>
      </c>
      <c r="K748" s="7">
        <v>-3400</v>
      </c>
      <c r="L748" s="4" t="s">
        <v>45</v>
      </c>
      <c r="M748" s="4" t="s">
        <v>27</v>
      </c>
      <c r="N748" s="4" t="s">
        <v>28</v>
      </c>
    </row>
    <row r="749" spans="1:14" ht="10.5" hidden="1" x14ac:dyDescent="0.25">
      <c r="A749" s="8" t="s">
        <v>240</v>
      </c>
      <c r="B749" s="4" t="s">
        <v>21</v>
      </c>
      <c r="C749" s="5">
        <v>44664</v>
      </c>
      <c r="D749" s="4" t="s">
        <v>266</v>
      </c>
      <c r="E749" s="4" t="s">
        <v>267</v>
      </c>
      <c r="F749" s="4" t="s">
        <v>270</v>
      </c>
      <c r="G749" s="6">
        <v>200.00000006243999</v>
      </c>
      <c r="H749" s="6">
        <f t="shared" si="12"/>
        <v>-259220.96155382061</v>
      </c>
      <c r="I749" s="4"/>
      <c r="J749" s="4" t="s">
        <v>68</v>
      </c>
      <c r="K749" s="7">
        <v>-200</v>
      </c>
      <c r="L749" s="4" t="s">
        <v>45</v>
      </c>
      <c r="M749" s="4" t="s">
        <v>27</v>
      </c>
      <c r="N749" s="4" t="s">
        <v>28</v>
      </c>
    </row>
    <row r="750" spans="1:14" ht="10.5" hidden="1" x14ac:dyDescent="0.25">
      <c r="A750" s="8" t="s">
        <v>240</v>
      </c>
      <c r="B750" s="4" t="s">
        <v>21</v>
      </c>
      <c r="C750" s="5">
        <v>44664</v>
      </c>
      <c r="D750" s="4" t="s">
        <v>266</v>
      </c>
      <c r="E750" s="4" t="s">
        <v>267</v>
      </c>
      <c r="F750" s="4" t="s">
        <v>271</v>
      </c>
      <c r="G750" s="6">
        <v>2400.0000007492799</v>
      </c>
      <c r="H750" s="6">
        <f t="shared" si="12"/>
        <v>-256820.96155307133</v>
      </c>
      <c r="I750" s="4"/>
      <c r="J750" s="4" t="s">
        <v>68</v>
      </c>
      <c r="K750" s="7">
        <v>-2400</v>
      </c>
      <c r="L750" s="4" t="s">
        <v>45</v>
      </c>
      <c r="M750" s="4" t="s">
        <v>27</v>
      </c>
      <c r="N750" s="4" t="s">
        <v>28</v>
      </c>
    </row>
    <row r="751" spans="1:14" ht="10.5" hidden="1" x14ac:dyDescent="0.25">
      <c r="A751" s="8" t="s">
        <v>240</v>
      </c>
      <c r="B751" s="4" t="s">
        <v>21</v>
      </c>
      <c r="C751" s="5">
        <v>44664</v>
      </c>
      <c r="D751" s="4" t="s">
        <v>266</v>
      </c>
      <c r="E751" s="4" t="s">
        <v>267</v>
      </c>
      <c r="F751" s="4" t="s">
        <v>272</v>
      </c>
      <c r="G751" s="6">
        <v>7700.00000240394</v>
      </c>
      <c r="H751" s="6">
        <f t="shared" si="12"/>
        <v>-249120.96155066739</v>
      </c>
      <c r="I751" s="4"/>
      <c r="J751" s="4" t="s">
        <v>68</v>
      </c>
      <c r="K751" s="7">
        <v>-7700</v>
      </c>
      <c r="L751" s="4" t="s">
        <v>45</v>
      </c>
      <c r="M751" s="4" t="s">
        <v>27</v>
      </c>
      <c r="N751" s="4" t="s">
        <v>28</v>
      </c>
    </row>
    <row r="752" spans="1:14" ht="10.5" hidden="1" x14ac:dyDescent="0.25">
      <c r="A752" s="8" t="s">
        <v>240</v>
      </c>
      <c r="B752" s="4" t="s">
        <v>21</v>
      </c>
      <c r="C752" s="5">
        <v>44664</v>
      </c>
      <c r="D752" s="4" t="s">
        <v>266</v>
      </c>
      <c r="E752" s="4" t="s">
        <v>267</v>
      </c>
      <c r="F752" s="4" t="s">
        <v>273</v>
      </c>
      <c r="G752" s="6">
        <v>600.00000018731998</v>
      </c>
      <c r="H752" s="6">
        <f t="shared" si="12"/>
        <v>-248520.96155048007</v>
      </c>
      <c r="I752" s="4"/>
      <c r="J752" s="4" t="s">
        <v>68</v>
      </c>
      <c r="K752" s="7">
        <v>-600</v>
      </c>
      <c r="L752" s="4" t="s">
        <v>45</v>
      </c>
      <c r="M752" s="4" t="s">
        <v>27</v>
      </c>
      <c r="N752" s="4" t="s">
        <v>28</v>
      </c>
    </row>
    <row r="753" spans="1:14" ht="10.5" hidden="1" x14ac:dyDescent="0.25">
      <c r="A753" s="8" t="s">
        <v>240</v>
      </c>
      <c r="B753" s="4" t="s">
        <v>21</v>
      </c>
      <c r="C753" s="5">
        <v>44664</v>
      </c>
      <c r="D753" s="4" t="s">
        <v>266</v>
      </c>
      <c r="E753" s="4" t="s">
        <v>267</v>
      </c>
      <c r="F753" s="4" t="s">
        <v>274</v>
      </c>
      <c r="G753" s="6">
        <v>600.00000018731998</v>
      </c>
      <c r="H753" s="6">
        <f t="shared" si="12"/>
        <v>-247920.96155029276</v>
      </c>
      <c r="I753" s="4"/>
      <c r="J753" s="4" t="s">
        <v>68</v>
      </c>
      <c r="K753" s="7">
        <v>-600</v>
      </c>
      <c r="L753" s="4" t="s">
        <v>45</v>
      </c>
      <c r="M753" s="4" t="s">
        <v>27</v>
      </c>
      <c r="N753" s="4" t="s">
        <v>28</v>
      </c>
    </row>
    <row r="754" spans="1:14" ht="10.5" hidden="1" x14ac:dyDescent="0.25">
      <c r="A754" s="8" t="s">
        <v>240</v>
      </c>
      <c r="B754" s="4" t="s">
        <v>21</v>
      </c>
      <c r="C754" s="5">
        <v>44664</v>
      </c>
      <c r="D754" s="4" t="s">
        <v>266</v>
      </c>
      <c r="E754" s="4" t="s">
        <v>267</v>
      </c>
      <c r="F754" s="4" t="s">
        <v>275</v>
      </c>
      <c r="G754" s="6">
        <v>1200.00000037464</v>
      </c>
      <c r="H754" s="6">
        <f t="shared" si="12"/>
        <v>-246720.96154991811</v>
      </c>
      <c r="I754" s="4"/>
      <c r="J754" s="4" t="s">
        <v>68</v>
      </c>
      <c r="K754" s="7">
        <v>-1200</v>
      </c>
      <c r="L754" s="4" t="s">
        <v>45</v>
      </c>
      <c r="M754" s="4" t="s">
        <v>27</v>
      </c>
      <c r="N754" s="4" t="s">
        <v>28</v>
      </c>
    </row>
    <row r="755" spans="1:14" ht="10.5" hidden="1" x14ac:dyDescent="0.25">
      <c r="A755" s="8" t="s">
        <v>240</v>
      </c>
      <c r="B755" s="4" t="s">
        <v>21</v>
      </c>
      <c r="C755" s="5">
        <v>44664</v>
      </c>
      <c r="D755" s="4" t="s">
        <v>266</v>
      </c>
      <c r="E755" s="4" t="s">
        <v>267</v>
      </c>
      <c r="F755" s="4" t="s">
        <v>276</v>
      </c>
      <c r="G755" s="6">
        <v>100.00000003122</v>
      </c>
      <c r="H755" s="6">
        <f t="shared" si="12"/>
        <v>-246620.96154988688</v>
      </c>
      <c r="I755" s="4"/>
      <c r="J755" s="4" t="s">
        <v>68</v>
      </c>
      <c r="K755" s="7">
        <v>-100</v>
      </c>
      <c r="L755" s="4" t="s">
        <v>45</v>
      </c>
      <c r="M755" s="4" t="s">
        <v>27</v>
      </c>
      <c r="N755" s="4" t="s">
        <v>28</v>
      </c>
    </row>
    <row r="756" spans="1:14" ht="10.5" hidden="1" x14ac:dyDescent="0.25">
      <c r="A756" s="8" t="s">
        <v>240</v>
      </c>
      <c r="B756" s="4" t="s">
        <v>21</v>
      </c>
      <c r="C756" s="5">
        <v>44664</v>
      </c>
      <c r="D756" s="4" t="s">
        <v>266</v>
      </c>
      <c r="E756" s="4" t="s">
        <v>267</v>
      </c>
      <c r="F756" s="4" t="s">
        <v>277</v>
      </c>
      <c r="G756" s="6">
        <v>5300.0000016546601</v>
      </c>
      <c r="H756" s="6">
        <f t="shared" si="12"/>
        <v>-241320.96154823221</v>
      </c>
      <c r="I756" s="4"/>
      <c r="J756" s="4" t="s">
        <v>68</v>
      </c>
      <c r="K756" s="7">
        <v>-5300</v>
      </c>
      <c r="L756" s="4" t="s">
        <v>45</v>
      </c>
      <c r="M756" s="4" t="s">
        <v>27</v>
      </c>
      <c r="N756" s="4" t="s">
        <v>28</v>
      </c>
    </row>
    <row r="757" spans="1:14" ht="10.5" hidden="1" x14ac:dyDescent="0.25">
      <c r="A757" s="8" t="s">
        <v>240</v>
      </c>
      <c r="B757" s="4" t="s">
        <v>21</v>
      </c>
      <c r="C757" s="5">
        <v>44664</v>
      </c>
      <c r="D757" s="4" t="s">
        <v>266</v>
      </c>
      <c r="E757" s="4" t="s">
        <v>267</v>
      </c>
      <c r="F757" s="4" t="s">
        <v>278</v>
      </c>
      <c r="G757" s="6">
        <v>1000.0000003122</v>
      </c>
      <c r="H757" s="6">
        <f t="shared" si="12"/>
        <v>-240320.96154792001</v>
      </c>
      <c r="I757" s="4"/>
      <c r="J757" s="4" t="s">
        <v>68</v>
      </c>
      <c r="K757" s="7">
        <v>-1000</v>
      </c>
      <c r="L757" s="4" t="s">
        <v>45</v>
      </c>
      <c r="M757" s="4" t="s">
        <v>27</v>
      </c>
      <c r="N757" s="4" t="s">
        <v>28</v>
      </c>
    </row>
    <row r="758" spans="1:14" ht="10.5" hidden="1" x14ac:dyDescent="0.25">
      <c r="A758" s="8" t="s">
        <v>240</v>
      </c>
      <c r="B758" s="4" t="s">
        <v>21</v>
      </c>
      <c r="C758" s="5">
        <v>44664</v>
      </c>
      <c r="D758" s="4" t="s">
        <v>266</v>
      </c>
      <c r="E758" s="4" t="s">
        <v>267</v>
      </c>
      <c r="F758" s="4" t="s">
        <v>279</v>
      </c>
      <c r="G758" s="6">
        <v>200.00000006243999</v>
      </c>
      <c r="H758" s="6">
        <f t="shared" si="12"/>
        <v>-240120.96154785759</v>
      </c>
      <c r="I758" s="4"/>
      <c r="J758" s="4" t="s">
        <v>68</v>
      </c>
      <c r="K758" s="7">
        <v>-200</v>
      </c>
      <c r="L758" s="4" t="s">
        <v>45</v>
      </c>
      <c r="M758" s="4" t="s">
        <v>27</v>
      </c>
      <c r="N758" s="4" t="s">
        <v>28</v>
      </c>
    </row>
    <row r="759" spans="1:14" ht="10.5" hidden="1" x14ac:dyDescent="0.25">
      <c r="A759" s="8" t="s">
        <v>240</v>
      </c>
      <c r="B759" s="4" t="s">
        <v>21</v>
      </c>
      <c r="C759" s="5">
        <v>44664</v>
      </c>
      <c r="D759" s="4" t="s">
        <v>266</v>
      </c>
      <c r="E759" s="4" t="s">
        <v>267</v>
      </c>
      <c r="F759" s="4" t="s">
        <v>280</v>
      </c>
      <c r="G759" s="6">
        <v>1800.00000056196</v>
      </c>
      <c r="H759" s="6">
        <f t="shared" si="12"/>
        <v>-238320.96154729562</v>
      </c>
      <c r="I759" s="4"/>
      <c r="J759" s="4" t="s">
        <v>68</v>
      </c>
      <c r="K759" s="7">
        <v>-1800</v>
      </c>
      <c r="L759" s="4" t="s">
        <v>45</v>
      </c>
      <c r="M759" s="4" t="s">
        <v>27</v>
      </c>
      <c r="N759" s="4" t="s">
        <v>28</v>
      </c>
    </row>
    <row r="760" spans="1:14" ht="10.5" hidden="1" x14ac:dyDescent="0.25">
      <c r="A760" s="8" t="s">
        <v>240</v>
      </c>
      <c r="B760" s="4" t="s">
        <v>21</v>
      </c>
      <c r="C760" s="5">
        <v>44664</v>
      </c>
      <c r="D760" s="4" t="s">
        <v>266</v>
      </c>
      <c r="E760" s="4" t="s">
        <v>267</v>
      </c>
      <c r="F760" s="4" t="s">
        <v>281</v>
      </c>
      <c r="G760" s="6">
        <v>12000.0000037464</v>
      </c>
      <c r="H760" s="6">
        <f t="shared" si="12"/>
        <v>-226320.96154354923</v>
      </c>
      <c r="I760" s="4"/>
      <c r="J760" s="4" t="s">
        <v>68</v>
      </c>
      <c r="K760" s="7">
        <v>-12000</v>
      </c>
      <c r="L760" s="4" t="s">
        <v>45</v>
      </c>
      <c r="M760" s="4" t="s">
        <v>27</v>
      </c>
      <c r="N760" s="4" t="s">
        <v>28</v>
      </c>
    </row>
    <row r="761" spans="1:14" ht="10.5" hidden="1" x14ac:dyDescent="0.25">
      <c r="A761" s="8" t="s">
        <v>240</v>
      </c>
      <c r="B761" s="4" t="s">
        <v>21</v>
      </c>
      <c r="C761" s="5">
        <v>44664</v>
      </c>
      <c r="D761" s="4" t="s">
        <v>266</v>
      </c>
      <c r="E761" s="4" t="s">
        <v>267</v>
      </c>
      <c r="F761" s="4" t="s">
        <v>282</v>
      </c>
      <c r="G761" s="6">
        <v>1300.00000040586</v>
      </c>
      <c r="H761" s="6">
        <f t="shared" si="12"/>
        <v>-225020.96154314338</v>
      </c>
      <c r="I761" s="4"/>
      <c r="J761" s="4" t="s">
        <v>68</v>
      </c>
      <c r="K761" s="7">
        <v>-1300</v>
      </c>
      <c r="L761" s="4" t="s">
        <v>45</v>
      </c>
      <c r="M761" s="4" t="s">
        <v>27</v>
      </c>
      <c r="N761" s="4" t="s">
        <v>28</v>
      </c>
    </row>
    <row r="762" spans="1:14" ht="10.5" hidden="1" x14ac:dyDescent="0.25">
      <c r="A762" s="8" t="s">
        <v>240</v>
      </c>
      <c r="B762" s="4" t="s">
        <v>21</v>
      </c>
      <c r="C762" s="5">
        <v>44678</v>
      </c>
      <c r="D762" s="4" t="s">
        <v>283</v>
      </c>
      <c r="E762" s="4" t="s">
        <v>284</v>
      </c>
      <c r="F762" s="4" t="s">
        <v>284</v>
      </c>
      <c r="G762" s="6">
        <v>3321.6164675318</v>
      </c>
      <c r="H762" s="6">
        <f t="shared" si="12"/>
        <v>-221699.34507561158</v>
      </c>
      <c r="I762" s="4"/>
      <c r="J762" s="4" t="s">
        <v>68</v>
      </c>
      <c r="K762" s="7">
        <v>-4696</v>
      </c>
      <c r="L762" s="4" t="s">
        <v>45</v>
      </c>
      <c r="M762" s="4" t="s">
        <v>197</v>
      </c>
      <c r="N762" s="4" t="s">
        <v>223</v>
      </c>
    </row>
    <row r="763" spans="1:14" ht="10.5" hidden="1" x14ac:dyDescent="0.25">
      <c r="A763" s="8" t="s">
        <v>240</v>
      </c>
      <c r="B763" s="4" t="s">
        <v>241</v>
      </c>
      <c r="C763" s="5">
        <v>44681</v>
      </c>
      <c r="D763" s="4" t="s">
        <v>285</v>
      </c>
      <c r="E763" s="4"/>
      <c r="F763" s="4"/>
      <c r="G763" s="6">
        <v>-756.10471842339996</v>
      </c>
      <c r="H763" s="6">
        <f t="shared" si="12"/>
        <v>-222455.44979403497</v>
      </c>
      <c r="I763" s="4"/>
      <c r="J763" s="4" t="s">
        <v>68</v>
      </c>
      <c r="K763" s="7">
        <v>0</v>
      </c>
      <c r="L763" s="4" t="s">
        <v>45</v>
      </c>
      <c r="M763" s="4" t="s">
        <v>201</v>
      </c>
      <c r="N763" s="4"/>
    </row>
    <row r="764" spans="1:14" ht="10.5" hidden="1" x14ac:dyDescent="0.25">
      <c r="A764" s="8" t="s">
        <v>240</v>
      </c>
      <c r="B764" s="4" t="s">
        <v>241</v>
      </c>
      <c r="C764" s="5">
        <v>44681</v>
      </c>
      <c r="D764" s="4" t="s">
        <v>286</v>
      </c>
      <c r="E764" s="4"/>
      <c r="F764" s="4"/>
      <c r="G764" s="6">
        <v>3.6575908121</v>
      </c>
      <c r="H764" s="6">
        <f t="shared" si="12"/>
        <v>-222451.79220322287</v>
      </c>
      <c r="I764" s="4"/>
      <c r="J764" s="4" t="s">
        <v>68</v>
      </c>
      <c r="K764" s="7">
        <v>0</v>
      </c>
      <c r="L764" s="4" t="s">
        <v>45</v>
      </c>
      <c r="M764" s="4" t="s">
        <v>197</v>
      </c>
      <c r="N764" s="4"/>
    </row>
    <row r="765" spans="1:14" ht="10.5" hidden="1" x14ac:dyDescent="0.25">
      <c r="A765" s="8" t="s">
        <v>240</v>
      </c>
      <c r="B765" s="4" t="s">
        <v>241</v>
      </c>
      <c r="C765" s="5">
        <v>44681</v>
      </c>
      <c r="D765" s="4" t="s">
        <v>287</v>
      </c>
      <c r="E765" s="4"/>
      <c r="F765" s="4"/>
      <c r="G765" s="6">
        <v>352.76362961400002</v>
      </c>
      <c r="H765" s="6">
        <f t="shared" si="12"/>
        <v>-222099.02857360887</v>
      </c>
      <c r="I765" s="4"/>
      <c r="J765" s="4" t="s">
        <v>68</v>
      </c>
      <c r="K765" s="7">
        <v>0</v>
      </c>
      <c r="L765" s="4" t="s">
        <v>45</v>
      </c>
      <c r="M765" s="4" t="s">
        <v>193</v>
      </c>
      <c r="N765" s="4"/>
    </row>
    <row r="766" spans="1:14" ht="10.5" hidden="1" x14ac:dyDescent="0.25">
      <c r="A766" s="8" t="s">
        <v>240</v>
      </c>
      <c r="B766" s="4" t="s">
        <v>241</v>
      </c>
      <c r="C766" s="5">
        <v>44682</v>
      </c>
      <c r="D766" s="4" t="s">
        <v>288</v>
      </c>
      <c r="E766" s="4"/>
      <c r="F766" s="4"/>
      <c r="G766" s="6">
        <v>756.10471842339996</v>
      </c>
      <c r="H766" s="6">
        <f t="shared" si="12"/>
        <v>-221342.92385518548</v>
      </c>
      <c r="I766" s="4"/>
      <c r="J766" s="4" t="s">
        <v>68</v>
      </c>
      <c r="K766" s="7">
        <v>0</v>
      </c>
      <c r="L766" s="4" t="s">
        <v>52</v>
      </c>
      <c r="M766" s="4" t="s">
        <v>201</v>
      </c>
      <c r="N766" s="4"/>
    </row>
    <row r="767" spans="1:14" ht="10.5" hidden="1" x14ac:dyDescent="0.25">
      <c r="A767" s="8" t="s">
        <v>240</v>
      </c>
      <c r="B767" s="4" t="s">
        <v>241</v>
      </c>
      <c r="C767" s="5">
        <v>44682</v>
      </c>
      <c r="D767" s="4" t="s">
        <v>289</v>
      </c>
      <c r="E767" s="4"/>
      <c r="F767" s="4"/>
      <c r="G767" s="6">
        <v>-3.6575908121</v>
      </c>
      <c r="H767" s="6">
        <f t="shared" si="12"/>
        <v>-221346.58144599758</v>
      </c>
      <c r="I767" s="4"/>
      <c r="J767" s="4" t="s">
        <v>68</v>
      </c>
      <c r="K767" s="7">
        <v>0</v>
      </c>
      <c r="L767" s="4" t="s">
        <v>52</v>
      </c>
      <c r="M767" s="4" t="s">
        <v>197</v>
      </c>
      <c r="N767" s="4"/>
    </row>
    <row r="768" spans="1:14" ht="10.5" hidden="1" x14ac:dyDescent="0.25">
      <c r="A768" s="8" t="s">
        <v>240</v>
      </c>
      <c r="B768" s="4" t="s">
        <v>241</v>
      </c>
      <c r="C768" s="5">
        <v>44682</v>
      </c>
      <c r="D768" s="4" t="s">
        <v>290</v>
      </c>
      <c r="E768" s="4"/>
      <c r="F768" s="4"/>
      <c r="G768" s="6">
        <v>-352.76362961400002</v>
      </c>
      <c r="H768" s="6">
        <f t="shared" si="12"/>
        <v>-221699.34507561158</v>
      </c>
      <c r="I768" s="4"/>
      <c r="J768" s="4" t="s">
        <v>68</v>
      </c>
      <c r="K768" s="7">
        <v>0</v>
      </c>
      <c r="L768" s="4" t="s">
        <v>52</v>
      </c>
      <c r="M768" s="4" t="s">
        <v>193</v>
      </c>
      <c r="N768" s="4"/>
    </row>
    <row r="769" spans="1:17" ht="10.5" hidden="1" x14ac:dyDescent="0.25">
      <c r="A769" s="8" t="s">
        <v>240</v>
      </c>
      <c r="B769" s="4" t="s">
        <v>21</v>
      </c>
      <c r="C769" s="5">
        <v>44687</v>
      </c>
      <c r="D769" s="4" t="s">
        <v>291</v>
      </c>
      <c r="E769" s="4" t="s">
        <v>292</v>
      </c>
      <c r="F769" s="4" t="s">
        <v>292</v>
      </c>
      <c r="G769" s="6">
        <v>6850.6675910633003</v>
      </c>
      <c r="H769" s="6">
        <f t="shared" si="12"/>
        <v>-214848.67748454827</v>
      </c>
      <c r="I769" s="4"/>
      <c r="J769" s="4" t="s">
        <v>68</v>
      </c>
      <c r="K769" s="7">
        <v>-9552.35</v>
      </c>
      <c r="L769" s="4" t="s">
        <v>52</v>
      </c>
      <c r="M769" s="4" t="s">
        <v>201</v>
      </c>
      <c r="N769" s="4" t="s">
        <v>223</v>
      </c>
    </row>
    <row r="770" spans="1:17" ht="10.5" hidden="1" x14ac:dyDescent="0.25">
      <c r="A770" s="8" t="s">
        <v>240</v>
      </c>
      <c r="B770" s="4" t="s">
        <v>21</v>
      </c>
      <c r="C770" s="5">
        <v>44700</v>
      </c>
      <c r="D770" s="4" t="s">
        <v>49</v>
      </c>
      <c r="E770" s="4" t="s">
        <v>50</v>
      </c>
      <c r="F770" s="4" t="s">
        <v>50</v>
      </c>
      <c r="G770" s="6">
        <v>-2362.3000007375099</v>
      </c>
      <c r="H770" s="6">
        <f t="shared" si="12"/>
        <v>-217210.97748528578</v>
      </c>
      <c r="I770" s="4"/>
      <c r="J770" s="4" t="s">
        <v>68</v>
      </c>
      <c r="K770" s="7">
        <v>2362.3000000000002</v>
      </c>
      <c r="L770" s="4" t="s">
        <v>52</v>
      </c>
      <c r="M770" s="4" t="s">
        <v>27</v>
      </c>
      <c r="N770" s="4" t="s">
        <v>53</v>
      </c>
    </row>
    <row r="771" spans="1:17" ht="10.5" hidden="1" x14ac:dyDescent="0.25">
      <c r="A771" s="8" t="s">
        <v>240</v>
      </c>
      <c r="B771" s="4" t="s">
        <v>21</v>
      </c>
      <c r="C771" s="5">
        <v>44712</v>
      </c>
      <c r="D771" s="4" t="s">
        <v>54</v>
      </c>
      <c r="E771" s="4" t="s">
        <v>55</v>
      </c>
      <c r="F771" s="4" t="s">
        <v>55</v>
      </c>
      <c r="G771" s="6">
        <v>-8511.3815030031001</v>
      </c>
      <c r="H771" s="6">
        <f t="shared" si="12"/>
        <v>-225722.35898828888</v>
      </c>
      <c r="I771" s="4"/>
      <c r="J771" s="4" t="s">
        <v>68</v>
      </c>
      <c r="K771" s="7">
        <v>8121.39</v>
      </c>
      <c r="L771" s="4" t="s">
        <v>52</v>
      </c>
      <c r="M771" s="4" t="s">
        <v>38</v>
      </c>
      <c r="N771" s="4" t="s">
        <v>39</v>
      </c>
      <c r="Q771" s="4" t="s">
        <v>779</v>
      </c>
    </row>
    <row r="772" spans="1:17" ht="10.5" hidden="1" x14ac:dyDescent="0.25">
      <c r="A772" s="8" t="s">
        <v>240</v>
      </c>
      <c r="B772" s="4" t="s">
        <v>241</v>
      </c>
      <c r="C772" s="5">
        <v>44712</v>
      </c>
      <c r="D772" s="4" t="s">
        <v>293</v>
      </c>
      <c r="E772" s="4"/>
      <c r="F772" s="4"/>
      <c r="G772" s="6">
        <v>663.10339788880003</v>
      </c>
      <c r="H772" s="6">
        <f t="shared" si="12"/>
        <v>-225059.25559040008</v>
      </c>
      <c r="I772" s="4"/>
      <c r="J772" s="4" t="s">
        <v>68</v>
      </c>
      <c r="K772" s="7">
        <v>0</v>
      </c>
      <c r="L772" s="4" t="s">
        <v>52</v>
      </c>
      <c r="M772" s="4" t="s">
        <v>193</v>
      </c>
      <c r="N772" s="4"/>
    </row>
    <row r="773" spans="1:17" ht="10.5" hidden="1" x14ac:dyDescent="0.25">
      <c r="A773" s="8" t="s">
        <v>240</v>
      </c>
      <c r="B773" s="4" t="s">
        <v>241</v>
      </c>
      <c r="C773" s="5">
        <v>44712</v>
      </c>
      <c r="D773" s="4" t="s">
        <v>294</v>
      </c>
      <c r="E773" s="4"/>
      <c r="F773" s="4"/>
      <c r="G773" s="6">
        <v>2.8086943772000001</v>
      </c>
      <c r="H773" s="6">
        <f t="shared" si="12"/>
        <v>-225056.44689602288</v>
      </c>
      <c r="I773" s="4"/>
      <c r="J773" s="4" t="s">
        <v>68</v>
      </c>
      <c r="K773" s="7">
        <v>0</v>
      </c>
      <c r="L773" s="4" t="s">
        <v>52</v>
      </c>
      <c r="M773" s="4" t="s">
        <v>197</v>
      </c>
      <c r="N773" s="4"/>
    </row>
    <row r="774" spans="1:17" ht="10.5" hidden="1" x14ac:dyDescent="0.25">
      <c r="A774" s="8" t="s">
        <v>240</v>
      </c>
      <c r="B774" s="4" t="s">
        <v>241</v>
      </c>
      <c r="C774" s="5">
        <v>44712</v>
      </c>
      <c r="D774" s="4" t="s">
        <v>295</v>
      </c>
      <c r="E774" s="4"/>
      <c r="F774" s="4"/>
      <c r="G774" s="6">
        <v>-691.04361882019998</v>
      </c>
      <c r="H774" s="6">
        <f t="shared" si="12"/>
        <v>-225747.49051484308</v>
      </c>
      <c r="I774" s="4"/>
      <c r="J774" s="4" t="s">
        <v>68</v>
      </c>
      <c r="K774" s="7">
        <v>0</v>
      </c>
      <c r="L774" s="4" t="s">
        <v>52</v>
      </c>
      <c r="M774" s="4" t="s">
        <v>201</v>
      </c>
      <c r="N774" s="4"/>
    </row>
    <row r="775" spans="1:17" ht="10.5" hidden="1" x14ac:dyDescent="0.25">
      <c r="A775" s="8" t="s">
        <v>240</v>
      </c>
      <c r="B775" s="4" t="s">
        <v>241</v>
      </c>
      <c r="C775" s="5">
        <v>44713</v>
      </c>
      <c r="D775" s="4" t="s">
        <v>296</v>
      </c>
      <c r="E775" s="4"/>
      <c r="F775" s="4"/>
      <c r="G775" s="6">
        <v>-663.10339788880003</v>
      </c>
      <c r="H775" s="6">
        <f t="shared" si="12"/>
        <v>-226410.59391273189</v>
      </c>
      <c r="I775" s="4"/>
      <c r="J775" s="4" t="s">
        <v>68</v>
      </c>
      <c r="K775" s="7">
        <v>0</v>
      </c>
      <c r="L775" s="4" t="s">
        <v>160</v>
      </c>
      <c r="M775" s="4" t="s">
        <v>193</v>
      </c>
      <c r="N775" s="4"/>
    </row>
    <row r="776" spans="1:17" ht="10.5" hidden="1" x14ac:dyDescent="0.25">
      <c r="A776" s="8" t="s">
        <v>240</v>
      </c>
      <c r="B776" s="4" t="s">
        <v>241</v>
      </c>
      <c r="C776" s="5">
        <v>44713</v>
      </c>
      <c r="D776" s="4" t="s">
        <v>297</v>
      </c>
      <c r="E776" s="4"/>
      <c r="F776" s="4"/>
      <c r="G776" s="6">
        <v>-2.8086943772000001</v>
      </c>
      <c r="H776" s="6">
        <f t="shared" si="12"/>
        <v>-226413.40260710908</v>
      </c>
      <c r="I776" s="4"/>
      <c r="J776" s="4" t="s">
        <v>68</v>
      </c>
      <c r="K776" s="7">
        <v>0</v>
      </c>
      <c r="L776" s="4" t="s">
        <v>160</v>
      </c>
      <c r="M776" s="4" t="s">
        <v>197</v>
      </c>
      <c r="N776" s="4"/>
    </row>
    <row r="777" spans="1:17" ht="10.5" hidden="1" x14ac:dyDescent="0.25">
      <c r="A777" s="8" t="s">
        <v>240</v>
      </c>
      <c r="B777" s="4" t="s">
        <v>241</v>
      </c>
      <c r="C777" s="5">
        <v>44713</v>
      </c>
      <c r="D777" s="4" t="s">
        <v>298</v>
      </c>
      <c r="E777" s="4"/>
      <c r="F777" s="4"/>
      <c r="G777" s="6">
        <v>691.04361882019998</v>
      </c>
      <c r="H777" s="6">
        <f t="shared" si="12"/>
        <v>-225722.35898828888</v>
      </c>
      <c r="I777" s="4"/>
      <c r="J777" s="4" t="s">
        <v>68</v>
      </c>
      <c r="K777" s="7">
        <v>0</v>
      </c>
      <c r="L777" s="4" t="s">
        <v>160</v>
      </c>
      <c r="M777" s="4" t="s">
        <v>201</v>
      </c>
      <c r="N777" s="4"/>
    </row>
    <row r="778" spans="1:17" ht="10.5" hidden="1" x14ac:dyDescent="0.25">
      <c r="A778" s="8" t="s">
        <v>240</v>
      </c>
      <c r="B778" s="4" t="s">
        <v>21</v>
      </c>
      <c r="C778" s="5">
        <v>44742</v>
      </c>
      <c r="D778" s="4" t="s">
        <v>299</v>
      </c>
      <c r="E778" s="4" t="s">
        <v>300</v>
      </c>
      <c r="F778" s="4" t="s">
        <v>301</v>
      </c>
      <c r="G778" s="6">
        <v>18033.660656660311</v>
      </c>
      <c r="H778" s="6">
        <f t="shared" si="12"/>
        <v>-207688.69833162858</v>
      </c>
      <c r="I778" s="4"/>
      <c r="J778" s="4" t="s">
        <v>68</v>
      </c>
      <c r="K778" s="7">
        <v>-23224</v>
      </c>
      <c r="L778" s="4" t="s">
        <v>160</v>
      </c>
      <c r="M778" s="4" t="s">
        <v>212</v>
      </c>
      <c r="N778" s="4" t="s">
        <v>53</v>
      </c>
    </row>
    <row r="779" spans="1:17" ht="10.5" hidden="1" x14ac:dyDescent="0.25">
      <c r="A779" s="8" t="s">
        <v>240</v>
      </c>
      <c r="B779" s="4" t="s">
        <v>21</v>
      </c>
      <c r="C779" s="5">
        <v>44742</v>
      </c>
      <c r="D779" s="4" t="s">
        <v>299</v>
      </c>
      <c r="E779" s="4" t="s">
        <v>300</v>
      </c>
      <c r="F779" s="4" t="s">
        <v>302</v>
      </c>
      <c r="G779" s="6">
        <v>9073.5155344934446</v>
      </c>
      <c r="H779" s="6">
        <f t="shared" si="12"/>
        <v>-198615.18279713514</v>
      </c>
      <c r="I779" s="4"/>
      <c r="J779" s="4" t="s">
        <v>68</v>
      </c>
      <c r="K779" s="7">
        <v>-11685</v>
      </c>
      <c r="L779" s="4" t="s">
        <v>160</v>
      </c>
      <c r="M779" s="4" t="s">
        <v>212</v>
      </c>
      <c r="N779" s="4" t="s">
        <v>53</v>
      </c>
    </row>
    <row r="780" spans="1:17" ht="10.5" hidden="1" x14ac:dyDescent="0.25">
      <c r="A780" s="8" t="s">
        <v>240</v>
      </c>
      <c r="B780" s="4" t="s">
        <v>21</v>
      </c>
      <c r="C780" s="5">
        <v>44742</v>
      </c>
      <c r="D780" s="4" t="s">
        <v>235</v>
      </c>
      <c r="E780" s="4" t="s">
        <v>236</v>
      </c>
      <c r="F780" s="4" t="s">
        <v>236</v>
      </c>
      <c r="G780" s="6">
        <v>-6874.3214090086003</v>
      </c>
      <c r="H780" s="6">
        <f t="shared" si="12"/>
        <v>-205489.50420614376</v>
      </c>
      <c r="I780" s="4"/>
      <c r="J780" s="4" t="s">
        <v>68</v>
      </c>
      <c r="K780" s="7">
        <v>9552.5300000000007</v>
      </c>
      <c r="L780" s="4" t="s">
        <v>160</v>
      </c>
      <c r="M780" s="4" t="s">
        <v>201</v>
      </c>
      <c r="N780" s="4" t="s">
        <v>223</v>
      </c>
    </row>
    <row r="781" spans="1:17" ht="10.5" hidden="1" x14ac:dyDescent="0.25">
      <c r="A781" s="8" t="s">
        <v>240</v>
      </c>
      <c r="B781" s="4" t="s">
        <v>241</v>
      </c>
      <c r="C781" s="5">
        <v>44742</v>
      </c>
      <c r="D781" s="4" t="s">
        <v>819</v>
      </c>
      <c r="E781" s="4"/>
      <c r="F781" s="4"/>
      <c r="G781" s="6">
        <v>1298.4237778897</v>
      </c>
      <c r="H781" s="6">
        <f t="shared" si="12"/>
        <v>-204191.08042825406</v>
      </c>
      <c r="I781" s="4"/>
      <c r="J781" s="4" t="s">
        <v>68</v>
      </c>
      <c r="K781" s="7">
        <v>0</v>
      </c>
      <c r="L781" s="4" t="s">
        <v>160</v>
      </c>
      <c r="M781" s="4" t="s">
        <v>193</v>
      </c>
      <c r="N781" s="4"/>
    </row>
    <row r="782" spans="1:17" ht="10.5" hidden="1" x14ac:dyDescent="0.25">
      <c r="A782" s="8" t="s">
        <v>240</v>
      </c>
      <c r="B782" s="4" t="s">
        <v>241</v>
      </c>
      <c r="C782" s="5">
        <v>44742</v>
      </c>
      <c r="D782" s="4" t="s">
        <v>820</v>
      </c>
      <c r="E782" s="4"/>
      <c r="F782" s="4"/>
      <c r="G782" s="6">
        <v>-2.3685258554000002</v>
      </c>
      <c r="H782" s="6">
        <f t="shared" si="12"/>
        <v>-204193.44895410945</v>
      </c>
      <c r="I782" s="4"/>
      <c r="J782" s="4" t="s">
        <v>68</v>
      </c>
      <c r="K782" s="7">
        <v>0</v>
      </c>
      <c r="L782" s="4" t="s">
        <v>160</v>
      </c>
      <c r="M782" s="4" t="s">
        <v>197</v>
      </c>
      <c r="N782" s="4"/>
    </row>
    <row r="783" spans="1:17" ht="10.5" hidden="1" x14ac:dyDescent="0.25">
      <c r="A783" s="8" t="s">
        <v>240</v>
      </c>
      <c r="B783" s="4" t="s">
        <v>241</v>
      </c>
      <c r="C783" s="5">
        <v>44742</v>
      </c>
      <c r="D783" s="4" t="s">
        <v>821</v>
      </c>
      <c r="E783" s="4"/>
      <c r="F783" s="4"/>
      <c r="G783" s="6">
        <v>-752.42616720549995</v>
      </c>
      <c r="H783" s="6">
        <f t="shared" si="12"/>
        <v>-204945.87512131495</v>
      </c>
      <c r="I783" s="4"/>
      <c r="J783" s="4" t="s">
        <v>68</v>
      </c>
      <c r="K783" s="7">
        <v>0</v>
      </c>
      <c r="L783" s="4" t="s">
        <v>160</v>
      </c>
      <c r="M783" s="4" t="s">
        <v>201</v>
      </c>
      <c r="N783" s="4"/>
    </row>
    <row r="784" spans="1:17" ht="10.5" hidden="1" x14ac:dyDescent="0.25">
      <c r="A784" s="9" t="s">
        <v>303</v>
      </c>
      <c r="B784" s="10"/>
      <c r="C784" s="11"/>
      <c r="D784" s="10"/>
      <c r="E784" s="10"/>
      <c r="F784" s="10"/>
      <c r="G784" s="12">
        <f>SUM(G91:G783)</f>
        <v>-204945.87512131495</v>
      </c>
      <c r="H784" s="12">
        <f>H783</f>
        <v>-204945.87512131495</v>
      </c>
      <c r="I784" s="10"/>
      <c r="J784" s="10"/>
      <c r="K784" s="13"/>
      <c r="L784" s="10"/>
      <c r="M784" s="10"/>
      <c r="N784" s="10"/>
    </row>
    <row r="785" spans="1:14" ht="10.5" hidden="1" x14ac:dyDescent="0.25">
      <c r="A785" s="8" t="s">
        <v>470</v>
      </c>
      <c r="B785" s="4"/>
      <c r="C785" s="5"/>
      <c r="D785" s="4"/>
      <c r="E785" s="4"/>
      <c r="F785" s="4"/>
      <c r="G785" s="6">
        <v>0</v>
      </c>
      <c r="H785" s="6">
        <v>0</v>
      </c>
      <c r="I785" s="4"/>
      <c r="J785" s="4"/>
      <c r="K785" s="7">
        <v>0</v>
      </c>
      <c r="L785" s="4"/>
      <c r="M785" s="4"/>
      <c r="N785" s="4"/>
    </row>
    <row r="786" spans="1:14" ht="10.5" hidden="1" x14ac:dyDescent="0.25">
      <c r="A786" s="8" t="s">
        <v>470</v>
      </c>
      <c r="B786" s="4" t="s">
        <v>21</v>
      </c>
      <c r="C786" s="5">
        <v>43465</v>
      </c>
      <c r="D786" s="4" t="s">
        <v>1168</v>
      </c>
      <c r="E786" s="4" t="s">
        <v>1162</v>
      </c>
      <c r="F786" s="4" t="s">
        <v>1162</v>
      </c>
      <c r="G786" s="6">
        <v>-269924.69982645748</v>
      </c>
      <c r="H786" s="6">
        <f t="shared" ref="H786:H849" si="13">H785+G786</f>
        <v>-269924.69982645748</v>
      </c>
      <c r="I786" s="4"/>
      <c r="J786" s="4" t="s">
        <v>68</v>
      </c>
      <c r="K786" s="7">
        <v>257556.75</v>
      </c>
      <c r="L786" s="4" t="s">
        <v>1164</v>
      </c>
      <c r="M786" s="4" t="s">
        <v>61</v>
      </c>
      <c r="N786" s="4"/>
    </row>
    <row r="787" spans="1:14" ht="10.5" hidden="1" x14ac:dyDescent="0.25">
      <c r="A787" s="8" t="s">
        <v>470</v>
      </c>
      <c r="B787" s="4" t="s">
        <v>21</v>
      </c>
      <c r="C787" s="5">
        <v>43496</v>
      </c>
      <c r="D787" s="4" t="s">
        <v>2174</v>
      </c>
      <c r="E787" s="4" t="s">
        <v>1192</v>
      </c>
      <c r="F787" s="4" t="s">
        <v>2175</v>
      </c>
      <c r="G787" s="6">
        <v>6902.2616299399997</v>
      </c>
      <c r="H787" s="6">
        <f t="shared" si="13"/>
        <v>-263022.43819651747</v>
      </c>
      <c r="I787" s="4"/>
      <c r="J787" s="4" t="s">
        <v>1176</v>
      </c>
      <c r="K787" s="7">
        <v>-6586</v>
      </c>
      <c r="L787" s="4" t="s">
        <v>1172</v>
      </c>
      <c r="M787" s="4" t="s">
        <v>61</v>
      </c>
      <c r="N787" s="4"/>
    </row>
    <row r="788" spans="1:14" ht="10.5" hidden="1" x14ac:dyDescent="0.25">
      <c r="A788" s="8" t="s">
        <v>470</v>
      </c>
      <c r="B788" s="4" t="s">
        <v>21</v>
      </c>
      <c r="C788" s="5">
        <v>43496</v>
      </c>
      <c r="D788" s="4" t="s">
        <v>2174</v>
      </c>
      <c r="E788" s="4" t="s">
        <v>1192</v>
      </c>
      <c r="F788" s="4" t="s">
        <v>2175</v>
      </c>
      <c r="G788" s="6">
        <v>-6902.2616299399997</v>
      </c>
      <c r="H788" s="6">
        <f t="shared" si="13"/>
        <v>-269924.69982645748</v>
      </c>
      <c r="I788" s="4"/>
      <c r="J788" s="4" t="s">
        <v>1176</v>
      </c>
      <c r="K788" s="7">
        <v>6586</v>
      </c>
      <c r="L788" s="4" t="s">
        <v>1172</v>
      </c>
      <c r="M788" s="4" t="s">
        <v>61</v>
      </c>
      <c r="N788" s="4"/>
    </row>
    <row r="789" spans="1:14" ht="10.5" hidden="1" x14ac:dyDescent="0.25">
      <c r="A789" s="8" t="s">
        <v>470</v>
      </c>
      <c r="B789" s="4" t="s">
        <v>21</v>
      </c>
      <c r="C789" s="5">
        <v>43496</v>
      </c>
      <c r="D789" s="4" t="s">
        <v>2174</v>
      </c>
      <c r="E789" s="4" t="s">
        <v>1192</v>
      </c>
      <c r="F789" s="4" t="s">
        <v>2176</v>
      </c>
      <c r="G789" s="6">
        <v>-6902.2616299399997</v>
      </c>
      <c r="H789" s="6">
        <f t="shared" si="13"/>
        <v>-276826.96145639749</v>
      </c>
      <c r="I789" s="4"/>
      <c r="J789" s="4" t="s">
        <v>1176</v>
      </c>
      <c r="K789" s="7">
        <v>6586</v>
      </c>
      <c r="L789" s="4" t="s">
        <v>1172</v>
      </c>
      <c r="M789" s="4" t="s">
        <v>61</v>
      </c>
      <c r="N789" s="4"/>
    </row>
    <row r="790" spans="1:14" ht="10.5" hidden="1" x14ac:dyDescent="0.25">
      <c r="A790" s="8" t="s">
        <v>470</v>
      </c>
      <c r="B790" s="4" t="s">
        <v>21</v>
      </c>
      <c r="C790" s="5">
        <v>43496</v>
      </c>
      <c r="D790" s="4" t="s">
        <v>2174</v>
      </c>
      <c r="E790" s="4" t="s">
        <v>1192</v>
      </c>
      <c r="F790" s="4" t="s">
        <v>2177</v>
      </c>
      <c r="G790" s="6">
        <v>6902.2616299399997</v>
      </c>
      <c r="H790" s="6">
        <f t="shared" si="13"/>
        <v>-269924.69982645748</v>
      </c>
      <c r="I790" s="4"/>
      <c r="J790" s="4" t="s">
        <v>68</v>
      </c>
      <c r="K790" s="7">
        <v>-6586</v>
      </c>
      <c r="L790" s="4" t="s">
        <v>1172</v>
      </c>
      <c r="M790" s="4" t="s">
        <v>61</v>
      </c>
      <c r="N790" s="4"/>
    </row>
    <row r="791" spans="1:14" ht="10.5" hidden="1" x14ac:dyDescent="0.25">
      <c r="A791" s="8" t="s">
        <v>470</v>
      </c>
      <c r="B791" s="4" t="s">
        <v>21</v>
      </c>
      <c r="C791" s="5">
        <v>43496</v>
      </c>
      <c r="D791" s="4" t="s">
        <v>2174</v>
      </c>
      <c r="E791" s="4" t="s">
        <v>1192</v>
      </c>
      <c r="F791" s="4" t="s">
        <v>2178</v>
      </c>
      <c r="G791" s="6">
        <v>-11547.988852669399</v>
      </c>
      <c r="H791" s="6">
        <f t="shared" si="13"/>
        <v>-281472.68867912691</v>
      </c>
      <c r="I791" s="4"/>
      <c r="J791" s="4" t="s">
        <v>68</v>
      </c>
      <c r="K791" s="7">
        <v>11018.86</v>
      </c>
      <c r="L791" s="4" t="s">
        <v>1172</v>
      </c>
      <c r="M791" s="4" t="s">
        <v>61</v>
      </c>
      <c r="N791" s="4"/>
    </row>
    <row r="792" spans="1:14" ht="10.5" hidden="1" x14ac:dyDescent="0.25">
      <c r="A792" s="8" t="s">
        <v>470</v>
      </c>
      <c r="B792" s="4" t="s">
        <v>21</v>
      </c>
      <c r="C792" s="5">
        <v>43524</v>
      </c>
      <c r="D792" s="4" t="s">
        <v>2179</v>
      </c>
      <c r="E792" s="4" t="s">
        <v>1192</v>
      </c>
      <c r="F792" s="4" t="s">
        <v>2178</v>
      </c>
      <c r="G792" s="6">
        <v>-14981.3347633181</v>
      </c>
      <c r="H792" s="6">
        <f t="shared" si="13"/>
        <v>-296454.02344244503</v>
      </c>
      <c r="I792" s="4"/>
      <c r="J792" s="4" t="s">
        <v>68</v>
      </c>
      <c r="K792" s="7">
        <v>14294.89</v>
      </c>
      <c r="L792" s="4" t="s">
        <v>2180</v>
      </c>
      <c r="M792" s="4" t="s">
        <v>61</v>
      </c>
      <c r="N792" s="4"/>
    </row>
    <row r="793" spans="1:14" ht="10.5" hidden="1" x14ac:dyDescent="0.25">
      <c r="A793" s="8" t="s">
        <v>470</v>
      </c>
      <c r="B793" s="4" t="s">
        <v>21</v>
      </c>
      <c r="C793" s="5">
        <v>43524</v>
      </c>
      <c r="D793" s="4" t="s">
        <v>2179</v>
      </c>
      <c r="E793" s="4" t="s">
        <v>1192</v>
      </c>
      <c r="F793" s="4" t="s">
        <v>2181</v>
      </c>
      <c r="G793" s="6">
        <v>112158.69126727821</v>
      </c>
      <c r="H793" s="6">
        <f t="shared" si="13"/>
        <v>-184295.33217516681</v>
      </c>
      <c r="I793" s="4"/>
      <c r="J793" s="4" t="s">
        <v>68</v>
      </c>
      <c r="K793" s="7">
        <v>-107019.58</v>
      </c>
      <c r="L793" s="4" t="s">
        <v>2180</v>
      </c>
      <c r="M793" s="4" t="s">
        <v>61</v>
      </c>
      <c r="N793" s="4"/>
    </row>
    <row r="794" spans="1:14" ht="10.5" hidden="1" x14ac:dyDescent="0.25">
      <c r="A794" s="8" t="s">
        <v>470</v>
      </c>
      <c r="B794" s="4" t="s">
        <v>21</v>
      </c>
      <c r="C794" s="5">
        <v>43524</v>
      </c>
      <c r="D794" s="4" t="s">
        <v>2179</v>
      </c>
      <c r="E794" s="4" t="s">
        <v>1192</v>
      </c>
      <c r="F794" s="4" t="s">
        <v>2182</v>
      </c>
      <c r="G794" s="6">
        <v>70352.071958076602</v>
      </c>
      <c r="H794" s="6">
        <f t="shared" si="13"/>
        <v>-113943.26021709021</v>
      </c>
      <c r="I794" s="4"/>
      <c r="J794" s="4" t="s">
        <v>68</v>
      </c>
      <c r="K794" s="7">
        <v>-67128.539999999994</v>
      </c>
      <c r="L794" s="4" t="s">
        <v>2180</v>
      </c>
      <c r="M794" s="4" t="s">
        <v>61</v>
      </c>
      <c r="N794" s="4"/>
    </row>
    <row r="795" spans="1:14" ht="10.5" hidden="1" x14ac:dyDescent="0.25">
      <c r="A795" s="8" t="s">
        <v>470</v>
      </c>
      <c r="B795" s="4" t="s">
        <v>21</v>
      </c>
      <c r="C795" s="5">
        <v>43524</v>
      </c>
      <c r="D795" s="4" t="s">
        <v>2179</v>
      </c>
      <c r="E795" s="4" t="s">
        <v>1192</v>
      </c>
      <c r="F795" s="4" t="s">
        <v>2183</v>
      </c>
      <c r="G795" s="6">
        <v>6903.4249324619004</v>
      </c>
      <c r="H795" s="6">
        <f t="shared" si="13"/>
        <v>-107039.83528462831</v>
      </c>
      <c r="I795" s="4"/>
      <c r="J795" s="4" t="s">
        <v>68</v>
      </c>
      <c r="K795" s="7">
        <v>-6587.11</v>
      </c>
      <c r="L795" s="4" t="s">
        <v>2180</v>
      </c>
      <c r="M795" s="4" t="s">
        <v>61</v>
      </c>
      <c r="N795" s="4"/>
    </row>
    <row r="796" spans="1:14" ht="10.5" hidden="1" x14ac:dyDescent="0.25">
      <c r="A796" s="8" t="s">
        <v>470</v>
      </c>
      <c r="B796" s="4" t="s">
        <v>21</v>
      </c>
      <c r="C796" s="5">
        <v>43524</v>
      </c>
      <c r="D796" s="4" t="s">
        <v>2179</v>
      </c>
      <c r="E796" s="4" t="s">
        <v>1192</v>
      </c>
      <c r="F796" s="4" t="s">
        <v>2184</v>
      </c>
      <c r="G796" s="6">
        <v>-71836.959505963096</v>
      </c>
      <c r="H796" s="6">
        <f t="shared" si="13"/>
        <v>-178876.7947905914</v>
      </c>
      <c r="I796" s="4"/>
      <c r="J796" s="4" t="s">
        <v>68</v>
      </c>
      <c r="K796" s="7">
        <v>68545.39</v>
      </c>
      <c r="L796" s="4" t="s">
        <v>2180</v>
      </c>
      <c r="M796" s="4" t="s">
        <v>61</v>
      </c>
      <c r="N796" s="4"/>
    </row>
    <row r="797" spans="1:14" ht="10.5" hidden="1" x14ac:dyDescent="0.25">
      <c r="A797" s="8" t="s">
        <v>470</v>
      </c>
      <c r="B797" s="4" t="s">
        <v>21</v>
      </c>
      <c r="C797" s="5">
        <v>43555</v>
      </c>
      <c r="D797" s="4" t="s">
        <v>2185</v>
      </c>
      <c r="E797" s="4" t="s">
        <v>1192</v>
      </c>
      <c r="F797" s="4" t="s">
        <v>2186</v>
      </c>
      <c r="G797" s="6">
        <v>71836.959505963096</v>
      </c>
      <c r="H797" s="6">
        <f t="shared" si="13"/>
        <v>-107039.83528462831</v>
      </c>
      <c r="I797" s="4"/>
      <c r="J797" s="4" t="s">
        <v>68</v>
      </c>
      <c r="K797" s="7">
        <v>-68545.39</v>
      </c>
      <c r="L797" s="4" t="s">
        <v>2187</v>
      </c>
      <c r="M797" s="4" t="s">
        <v>61</v>
      </c>
      <c r="N797" s="4"/>
    </row>
    <row r="798" spans="1:14" ht="10.5" hidden="1" x14ac:dyDescent="0.25">
      <c r="A798" s="8" t="s">
        <v>470</v>
      </c>
      <c r="B798" s="4" t="s">
        <v>21</v>
      </c>
      <c r="C798" s="5">
        <v>43555</v>
      </c>
      <c r="D798" s="4" t="s">
        <v>2185</v>
      </c>
      <c r="E798" s="4" t="s">
        <v>1192</v>
      </c>
      <c r="F798" s="4" t="s">
        <v>2178</v>
      </c>
      <c r="G798" s="6">
        <v>-18844.023146171101</v>
      </c>
      <c r="H798" s="6">
        <f t="shared" si="13"/>
        <v>-125883.85843079942</v>
      </c>
      <c r="I798" s="4"/>
      <c r="J798" s="4" t="s">
        <v>68</v>
      </c>
      <c r="K798" s="7">
        <v>17980.59</v>
      </c>
      <c r="L798" s="4" t="s">
        <v>2187</v>
      </c>
      <c r="M798" s="4" t="s">
        <v>61</v>
      </c>
      <c r="N798" s="4"/>
    </row>
    <row r="799" spans="1:14" ht="10.5" hidden="1" x14ac:dyDescent="0.25">
      <c r="A799" s="8" t="s">
        <v>470</v>
      </c>
      <c r="B799" s="4" t="s">
        <v>21</v>
      </c>
      <c r="C799" s="5">
        <v>43555</v>
      </c>
      <c r="D799" s="4" t="s">
        <v>2185</v>
      </c>
      <c r="E799" s="4" t="s">
        <v>1192</v>
      </c>
      <c r="F799" s="4" t="s">
        <v>2188</v>
      </c>
      <c r="G799" s="6">
        <v>-3461.5690970584001</v>
      </c>
      <c r="H799" s="6">
        <f t="shared" si="13"/>
        <v>-129345.42752785781</v>
      </c>
      <c r="I799" s="4"/>
      <c r="J799" s="4" t="s">
        <v>68</v>
      </c>
      <c r="K799" s="7">
        <v>3302.96</v>
      </c>
      <c r="L799" s="4" t="s">
        <v>2187</v>
      </c>
      <c r="M799" s="4" t="s">
        <v>61</v>
      </c>
      <c r="N799" s="4"/>
    </row>
    <row r="800" spans="1:14" ht="10.5" hidden="1" x14ac:dyDescent="0.25">
      <c r="A800" s="8" t="s">
        <v>470</v>
      </c>
      <c r="B800" s="4" t="s">
        <v>21</v>
      </c>
      <c r="C800" s="5">
        <v>43555</v>
      </c>
      <c r="D800" s="4" t="s">
        <v>2185</v>
      </c>
      <c r="E800" s="4" t="s">
        <v>1192</v>
      </c>
      <c r="F800" s="4" t="s">
        <v>2189</v>
      </c>
      <c r="G800" s="6">
        <v>45486.753037739501</v>
      </c>
      <c r="H800" s="6">
        <f t="shared" si="13"/>
        <v>-83858.674490118312</v>
      </c>
      <c r="I800" s="4"/>
      <c r="J800" s="4" t="s">
        <v>68</v>
      </c>
      <c r="K800" s="7">
        <v>-43402.55</v>
      </c>
      <c r="L800" s="4" t="s">
        <v>2187</v>
      </c>
      <c r="M800" s="4" t="s">
        <v>61</v>
      </c>
      <c r="N800" s="4"/>
    </row>
    <row r="801" spans="1:14" ht="10.5" hidden="1" x14ac:dyDescent="0.25">
      <c r="A801" s="8" t="s">
        <v>470</v>
      </c>
      <c r="B801" s="4" t="s">
        <v>21</v>
      </c>
      <c r="C801" s="5">
        <v>43555</v>
      </c>
      <c r="D801" s="4" t="s">
        <v>2185</v>
      </c>
      <c r="E801" s="4" t="s">
        <v>1192</v>
      </c>
      <c r="F801" s="4" t="s">
        <v>2189</v>
      </c>
      <c r="G801" s="6">
        <v>25489.865651756802</v>
      </c>
      <c r="H801" s="6">
        <f t="shared" si="13"/>
        <v>-58368.80883836151</v>
      </c>
      <c r="I801" s="4"/>
      <c r="J801" s="4" t="s">
        <v>68</v>
      </c>
      <c r="K801" s="7">
        <v>-24321.919999999998</v>
      </c>
      <c r="L801" s="4" t="s">
        <v>2187</v>
      </c>
      <c r="M801" s="4" t="s">
        <v>61</v>
      </c>
      <c r="N801" s="4"/>
    </row>
    <row r="802" spans="1:14" ht="10.5" hidden="1" x14ac:dyDescent="0.25">
      <c r="A802" s="8" t="s">
        <v>470</v>
      </c>
      <c r="B802" s="4" t="s">
        <v>21</v>
      </c>
      <c r="C802" s="5">
        <v>43555</v>
      </c>
      <c r="D802" s="4" t="s">
        <v>2185</v>
      </c>
      <c r="E802" s="4" t="s">
        <v>1192</v>
      </c>
      <c r="F802" s="4" t="s">
        <v>2189</v>
      </c>
      <c r="G802" s="6">
        <v>9466.0965465844001</v>
      </c>
      <c r="H802" s="6">
        <f t="shared" si="13"/>
        <v>-48902.712291777112</v>
      </c>
      <c r="I802" s="4"/>
      <c r="J802" s="4" t="s">
        <v>68</v>
      </c>
      <c r="K802" s="7">
        <v>-9032.36</v>
      </c>
      <c r="L802" s="4" t="s">
        <v>2187</v>
      </c>
      <c r="M802" s="4" t="s">
        <v>61</v>
      </c>
      <c r="N802" s="4"/>
    </row>
    <row r="803" spans="1:14" ht="10.5" hidden="1" x14ac:dyDescent="0.25">
      <c r="A803" s="8" t="s">
        <v>470</v>
      </c>
      <c r="B803" s="4" t="s">
        <v>21</v>
      </c>
      <c r="C803" s="5">
        <v>43555</v>
      </c>
      <c r="D803" s="4" t="s">
        <v>2185</v>
      </c>
      <c r="E803" s="4" t="s">
        <v>1192</v>
      </c>
      <c r="F803" s="4" t="s">
        <v>2189</v>
      </c>
      <c r="G803" s="6">
        <v>-16888.846973349999</v>
      </c>
      <c r="H803" s="6">
        <f t="shared" si="13"/>
        <v>-65791.559265127114</v>
      </c>
      <c r="I803" s="4"/>
      <c r="J803" s="4" t="s">
        <v>68</v>
      </c>
      <c r="K803" s="7">
        <v>16115</v>
      </c>
      <c r="L803" s="4" t="s">
        <v>2187</v>
      </c>
      <c r="M803" s="4" t="s">
        <v>61</v>
      </c>
      <c r="N803" s="4"/>
    </row>
    <row r="804" spans="1:14" ht="10.5" hidden="1" x14ac:dyDescent="0.25">
      <c r="A804" s="8" t="s">
        <v>470</v>
      </c>
      <c r="B804" s="4" t="s">
        <v>21</v>
      </c>
      <c r="C804" s="5">
        <v>43555</v>
      </c>
      <c r="D804" s="4" t="s">
        <v>2185</v>
      </c>
      <c r="E804" s="4" t="s">
        <v>1192</v>
      </c>
      <c r="F804" s="4" t="s">
        <v>2189</v>
      </c>
      <c r="G804" s="6">
        <v>67.796432560100001</v>
      </c>
      <c r="H804" s="6">
        <f t="shared" si="13"/>
        <v>-65723.762832567008</v>
      </c>
      <c r="I804" s="4"/>
      <c r="J804" s="4" t="s">
        <v>68</v>
      </c>
      <c r="K804" s="7">
        <v>-64.69</v>
      </c>
      <c r="L804" s="4" t="s">
        <v>2187</v>
      </c>
      <c r="M804" s="4" t="s">
        <v>61</v>
      </c>
      <c r="N804" s="4"/>
    </row>
    <row r="805" spans="1:14" ht="10.5" hidden="1" x14ac:dyDescent="0.25">
      <c r="A805" s="8" t="s">
        <v>470</v>
      </c>
      <c r="B805" s="4" t="s">
        <v>21</v>
      </c>
      <c r="C805" s="5">
        <v>43555</v>
      </c>
      <c r="D805" s="4" t="s">
        <v>2185</v>
      </c>
      <c r="E805" s="4" t="s">
        <v>1192</v>
      </c>
      <c r="F805" s="4" t="s">
        <v>2190</v>
      </c>
      <c r="G805" s="6">
        <v>-105042.9059834536</v>
      </c>
      <c r="H805" s="6">
        <f t="shared" si="13"/>
        <v>-170766.6688160206</v>
      </c>
      <c r="I805" s="4"/>
      <c r="J805" s="4" t="s">
        <v>68</v>
      </c>
      <c r="K805" s="7">
        <v>100229.84</v>
      </c>
      <c r="L805" s="4" t="s">
        <v>2187</v>
      </c>
      <c r="M805" s="4" t="s">
        <v>61</v>
      </c>
      <c r="N805" s="4"/>
    </row>
    <row r="806" spans="1:14" ht="10.5" hidden="1" x14ac:dyDescent="0.25">
      <c r="A806" s="8" t="s">
        <v>470</v>
      </c>
      <c r="B806" s="4" t="s">
        <v>21</v>
      </c>
      <c r="C806" s="5">
        <v>43555</v>
      </c>
      <c r="D806" s="4" t="s">
        <v>2185</v>
      </c>
      <c r="E806" s="4" t="s">
        <v>1192</v>
      </c>
      <c r="F806" s="4" t="s">
        <v>2191</v>
      </c>
      <c r="G806" s="6">
        <v>-63552.526796759499</v>
      </c>
      <c r="H806" s="6">
        <f t="shared" si="13"/>
        <v>-234319.19561278011</v>
      </c>
      <c r="I806" s="4"/>
      <c r="J806" s="4" t="s">
        <v>68</v>
      </c>
      <c r="K806" s="7">
        <v>60640.55</v>
      </c>
      <c r="L806" s="4" t="s">
        <v>2187</v>
      </c>
      <c r="M806" s="4" t="s">
        <v>61</v>
      </c>
      <c r="N806" s="4"/>
    </row>
    <row r="807" spans="1:14" ht="10.5" hidden="1" x14ac:dyDescent="0.25">
      <c r="A807" s="8" t="s">
        <v>470</v>
      </c>
      <c r="B807" s="4" t="s">
        <v>21</v>
      </c>
      <c r="C807" s="5">
        <v>43585</v>
      </c>
      <c r="D807" s="4" t="s">
        <v>2192</v>
      </c>
      <c r="E807" s="4" t="s">
        <v>1192</v>
      </c>
      <c r="F807" s="4" t="s">
        <v>2178</v>
      </c>
      <c r="G807" s="6">
        <v>-17233.624688354201</v>
      </c>
      <c r="H807" s="6">
        <f t="shared" si="13"/>
        <v>-251552.82030113431</v>
      </c>
      <c r="I807" s="4"/>
      <c r="J807" s="4" t="s">
        <v>68</v>
      </c>
      <c r="K807" s="7">
        <v>16443.98</v>
      </c>
      <c r="L807" s="4" t="s">
        <v>1177</v>
      </c>
      <c r="M807" s="4" t="s">
        <v>61</v>
      </c>
      <c r="N807" s="4"/>
    </row>
    <row r="808" spans="1:14" ht="10.5" hidden="1" x14ac:dyDescent="0.25">
      <c r="A808" s="8" t="s">
        <v>470</v>
      </c>
      <c r="B808" s="4" t="s">
        <v>21</v>
      </c>
      <c r="C808" s="5">
        <v>43585</v>
      </c>
      <c r="D808" s="4" t="s">
        <v>2192</v>
      </c>
      <c r="E808" s="4" t="s">
        <v>1192</v>
      </c>
      <c r="F808" s="4" t="s">
        <v>2191</v>
      </c>
      <c r="G808" s="6">
        <v>63552.526796759499</v>
      </c>
      <c r="H808" s="6">
        <f t="shared" si="13"/>
        <v>-188000.2935043748</v>
      </c>
      <c r="I808" s="4"/>
      <c r="J808" s="4" t="s">
        <v>68</v>
      </c>
      <c r="K808" s="7">
        <v>-60640.55</v>
      </c>
      <c r="L808" s="4" t="s">
        <v>1177</v>
      </c>
      <c r="M808" s="4" t="s">
        <v>61</v>
      </c>
      <c r="N808" s="4"/>
    </row>
    <row r="809" spans="1:14" ht="10.5" hidden="1" x14ac:dyDescent="0.25">
      <c r="A809" s="8" t="s">
        <v>470</v>
      </c>
      <c r="B809" s="4" t="s">
        <v>21</v>
      </c>
      <c r="C809" s="5">
        <v>43585</v>
      </c>
      <c r="D809" s="4" t="s">
        <v>2192</v>
      </c>
      <c r="E809" s="4" t="s">
        <v>1192</v>
      </c>
      <c r="F809" s="4" t="s">
        <v>2193</v>
      </c>
      <c r="G809" s="6">
        <v>105042.9059834536</v>
      </c>
      <c r="H809" s="6">
        <f t="shared" si="13"/>
        <v>-82957.387520921198</v>
      </c>
      <c r="I809" s="4"/>
      <c r="J809" s="4" t="s">
        <v>68</v>
      </c>
      <c r="K809" s="7">
        <v>-100229.84</v>
      </c>
      <c r="L809" s="4" t="s">
        <v>1177</v>
      </c>
      <c r="M809" s="4" t="s">
        <v>61</v>
      </c>
      <c r="N809" s="4"/>
    </row>
    <row r="810" spans="1:14" ht="10.5" hidden="1" x14ac:dyDescent="0.25">
      <c r="A810" s="8" t="s">
        <v>470</v>
      </c>
      <c r="B810" s="4" t="s">
        <v>21</v>
      </c>
      <c r="C810" s="5">
        <v>43585</v>
      </c>
      <c r="D810" s="4" t="s">
        <v>2192</v>
      </c>
      <c r="E810" s="4" t="s">
        <v>1192</v>
      </c>
      <c r="F810" s="4" t="s">
        <v>2194</v>
      </c>
      <c r="G810" s="6">
        <v>-220503.46901599999</v>
      </c>
      <c r="H810" s="6">
        <f t="shared" si="13"/>
        <v>-303460.85653692117</v>
      </c>
      <c r="I810" s="4"/>
      <c r="J810" s="4" t="s">
        <v>68</v>
      </c>
      <c r="K810" s="7">
        <v>210400</v>
      </c>
      <c r="L810" s="4" t="s">
        <v>1177</v>
      </c>
      <c r="M810" s="4" t="s">
        <v>61</v>
      </c>
      <c r="N810" s="4"/>
    </row>
    <row r="811" spans="1:14" ht="10.5" hidden="1" x14ac:dyDescent="0.25">
      <c r="A811" s="8" t="s">
        <v>470</v>
      </c>
      <c r="B811" s="4" t="s">
        <v>21</v>
      </c>
      <c r="C811" s="5">
        <v>43585</v>
      </c>
      <c r="D811" s="4" t="s">
        <v>2192</v>
      </c>
      <c r="E811" s="4" t="s">
        <v>1192</v>
      </c>
      <c r="F811" s="4" t="s">
        <v>2195</v>
      </c>
      <c r="G811" s="6">
        <v>25488.901473090002</v>
      </c>
      <c r="H811" s="6">
        <f t="shared" si="13"/>
        <v>-277971.95506383118</v>
      </c>
      <c r="I811" s="4"/>
      <c r="J811" s="4" t="s">
        <v>68</v>
      </c>
      <c r="K811" s="7">
        <v>-24321</v>
      </c>
      <c r="L811" s="4" t="s">
        <v>1177</v>
      </c>
      <c r="M811" s="4" t="s">
        <v>61</v>
      </c>
      <c r="N811" s="4"/>
    </row>
    <row r="812" spans="1:14" ht="10.5" hidden="1" x14ac:dyDescent="0.25">
      <c r="A812" s="8" t="s">
        <v>470</v>
      </c>
      <c r="B812" s="4" t="s">
        <v>21</v>
      </c>
      <c r="C812" s="5">
        <v>43616</v>
      </c>
      <c r="D812" s="4" t="s">
        <v>2196</v>
      </c>
      <c r="E812" s="4" t="s">
        <v>1192</v>
      </c>
      <c r="F812" s="4" t="s">
        <v>2178</v>
      </c>
      <c r="G812" s="6">
        <v>-14895.470460958401</v>
      </c>
      <c r="H812" s="6">
        <f t="shared" si="13"/>
        <v>-292867.42552478961</v>
      </c>
      <c r="I812" s="4"/>
      <c r="J812" s="4" t="s">
        <v>68</v>
      </c>
      <c r="K812" s="7">
        <v>14212.96</v>
      </c>
      <c r="L812" s="4" t="s">
        <v>1185</v>
      </c>
      <c r="M812" s="4" t="s">
        <v>61</v>
      </c>
      <c r="N812" s="4"/>
    </row>
    <row r="813" spans="1:14" ht="10.5" hidden="1" x14ac:dyDescent="0.25">
      <c r="A813" s="8" t="s">
        <v>470</v>
      </c>
      <c r="B813" s="4" t="s">
        <v>21</v>
      </c>
      <c r="C813" s="5">
        <v>43646</v>
      </c>
      <c r="D813" s="4" t="s">
        <v>1191</v>
      </c>
      <c r="E813" s="4" t="s">
        <v>1192</v>
      </c>
      <c r="F813" s="4" t="s">
        <v>2197</v>
      </c>
      <c r="G813" s="6">
        <v>195014.56754290999</v>
      </c>
      <c r="H813" s="6">
        <f t="shared" si="13"/>
        <v>-97852.857981879613</v>
      </c>
      <c r="I813" s="4"/>
      <c r="J813" s="4" t="s">
        <v>68</v>
      </c>
      <c r="K813" s="7">
        <v>-186079</v>
      </c>
      <c r="L813" s="4" t="s">
        <v>1194</v>
      </c>
      <c r="M813" s="4" t="s">
        <v>61</v>
      </c>
      <c r="N813" s="4"/>
    </row>
    <row r="814" spans="1:14" ht="10.5" hidden="1" x14ac:dyDescent="0.25">
      <c r="A814" s="8" t="s">
        <v>470</v>
      </c>
      <c r="B814" s="4" t="s">
        <v>21</v>
      </c>
      <c r="C814" s="5">
        <v>43646</v>
      </c>
      <c r="D814" s="4" t="s">
        <v>1191</v>
      </c>
      <c r="E814" s="4" t="s">
        <v>1192</v>
      </c>
      <c r="F814" s="4" t="s">
        <v>2198</v>
      </c>
      <c r="G814" s="6">
        <v>28.202226003900002</v>
      </c>
      <c r="H814" s="6">
        <f t="shared" si="13"/>
        <v>-97824.655755875719</v>
      </c>
      <c r="I814" s="4"/>
      <c r="J814" s="4" t="s">
        <v>2199</v>
      </c>
      <c r="K814" s="7">
        <v>-26.91</v>
      </c>
      <c r="L814" s="4" t="s">
        <v>1194</v>
      </c>
      <c r="M814" s="4" t="s">
        <v>61</v>
      </c>
      <c r="N814" s="4"/>
    </row>
    <row r="815" spans="1:14" ht="10.5" hidden="1" x14ac:dyDescent="0.25">
      <c r="A815" s="8" t="s">
        <v>470</v>
      </c>
      <c r="B815" s="4" t="s">
        <v>21</v>
      </c>
      <c r="C815" s="5">
        <v>43646</v>
      </c>
      <c r="D815" s="4" t="s">
        <v>1191</v>
      </c>
      <c r="E815" s="4" t="s">
        <v>1192</v>
      </c>
      <c r="F815" s="4" t="s">
        <v>2198</v>
      </c>
      <c r="G815" s="6">
        <v>23.538535713400002</v>
      </c>
      <c r="H815" s="6">
        <f t="shared" si="13"/>
        <v>-97801.117220162327</v>
      </c>
      <c r="I815" s="4"/>
      <c r="J815" s="4" t="s">
        <v>2200</v>
      </c>
      <c r="K815" s="7">
        <v>-22.46</v>
      </c>
      <c r="L815" s="4" t="s">
        <v>1194</v>
      </c>
      <c r="M815" s="4" t="s">
        <v>61</v>
      </c>
      <c r="N815" s="4"/>
    </row>
    <row r="816" spans="1:14" ht="10.5" hidden="1" x14ac:dyDescent="0.25">
      <c r="A816" s="8" t="s">
        <v>470</v>
      </c>
      <c r="B816" s="4" t="s">
        <v>21</v>
      </c>
      <c r="C816" s="5">
        <v>43646</v>
      </c>
      <c r="D816" s="4" t="s">
        <v>1191</v>
      </c>
      <c r="E816" s="4" t="s">
        <v>1192</v>
      </c>
      <c r="F816" s="4" t="s">
        <v>2198</v>
      </c>
      <c r="G816" s="6">
        <v>4.8104131310999998</v>
      </c>
      <c r="H816" s="6">
        <f t="shared" si="13"/>
        <v>-97796.306807031229</v>
      </c>
      <c r="I816" s="4"/>
      <c r="J816" s="4" t="s">
        <v>2201</v>
      </c>
      <c r="K816" s="7">
        <v>-4.59</v>
      </c>
      <c r="L816" s="4" t="s">
        <v>1194</v>
      </c>
      <c r="M816" s="4" t="s">
        <v>61</v>
      </c>
      <c r="N816" s="4"/>
    </row>
    <row r="817" spans="1:14" ht="10.5" hidden="1" x14ac:dyDescent="0.25">
      <c r="A817" s="8" t="s">
        <v>470</v>
      </c>
      <c r="B817" s="4" t="s">
        <v>21</v>
      </c>
      <c r="C817" s="5">
        <v>43646</v>
      </c>
      <c r="D817" s="4" t="s">
        <v>1191</v>
      </c>
      <c r="E817" s="4" t="s">
        <v>1192</v>
      </c>
      <c r="F817" s="4" t="s">
        <v>2198</v>
      </c>
      <c r="G817" s="6">
        <v>1.8445157104000001</v>
      </c>
      <c r="H817" s="6">
        <f t="shared" si="13"/>
        <v>-97794.46229132083</v>
      </c>
      <c r="I817" s="4"/>
      <c r="J817" s="4" t="s">
        <v>2202</v>
      </c>
      <c r="K817" s="7">
        <v>-1.76</v>
      </c>
      <c r="L817" s="4" t="s">
        <v>1194</v>
      </c>
      <c r="M817" s="4" t="s">
        <v>61</v>
      </c>
      <c r="N817" s="4"/>
    </row>
    <row r="818" spans="1:14" ht="10.5" hidden="1" x14ac:dyDescent="0.25">
      <c r="A818" s="8" t="s">
        <v>470</v>
      </c>
      <c r="B818" s="4" t="s">
        <v>21</v>
      </c>
      <c r="C818" s="5">
        <v>43646</v>
      </c>
      <c r="D818" s="4" t="s">
        <v>1191</v>
      </c>
      <c r="E818" s="4" t="s">
        <v>1192</v>
      </c>
      <c r="F818" s="4" t="s">
        <v>2198</v>
      </c>
      <c r="G818" s="6">
        <v>1.2052233335</v>
      </c>
      <c r="H818" s="6">
        <f t="shared" si="13"/>
        <v>-97793.257067987332</v>
      </c>
      <c r="I818" s="4"/>
      <c r="J818" s="4" t="s">
        <v>2203</v>
      </c>
      <c r="K818" s="7">
        <v>-1.1499999999999999</v>
      </c>
      <c r="L818" s="4" t="s">
        <v>1194</v>
      </c>
      <c r="M818" s="4" t="s">
        <v>61</v>
      </c>
      <c r="N818" s="4"/>
    </row>
    <row r="819" spans="1:14" ht="10.5" hidden="1" x14ac:dyDescent="0.25">
      <c r="A819" s="8" t="s">
        <v>470</v>
      </c>
      <c r="B819" s="4" t="s">
        <v>21</v>
      </c>
      <c r="C819" s="5">
        <v>43646</v>
      </c>
      <c r="D819" s="4" t="s">
        <v>1191</v>
      </c>
      <c r="E819" s="4" t="s">
        <v>1192</v>
      </c>
      <c r="F819" s="4" t="s">
        <v>2198</v>
      </c>
      <c r="G819" s="6">
        <v>2.2427634205999998</v>
      </c>
      <c r="H819" s="6">
        <f t="shared" si="13"/>
        <v>-97791.014304566736</v>
      </c>
      <c r="I819" s="4"/>
      <c r="J819" s="4" t="s">
        <v>699</v>
      </c>
      <c r="K819" s="7">
        <v>-2.14</v>
      </c>
      <c r="L819" s="4" t="s">
        <v>1194</v>
      </c>
      <c r="M819" s="4" t="s">
        <v>61</v>
      </c>
      <c r="N819" s="4"/>
    </row>
    <row r="820" spans="1:14" ht="10.5" hidden="1" x14ac:dyDescent="0.25">
      <c r="A820" s="8" t="s">
        <v>470</v>
      </c>
      <c r="B820" s="4" t="s">
        <v>21</v>
      </c>
      <c r="C820" s="5">
        <v>43646</v>
      </c>
      <c r="D820" s="4" t="s">
        <v>1191</v>
      </c>
      <c r="E820" s="4" t="s">
        <v>1192</v>
      </c>
      <c r="F820" s="4" t="s">
        <v>2198</v>
      </c>
      <c r="G820" s="6">
        <v>2.2427634205999998</v>
      </c>
      <c r="H820" s="6">
        <f t="shared" si="13"/>
        <v>-97788.771541146139</v>
      </c>
      <c r="I820" s="4"/>
      <c r="J820" s="4" t="s">
        <v>716</v>
      </c>
      <c r="K820" s="7">
        <v>-2.14</v>
      </c>
      <c r="L820" s="4" t="s">
        <v>1194</v>
      </c>
      <c r="M820" s="4" t="s">
        <v>61</v>
      </c>
      <c r="N820" s="4"/>
    </row>
    <row r="821" spans="1:14" ht="10.5" hidden="1" x14ac:dyDescent="0.25">
      <c r="A821" s="8" t="s">
        <v>470</v>
      </c>
      <c r="B821" s="4" t="s">
        <v>21</v>
      </c>
      <c r="C821" s="5">
        <v>43646</v>
      </c>
      <c r="D821" s="4" t="s">
        <v>1191</v>
      </c>
      <c r="E821" s="4" t="s">
        <v>1192</v>
      </c>
      <c r="F821" s="4" t="s">
        <v>2198</v>
      </c>
      <c r="G821" s="6">
        <v>0.95369846390000002</v>
      </c>
      <c r="H821" s="6">
        <f t="shared" si="13"/>
        <v>-97787.817842682241</v>
      </c>
      <c r="I821" s="4"/>
      <c r="J821" s="4" t="s">
        <v>718</v>
      </c>
      <c r="K821" s="7">
        <v>-0.91</v>
      </c>
      <c r="L821" s="4" t="s">
        <v>1194</v>
      </c>
      <c r="M821" s="4" t="s">
        <v>61</v>
      </c>
      <c r="N821" s="4"/>
    </row>
    <row r="822" spans="1:14" ht="10.5" hidden="1" x14ac:dyDescent="0.25">
      <c r="A822" s="8" t="s">
        <v>470</v>
      </c>
      <c r="B822" s="4" t="s">
        <v>21</v>
      </c>
      <c r="C822" s="5">
        <v>43646</v>
      </c>
      <c r="D822" s="4" t="s">
        <v>1191</v>
      </c>
      <c r="E822" s="4" t="s">
        <v>1192</v>
      </c>
      <c r="F822" s="4" t="s">
        <v>2198</v>
      </c>
      <c r="G822" s="6">
        <v>1.5405898263</v>
      </c>
      <c r="H822" s="6">
        <f t="shared" si="13"/>
        <v>-97786.277252855944</v>
      </c>
      <c r="I822" s="4"/>
      <c r="J822" s="4" t="s">
        <v>757</v>
      </c>
      <c r="K822" s="7">
        <v>-1.47</v>
      </c>
      <c r="L822" s="4" t="s">
        <v>1194</v>
      </c>
      <c r="M822" s="4" t="s">
        <v>61</v>
      </c>
      <c r="N822" s="4"/>
    </row>
    <row r="823" spans="1:14" ht="10.5" hidden="1" x14ac:dyDescent="0.25">
      <c r="A823" s="8" t="s">
        <v>470</v>
      </c>
      <c r="B823" s="4" t="s">
        <v>21</v>
      </c>
      <c r="C823" s="5">
        <v>43646</v>
      </c>
      <c r="D823" s="4" t="s">
        <v>1191</v>
      </c>
      <c r="E823" s="4" t="s">
        <v>1192</v>
      </c>
      <c r="F823" s="4" t="s">
        <v>2198</v>
      </c>
      <c r="G823" s="6">
        <v>0.70217359430000004</v>
      </c>
      <c r="H823" s="6">
        <f t="shared" si="13"/>
        <v>-97785.575079261645</v>
      </c>
      <c r="I823" s="4"/>
      <c r="J823" s="4" t="s">
        <v>721</v>
      </c>
      <c r="K823" s="7">
        <v>-0.67</v>
      </c>
      <c r="L823" s="4" t="s">
        <v>1194</v>
      </c>
      <c r="M823" s="4" t="s">
        <v>61</v>
      </c>
      <c r="N823" s="4"/>
    </row>
    <row r="824" spans="1:14" ht="10.5" hidden="1" x14ac:dyDescent="0.25">
      <c r="A824" s="8" t="s">
        <v>470</v>
      </c>
      <c r="B824" s="4" t="s">
        <v>21</v>
      </c>
      <c r="C824" s="5">
        <v>43646</v>
      </c>
      <c r="D824" s="4" t="s">
        <v>1191</v>
      </c>
      <c r="E824" s="4" t="s">
        <v>1192</v>
      </c>
      <c r="F824" s="4" t="s">
        <v>2198</v>
      </c>
      <c r="G824" s="6">
        <v>20.1953509883</v>
      </c>
      <c r="H824" s="6">
        <f t="shared" si="13"/>
        <v>-97765.379728273343</v>
      </c>
      <c r="I824" s="4"/>
      <c r="J824" s="4" t="s">
        <v>2199</v>
      </c>
      <c r="K824" s="7">
        <v>-19.27</v>
      </c>
      <c r="L824" s="4" t="s">
        <v>1194</v>
      </c>
      <c r="M824" s="4" t="s">
        <v>61</v>
      </c>
      <c r="N824" s="4"/>
    </row>
    <row r="825" spans="1:14" ht="10.5" hidden="1" x14ac:dyDescent="0.25">
      <c r="A825" s="8" t="s">
        <v>470</v>
      </c>
      <c r="B825" s="4" t="s">
        <v>21</v>
      </c>
      <c r="C825" s="5">
        <v>43646</v>
      </c>
      <c r="D825" s="4" t="s">
        <v>1191</v>
      </c>
      <c r="E825" s="4" t="s">
        <v>1192</v>
      </c>
      <c r="F825" s="4" t="s">
        <v>2198</v>
      </c>
      <c r="G825" s="6">
        <v>18.340355075000002</v>
      </c>
      <c r="H825" s="6">
        <f t="shared" si="13"/>
        <v>-97747.039373198349</v>
      </c>
      <c r="I825" s="4"/>
      <c r="J825" s="4" t="s">
        <v>2200</v>
      </c>
      <c r="K825" s="7">
        <v>-17.5</v>
      </c>
      <c r="L825" s="4" t="s">
        <v>1194</v>
      </c>
      <c r="M825" s="4" t="s">
        <v>61</v>
      </c>
      <c r="N825" s="4"/>
    </row>
    <row r="826" spans="1:14" ht="10.5" hidden="1" x14ac:dyDescent="0.25">
      <c r="A826" s="8" t="s">
        <v>470</v>
      </c>
      <c r="B826" s="4" t="s">
        <v>21</v>
      </c>
      <c r="C826" s="5">
        <v>43646</v>
      </c>
      <c r="D826" s="4" t="s">
        <v>1191</v>
      </c>
      <c r="E826" s="4" t="s">
        <v>1192</v>
      </c>
      <c r="F826" s="4" t="s">
        <v>2198</v>
      </c>
      <c r="G826" s="6">
        <v>3.6995116236999999</v>
      </c>
      <c r="H826" s="6">
        <f t="shared" si="13"/>
        <v>-97743.339861574656</v>
      </c>
      <c r="I826" s="4"/>
      <c r="J826" s="4" t="s">
        <v>2201</v>
      </c>
      <c r="K826" s="7">
        <v>-3.53</v>
      </c>
      <c r="L826" s="4" t="s">
        <v>1194</v>
      </c>
      <c r="M826" s="4" t="s">
        <v>61</v>
      </c>
      <c r="N826" s="4"/>
    </row>
    <row r="827" spans="1:14" ht="10.5" hidden="1" x14ac:dyDescent="0.25">
      <c r="A827" s="8" t="s">
        <v>470</v>
      </c>
      <c r="B827" s="4" t="s">
        <v>21</v>
      </c>
      <c r="C827" s="5">
        <v>43646</v>
      </c>
      <c r="D827" s="4" t="s">
        <v>1191</v>
      </c>
      <c r="E827" s="4" t="s">
        <v>1192</v>
      </c>
      <c r="F827" s="4" t="s">
        <v>2198</v>
      </c>
      <c r="G827" s="6">
        <v>1.4986690146999999</v>
      </c>
      <c r="H827" s="6">
        <f t="shared" si="13"/>
        <v>-97741.84119255995</v>
      </c>
      <c r="I827" s="4"/>
      <c r="J827" s="4" t="s">
        <v>2202</v>
      </c>
      <c r="K827" s="7">
        <v>-1.43</v>
      </c>
      <c r="L827" s="4" t="s">
        <v>1194</v>
      </c>
      <c r="M827" s="4" t="s">
        <v>61</v>
      </c>
      <c r="N827" s="4"/>
    </row>
    <row r="828" spans="1:14" ht="10.5" hidden="1" x14ac:dyDescent="0.25">
      <c r="A828" s="8" t="s">
        <v>470</v>
      </c>
      <c r="B828" s="4" t="s">
        <v>21</v>
      </c>
      <c r="C828" s="5">
        <v>43646</v>
      </c>
      <c r="D828" s="4" t="s">
        <v>1191</v>
      </c>
      <c r="E828" s="4" t="s">
        <v>1192</v>
      </c>
      <c r="F828" s="4" t="s">
        <v>2198</v>
      </c>
      <c r="G828" s="6">
        <v>0.96417866679999997</v>
      </c>
      <c r="H828" s="6">
        <f t="shared" si="13"/>
        <v>-97740.877013893143</v>
      </c>
      <c r="I828" s="4"/>
      <c r="J828" s="4" t="s">
        <v>2203</v>
      </c>
      <c r="K828" s="7">
        <v>-0.92</v>
      </c>
      <c r="L828" s="4" t="s">
        <v>1194</v>
      </c>
      <c r="M828" s="4" t="s">
        <v>61</v>
      </c>
      <c r="N828" s="4"/>
    </row>
    <row r="829" spans="1:14" ht="10.5" hidden="1" x14ac:dyDescent="0.25">
      <c r="A829" s="8" t="s">
        <v>470</v>
      </c>
      <c r="B829" s="4" t="s">
        <v>21</v>
      </c>
      <c r="C829" s="5">
        <v>43646</v>
      </c>
      <c r="D829" s="4" t="s">
        <v>1191</v>
      </c>
      <c r="E829" s="4" t="s">
        <v>1192</v>
      </c>
      <c r="F829" s="4" t="s">
        <v>2198</v>
      </c>
      <c r="G829" s="6">
        <v>4.8837745514000002</v>
      </c>
      <c r="H829" s="6">
        <f t="shared" si="13"/>
        <v>-97735.99323934174</v>
      </c>
      <c r="I829" s="4"/>
      <c r="J829" s="4" t="s">
        <v>699</v>
      </c>
      <c r="K829" s="7">
        <v>-4.66</v>
      </c>
      <c r="L829" s="4" t="s">
        <v>1194</v>
      </c>
      <c r="M829" s="4" t="s">
        <v>61</v>
      </c>
      <c r="N829" s="4"/>
    </row>
    <row r="830" spans="1:14" ht="10.5" hidden="1" x14ac:dyDescent="0.25">
      <c r="A830" s="8" t="s">
        <v>470</v>
      </c>
      <c r="B830" s="4" t="s">
        <v>21</v>
      </c>
      <c r="C830" s="5">
        <v>43646</v>
      </c>
      <c r="D830" s="4" t="s">
        <v>1191</v>
      </c>
      <c r="E830" s="4" t="s">
        <v>1192</v>
      </c>
      <c r="F830" s="4" t="s">
        <v>2198</v>
      </c>
      <c r="G830" s="6">
        <v>3.2279024931999998</v>
      </c>
      <c r="H830" s="6">
        <f t="shared" si="13"/>
        <v>-97732.765336848533</v>
      </c>
      <c r="I830" s="4"/>
      <c r="J830" s="4" t="s">
        <v>716</v>
      </c>
      <c r="K830" s="7">
        <v>-3.08</v>
      </c>
      <c r="L830" s="4" t="s">
        <v>1194</v>
      </c>
      <c r="M830" s="4" t="s">
        <v>61</v>
      </c>
      <c r="N830" s="4"/>
    </row>
    <row r="831" spans="1:14" ht="10.5" hidden="1" x14ac:dyDescent="0.25">
      <c r="A831" s="8" t="s">
        <v>470</v>
      </c>
      <c r="B831" s="4" t="s">
        <v>21</v>
      </c>
      <c r="C831" s="5">
        <v>43646</v>
      </c>
      <c r="D831" s="4" t="s">
        <v>1191</v>
      </c>
      <c r="E831" s="4" t="s">
        <v>1192</v>
      </c>
      <c r="F831" s="4" t="s">
        <v>2198</v>
      </c>
      <c r="G831" s="6">
        <v>1.2681045509</v>
      </c>
      <c r="H831" s="6">
        <f t="shared" si="13"/>
        <v>-97731.497232297639</v>
      </c>
      <c r="I831" s="4"/>
      <c r="J831" s="4" t="s">
        <v>718</v>
      </c>
      <c r="K831" s="7">
        <v>-1.21</v>
      </c>
      <c r="L831" s="4" t="s">
        <v>1194</v>
      </c>
      <c r="M831" s="4" t="s">
        <v>61</v>
      </c>
      <c r="N831" s="4"/>
    </row>
    <row r="832" spans="1:14" ht="10.5" hidden="1" x14ac:dyDescent="0.25">
      <c r="A832" s="8" t="s">
        <v>470</v>
      </c>
      <c r="B832" s="4" t="s">
        <v>21</v>
      </c>
      <c r="C832" s="5">
        <v>43646</v>
      </c>
      <c r="D832" s="4" t="s">
        <v>1191</v>
      </c>
      <c r="E832" s="4" t="s">
        <v>1192</v>
      </c>
      <c r="F832" s="4" t="s">
        <v>2198</v>
      </c>
      <c r="G832" s="6">
        <v>1.3309857682999999</v>
      </c>
      <c r="H832" s="6">
        <f t="shared" si="13"/>
        <v>-97730.166246529334</v>
      </c>
      <c r="I832" s="4"/>
      <c r="J832" s="4" t="s">
        <v>757</v>
      </c>
      <c r="K832" s="7">
        <v>-1.27</v>
      </c>
      <c r="L832" s="4" t="s">
        <v>1194</v>
      </c>
      <c r="M832" s="4" t="s">
        <v>61</v>
      </c>
      <c r="N832" s="4"/>
    </row>
    <row r="833" spans="1:14" ht="10.5" hidden="1" x14ac:dyDescent="0.25">
      <c r="A833" s="8" t="s">
        <v>470</v>
      </c>
      <c r="B833" s="4" t="s">
        <v>21</v>
      </c>
      <c r="C833" s="5">
        <v>43646</v>
      </c>
      <c r="D833" s="4" t="s">
        <v>1191</v>
      </c>
      <c r="E833" s="4" t="s">
        <v>1192</v>
      </c>
      <c r="F833" s="4" t="s">
        <v>2198</v>
      </c>
      <c r="G833" s="6">
        <v>0.46112892760000002</v>
      </c>
      <c r="H833" s="6">
        <f t="shared" si="13"/>
        <v>-97729.705117601727</v>
      </c>
      <c r="I833" s="4"/>
      <c r="J833" s="4" t="s">
        <v>721</v>
      </c>
      <c r="K833" s="7">
        <v>-0.44</v>
      </c>
      <c r="L833" s="4" t="s">
        <v>1194</v>
      </c>
      <c r="M833" s="4" t="s">
        <v>61</v>
      </c>
      <c r="N833" s="4"/>
    </row>
    <row r="834" spans="1:14" ht="10.5" hidden="1" x14ac:dyDescent="0.25">
      <c r="A834" s="8" t="s">
        <v>470</v>
      </c>
      <c r="B834" s="4" t="s">
        <v>21</v>
      </c>
      <c r="C834" s="5">
        <v>43646</v>
      </c>
      <c r="D834" s="4" t="s">
        <v>1191</v>
      </c>
      <c r="E834" s="4" t="s">
        <v>1192</v>
      </c>
      <c r="F834" s="4" t="s">
        <v>2204</v>
      </c>
      <c r="G834" s="6">
        <v>-45486.753037739501</v>
      </c>
      <c r="H834" s="6">
        <f t="shared" si="13"/>
        <v>-143216.45815534121</v>
      </c>
      <c r="I834" s="4"/>
      <c r="J834" s="4" t="s">
        <v>68</v>
      </c>
      <c r="K834" s="7">
        <v>43402.55</v>
      </c>
      <c r="L834" s="4" t="s">
        <v>1194</v>
      </c>
      <c r="M834" s="4" t="s">
        <v>61</v>
      </c>
      <c r="N834" s="4"/>
    </row>
    <row r="835" spans="1:14" ht="10.5" hidden="1" x14ac:dyDescent="0.25">
      <c r="A835" s="8" t="s">
        <v>470</v>
      </c>
      <c r="B835" s="4" t="s">
        <v>21</v>
      </c>
      <c r="C835" s="5">
        <v>43646</v>
      </c>
      <c r="D835" s="4" t="s">
        <v>1191</v>
      </c>
      <c r="E835" s="4" t="s">
        <v>1192</v>
      </c>
      <c r="F835" s="4" t="s">
        <v>2205</v>
      </c>
      <c r="G835" s="6">
        <v>-811.10482324259999</v>
      </c>
      <c r="H835" s="6">
        <f t="shared" si="13"/>
        <v>-144027.56297858382</v>
      </c>
      <c r="I835" s="4"/>
      <c r="J835" s="4" t="s">
        <v>68</v>
      </c>
      <c r="K835" s="7">
        <v>773.94</v>
      </c>
      <c r="L835" s="4" t="s">
        <v>1194</v>
      </c>
      <c r="M835" s="4" t="s">
        <v>61</v>
      </c>
      <c r="N835" s="4"/>
    </row>
    <row r="836" spans="1:14" ht="10.5" hidden="1" x14ac:dyDescent="0.25">
      <c r="A836" s="8" t="s">
        <v>470</v>
      </c>
      <c r="B836" s="4" t="s">
        <v>21</v>
      </c>
      <c r="C836" s="5">
        <v>43646</v>
      </c>
      <c r="D836" s="4" t="s">
        <v>1191</v>
      </c>
      <c r="E836" s="4" t="s">
        <v>1192</v>
      </c>
      <c r="F836" s="4" t="s">
        <v>2178</v>
      </c>
      <c r="G836" s="6">
        <v>-14521.505380877699</v>
      </c>
      <c r="H836" s="6">
        <f t="shared" si="13"/>
        <v>-158549.06835946153</v>
      </c>
      <c r="I836" s="4"/>
      <c r="J836" s="4" t="s">
        <v>68</v>
      </c>
      <c r="K836" s="7">
        <v>13856.13</v>
      </c>
      <c r="L836" s="4" t="s">
        <v>1194</v>
      </c>
      <c r="M836" s="4" t="s">
        <v>61</v>
      </c>
      <c r="N836" s="4"/>
    </row>
    <row r="837" spans="1:14" ht="10.5" hidden="1" x14ac:dyDescent="0.25">
      <c r="A837" s="8" t="s">
        <v>470</v>
      </c>
      <c r="B837" s="4" t="s">
        <v>21</v>
      </c>
      <c r="C837" s="5">
        <v>43646</v>
      </c>
      <c r="D837" s="4" t="s">
        <v>1191</v>
      </c>
      <c r="E837" s="4" t="s">
        <v>1192</v>
      </c>
      <c r="F837" s="4" t="s">
        <v>2206</v>
      </c>
      <c r="G837" s="6">
        <v>-70376.532751645194</v>
      </c>
      <c r="H837" s="6">
        <f t="shared" si="13"/>
        <v>-228925.60111110672</v>
      </c>
      <c r="I837" s="4"/>
      <c r="J837" s="4" t="s">
        <v>68</v>
      </c>
      <c r="K837" s="7">
        <v>67151.88</v>
      </c>
      <c r="L837" s="4" t="s">
        <v>1194</v>
      </c>
      <c r="M837" s="4" t="s">
        <v>61</v>
      </c>
      <c r="N837" s="4"/>
    </row>
    <row r="838" spans="1:14" ht="10.5" hidden="1" x14ac:dyDescent="0.25">
      <c r="A838" s="8" t="s">
        <v>470</v>
      </c>
      <c r="B838" s="4" t="s">
        <v>21</v>
      </c>
      <c r="C838" s="5">
        <v>43646</v>
      </c>
      <c r="D838" s="4" t="s">
        <v>1191</v>
      </c>
      <c r="E838" s="4" t="s">
        <v>1192</v>
      </c>
      <c r="F838" s="4" t="s">
        <v>2207</v>
      </c>
      <c r="G838" s="6">
        <v>9465.7192592800002</v>
      </c>
      <c r="H838" s="6">
        <f t="shared" si="13"/>
        <v>-219459.88185182671</v>
      </c>
      <c r="I838" s="4"/>
      <c r="J838" s="4" t="s">
        <v>68</v>
      </c>
      <c r="K838" s="7">
        <v>-9032</v>
      </c>
      <c r="L838" s="4" t="s">
        <v>1194</v>
      </c>
      <c r="M838" s="4" t="s">
        <v>61</v>
      </c>
      <c r="N838" s="4"/>
    </row>
    <row r="839" spans="1:14" ht="10.5" hidden="1" x14ac:dyDescent="0.25">
      <c r="A839" s="8" t="s">
        <v>470</v>
      </c>
      <c r="B839" s="4" t="s">
        <v>21</v>
      </c>
      <c r="C839" s="5">
        <v>43646</v>
      </c>
      <c r="D839" s="4" t="s">
        <v>1191</v>
      </c>
      <c r="E839" s="4" t="s">
        <v>1192</v>
      </c>
      <c r="F839" s="4" t="s">
        <v>2208</v>
      </c>
      <c r="G839" s="6">
        <v>21.4739357421</v>
      </c>
      <c r="H839" s="6">
        <f t="shared" si="13"/>
        <v>-219438.4079160846</v>
      </c>
      <c r="I839" s="4"/>
      <c r="J839" s="4" t="s">
        <v>2199</v>
      </c>
      <c r="K839" s="7">
        <v>-20.49</v>
      </c>
      <c r="L839" s="4" t="s">
        <v>1194</v>
      </c>
      <c r="M839" s="4" t="s">
        <v>61</v>
      </c>
      <c r="N839" s="4"/>
    </row>
    <row r="840" spans="1:14" ht="10.5" hidden="1" x14ac:dyDescent="0.25">
      <c r="A840" s="8" t="s">
        <v>470</v>
      </c>
      <c r="B840" s="4" t="s">
        <v>21</v>
      </c>
      <c r="C840" s="5">
        <v>43646</v>
      </c>
      <c r="D840" s="4" t="s">
        <v>1191</v>
      </c>
      <c r="E840" s="4" t="s">
        <v>1192</v>
      </c>
      <c r="F840" s="4" t="s">
        <v>2208</v>
      </c>
      <c r="G840" s="6">
        <v>18.9586870461</v>
      </c>
      <c r="H840" s="6">
        <f t="shared" si="13"/>
        <v>-219419.4492290385</v>
      </c>
      <c r="I840" s="4"/>
      <c r="J840" s="4" t="s">
        <v>2200</v>
      </c>
      <c r="K840" s="7">
        <v>-18.09</v>
      </c>
      <c r="L840" s="4" t="s">
        <v>1194</v>
      </c>
      <c r="M840" s="4" t="s">
        <v>61</v>
      </c>
      <c r="N840" s="4"/>
    </row>
    <row r="841" spans="1:14" ht="10.5" hidden="1" x14ac:dyDescent="0.25">
      <c r="A841" s="8" t="s">
        <v>470</v>
      </c>
      <c r="B841" s="4" t="s">
        <v>21</v>
      </c>
      <c r="C841" s="5">
        <v>43646</v>
      </c>
      <c r="D841" s="4" t="s">
        <v>1191</v>
      </c>
      <c r="E841" s="4" t="s">
        <v>1192</v>
      </c>
      <c r="F841" s="4" t="s">
        <v>2208</v>
      </c>
      <c r="G841" s="6">
        <v>3.3012639135000001</v>
      </c>
      <c r="H841" s="6">
        <f t="shared" si="13"/>
        <v>-219416.14796512498</v>
      </c>
      <c r="I841" s="4"/>
      <c r="J841" s="4" t="s">
        <v>2201</v>
      </c>
      <c r="K841" s="7">
        <v>-3.15</v>
      </c>
      <c r="L841" s="4" t="s">
        <v>1194</v>
      </c>
      <c r="M841" s="4" t="s">
        <v>61</v>
      </c>
      <c r="N841" s="4"/>
    </row>
    <row r="842" spans="1:14" ht="10.5" hidden="1" x14ac:dyDescent="0.25">
      <c r="A842" s="8" t="s">
        <v>470</v>
      </c>
      <c r="B842" s="4" t="s">
        <v>21</v>
      </c>
      <c r="C842" s="5">
        <v>43646</v>
      </c>
      <c r="D842" s="4" t="s">
        <v>1191</v>
      </c>
      <c r="E842" s="4" t="s">
        <v>1192</v>
      </c>
      <c r="F842" s="4" t="s">
        <v>2208</v>
      </c>
      <c r="G842" s="6">
        <v>1.4148273915</v>
      </c>
      <c r="H842" s="6">
        <f t="shared" si="13"/>
        <v>-219414.73313773348</v>
      </c>
      <c r="I842" s="4"/>
      <c r="J842" s="4" t="s">
        <v>2202</v>
      </c>
      <c r="K842" s="7">
        <v>-1.35</v>
      </c>
      <c r="L842" s="4" t="s">
        <v>1194</v>
      </c>
      <c r="M842" s="4" t="s">
        <v>61</v>
      </c>
      <c r="N842" s="4"/>
    </row>
    <row r="843" spans="1:14" ht="10.5" hidden="1" x14ac:dyDescent="0.25">
      <c r="A843" s="8" t="s">
        <v>470</v>
      </c>
      <c r="B843" s="4" t="s">
        <v>21</v>
      </c>
      <c r="C843" s="5">
        <v>43646</v>
      </c>
      <c r="D843" s="4" t="s">
        <v>1191</v>
      </c>
      <c r="E843" s="4" t="s">
        <v>1192</v>
      </c>
      <c r="F843" s="4" t="s">
        <v>2208</v>
      </c>
      <c r="G843" s="6">
        <v>0.96417866679999997</v>
      </c>
      <c r="H843" s="6">
        <f t="shared" si="13"/>
        <v>-219413.76895906669</v>
      </c>
      <c r="I843" s="4"/>
      <c r="J843" s="4" t="s">
        <v>2203</v>
      </c>
      <c r="K843" s="7">
        <v>-0.92</v>
      </c>
      <c r="L843" s="4" t="s">
        <v>1194</v>
      </c>
      <c r="M843" s="4" t="s">
        <v>61</v>
      </c>
      <c r="N843" s="4"/>
    </row>
    <row r="844" spans="1:14" ht="10.5" hidden="1" x14ac:dyDescent="0.25">
      <c r="A844" s="8" t="s">
        <v>470</v>
      </c>
      <c r="B844" s="4" t="s">
        <v>21</v>
      </c>
      <c r="C844" s="5">
        <v>43646</v>
      </c>
      <c r="D844" s="4" t="s">
        <v>1191</v>
      </c>
      <c r="E844" s="4" t="s">
        <v>1192</v>
      </c>
      <c r="F844" s="4" t="s">
        <v>2208</v>
      </c>
      <c r="G844" s="6">
        <v>2.2008426089999999</v>
      </c>
      <c r="H844" s="6">
        <f t="shared" si="13"/>
        <v>-219411.5681164577</v>
      </c>
      <c r="I844" s="4"/>
      <c r="J844" s="4" t="s">
        <v>699</v>
      </c>
      <c r="K844" s="7">
        <v>-2.1</v>
      </c>
      <c r="L844" s="4" t="s">
        <v>1194</v>
      </c>
      <c r="M844" s="4" t="s">
        <v>61</v>
      </c>
      <c r="N844" s="4"/>
    </row>
    <row r="845" spans="1:14" ht="10.5" hidden="1" x14ac:dyDescent="0.25">
      <c r="A845" s="8" t="s">
        <v>470</v>
      </c>
      <c r="B845" s="4" t="s">
        <v>21</v>
      </c>
      <c r="C845" s="5">
        <v>43646</v>
      </c>
      <c r="D845" s="4" t="s">
        <v>1191</v>
      </c>
      <c r="E845" s="4" t="s">
        <v>1192</v>
      </c>
      <c r="F845" s="4" t="s">
        <v>2208</v>
      </c>
      <c r="G845" s="6">
        <v>1.7187532755999999</v>
      </c>
      <c r="H845" s="6">
        <f t="shared" si="13"/>
        <v>-219409.84936318209</v>
      </c>
      <c r="I845" s="4"/>
      <c r="J845" s="4" t="s">
        <v>716</v>
      </c>
      <c r="K845" s="7">
        <v>-1.64</v>
      </c>
      <c r="L845" s="4" t="s">
        <v>1194</v>
      </c>
      <c r="M845" s="4" t="s">
        <v>61</v>
      </c>
      <c r="N845" s="4"/>
    </row>
    <row r="846" spans="1:14" ht="10.5" hidden="1" x14ac:dyDescent="0.25">
      <c r="A846" s="8" t="s">
        <v>470</v>
      </c>
      <c r="B846" s="4" t="s">
        <v>21</v>
      </c>
      <c r="C846" s="5">
        <v>43646</v>
      </c>
      <c r="D846" s="4" t="s">
        <v>1191</v>
      </c>
      <c r="E846" s="4" t="s">
        <v>1192</v>
      </c>
      <c r="F846" s="4" t="s">
        <v>2208</v>
      </c>
      <c r="G846" s="6">
        <v>2.0750801742</v>
      </c>
      <c r="H846" s="6">
        <f t="shared" si="13"/>
        <v>-219407.77428300789</v>
      </c>
      <c r="I846" s="4"/>
      <c r="J846" s="4" t="s">
        <v>718</v>
      </c>
      <c r="K846" s="7">
        <v>-1.98</v>
      </c>
      <c r="L846" s="4" t="s">
        <v>1194</v>
      </c>
      <c r="M846" s="4" t="s">
        <v>61</v>
      </c>
      <c r="N846" s="4"/>
    </row>
    <row r="847" spans="1:14" ht="10.5" hidden="1" x14ac:dyDescent="0.25">
      <c r="A847" s="8" t="s">
        <v>470</v>
      </c>
      <c r="B847" s="4" t="s">
        <v>21</v>
      </c>
      <c r="C847" s="5">
        <v>43646</v>
      </c>
      <c r="D847" s="4" t="s">
        <v>1191</v>
      </c>
      <c r="E847" s="4" t="s">
        <v>1192</v>
      </c>
      <c r="F847" s="4" t="s">
        <v>2208</v>
      </c>
      <c r="G847" s="6">
        <v>1.3309857682999999</v>
      </c>
      <c r="H847" s="6">
        <f t="shared" si="13"/>
        <v>-219406.4432972396</v>
      </c>
      <c r="I847" s="4"/>
      <c r="J847" s="4" t="s">
        <v>757</v>
      </c>
      <c r="K847" s="7">
        <v>-1.27</v>
      </c>
      <c r="L847" s="4" t="s">
        <v>1194</v>
      </c>
      <c r="M847" s="4" t="s">
        <v>61</v>
      </c>
      <c r="N847" s="4"/>
    </row>
    <row r="848" spans="1:14" ht="10.5" hidden="1" x14ac:dyDescent="0.25">
      <c r="A848" s="8" t="s">
        <v>470</v>
      </c>
      <c r="B848" s="4" t="s">
        <v>21</v>
      </c>
      <c r="C848" s="5">
        <v>43646</v>
      </c>
      <c r="D848" s="4" t="s">
        <v>1191</v>
      </c>
      <c r="E848" s="4" t="s">
        <v>1192</v>
      </c>
      <c r="F848" s="4" t="s">
        <v>2208</v>
      </c>
      <c r="G848" s="6">
        <v>0.46112892760000002</v>
      </c>
      <c r="H848" s="6">
        <f t="shared" si="13"/>
        <v>-219405.98216831201</v>
      </c>
      <c r="I848" s="4"/>
      <c r="J848" s="4" t="s">
        <v>721</v>
      </c>
      <c r="K848" s="7">
        <v>-0.44</v>
      </c>
      <c r="L848" s="4" t="s">
        <v>1194</v>
      </c>
      <c r="M848" s="4" t="s">
        <v>61</v>
      </c>
      <c r="N848" s="4"/>
    </row>
    <row r="849" spans="1:14" ht="10.5" hidden="1" x14ac:dyDescent="0.25">
      <c r="A849" s="8" t="s">
        <v>470</v>
      </c>
      <c r="B849" s="4" t="s">
        <v>21</v>
      </c>
      <c r="C849" s="5">
        <v>43646</v>
      </c>
      <c r="D849" s="4" t="s">
        <v>1191</v>
      </c>
      <c r="E849" s="4" t="s">
        <v>1192</v>
      </c>
      <c r="F849" s="4" t="s">
        <v>2209</v>
      </c>
      <c r="G849" s="6">
        <v>153820.46369219889</v>
      </c>
      <c r="H849" s="6">
        <f t="shared" si="13"/>
        <v>-65585.518476113124</v>
      </c>
      <c r="I849" s="4"/>
      <c r="J849" s="4" t="s">
        <v>68</v>
      </c>
      <c r="K849" s="7">
        <v>-146772.41</v>
      </c>
      <c r="L849" s="4" t="s">
        <v>1194</v>
      </c>
      <c r="M849" s="4" t="s">
        <v>61</v>
      </c>
      <c r="N849" s="4"/>
    </row>
    <row r="850" spans="1:14" ht="10.5" hidden="1" x14ac:dyDescent="0.25">
      <c r="A850" s="8" t="s">
        <v>470</v>
      </c>
      <c r="B850" s="4" t="s">
        <v>21</v>
      </c>
      <c r="C850" s="5">
        <v>43646</v>
      </c>
      <c r="D850" s="4" t="s">
        <v>1191</v>
      </c>
      <c r="E850" s="4" t="s">
        <v>1192</v>
      </c>
      <c r="F850" s="4" t="s">
        <v>2210</v>
      </c>
      <c r="G850" s="6">
        <v>-153820.46369219889</v>
      </c>
      <c r="H850" s="6">
        <f t="shared" ref="H850:H913" si="14">H849+G850</f>
        <v>-219405.98216831201</v>
      </c>
      <c r="I850" s="4"/>
      <c r="J850" s="4" t="s">
        <v>68</v>
      </c>
      <c r="K850" s="7">
        <v>146772.41</v>
      </c>
      <c r="L850" s="4" t="s">
        <v>1194</v>
      </c>
      <c r="M850" s="4" t="s">
        <v>61</v>
      </c>
      <c r="N850" s="4"/>
    </row>
    <row r="851" spans="1:14" ht="10.5" hidden="1" x14ac:dyDescent="0.25">
      <c r="A851" s="8" t="s">
        <v>470</v>
      </c>
      <c r="B851" s="4" t="s">
        <v>21</v>
      </c>
      <c r="C851" s="5">
        <v>43677</v>
      </c>
      <c r="D851" s="4" t="s">
        <v>2211</v>
      </c>
      <c r="E851" s="4" t="s">
        <v>1192</v>
      </c>
      <c r="F851" s="4" t="s">
        <v>2178</v>
      </c>
      <c r="G851" s="6">
        <v>-18656.8676827829</v>
      </c>
      <c r="H851" s="6">
        <f t="shared" si="14"/>
        <v>-238062.84985109491</v>
      </c>
      <c r="I851" s="4"/>
      <c r="J851" s="4" t="s">
        <v>68</v>
      </c>
      <c r="K851" s="7">
        <v>17802.009999999998</v>
      </c>
      <c r="L851" s="4" t="s">
        <v>1197</v>
      </c>
      <c r="M851" s="4" t="s">
        <v>61</v>
      </c>
      <c r="N851" s="4"/>
    </row>
    <row r="852" spans="1:14" ht="10.5" hidden="1" x14ac:dyDescent="0.25">
      <c r="A852" s="8" t="s">
        <v>470</v>
      </c>
      <c r="B852" s="4" t="s">
        <v>21</v>
      </c>
      <c r="C852" s="5">
        <v>43708</v>
      </c>
      <c r="D852" s="4" t="s">
        <v>2212</v>
      </c>
      <c r="E852" s="4" t="s">
        <v>1192</v>
      </c>
      <c r="F852" s="4" t="s">
        <v>2178</v>
      </c>
      <c r="G852" s="6">
        <v>-14227.4204073008</v>
      </c>
      <c r="H852" s="6">
        <f t="shared" si="14"/>
        <v>-252290.2702583957</v>
      </c>
      <c r="I852" s="4"/>
      <c r="J852" s="4" t="s">
        <v>68</v>
      </c>
      <c r="K852" s="7">
        <v>13575.52</v>
      </c>
      <c r="L852" s="4" t="s">
        <v>1205</v>
      </c>
      <c r="M852" s="4" t="s">
        <v>61</v>
      </c>
      <c r="N852" s="4"/>
    </row>
    <row r="853" spans="1:14" ht="10.5" hidden="1" x14ac:dyDescent="0.25">
      <c r="A853" s="8" t="s">
        <v>470</v>
      </c>
      <c r="B853" s="4" t="s">
        <v>21</v>
      </c>
      <c r="C853" s="5">
        <v>43738</v>
      </c>
      <c r="D853" s="4" t="s">
        <v>2213</v>
      </c>
      <c r="E853" s="4" t="s">
        <v>1192</v>
      </c>
      <c r="F853" s="4" t="s">
        <v>2178</v>
      </c>
      <c r="G853" s="6">
        <v>-19697.216464260098</v>
      </c>
      <c r="H853" s="6">
        <f t="shared" si="14"/>
        <v>-271987.48672265583</v>
      </c>
      <c r="I853" s="4"/>
      <c r="J853" s="4" t="s">
        <v>68</v>
      </c>
      <c r="K853" s="7">
        <v>18794.689999999999</v>
      </c>
      <c r="L853" s="4" t="s">
        <v>2214</v>
      </c>
      <c r="M853" s="4" t="s">
        <v>61</v>
      </c>
      <c r="N853" s="4"/>
    </row>
    <row r="854" spans="1:14" ht="10.5" hidden="1" x14ac:dyDescent="0.25">
      <c r="A854" s="8" t="s">
        <v>470</v>
      </c>
      <c r="B854" s="4" t="s">
        <v>21</v>
      </c>
      <c r="C854" s="5">
        <v>43769</v>
      </c>
      <c r="D854" s="4" t="s">
        <v>2215</v>
      </c>
      <c r="E854" s="4" t="s">
        <v>1192</v>
      </c>
      <c r="F854" s="4" t="s">
        <v>2178</v>
      </c>
      <c r="G854" s="6">
        <v>-19710.6101635663</v>
      </c>
      <c r="H854" s="6">
        <f t="shared" si="14"/>
        <v>-291698.09688622213</v>
      </c>
      <c r="I854" s="4"/>
      <c r="J854" s="4" t="s">
        <v>68</v>
      </c>
      <c r="K854" s="7">
        <v>18807.47</v>
      </c>
      <c r="L854" s="4" t="s">
        <v>2216</v>
      </c>
      <c r="M854" s="4" t="s">
        <v>61</v>
      </c>
      <c r="N854" s="4"/>
    </row>
    <row r="855" spans="1:14" ht="10.5" hidden="1" x14ac:dyDescent="0.25">
      <c r="A855" s="8" t="s">
        <v>470</v>
      </c>
      <c r="B855" s="4" t="s">
        <v>21</v>
      </c>
      <c r="C855" s="5">
        <v>43799</v>
      </c>
      <c r="D855" s="4" t="s">
        <v>2217</v>
      </c>
      <c r="E855" s="4" t="s">
        <v>1192</v>
      </c>
      <c r="F855" s="4" t="s">
        <v>2178</v>
      </c>
      <c r="G855" s="6">
        <v>-16014.263561142099</v>
      </c>
      <c r="H855" s="6">
        <f t="shared" si="14"/>
        <v>-307712.36044736422</v>
      </c>
      <c r="I855" s="4"/>
      <c r="J855" s="4" t="s">
        <v>68</v>
      </c>
      <c r="K855" s="7">
        <v>15280.49</v>
      </c>
      <c r="L855" s="4" t="s">
        <v>2218</v>
      </c>
      <c r="M855" s="4" t="s">
        <v>61</v>
      </c>
      <c r="N855" s="4"/>
    </row>
    <row r="856" spans="1:14" ht="10.5" hidden="1" x14ac:dyDescent="0.25">
      <c r="A856" s="8" t="s">
        <v>470</v>
      </c>
      <c r="B856" s="4" t="s">
        <v>21</v>
      </c>
      <c r="C856" s="5">
        <v>43830</v>
      </c>
      <c r="D856" s="4" t="s">
        <v>2219</v>
      </c>
      <c r="E856" s="4" t="s">
        <v>2220</v>
      </c>
      <c r="F856" s="4" t="s">
        <v>2221</v>
      </c>
      <c r="G856" s="6">
        <v>-42968.831890000001</v>
      </c>
      <c r="H856" s="6">
        <f t="shared" si="14"/>
        <v>-350681.19233736419</v>
      </c>
      <c r="I856" s="4"/>
      <c r="J856" s="4" t="s">
        <v>68</v>
      </c>
      <c r="K856" s="7">
        <v>41000</v>
      </c>
      <c r="L856" s="4" t="s">
        <v>1025</v>
      </c>
      <c r="M856" s="4" t="s">
        <v>61</v>
      </c>
      <c r="N856" s="4"/>
    </row>
    <row r="857" spans="1:14" ht="10.5" hidden="1" x14ac:dyDescent="0.25">
      <c r="A857" s="8" t="s">
        <v>470</v>
      </c>
      <c r="B857" s="4" t="s">
        <v>21</v>
      </c>
      <c r="C857" s="5">
        <v>43830</v>
      </c>
      <c r="D857" s="4" t="s">
        <v>1222</v>
      </c>
      <c r="E857" s="4" t="s">
        <v>1192</v>
      </c>
      <c r="F857" s="4" t="s">
        <v>2178</v>
      </c>
      <c r="G857" s="6">
        <v>-16551.174835911999</v>
      </c>
      <c r="H857" s="6">
        <f t="shared" si="14"/>
        <v>-367232.3671732762</v>
      </c>
      <c r="I857" s="4"/>
      <c r="J857" s="4" t="s">
        <v>68</v>
      </c>
      <c r="K857" s="7">
        <v>15792.8</v>
      </c>
      <c r="L857" s="4" t="s">
        <v>1025</v>
      </c>
      <c r="M857" s="4" t="s">
        <v>61</v>
      </c>
      <c r="N857" s="4"/>
    </row>
    <row r="858" spans="1:14" ht="10.5" hidden="1" x14ac:dyDescent="0.25">
      <c r="A858" s="8" t="s">
        <v>470</v>
      </c>
      <c r="B858" s="4" t="s">
        <v>21</v>
      </c>
      <c r="C858" s="5">
        <v>43830</v>
      </c>
      <c r="D858" s="4" t="s">
        <v>1222</v>
      </c>
      <c r="E858" s="4" t="s">
        <v>1192</v>
      </c>
      <c r="F858" s="4" t="s">
        <v>2222</v>
      </c>
      <c r="G858" s="6">
        <v>70376.532751645194</v>
      </c>
      <c r="H858" s="6">
        <f t="shared" si="14"/>
        <v>-296855.83442163101</v>
      </c>
      <c r="I858" s="4"/>
      <c r="J858" s="4" t="s">
        <v>68</v>
      </c>
      <c r="K858" s="7">
        <v>-67151.88</v>
      </c>
      <c r="L858" s="4" t="s">
        <v>1025</v>
      </c>
      <c r="M858" s="4" t="s">
        <v>61</v>
      </c>
      <c r="N858" s="4"/>
    </row>
    <row r="859" spans="1:14" ht="10.5" hidden="1" x14ac:dyDescent="0.25">
      <c r="A859" s="8" t="s">
        <v>470</v>
      </c>
      <c r="B859" s="4" t="s">
        <v>21</v>
      </c>
      <c r="C859" s="5">
        <v>43830</v>
      </c>
      <c r="D859" s="4" t="s">
        <v>1222</v>
      </c>
      <c r="E859" s="4" t="s">
        <v>1192</v>
      </c>
      <c r="F859" s="4" t="s">
        <v>2223</v>
      </c>
      <c r="G859" s="6">
        <v>377.96851758849999</v>
      </c>
      <c r="H859" s="6">
        <f t="shared" si="14"/>
        <v>-296477.8659040425</v>
      </c>
      <c r="I859" s="4"/>
      <c r="J859" s="4" t="s">
        <v>68</v>
      </c>
      <c r="K859" s="7">
        <v>-360.65</v>
      </c>
      <c r="L859" s="4" t="s">
        <v>1025</v>
      </c>
      <c r="M859" s="4" t="s">
        <v>61</v>
      </c>
      <c r="N859" s="4"/>
    </row>
    <row r="860" spans="1:14" ht="10.5" hidden="1" x14ac:dyDescent="0.25">
      <c r="A860" s="8" t="s">
        <v>470</v>
      </c>
      <c r="B860" s="4" t="s">
        <v>21</v>
      </c>
      <c r="C860" s="5">
        <v>43830</v>
      </c>
      <c r="D860" s="4" t="s">
        <v>1222</v>
      </c>
      <c r="E860" s="4" t="s">
        <v>1192</v>
      </c>
      <c r="F860" s="4" t="s">
        <v>2224</v>
      </c>
      <c r="G860" s="6">
        <v>91471.6091589102</v>
      </c>
      <c r="H860" s="6">
        <f t="shared" si="14"/>
        <v>-205006.2567451323</v>
      </c>
      <c r="I860" s="4"/>
      <c r="J860" s="4" t="s">
        <v>68</v>
      </c>
      <c r="K860" s="7">
        <v>-87280.38</v>
      </c>
      <c r="L860" s="4" t="s">
        <v>1025</v>
      </c>
      <c r="M860" s="4" t="s">
        <v>61</v>
      </c>
      <c r="N860" s="4"/>
    </row>
    <row r="861" spans="1:14" ht="10.5" hidden="1" x14ac:dyDescent="0.25">
      <c r="A861" s="8" t="s">
        <v>470</v>
      </c>
      <c r="B861" s="4" t="s">
        <v>21</v>
      </c>
      <c r="C861" s="5">
        <v>43830</v>
      </c>
      <c r="D861" s="4" t="s">
        <v>1222</v>
      </c>
      <c r="E861" s="4" t="s">
        <v>1192</v>
      </c>
      <c r="F861" s="4" t="s">
        <v>2225</v>
      </c>
      <c r="G861" s="6">
        <v>-19311.765081801001</v>
      </c>
      <c r="H861" s="6">
        <f t="shared" si="14"/>
        <v>-224318.02182693331</v>
      </c>
      <c r="I861" s="4"/>
      <c r="J861" s="4" t="s">
        <v>68</v>
      </c>
      <c r="K861" s="7">
        <v>18426.900000000001</v>
      </c>
      <c r="L861" s="4" t="s">
        <v>1025</v>
      </c>
      <c r="M861" s="4" t="s">
        <v>61</v>
      </c>
      <c r="N861" s="4"/>
    </row>
    <row r="862" spans="1:14" ht="10.5" hidden="1" x14ac:dyDescent="0.25">
      <c r="A862" s="8" t="s">
        <v>470</v>
      </c>
      <c r="B862" s="4" t="s">
        <v>21</v>
      </c>
      <c r="C862" s="5">
        <v>43830</v>
      </c>
      <c r="D862" s="4" t="s">
        <v>1222</v>
      </c>
      <c r="E862" s="4" t="s">
        <v>1192</v>
      </c>
      <c r="F862" s="4" t="s">
        <v>2226</v>
      </c>
      <c r="G862" s="6">
        <v>-9465.7192592800002</v>
      </c>
      <c r="H862" s="6">
        <f t="shared" si="14"/>
        <v>-233783.74108621333</v>
      </c>
      <c r="I862" s="4"/>
      <c r="J862" s="4" t="s">
        <v>68</v>
      </c>
      <c r="K862" s="7">
        <v>9032</v>
      </c>
      <c r="L862" s="4" t="s">
        <v>1025</v>
      </c>
      <c r="M862" s="4" t="s">
        <v>61</v>
      </c>
      <c r="N862" s="4"/>
    </row>
    <row r="863" spans="1:14" ht="10.5" hidden="1" x14ac:dyDescent="0.25">
      <c r="A863" s="8" t="s">
        <v>470</v>
      </c>
      <c r="B863" s="4" t="s">
        <v>21</v>
      </c>
      <c r="C863" s="5">
        <v>43830</v>
      </c>
      <c r="D863" s="4" t="s">
        <v>1222</v>
      </c>
      <c r="E863" s="4" t="s">
        <v>1192</v>
      </c>
      <c r="F863" s="4" t="s">
        <v>2227</v>
      </c>
      <c r="G863" s="6">
        <v>-15245.2681931517</v>
      </c>
      <c r="H863" s="6">
        <f t="shared" si="14"/>
        <v>-249029.00927936501</v>
      </c>
      <c r="I863" s="4"/>
      <c r="J863" s="4" t="s">
        <v>68</v>
      </c>
      <c r="K863" s="7">
        <v>14546.73</v>
      </c>
      <c r="L863" s="4" t="s">
        <v>1025</v>
      </c>
      <c r="M863" s="4" t="s">
        <v>61</v>
      </c>
      <c r="N863" s="4"/>
    </row>
    <row r="864" spans="1:14" ht="10.5" hidden="1" x14ac:dyDescent="0.25">
      <c r="A864" s="8" t="s">
        <v>470</v>
      </c>
      <c r="B864" s="4" t="s">
        <v>21</v>
      </c>
      <c r="C864" s="5">
        <v>43830</v>
      </c>
      <c r="D864" s="4" t="s">
        <v>1222</v>
      </c>
      <c r="E864" s="4" t="s">
        <v>1192</v>
      </c>
      <c r="F864" s="4" t="s">
        <v>2228</v>
      </c>
      <c r="G864" s="6">
        <v>45486.753037739501</v>
      </c>
      <c r="H864" s="6">
        <f t="shared" si="14"/>
        <v>-203542.25624162552</v>
      </c>
      <c r="I864" s="4"/>
      <c r="J864" s="4" t="s">
        <v>68</v>
      </c>
      <c r="K864" s="7">
        <v>-43402.55</v>
      </c>
      <c r="L864" s="4" t="s">
        <v>1025</v>
      </c>
      <c r="M864" s="4" t="s">
        <v>61</v>
      </c>
      <c r="N864" s="4"/>
    </row>
    <row r="865" spans="1:14" ht="10.5" hidden="1" x14ac:dyDescent="0.25">
      <c r="A865" s="8" t="s">
        <v>470</v>
      </c>
      <c r="B865" s="4" t="s">
        <v>21</v>
      </c>
      <c r="C865" s="5">
        <v>43830</v>
      </c>
      <c r="D865" s="4" t="s">
        <v>1222</v>
      </c>
      <c r="E865" s="4" t="s">
        <v>1192</v>
      </c>
      <c r="F865" s="4" t="s">
        <v>2229</v>
      </c>
      <c r="G865" s="6">
        <v>1672.64038284</v>
      </c>
      <c r="H865" s="6">
        <f t="shared" si="14"/>
        <v>-201869.61585878552</v>
      </c>
      <c r="I865" s="4"/>
      <c r="J865" s="4" t="s">
        <v>68</v>
      </c>
      <c r="K865" s="7">
        <v>-1596</v>
      </c>
      <c r="L865" s="4" t="s">
        <v>1025</v>
      </c>
      <c r="M865" s="4" t="s">
        <v>61</v>
      </c>
      <c r="N865" s="4"/>
    </row>
    <row r="866" spans="1:14" ht="10.5" hidden="1" x14ac:dyDescent="0.25">
      <c r="A866" s="8" t="s">
        <v>470</v>
      </c>
      <c r="B866" s="4" t="s">
        <v>21</v>
      </c>
      <c r="C866" s="5">
        <v>43830</v>
      </c>
      <c r="D866" s="4" t="s">
        <v>1222</v>
      </c>
      <c r="E866" s="4" t="s">
        <v>1192</v>
      </c>
      <c r="F866" s="4" t="s">
        <v>2230</v>
      </c>
      <c r="G866" s="6">
        <v>-1820.7780508315</v>
      </c>
      <c r="H866" s="6">
        <f t="shared" si="14"/>
        <v>-203690.39390961701</v>
      </c>
      <c r="I866" s="4"/>
      <c r="J866" s="4" t="s">
        <v>68</v>
      </c>
      <c r="K866" s="7">
        <v>1737.35</v>
      </c>
      <c r="L866" s="4" t="s">
        <v>1025</v>
      </c>
      <c r="M866" s="4" t="s">
        <v>61</v>
      </c>
      <c r="N866" s="4"/>
    </row>
    <row r="867" spans="1:14" ht="10.5" hidden="1" x14ac:dyDescent="0.25">
      <c r="A867" s="8" t="s">
        <v>470</v>
      </c>
      <c r="B867" s="4" t="s">
        <v>21</v>
      </c>
      <c r="C867" s="5">
        <v>43830</v>
      </c>
      <c r="D867" s="4" t="s">
        <v>1222</v>
      </c>
      <c r="E867" s="4" t="s">
        <v>1192</v>
      </c>
      <c r="F867" s="4" t="s">
        <v>2231</v>
      </c>
      <c r="G867" s="6">
        <v>16888.846973349999</v>
      </c>
      <c r="H867" s="6">
        <f t="shared" si="14"/>
        <v>-186801.546936267</v>
      </c>
      <c r="I867" s="4"/>
      <c r="J867" s="4" t="s">
        <v>68</v>
      </c>
      <c r="K867" s="7">
        <v>-16115</v>
      </c>
      <c r="L867" s="4" t="s">
        <v>1025</v>
      </c>
      <c r="M867" s="4" t="s">
        <v>61</v>
      </c>
      <c r="N867" s="4"/>
    </row>
    <row r="868" spans="1:14" ht="10.5" hidden="1" x14ac:dyDescent="0.25">
      <c r="A868" s="8" t="s">
        <v>470</v>
      </c>
      <c r="B868" s="4" t="s">
        <v>21</v>
      </c>
      <c r="C868" s="5">
        <v>43830</v>
      </c>
      <c r="D868" s="4" t="s">
        <v>1222</v>
      </c>
      <c r="E868" s="4" t="s">
        <v>1192</v>
      </c>
      <c r="F868" s="4" t="s">
        <v>2229</v>
      </c>
      <c r="G868" s="6">
        <v>-1672.64038284</v>
      </c>
      <c r="H868" s="6">
        <f t="shared" si="14"/>
        <v>-188474.187319107</v>
      </c>
      <c r="I868" s="4"/>
      <c r="J868" s="4" t="s">
        <v>68</v>
      </c>
      <c r="K868" s="7">
        <v>1596</v>
      </c>
      <c r="L868" s="4" t="s">
        <v>1025</v>
      </c>
      <c r="M868" s="4" t="s">
        <v>61</v>
      </c>
      <c r="N868" s="4"/>
    </row>
    <row r="869" spans="1:14" ht="10.5" hidden="1" x14ac:dyDescent="0.25">
      <c r="A869" s="8" t="s">
        <v>470</v>
      </c>
      <c r="B869" s="4" t="s">
        <v>21</v>
      </c>
      <c r="C869" s="5">
        <v>43831</v>
      </c>
      <c r="D869" s="4" t="s">
        <v>2232</v>
      </c>
      <c r="E869" s="4" t="s">
        <v>2233</v>
      </c>
      <c r="F869" s="4" t="s">
        <v>2234</v>
      </c>
      <c r="G869" s="6">
        <v>19311.765081801001</v>
      </c>
      <c r="H869" s="6">
        <f t="shared" si="14"/>
        <v>-169162.42223730602</v>
      </c>
      <c r="I869" s="4"/>
      <c r="J869" s="4" t="s">
        <v>68</v>
      </c>
      <c r="K869" s="7">
        <v>-18426.900000000001</v>
      </c>
      <c r="L869" s="4" t="s">
        <v>1237</v>
      </c>
      <c r="M869" s="4" t="s">
        <v>61</v>
      </c>
      <c r="N869" s="4"/>
    </row>
    <row r="870" spans="1:14" ht="10.5" hidden="1" x14ac:dyDescent="0.25">
      <c r="A870" s="8" t="s">
        <v>470</v>
      </c>
      <c r="B870" s="4" t="s">
        <v>21</v>
      </c>
      <c r="C870" s="5">
        <v>43861</v>
      </c>
      <c r="D870" s="4" t="s">
        <v>2235</v>
      </c>
      <c r="E870" s="4" t="s">
        <v>2233</v>
      </c>
      <c r="F870" s="4" t="s">
        <v>2236</v>
      </c>
      <c r="G870" s="6">
        <v>-63578.612021777597</v>
      </c>
      <c r="H870" s="6">
        <f t="shared" si="14"/>
        <v>-232741.03425908362</v>
      </c>
      <c r="I870" s="4"/>
      <c r="J870" s="4" t="s">
        <v>68</v>
      </c>
      <c r="K870" s="7">
        <v>60665.440000000002</v>
      </c>
      <c r="L870" s="4" t="s">
        <v>1237</v>
      </c>
      <c r="M870" s="4" t="s">
        <v>61</v>
      </c>
      <c r="N870" s="4"/>
    </row>
    <row r="871" spans="1:14" ht="10.5" hidden="1" x14ac:dyDescent="0.25">
      <c r="A871" s="8" t="s">
        <v>470</v>
      </c>
      <c r="B871" s="4" t="s">
        <v>21</v>
      </c>
      <c r="C871" s="5">
        <v>43862</v>
      </c>
      <c r="D871" s="4" t="s">
        <v>2237</v>
      </c>
      <c r="E871" s="4" t="s">
        <v>2238</v>
      </c>
      <c r="F871" s="4" t="s">
        <v>2239</v>
      </c>
      <c r="G871" s="6">
        <v>63578.612021777597</v>
      </c>
      <c r="H871" s="6">
        <f t="shared" si="14"/>
        <v>-169162.42223730602</v>
      </c>
      <c r="I871" s="4"/>
      <c r="J871" s="4" t="s">
        <v>68</v>
      </c>
      <c r="K871" s="7">
        <v>-60665.440000000002</v>
      </c>
      <c r="L871" s="4" t="s">
        <v>1331</v>
      </c>
      <c r="M871" s="4" t="s">
        <v>61</v>
      </c>
      <c r="N871" s="4"/>
    </row>
    <row r="872" spans="1:14" ht="10.5" hidden="1" x14ac:dyDescent="0.25">
      <c r="A872" s="8" t="s">
        <v>470</v>
      </c>
      <c r="B872" s="4" t="s">
        <v>21</v>
      </c>
      <c r="C872" s="5">
        <v>43889</v>
      </c>
      <c r="D872" s="4" t="s">
        <v>2240</v>
      </c>
      <c r="E872" s="4" t="s">
        <v>2238</v>
      </c>
      <c r="F872" s="4" t="s">
        <v>2241</v>
      </c>
      <c r="G872" s="6">
        <v>27362.897994247702</v>
      </c>
      <c r="H872" s="6">
        <f t="shared" si="14"/>
        <v>-141799.52424305832</v>
      </c>
      <c r="I872" s="4"/>
      <c r="J872" s="4" t="s">
        <v>68</v>
      </c>
      <c r="K872" s="7">
        <v>-26109.13</v>
      </c>
      <c r="L872" s="4" t="s">
        <v>1331</v>
      </c>
      <c r="M872" s="4" t="s">
        <v>61</v>
      </c>
      <c r="N872" s="4"/>
    </row>
    <row r="873" spans="1:14" ht="10.5" hidden="1" x14ac:dyDescent="0.25">
      <c r="A873" s="8" t="s">
        <v>470</v>
      </c>
      <c r="B873" s="4" t="s">
        <v>21</v>
      </c>
      <c r="C873" s="5">
        <v>43890</v>
      </c>
      <c r="D873" s="4" t="s">
        <v>2242</v>
      </c>
      <c r="E873" s="4" t="s">
        <v>2238</v>
      </c>
      <c r="F873" s="4" t="s">
        <v>2243</v>
      </c>
      <c r="G873" s="6">
        <v>-27362.897994247702</v>
      </c>
      <c r="H873" s="6">
        <f t="shared" si="14"/>
        <v>-169162.42223730602</v>
      </c>
      <c r="I873" s="4"/>
      <c r="J873" s="4" t="s">
        <v>68</v>
      </c>
      <c r="K873" s="7">
        <v>26109.13</v>
      </c>
      <c r="L873" s="4" t="s">
        <v>1331</v>
      </c>
      <c r="M873" s="4" t="s">
        <v>61</v>
      </c>
      <c r="N873" s="4"/>
    </row>
    <row r="874" spans="1:14" ht="10.5" hidden="1" x14ac:dyDescent="0.25">
      <c r="A874" s="8" t="s">
        <v>470</v>
      </c>
      <c r="B874" s="4" t="s">
        <v>21</v>
      </c>
      <c r="C874" s="5">
        <v>43890</v>
      </c>
      <c r="D874" s="4" t="s">
        <v>2244</v>
      </c>
      <c r="E874" s="4" t="s">
        <v>2238</v>
      </c>
      <c r="F874" s="4" t="s">
        <v>2245</v>
      </c>
      <c r="G874" s="6">
        <v>-118428.493612609</v>
      </c>
      <c r="H874" s="6">
        <f t="shared" si="14"/>
        <v>-287590.91584991501</v>
      </c>
      <c r="I874" s="4"/>
      <c r="J874" s="4" t="s">
        <v>68</v>
      </c>
      <c r="K874" s="7">
        <v>113002.1</v>
      </c>
      <c r="L874" s="4" t="s">
        <v>1331</v>
      </c>
      <c r="M874" s="4" t="s">
        <v>61</v>
      </c>
      <c r="N874" s="4"/>
    </row>
    <row r="875" spans="1:14" ht="10.5" hidden="1" x14ac:dyDescent="0.25">
      <c r="A875" s="8" t="s">
        <v>470</v>
      </c>
      <c r="B875" s="4" t="s">
        <v>21</v>
      </c>
      <c r="C875" s="5">
        <v>43891</v>
      </c>
      <c r="D875" s="4" t="s">
        <v>2246</v>
      </c>
      <c r="E875" s="4" t="s">
        <v>2247</v>
      </c>
      <c r="F875" s="4" t="s">
        <v>2248</v>
      </c>
      <c r="G875" s="6">
        <v>-27362.897994247702</v>
      </c>
      <c r="H875" s="6">
        <f t="shared" si="14"/>
        <v>-314953.81384416274</v>
      </c>
      <c r="I875" s="4"/>
      <c r="J875" s="4" t="s">
        <v>68</v>
      </c>
      <c r="K875" s="7">
        <v>26109.13</v>
      </c>
      <c r="L875" s="4" t="s">
        <v>1049</v>
      </c>
      <c r="M875" s="4" t="s">
        <v>61</v>
      </c>
      <c r="N875" s="4"/>
    </row>
    <row r="876" spans="1:14" ht="10.5" hidden="1" x14ac:dyDescent="0.25">
      <c r="A876" s="8" t="s">
        <v>470</v>
      </c>
      <c r="B876" s="4" t="s">
        <v>21</v>
      </c>
      <c r="C876" s="5">
        <v>43891</v>
      </c>
      <c r="D876" s="4" t="s">
        <v>2249</v>
      </c>
      <c r="E876" s="4" t="s">
        <v>2247</v>
      </c>
      <c r="F876" s="4" t="s">
        <v>2250</v>
      </c>
      <c r="G876" s="6">
        <v>-27362.897994247702</v>
      </c>
      <c r="H876" s="6">
        <f t="shared" si="14"/>
        <v>-342316.71183841047</v>
      </c>
      <c r="I876" s="4"/>
      <c r="J876" s="4" t="s">
        <v>68</v>
      </c>
      <c r="K876" s="7">
        <v>26109.13</v>
      </c>
      <c r="L876" s="4" t="s">
        <v>1049</v>
      </c>
      <c r="M876" s="4" t="s">
        <v>61</v>
      </c>
      <c r="N876" s="4"/>
    </row>
    <row r="877" spans="1:14" ht="10.5" hidden="1" x14ac:dyDescent="0.25">
      <c r="A877" s="8" t="s">
        <v>470</v>
      </c>
      <c r="B877" s="4" t="s">
        <v>21</v>
      </c>
      <c r="C877" s="5">
        <v>43891</v>
      </c>
      <c r="D877" s="4" t="s">
        <v>2251</v>
      </c>
      <c r="E877" s="4" t="s">
        <v>2247</v>
      </c>
      <c r="F877" s="4" t="s">
        <v>2252</v>
      </c>
      <c r="G877" s="6">
        <v>27362.897994247702</v>
      </c>
      <c r="H877" s="6">
        <f t="shared" si="14"/>
        <v>-314953.81384416274</v>
      </c>
      <c r="I877" s="4"/>
      <c r="J877" s="4" t="s">
        <v>68</v>
      </c>
      <c r="K877" s="7">
        <v>-26109.13</v>
      </c>
      <c r="L877" s="4" t="s">
        <v>1049</v>
      </c>
      <c r="M877" s="4" t="s">
        <v>61</v>
      </c>
      <c r="N877" s="4"/>
    </row>
    <row r="878" spans="1:14" ht="10.5" hidden="1" x14ac:dyDescent="0.25">
      <c r="A878" s="8" t="s">
        <v>470</v>
      </c>
      <c r="B878" s="4" t="s">
        <v>21</v>
      </c>
      <c r="C878" s="5">
        <v>43921</v>
      </c>
      <c r="D878" s="4" t="s">
        <v>2253</v>
      </c>
      <c r="E878" s="4" t="s">
        <v>2247</v>
      </c>
      <c r="F878" s="4" t="s">
        <v>2254</v>
      </c>
      <c r="G878" s="6">
        <v>118428.493612609</v>
      </c>
      <c r="H878" s="6">
        <f t="shared" si="14"/>
        <v>-196525.32023155375</v>
      </c>
      <c r="I878" s="4"/>
      <c r="J878" s="4" t="s">
        <v>68</v>
      </c>
      <c r="K878" s="7">
        <v>-113002.1</v>
      </c>
      <c r="L878" s="4" t="s">
        <v>1049</v>
      </c>
      <c r="M878" s="4" t="s">
        <v>61</v>
      </c>
      <c r="N878" s="4"/>
    </row>
    <row r="879" spans="1:14" ht="10.5" hidden="1" x14ac:dyDescent="0.25">
      <c r="A879" s="8" t="s">
        <v>470</v>
      </c>
      <c r="B879" s="4" t="s">
        <v>21</v>
      </c>
      <c r="C879" s="5">
        <v>43921</v>
      </c>
      <c r="D879" s="4" t="s">
        <v>2255</v>
      </c>
      <c r="E879" s="4" t="s">
        <v>2247</v>
      </c>
      <c r="F879" s="4" t="s">
        <v>2256</v>
      </c>
      <c r="G879" s="6">
        <v>-160260.89422094461</v>
      </c>
      <c r="H879" s="6">
        <f t="shared" si="14"/>
        <v>-356786.21445249836</v>
      </c>
      <c r="I879" s="4"/>
      <c r="J879" s="4" t="s">
        <v>68</v>
      </c>
      <c r="K879" s="7">
        <v>152917.74</v>
      </c>
      <c r="L879" s="4" t="s">
        <v>1049</v>
      </c>
      <c r="M879" s="4" t="s">
        <v>61</v>
      </c>
      <c r="N879" s="4"/>
    </row>
    <row r="880" spans="1:14" ht="10.5" hidden="1" x14ac:dyDescent="0.25">
      <c r="A880" s="8" t="s">
        <v>470</v>
      </c>
      <c r="B880" s="4" t="s">
        <v>21</v>
      </c>
      <c r="C880" s="5">
        <v>43921</v>
      </c>
      <c r="D880" s="4" t="s">
        <v>2257</v>
      </c>
      <c r="E880" s="4" t="s">
        <v>2247</v>
      </c>
      <c r="F880" s="4" t="s">
        <v>2258</v>
      </c>
      <c r="G880" s="6">
        <v>14895.470460958401</v>
      </c>
      <c r="H880" s="6">
        <f t="shared" si="14"/>
        <v>-341890.74399153993</v>
      </c>
      <c r="I880" s="4"/>
      <c r="J880" s="4" t="s">
        <v>68</v>
      </c>
      <c r="K880" s="7">
        <v>-14212.96</v>
      </c>
      <c r="L880" s="4" t="s">
        <v>1049</v>
      </c>
      <c r="M880" s="4" t="s">
        <v>61</v>
      </c>
      <c r="N880" s="4"/>
    </row>
    <row r="881" spans="1:14" ht="10.5" hidden="1" x14ac:dyDescent="0.25">
      <c r="A881" s="8" t="s">
        <v>470</v>
      </c>
      <c r="B881" s="4" t="s">
        <v>21</v>
      </c>
      <c r="C881" s="5">
        <v>43921</v>
      </c>
      <c r="D881" s="4" t="s">
        <v>2257</v>
      </c>
      <c r="E881" s="4" t="s">
        <v>2247</v>
      </c>
      <c r="F881" s="4" t="s">
        <v>2258</v>
      </c>
      <c r="G881" s="6">
        <v>249.47074983159999</v>
      </c>
      <c r="H881" s="6">
        <f t="shared" si="14"/>
        <v>-341641.27324170835</v>
      </c>
      <c r="I881" s="4"/>
      <c r="J881" s="4" t="s">
        <v>68</v>
      </c>
      <c r="K881" s="7">
        <v>-238.04</v>
      </c>
      <c r="L881" s="4" t="s">
        <v>1049</v>
      </c>
      <c r="M881" s="4" t="s">
        <v>61</v>
      </c>
      <c r="N881" s="4"/>
    </row>
    <row r="882" spans="1:14" ht="10.5" hidden="1" x14ac:dyDescent="0.25">
      <c r="A882" s="8" t="s">
        <v>470</v>
      </c>
      <c r="B882" s="4" t="s">
        <v>21</v>
      </c>
      <c r="C882" s="5">
        <v>43921</v>
      </c>
      <c r="D882" s="4" t="s">
        <v>2257</v>
      </c>
      <c r="E882" s="4" t="s">
        <v>2247</v>
      </c>
      <c r="F882" s="4" t="s">
        <v>2258</v>
      </c>
      <c r="G882" s="6">
        <v>14981.3347633181</v>
      </c>
      <c r="H882" s="6">
        <f t="shared" si="14"/>
        <v>-326659.93847839022</v>
      </c>
      <c r="I882" s="4"/>
      <c r="J882" s="4" t="s">
        <v>68</v>
      </c>
      <c r="K882" s="7">
        <v>-14294.89</v>
      </c>
      <c r="L882" s="4" t="s">
        <v>1049</v>
      </c>
      <c r="M882" s="4" t="s">
        <v>61</v>
      </c>
      <c r="N882" s="4"/>
    </row>
    <row r="883" spans="1:14" ht="10.5" hidden="1" x14ac:dyDescent="0.25">
      <c r="A883" s="8" t="s">
        <v>470</v>
      </c>
      <c r="B883" s="4" t="s">
        <v>21</v>
      </c>
      <c r="C883" s="5">
        <v>43921</v>
      </c>
      <c r="D883" s="4" t="s">
        <v>2257</v>
      </c>
      <c r="E883" s="4" t="s">
        <v>2247</v>
      </c>
      <c r="F883" s="4" t="s">
        <v>2258</v>
      </c>
      <c r="G883" s="6">
        <v>1240.5206568671999</v>
      </c>
      <c r="H883" s="6">
        <f t="shared" si="14"/>
        <v>-325419.41782152303</v>
      </c>
      <c r="I883" s="4"/>
      <c r="J883" s="4" t="s">
        <v>68</v>
      </c>
      <c r="K883" s="7">
        <v>-1183.68</v>
      </c>
      <c r="L883" s="4" t="s">
        <v>1049</v>
      </c>
      <c r="M883" s="4" t="s">
        <v>61</v>
      </c>
      <c r="N883" s="4"/>
    </row>
    <row r="884" spans="1:14" ht="10.5" hidden="1" x14ac:dyDescent="0.25">
      <c r="A884" s="8" t="s">
        <v>470</v>
      </c>
      <c r="B884" s="4" t="s">
        <v>21</v>
      </c>
      <c r="C884" s="5">
        <v>43921</v>
      </c>
      <c r="D884" s="4" t="s">
        <v>2257</v>
      </c>
      <c r="E884" s="4" t="s">
        <v>2247</v>
      </c>
      <c r="F884" s="4" t="s">
        <v>2259</v>
      </c>
      <c r="G884" s="6">
        <v>11547.988852669399</v>
      </c>
      <c r="H884" s="6">
        <f t="shared" si="14"/>
        <v>-313871.42896885361</v>
      </c>
      <c r="I884" s="4"/>
      <c r="J884" s="4" t="s">
        <v>68</v>
      </c>
      <c r="K884" s="7">
        <v>-11018.86</v>
      </c>
      <c r="L884" s="4" t="s">
        <v>1049</v>
      </c>
      <c r="M884" s="4" t="s">
        <v>61</v>
      </c>
      <c r="N884" s="4"/>
    </row>
    <row r="885" spans="1:14" ht="10.5" hidden="1" x14ac:dyDescent="0.25">
      <c r="A885" s="8" t="s">
        <v>470</v>
      </c>
      <c r="B885" s="4" t="s">
        <v>21</v>
      </c>
      <c r="C885" s="5">
        <v>43921</v>
      </c>
      <c r="D885" s="4" t="s">
        <v>2257</v>
      </c>
      <c r="E885" s="4" t="s">
        <v>2247</v>
      </c>
      <c r="F885" s="4" t="s">
        <v>2259</v>
      </c>
      <c r="G885" s="6">
        <v>1238.3302944611</v>
      </c>
      <c r="H885" s="6">
        <f t="shared" si="14"/>
        <v>-312633.0986743925</v>
      </c>
      <c r="I885" s="4"/>
      <c r="J885" s="4" t="s">
        <v>68</v>
      </c>
      <c r="K885" s="7">
        <v>-1181.5899999999999</v>
      </c>
      <c r="L885" s="4" t="s">
        <v>1049</v>
      </c>
      <c r="M885" s="4" t="s">
        <v>61</v>
      </c>
      <c r="N885" s="4"/>
    </row>
    <row r="886" spans="1:14" ht="10.5" hidden="1" x14ac:dyDescent="0.25">
      <c r="A886" s="8" t="s">
        <v>470</v>
      </c>
      <c r="B886" s="4" t="s">
        <v>21</v>
      </c>
      <c r="C886" s="5">
        <v>43921</v>
      </c>
      <c r="D886" s="4" t="s">
        <v>2257</v>
      </c>
      <c r="E886" s="4" t="s">
        <v>2247</v>
      </c>
      <c r="F886" s="4" t="s">
        <v>2260</v>
      </c>
      <c r="G886" s="6">
        <v>17233.624688354201</v>
      </c>
      <c r="H886" s="6">
        <f t="shared" si="14"/>
        <v>-295399.4739860383</v>
      </c>
      <c r="I886" s="4"/>
      <c r="J886" s="4" t="s">
        <v>68</v>
      </c>
      <c r="K886" s="7">
        <v>-16443.98</v>
      </c>
      <c r="L886" s="4" t="s">
        <v>1049</v>
      </c>
      <c r="M886" s="4" t="s">
        <v>61</v>
      </c>
      <c r="N886" s="4"/>
    </row>
    <row r="887" spans="1:14" ht="10.5" hidden="1" x14ac:dyDescent="0.25">
      <c r="A887" s="8" t="s">
        <v>470</v>
      </c>
      <c r="B887" s="4" t="s">
        <v>21</v>
      </c>
      <c r="C887" s="5">
        <v>43921</v>
      </c>
      <c r="D887" s="4" t="s">
        <v>2257</v>
      </c>
      <c r="E887" s="4" t="s">
        <v>2247</v>
      </c>
      <c r="F887" s="4" t="s">
        <v>2260</v>
      </c>
      <c r="G887" s="6">
        <v>324.82340868260002</v>
      </c>
      <c r="H887" s="6">
        <f t="shared" si="14"/>
        <v>-295074.6505773557</v>
      </c>
      <c r="I887" s="4"/>
      <c r="J887" s="4" t="s">
        <v>68</v>
      </c>
      <c r="K887" s="7">
        <v>-309.94</v>
      </c>
      <c r="L887" s="4" t="s">
        <v>1049</v>
      </c>
      <c r="M887" s="4" t="s">
        <v>61</v>
      </c>
      <c r="N887" s="4"/>
    </row>
    <row r="888" spans="1:14" ht="10.5" hidden="1" x14ac:dyDescent="0.25">
      <c r="A888" s="8" t="s">
        <v>470</v>
      </c>
      <c r="B888" s="4" t="s">
        <v>21</v>
      </c>
      <c r="C888" s="5">
        <v>43921</v>
      </c>
      <c r="D888" s="4" t="s">
        <v>2257</v>
      </c>
      <c r="E888" s="4" t="s">
        <v>2247</v>
      </c>
      <c r="F888" s="4" t="s">
        <v>2260</v>
      </c>
      <c r="G888" s="6">
        <v>18844.023146171101</v>
      </c>
      <c r="H888" s="6">
        <f t="shared" si="14"/>
        <v>-276230.62743118458</v>
      </c>
      <c r="I888" s="4"/>
      <c r="J888" s="4" t="s">
        <v>68</v>
      </c>
      <c r="K888" s="7">
        <v>-17980.59</v>
      </c>
      <c r="L888" s="4" t="s">
        <v>1049</v>
      </c>
      <c r="M888" s="4" t="s">
        <v>61</v>
      </c>
      <c r="N888" s="4"/>
    </row>
    <row r="889" spans="1:14" ht="10.5" hidden="1" x14ac:dyDescent="0.25">
      <c r="A889" s="8" t="s">
        <v>470</v>
      </c>
      <c r="B889" s="4" t="s">
        <v>21</v>
      </c>
      <c r="C889" s="5">
        <v>43921</v>
      </c>
      <c r="D889" s="4" t="s">
        <v>2257</v>
      </c>
      <c r="E889" s="4" t="s">
        <v>2247</v>
      </c>
      <c r="F889" s="4" t="s">
        <v>2260</v>
      </c>
      <c r="G889" s="6">
        <v>1106.6675054284001</v>
      </c>
      <c r="H889" s="6">
        <f t="shared" si="14"/>
        <v>-275123.95992575615</v>
      </c>
      <c r="I889" s="4"/>
      <c r="J889" s="4" t="s">
        <v>68</v>
      </c>
      <c r="K889" s="7">
        <v>-1055.96</v>
      </c>
      <c r="L889" s="4" t="s">
        <v>1049</v>
      </c>
      <c r="M889" s="4" t="s">
        <v>61</v>
      </c>
      <c r="N889" s="4"/>
    </row>
    <row r="890" spans="1:14" ht="10.5" hidden="1" x14ac:dyDescent="0.25">
      <c r="A890" s="8" t="s">
        <v>470</v>
      </c>
      <c r="B890" s="4" t="s">
        <v>21</v>
      </c>
      <c r="C890" s="5">
        <v>43921</v>
      </c>
      <c r="D890" s="4" t="s">
        <v>2257</v>
      </c>
      <c r="E890" s="4" t="s">
        <v>2247</v>
      </c>
      <c r="F890" s="4" t="s">
        <v>2260</v>
      </c>
      <c r="G890" s="6">
        <v>14521.505380877699</v>
      </c>
      <c r="H890" s="6">
        <f t="shared" si="14"/>
        <v>-260602.45454487845</v>
      </c>
      <c r="I890" s="4"/>
      <c r="J890" s="4" t="s">
        <v>68</v>
      </c>
      <c r="K890" s="7">
        <v>-13856.13</v>
      </c>
      <c r="L890" s="4" t="s">
        <v>1049</v>
      </c>
      <c r="M890" s="4" t="s">
        <v>61</v>
      </c>
      <c r="N890" s="4"/>
    </row>
    <row r="891" spans="1:14" ht="10.5" hidden="1" x14ac:dyDescent="0.25">
      <c r="A891" s="8" t="s">
        <v>470</v>
      </c>
      <c r="B891" s="4" t="s">
        <v>21</v>
      </c>
      <c r="C891" s="5">
        <v>43921</v>
      </c>
      <c r="D891" s="4" t="s">
        <v>2257</v>
      </c>
      <c r="E891" s="4" t="s">
        <v>2247</v>
      </c>
      <c r="F891" s="4" t="s">
        <v>2260</v>
      </c>
      <c r="G891" s="6">
        <v>236.09801093120001</v>
      </c>
      <c r="H891" s="6">
        <f t="shared" si="14"/>
        <v>-260366.35653394726</v>
      </c>
      <c r="I891" s="4"/>
      <c r="J891" s="4" t="s">
        <v>68</v>
      </c>
      <c r="K891" s="7">
        <v>-225.28</v>
      </c>
      <c r="L891" s="4" t="s">
        <v>1049</v>
      </c>
      <c r="M891" s="4" t="s">
        <v>61</v>
      </c>
      <c r="N891" s="4"/>
    </row>
    <row r="892" spans="1:14" ht="10.5" hidden="1" x14ac:dyDescent="0.25">
      <c r="A892" s="8" t="s">
        <v>470</v>
      </c>
      <c r="B892" s="4" t="s">
        <v>21</v>
      </c>
      <c r="C892" s="5">
        <v>43921</v>
      </c>
      <c r="D892" s="4" t="s">
        <v>2257</v>
      </c>
      <c r="E892" s="4" t="s">
        <v>2247</v>
      </c>
      <c r="F892" s="4" t="s">
        <v>2260</v>
      </c>
      <c r="G892" s="6">
        <v>14227.4204073008</v>
      </c>
      <c r="H892" s="6">
        <f t="shared" si="14"/>
        <v>-246138.93612664647</v>
      </c>
      <c r="I892" s="4"/>
      <c r="J892" s="4" t="s">
        <v>68</v>
      </c>
      <c r="K892" s="7">
        <v>-13575.52</v>
      </c>
      <c r="L892" s="4" t="s">
        <v>1049</v>
      </c>
      <c r="M892" s="4" t="s">
        <v>61</v>
      </c>
      <c r="N892" s="4"/>
    </row>
    <row r="893" spans="1:14" ht="10.5" hidden="1" x14ac:dyDescent="0.25">
      <c r="A893" s="8" t="s">
        <v>470</v>
      </c>
      <c r="B893" s="4" t="s">
        <v>21</v>
      </c>
      <c r="C893" s="5">
        <v>43921</v>
      </c>
      <c r="D893" s="4" t="s">
        <v>2257</v>
      </c>
      <c r="E893" s="4" t="s">
        <v>2247</v>
      </c>
      <c r="F893" s="4" t="s">
        <v>2260</v>
      </c>
      <c r="G893" s="6">
        <v>256.94313449930002</v>
      </c>
      <c r="H893" s="6">
        <f t="shared" si="14"/>
        <v>-245881.99299214716</v>
      </c>
      <c r="I893" s="4"/>
      <c r="J893" s="4" t="s">
        <v>68</v>
      </c>
      <c r="K893" s="7">
        <v>-245.17</v>
      </c>
      <c r="L893" s="4" t="s">
        <v>1049</v>
      </c>
      <c r="M893" s="4" t="s">
        <v>61</v>
      </c>
      <c r="N893" s="4"/>
    </row>
    <row r="894" spans="1:14" ht="10.5" hidden="1" x14ac:dyDescent="0.25">
      <c r="A894" s="8" t="s">
        <v>470</v>
      </c>
      <c r="B894" s="4" t="s">
        <v>21</v>
      </c>
      <c r="C894" s="5">
        <v>43921</v>
      </c>
      <c r="D894" s="4" t="s">
        <v>2257</v>
      </c>
      <c r="E894" s="4" t="s">
        <v>2247</v>
      </c>
      <c r="F894" s="4" t="s">
        <v>2260</v>
      </c>
      <c r="G894" s="6">
        <v>18656.8676827829</v>
      </c>
      <c r="H894" s="6">
        <f t="shared" si="14"/>
        <v>-227225.12530936426</v>
      </c>
      <c r="I894" s="4"/>
      <c r="J894" s="4" t="s">
        <v>68</v>
      </c>
      <c r="K894" s="7">
        <v>-17802.009999999998</v>
      </c>
      <c r="L894" s="4" t="s">
        <v>1049</v>
      </c>
      <c r="M894" s="4" t="s">
        <v>61</v>
      </c>
      <c r="N894" s="4"/>
    </row>
    <row r="895" spans="1:14" ht="10.5" hidden="1" x14ac:dyDescent="0.25">
      <c r="A895" s="8" t="s">
        <v>470</v>
      </c>
      <c r="B895" s="4" t="s">
        <v>21</v>
      </c>
      <c r="C895" s="5">
        <v>43921</v>
      </c>
      <c r="D895" s="4" t="s">
        <v>2257</v>
      </c>
      <c r="E895" s="4" t="s">
        <v>2247</v>
      </c>
      <c r="F895" s="4" t="s">
        <v>2260</v>
      </c>
      <c r="G895" s="6">
        <v>311.29346673869998</v>
      </c>
      <c r="H895" s="6">
        <f t="shared" si="14"/>
        <v>-226913.83184262557</v>
      </c>
      <c r="I895" s="4"/>
      <c r="J895" s="4" t="s">
        <v>68</v>
      </c>
      <c r="K895" s="7">
        <v>-297.02999999999997</v>
      </c>
      <c r="L895" s="4" t="s">
        <v>1049</v>
      </c>
      <c r="M895" s="4" t="s">
        <v>61</v>
      </c>
      <c r="N895" s="4"/>
    </row>
    <row r="896" spans="1:14" ht="10.5" hidden="1" x14ac:dyDescent="0.25">
      <c r="A896" s="8" t="s">
        <v>470</v>
      </c>
      <c r="B896" s="4" t="s">
        <v>21</v>
      </c>
      <c r="C896" s="5">
        <v>43921</v>
      </c>
      <c r="D896" s="4" t="s">
        <v>2257</v>
      </c>
      <c r="E896" s="4" t="s">
        <v>2247</v>
      </c>
      <c r="F896" s="4" t="s">
        <v>2260</v>
      </c>
      <c r="G896" s="6">
        <v>19697.216464260098</v>
      </c>
      <c r="H896" s="6">
        <f t="shared" si="14"/>
        <v>-207216.61537836547</v>
      </c>
      <c r="I896" s="4"/>
      <c r="J896" s="4" t="s">
        <v>68</v>
      </c>
      <c r="K896" s="7">
        <v>-18794.689999999999</v>
      </c>
      <c r="L896" s="4" t="s">
        <v>1049</v>
      </c>
      <c r="M896" s="4" t="s">
        <v>61</v>
      </c>
      <c r="N896" s="4"/>
    </row>
    <row r="897" spans="1:14" ht="10.5" hidden="1" x14ac:dyDescent="0.25">
      <c r="A897" s="8" t="s">
        <v>470</v>
      </c>
      <c r="B897" s="4" t="s">
        <v>21</v>
      </c>
      <c r="C897" s="5">
        <v>43921</v>
      </c>
      <c r="D897" s="4" t="s">
        <v>2257</v>
      </c>
      <c r="E897" s="4" t="s">
        <v>2247</v>
      </c>
      <c r="F897" s="4" t="s">
        <v>2260</v>
      </c>
      <c r="G897" s="6">
        <v>270.36827441420002</v>
      </c>
      <c r="H897" s="6">
        <f t="shared" si="14"/>
        <v>-206946.24710395126</v>
      </c>
      <c r="I897" s="4"/>
      <c r="J897" s="4" t="s">
        <v>68</v>
      </c>
      <c r="K897" s="7">
        <v>-257.98</v>
      </c>
      <c r="L897" s="4" t="s">
        <v>1049</v>
      </c>
      <c r="M897" s="4" t="s">
        <v>61</v>
      </c>
      <c r="N897" s="4"/>
    </row>
    <row r="898" spans="1:14" ht="10.5" hidden="1" x14ac:dyDescent="0.25">
      <c r="A898" s="8" t="s">
        <v>470</v>
      </c>
      <c r="B898" s="4" t="s">
        <v>21</v>
      </c>
      <c r="C898" s="5">
        <v>43921</v>
      </c>
      <c r="D898" s="4" t="s">
        <v>2257</v>
      </c>
      <c r="E898" s="4" t="s">
        <v>2247</v>
      </c>
      <c r="F898" s="4" t="s">
        <v>2260</v>
      </c>
      <c r="G898" s="6">
        <v>16014.263561142099</v>
      </c>
      <c r="H898" s="6">
        <f t="shared" si="14"/>
        <v>-190931.98354280915</v>
      </c>
      <c r="I898" s="4"/>
      <c r="J898" s="4" t="s">
        <v>68</v>
      </c>
      <c r="K898" s="7">
        <v>-15280.49</v>
      </c>
      <c r="L898" s="4" t="s">
        <v>1049</v>
      </c>
      <c r="M898" s="4" t="s">
        <v>61</v>
      </c>
      <c r="N898" s="4"/>
    </row>
    <row r="899" spans="1:14" ht="10.5" hidden="1" x14ac:dyDescent="0.25">
      <c r="A899" s="8" t="s">
        <v>470</v>
      </c>
      <c r="B899" s="4" t="s">
        <v>21</v>
      </c>
      <c r="C899" s="5">
        <v>43921</v>
      </c>
      <c r="D899" s="4" t="s">
        <v>2257</v>
      </c>
      <c r="E899" s="4" t="s">
        <v>2247</v>
      </c>
      <c r="F899" s="4" t="s">
        <v>2260</v>
      </c>
      <c r="G899" s="6">
        <v>312.13188297070002</v>
      </c>
      <c r="H899" s="6">
        <f t="shared" si="14"/>
        <v>-190619.85165983846</v>
      </c>
      <c r="I899" s="4"/>
      <c r="J899" s="4" t="s">
        <v>68</v>
      </c>
      <c r="K899" s="7">
        <v>-297.83</v>
      </c>
      <c r="L899" s="4" t="s">
        <v>1049</v>
      </c>
      <c r="M899" s="4" t="s">
        <v>61</v>
      </c>
      <c r="N899" s="4"/>
    </row>
    <row r="900" spans="1:14" ht="10.5" hidden="1" x14ac:dyDescent="0.25">
      <c r="A900" s="8" t="s">
        <v>470</v>
      </c>
      <c r="B900" s="4" t="s">
        <v>21</v>
      </c>
      <c r="C900" s="5">
        <v>43921</v>
      </c>
      <c r="D900" s="4" t="s">
        <v>2257</v>
      </c>
      <c r="E900" s="4" t="s">
        <v>2247</v>
      </c>
      <c r="F900" s="4" t="s">
        <v>2260</v>
      </c>
      <c r="G900" s="6">
        <v>19710.6101635663</v>
      </c>
      <c r="H900" s="6">
        <f t="shared" si="14"/>
        <v>-170909.24149627215</v>
      </c>
      <c r="I900" s="4"/>
      <c r="J900" s="4" t="s">
        <v>68</v>
      </c>
      <c r="K900" s="7">
        <v>-18807.47</v>
      </c>
      <c r="L900" s="4" t="s">
        <v>1049</v>
      </c>
      <c r="M900" s="4" t="s">
        <v>61</v>
      </c>
      <c r="N900" s="4"/>
    </row>
    <row r="901" spans="1:14" ht="10.5" hidden="1" x14ac:dyDescent="0.25">
      <c r="A901" s="8" t="s">
        <v>470</v>
      </c>
      <c r="B901" s="4" t="s">
        <v>21</v>
      </c>
      <c r="C901" s="5">
        <v>43921</v>
      </c>
      <c r="D901" s="4" t="s">
        <v>2257</v>
      </c>
      <c r="E901" s="4" t="s">
        <v>2247</v>
      </c>
      <c r="F901" s="4" t="s">
        <v>2260</v>
      </c>
      <c r="G901" s="6">
        <v>401.72713756280001</v>
      </c>
      <c r="H901" s="6">
        <f t="shared" si="14"/>
        <v>-170507.51435870936</v>
      </c>
      <c r="I901" s="4"/>
      <c r="J901" s="4" t="s">
        <v>68</v>
      </c>
      <c r="K901" s="7">
        <v>-383.32</v>
      </c>
      <c r="L901" s="4" t="s">
        <v>1049</v>
      </c>
      <c r="M901" s="4" t="s">
        <v>61</v>
      </c>
      <c r="N901" s="4"/>
    </row>
    <row r="902" spans="1:14" ht="10.5" hidden="1" x14ac:dyDescent="0.25">
      <c r="A902" s="8" t="s">
        <v>470</v>
      </c>
      <c r="B902" s="4" t="s">
        <v>21</v>
      </c>
      <c r="C902" s="5">
        <v>43921</v>
      </c>
      <c r="D902" s="4" t="s">
        <v>2257</v>
      </c>
      <c r="E902" s="4" t="s">
        <v>2247</v>
      </c>
      <c r="F902" s="4" t="s">
        <v>2260</v>
      </c>
      <c r="G902" s="6">
        <v>16551.174835911999</v>
      </c>
      <c r="H902" s="6">
        <f t="shared" si="14"/>
        <v>-153956.33952279735</v>
      </c>
      <c r="I902" s="4"/>
      <c r="J902" s="4" t="s">
        <v>68</v>
      </c>
      <c r="K902" s="7">
        <v>-15792.8</v>
      </c>
      <c r="L902" s="4" t="s">
        <v>1049</v>
      </c>
      <c r="M902" s="4" t="s">
        <v>61</v>
      </c>
      <c r="N902" s="4"/>
    </row>
    <row r="903" spans="1:14" ht="10.5" hidden="1" x14ac:dyDescent="0.25">
      <c r="A903" s="8" t="s">
        <v>470</v>
      </c>
      <c r="B903" s="4" t="s">
        <v>21</v>
      </c>
      <c r="C903" s="5">
        <v>43921</v>
      </c>
      <c r="D903" s="4" t="s">
        <v>2257</v>
      </c>
      <c r="E903" s="4" t="s">
        <v>2247</v>
      </c>
      <c r="F903" s="4" t="s">
        <v>2260</v>
      </c>
      <c r="G903" s="6">
        <v>268.31415464579999</v>
      </c>
      <c r="H903" s="6">
        <f t="shared" si="14"/>
        <v>-153688.02536815155</v>
      </c>
      <c r="I903" s="4"/>
      <c r="J903" s="4" t="s">
        <v>68</v>
      </c>
      <c r="K903" s="7">
        <v>-256.02</v>
      </c>
      <c r="L903" s="4" t="s">
        <v>1049</v>
      </c>
      <c r="M903" s="4" t="s">
        <v>61</v>
      </c>
      <c r="N903" s="4"/>
    </row>
    <row r="904" spans="1:14" ht="10.5" hidden="1" x14ac:dyDescent="0.25">
      <c r="A904" s="8" t="s">
        <v>470</v>
      </c>
      <c r="B904" s="4" t="s">
        <v>21</v>
      </c>
      <c r="C904" s="5">
        <v>43921</v>
      </c>
      <c r="D904" s="4" t="s">
        <v>2257</v>
      </c>
      <c r="E904" s="4" t="s">
        <v>2247</v>
      </c>
      <c r="F904" s="4" t="s">
        <v>2260</v>
      </c>
      <c r="G904" s="6">
        <v>-91471.6091589102</v>
      </c>
      <c r="H904" s="6">
        <f t="shared" si="14"/>
        <v>-245159.63452706175</v>
      </c>
      <c r="I904" s="4"/>
      <c r="J904" s="4" t="s">
        <v>68</v>
      </c>
      <c r="K904" s="7">
        <v>87280.38</v>
      </c>
      <c r="L904" s="4" t="s">
        <v>1049</v>
      </c>
      <c r="M904" s="4" t="s">
        <v>61</v>
      </c>
      <c r="N904" s="4"/>
    </row>
    <row r="905" spans="1:14" ht="10.5" hidden="1" x14ac:dyDescent="0.25">
      <c r="A905" s="8" t="s">
        <v>470</v>
      </c>
      <c r="B905" s="4" t="s">
        <v>21</v>
      </c>
      <c r="C905" s="5">
        <v>43921</v>
      </c>
      <c r="D905" s="4" t="s">
        <v>2257</v>
      </c>
      <c r="E905" s="4" t="s">
        <v>2247</v>
      </c>
      <c r="F905" s="4" t="s">
        <v>2260</v>
      </c>
      <c r="G905" s="6">
        <v>15245.2681931517</v>
      </c>
      <c r="H905" s="6">
        <f t="shared" si="14"/>
        <v>-229914.36633391003</v>
      </c>
      <c r="I905" s="4"/>
      <c r="J905" s="4" t="s">
        <v>68</v>
      </c>
      <c r="K905" s="7">
        <v>-14546.73</v>
      </c>
      <c r="L905" s="4" t="s">
        <v>1049</v>
      </c>
      <c r="M905" s="4" t="s">
        <v>61</v>
      </c>
      <c r="N905" s="4"/>
    </row>
    <row r="906" spans="1:14" ht="10.5" hidden="1" x14ac:dyDescent="0.25">
      <c r="A906" s="8" t="s">
        <v>470</v>
      </c>
      <c r="B906" s="4" t="s">
        <v>21</v>
      </c>
      <c r="C906" s="5">
        <v>43921</v>
      </c>
      <c r="D906" s="4" t="s">
        <v>2257</v>
      </c>
      <c r="E906" s="4" t="s">
        <v>2247</v>
      </c>
      <c r="F906" s="4" t="s">
        <v>2260</v>
      </c>
      <c r="G906" s="6">
        <v>27362.897994247702</v>
      </c>
      <c r="H906" s="6">
        <f t="shared" si="14"/>
        <v>-202551.46833966233</v>
      </c>
      <c r="I906" s="4"/>
      <c r="J906" s="4" t="s">
        <v>68</v>
      </c>
      <c r="K906" s="7">
        <v>-26109.13</v>
      </c>
      <c r="L906" s="4" t="s">
        <v>1049</v>
      </c>
      <c r="M906" s="4" t="s">
        <v>61</v>
      </c>
      <c r="N906" s="4"/>
    </row>
    <row r="907" spans="1:14" ht="10.5" hidden="1" x14ac:dyDescent="0.25">
      <c r="A907" s="8" t="s">
        <v>470</v>
      </c>
      <c r="B907" s="4" t="s">
        <v>21</v>
      </c>
      <c r="C907" s="5">
        <v>43921</v>
      </c>
      <c r="D907" s="4" t="s">
        <v>2257</v>
      </c>
      <c r="E907" s="4" t="s">
        <v>2247</v>
      </c>
      <c r="F907" s="4" t="s">
        <v>2260</v>
      </c>
      <c r="G907" s="6">
        <v>5538.4309057514001</v>
      </c>
      <c r="H907" s="6">
        <f t="shared" si="14"/>
        <v>-197013.03743391094</v>
      </c>
      <c r="I907" s="4"/>
      <c r="J907" s="4" t="s">
        <v>68</v>
      </c>
      <c r="K907" s="7">
        <v>-5284.66</v>
      </c>
      <c r="L907" s="4" t="s">
        <v>1049</v>
      </c>
      <c r="M907" s="4" t="s">
        <v>61</v>
      </c>
      <c r="N907" s="4"/>
    </row>
    <row r="908" spans="1:14" ht="10.5" hidden="1" x14ac:dyDescent="0.25">
      <c r="A908" s="8" t="s">
        <v>470</v>
      </c>
      <c r="B908" s="4" t="s">
        <v>21</v>
      </c>
      <c r="C908" s="5">
        <v>43921</v>
      </c>
      <c r="D908" s="4" t="s">
        <v>2261</v>
      </c>
      <c r="E908" s="4" t="s">
        <v>2247</v>
      </c>
      <c r="F908" s="4" t="s">
        <v>2262</v>
      </c>
      <c r="G908" s="6">
        <v>-6216.6886770335996</v>
      </c>
      <c r="H908" s="6">
        <f t="shared" si="14"/>
        <v>-203229.72611094455</v>
      </c>
      <c r="I908" s="4"/>
      <c r="J908" s="4" t="s">
        <v>68</v>
      </c>
      <c r="K908" s="7">
        <v>5931.84</v>
      </c>
      <c r="L908" s="4" t="s">
        <v>1049</v>
      </c>
      <c r="M908" s="4" t="s">
        <v>61</v>
      </c>
      <c r="N908" s="4"/>
    </row>
    <row r="909" spans="1:14" ht="10.5" hidden="1" x14ac:dyDescent="0.25">
      <c r="A909" s="8" t="s">
        <v>470</v>
      </c>
      <c r="B909" s="4" t="s">
        <v>21</v>
      </c>
      <c r="C909" s="5">
        <v>43921</v>
      </c>
      <c r="D909" s="4" t="s">
        <v>2263</v>
      </c>
      <c r="E909" s="4" t="s">
        <v>2247</v>
      </c>
      <c r="F909" s="4" t="s">
        <v>2264</v>
      </c>
      <c r="G909" s="6">
        <v>-58397.545554713302</v>
      </c>
      <c r="H909" s="6">
        <f t="shared" si="14"/>
        <v>-261627.27166565787</v>
      </c>
      <c r="I909" s="4"/>
      <c r="J909" s="4" t="s">
        <v>68</v>
      </c>
      <c r="K909" s="7">
        <v>55721.77</v>
      </c>
      <c r="L909" s="4" t="s">
        <v>1049</v>
      </c>
      <c r="M909" s="4" t="s">
        <v>61</v>
      </c>
      <c r="N909" s="4"/>
    </row>
    <row r="910" spans="1:14" ht="10.5" hidden="1" x14ac:dyDescent="0.25">
      <c r="A910" s="8" t="s">
        <v>470</v>
      </c>
      <c r="B910" s="4" t="s">
        <v>21</v>
      </c>
      <c r="C910" s="5">
        <v>43922</v>
      </c>
      <c r="D910" s="4" t="s">
        <v>2265</v>
      </c>
      <c r="E910" s="4" t="s">
        <v>2266</v>
      </c>
      <c r="F910" s="4" t="s">
        <v>2267</v>
      </c>
      <c r="G910" s="6">
        <v>160260.89422094461</v>
      </c>
      <c r="H910" s="6">
        <f t="shared" si="14"/>
        <v>-101366.37744471326</v>
      </c>
      <c r="I910" s="4"/>
      <c r="J910" s="4" t="s">
        <v>68</v>
      </c>
      <c r="K910" s="7">
        <v>-152917.74</v>
      </c>
      <c r="L910" s="4" t="s">
        <v>1655</v>
      </c>
      <c r="M910" s="4" t="s">
        <v>61</v>
      </c>
      <c r="N910" s="4"/>
    </row>
    <row r="911" spans="1:14" ht="10.5" hidden="1" x14ac:dyDescent="0.25">
      <c r="A911" s="8" t="s">
        <v>470</v>
      </c>
      <c r="B911" s="4" t="s">
        <v>21</v>
      </c>
      <c r="C911" s="5">
        <v>43951</v>
      </c>
      <c r="D911" s="4" t="s">
        <v>2268</v>
      </c>
      <c r="E911" s="4" t="s">
        <v>2266</v>
      </c>
      <c r="F911" s="4" t="s">
        <v>2269</v>
      </c>
      <c r="G911" s="6">
        <v>-197333.99364772349</v>
      </c>
      <c r="H911" s="6">
        <f t="shared" si="14"/>
        <v>-298700.37109243672</v>
      </c>
      <c r="I911" s="4"/>
      <c r="J911" s="4" t="s">
        <v>68</v>
      </c>
      <c r="K911" s="7">
        <v>188292.15</v>
      </c>
      <c r="L911" s="4" t="s">
        <v>1655</v>
      </c>
      <c r="M911" s="4" t="s">
        <v>61</v>
      </c>
      <c r="N911" s="4"/>
    </row>
    <row r="912" spans="1:14" ht="10.5" hidden="1" x14ac:dyDescent="0.25">
      <c r="A912" s="8" t="s">
        <v>470</v>
      </c>
      <c r="B912" s="4" t="s">
        <v>21</v>
      </c>
      <c r="C912" s="5">
        <v>43983</v>
      </c>
      <c r="D912" s="4" t="s">
        <v>2270</v>
      </c>
      <c r="E912" s="4" t="s">
        <v>2271</v>
      </c>
      <c r="F912" s="4" t="s">
        <v>2272</v>
      </c>
      <c r="G912" s="6">
        <v>197333.99364772349</v>
      </c>
      <c r="H912" s="6">
        <f t="shared" si="14"/>
        <v>-101366.37744471323</v>
      </c>
      <c r="I912" s="4"/>
      <c r="J912" s="4" t="s">
        <v>68</v>
      </c>
      <c r="K912" s="7">
        <v>-188292.15</v>
      </c>
      <c r="L912" s="4" t="s">
        <v>1831</v>
      </c>
      <c r="M912" s="4" t="s">
        <v>61</v>
      </c>
      <c r="N912" s="4"/>
    </row>
    <row r="913" spans="1:14" ht="10.5" hidden="1" x14ac:dyDescent="0.25">
      <c r="A913" s="8" t="s">
        <v>470</v>
      </c>
      <c r="B913" s="4" t="s">
        <v>21</v>
      </c>
      <c r="C913" s="5">
        <v>44012</v>
      </c>
      <c r="D913" s="4" t="s">
        <v>2273</v>
      </c>
      <c r="E913" s="4" t="s">
        <v>2274</v>
      </c>
      <c r="F913" s="4" t="s">
        <v>2275</v>
      </c>
      <c r="G913" s="6">
        <v>-298373.84989088442</v>
      </c>
      <c r="H913" s="6">
        <f t="shared" si="14"/>
        <v>-399740.22733559762</v>
      </c>
      <c r="I913" s="4"/>
      <c r="J913" s="4" t="s">
        <v>68</v>
      </c>
      <c r="K913" s="7">
        <v>284702.36</v>
      </c>
      <c r="L913" s="4" t="s">
        <v>1831</v>
      </c>
      <c r="M913" s="4" t="s">
        <v>61</v>
      </c>
      <c r="N913" s="4"/>
    </row>
    <row r="914" spans="1:14" ht="10.5" hidden="1" x14ac:dyDescent="0.25">
      <c r="A914" s="8" t="s">
        <v>470</v>
      </c>
      <c r="B914" s="4" t="s">
        <v>21</v>
      </c>
      <c r="C914" s="5">
        <v>44013</v>
      </c>
      <c r="D914" s="4" t="s">
        <v>2276</v>
      </c>
      <c r="E914" s="4" t="s">
        <v>2277</v>
      </c>
      <c r="F914" s="4" t="s">
        <v>2278</v>
      </c>
      <c r="G914" s="6">
        <v>298373.84989088442</v>
      </c>
      <c r="H914" s="6">
        <f t="shared" ref="H914:H977" si="15">H913+G914</f>
        <v>-101366.3774447132</v>
      </c>
      <c r="I914" s="4"/>
      <c r="J914" s="4" t="s">
        <v>68</v>
      </c>
      <c r="K914" s="7">
        <v>-284702.36</v>
      </c>
      <c r="L914" s="4" t="s">
        <v>1842</v>
      </c>
      <c r="M914" s="4" t="s">
        <v>61</v>
      </c>
      <c r="N914" s="4"/>
    </row>
    <row r="915" spans="1:14" ht="10.5" hidden="1" x14ac:dyDescent="0.25">
      <c r="A915" s="8" t="s">
        <v>470</v>
      </c>
      <c r="B915" s="4" t="s">
        <v>21</v>
      </c>
      <c r="C915" s="5">
        <v>44013</v>
      </c>
      <c r="D915" s="4" t="s">
        <v>2279</v>
      </c>
      <c r="E915" s="4" t="s">
        <v>2280</v>
      </c>
      <c r="F915" s="4" t="s">
        <v>2280</v>
      </c>
      <c r="G915" s="6">
        <v>42968.831890000001</v>
      </c>
      <c r="H915" s="6">
        <f t="shared" si="15"/>
        <v>-58397.545554713201</v>
      </c>
      <c r="I915" s="4"/>
      <c r="J915" s="4" t="s">
        <v>68</v>
      </c>
      <c r="K915" s="7">
        <v>-41000</v>
      </c>
      <c r="L915" s="4" t="s">
        <v>1842</v>
      </c>
      <c r="M915" s="4" t="s">
        <v>61</v>
      </c>
      <c r="N915" s="4"/>
    </row>
    <row r="916" spans="1:14" ht="10.5" hidden="1" x14ac:dyDescent="0.25">
      <c r="A916" s="8" t="s">
        <v>470</v>
      </c>
      <c r="B916" s="4" t="s">
        <v>21</v>
      </c>
      <c r="C916" s="5">
        <v>44043</v>
      </c>
      <c r="D916" s="4" t="s">
        <v>2281</v>
      </c>
      <c r="E916" s="4" t="s">
        <v>2282</v>
      </c>
      <c r="F916" s="4" t="s">
        <v>2283</v>
      </c>
      <c r="G916" s="6">
        <v>-301786.25635613891</v>
      </c>
      <c r="H916" s="6">
        <f t="shared" si="15"/>
        <v>-360183.80191085208</v>
      </c>
      <c r="I916" s="4"/>
      <c r="J916" s="4" t="s">
        <v>68</v>
      </c>
      <c r="K916" s="7">
        <v>287958.40999999997</v>
      </c>
      <c r="L916" s="4" t="s">
        <v>1842</v>
      </c>
      <c r="M916" s="4" t="s">
        <v>61</v>
      </c>
      <c r="N916" s="4"/>
    </row>
    <row r="917" spans="1:14" ht="10.5" hidden="1" x14ac:dyDescent="0.25">
      <c r="A917" s="8" t="s">
        <v>470</v>
      </c>
      <c r="B917" s="4" t="s">
        <v>21</v>
      </c>
      <c r="C917" s="5">
        <v>44043</v>
      </c>
      <c r="D917" s="4" t="s">
        <v>2284</v>
      </c>
      <c r="E917" s="4" t="s">
        <v>2285</v>
      </c>
      <c r="F917" s="4" t="s">
        <v>2286</v>
      </c>
      <c r="G917" s="6">
        <v>6732.9539520905</v>
      </c>
      <c r="H917" s="6">
        <f t="shared" si="15"/>
        <v>-353450.84795876156</v>
      </c>
      <c r="I917" s="4"/>
      <c r="J917" s="4" t="s">
        <v>748</v>
      </c>
      <c r="K917" s="7">
        <v>-6424.45</v>
      </c>
      <c r="L917" s="4" t="s">
        <v>1842</v>
      </c>
      <c r="M917" s="4" t="s">
        <v>61</v>
      </c>
      <c r="N917" s="4"/>
    </row>
    <row r="918" spans="1:14" ht="10.5" hidden="1" x14ac:dyDescent="0.25">
      <c r="A918" s="8" t="s">
        <v>470</v>
      </c>
      <c r="B918" s="4" t="s">
        <v>21</v>
      </c>
      <c r="C918" s="5">
        <v>44043</v>
      </c>
      <c r="D918" s="4" t="s">
        <v>2284</v>
      </c>
      <c r="E918" s="4" t="s">
        <v>2285</v>
      </c>
      <c r="F918" s="4" t="s">
        <v>2286</v>
      </c>
      <c r="G918" s="6">
        <v>41241.317164775603</v>
      </c>
      <c r="H918" s="6">
        <f t="shared" si="15"/>
        <v>-312209.53079398593</v>
      </c>
      <c r="I918" s="4"/>
      <c r="J918" s="4" t="s">
        <v>748</v>
      </c>
      <c r="K918" s="7">
        <v>-39351.64</v>
      </c>
      <c r="L918" s="4" t="s">
        <v>1842</v>
      </c>
      <c r="M918" s="4" t="s">
        <v>61</v>
      </c>
      <c r="N918" s="4"/>
    </row>
    <row r="919" spans="1:14" ht="10.5" hidden="1" x14ac:dyDescent="0.25">
      <c r="A919" s="8" t="s">
        <v>470</v>
      </c>
      <c r="B919" s="4" t="s">
        <v>21</v>
      </c>
      <c r="C919" s="5">
        <v>44044</v>
      </c>
      <c r="D919" s="4" t="s">
        <v>2287</v>
      </c>
      <c r="E919" s="4" t="s">
        <v>2282</v>
      </c>
      <c r="F919" s="4" t="s">
        <v>2283</v>
      </c>
      <c r="G919" s="6">
        <v>301786.25635613891</v>
      </c>
      <c r="H919" s="6">
        <f t="shared" si="15"/>
        <v>-10423.274437847023</v>
      </c>
      <c r="I919" s="4"/>
      <c r="J919" s="4" t="s">
        <v>68</v>
      </c>
      <c r="K919" s="7">
        <v>-287958.40999999997</v>
      </c>
      <c r="L919" s="4" t="s">
        <v>1861</v>
      </c>
      <c r="M919" s="4" t="s">
        <v>61</v>
      </c>
      <c r="N919" s="4"/>
    </row>
    <row r="920" spans="1:14" ht="10.5" hidden="1" x14ac:dyDescent="0.25">
      <c r="A920" s="8" t="s">
        <v>470</v>
      </c>
      <c r="B920" s="4" t="s">
        <v>21</v>
      </c>
      <c r="C920" s="5">
        <v>44044</v>
      </c>
      <c r="D920" s="4" t="s">
        <v>2288</v>
      </c>
      <c r="E920" s="4" t="s">
        <v>2285</v>
      </c>
      <c r="F920" s="4" t="s">
        <v>2286</v>
      </c>
      <c r="G920" s="6">
        <v>-6732.9539520905</v>
      </c>
      <c r="H920" s="6">
        <f t="shared" si="15"/>
        <v>-17156.228389937525</v>
      </c>
      <c r="I920" s="4"/>
      <c r="J920" s="4" t="s">
        <v>748</v>
      </c>
      <c r="K920" s="7">
        <v>6424.45</v>
      </c>
      <c r="L920" s="4" t="s">
        <v>1861</v>
      </c>
      <c r="M920" s="4" t="s">
        <v>61</v>
      </c>
      <c r="N920" s="4"/>
    </row>
    <row r="921" spans="1:14" ht="10.5" hidden="1" x14ac:dyDescent="0.25">
      <c r="A921" s="8" t="s">
        <v>470</v>
      </c>
      <c r="B921" s="4" t="s">
        <v>21</v>
      </c>
      <c r="C921" s="5">
        <v>44044</v>
      </c>
      <c r="D921" s="4" t="s">
        <v>2288</v>
      </c>
      <c r="E921" s="4" t="s">
        <v>2285</v>
      </c>
      <c r="F921" s="4" t="s">
        <v>2286</v>
      </c>
      <c r="G921" s="6">
        <v>-41241.317164775603</v>
      </c>
      <c r="H921" s="6">
        <f t="shared" si="15"/>
        <v>-58397.545554713128</v>
      </c>
      <c r="I921" s="4"/>
      <c r="J921" s="4" t="s">
        <v>748</v>
      </c>
      <c r="K921" s="7">
        <v>39351.64</v>
      </c>
      <c r="L921" s="4" t="s">
        <v>1861</v>
      </c>
      <c r="M921" s="4" t="s">
        <v>61</v>
      </c>
      <c r="N921" s="4"/>
    </row>
    <row r="922" spans="1:14" ht="10.5" hidden="1" x14ac:dyDescent="0.25">
      <c r="A922" s="8" t="s">
        <v>470</v>
      </c>
      <c r="B922" s="4" t="s">
        <v>21</v>
      </c>
      <c r="C922" s="5">
        <v>44074</v>
      </c>
      <c r="D922" s="4" t="s">
        <v>2289</v>
      </c>
      <c r="E922" s="4" t="s">
        <v>2282</v>
      </c>
      <c r="F922" s="4" t="s">
        <v>2290</v>
      </c>
      <c r="G922" s="6">
        <v>-351756.07338739687</v>
      </c>
      <c r="H922" s="6">
        <f t="shared" si="15"/>
        <v>-410153.61894210998</v>
      </c>
      <c r="I922" s="4"/>
      <c r="J922" s="4" t="s">
        <v>68</v>
      </c>
      <c r="K922" s="7">
        <v>335638.61</v>
      </c>
      <c r="L922" s="4" t="s">
        <v>1861</v>
      </c>
      <c r="M922" s="4" t="s">
        <v>61</v>
      </c>
      <c r="N922" s="4"/>
    </row>
    <row r="923" spans="1:14" ht="10.5" hidden="1" x14ac:dyDescent="0.25">
      <c r="A923" s="8" t="s">
        <v>470</v>
      </c>
      <c r="B923" s="4" t="s">
        <v>21</v>
      </c>
      <c r="C923" s="5">
        <v>44074</v>
      </c>
      <c r="D923" s="4" t="s">
        <v>2291</v>
      </c>
      <c r="E923" s="4" t="s">
        <v>2285</v>
      </c>
      <c r="F923" s="4" t="s">
        <v>2286</v>
      </c>
      <c r="G923" s="6">
        <v>7694.8060138466999</v>
      </c>
      <c r="H923" s="6">
        <f t="shared" si="15"/>
        <v>-402458.81292826327</v>
      </c>
      <c r="I923" s="4"/>
      <c r="J923" s="4" t="s">
        <v>748</v>
      </c>
      <c r="K923" s="7">
        <v>-7342.23</v>
      </c>
      <c r="L923" s="4" t="s">
        <v>1861</v>
      </c>
      <c r="M923" s="4" t="s">
        <v>61</v>
      </c>
      <c r="N923" s="4"/>
    </row>
    <row r="924" spans="1:14" ht="10.5" hidden="1" x14ac:dyDescent="0.25">
      <c r="A924" s="8" t="s">
        <v>470</v>
      </c>
      <c r="B924" s="4" t="s">
        <v>21</v>
      </c>
      <c r="C924" s="5">
        <v>44074</v>
      </c>
      <c r="D924" s="4" t="s">
        <v>2291</v>
      </c>
      <c r="E924" s="4" t="s">
        <v>2285</v>
      </c>
      <c r="F924" s="4" t="s">
        <v>2286</v>
      </c>
      <c r="G924" s="6">
        <v>51551.646455969501</v>
      </c>
      <c r="H924" s="6">
        <f t="shared" si="15"/>
        <v>-350907.16647229379</v>
      </c>
      <c r="I924" s="4"/>
      <c r="J924" s="4" t="s">
        <v>748</v>
      </c>
      <c r="K924" s="7">
        <v>-49189.55</v>
      </c>
      <c r="L924" s="4" t="s">
        <v>1861</v>
      </c>
      <c r="M924" s="4" t="s">
        <v>61</v>
      </c>
      <c r="N924" s="4"/>
    </row>
    <row r="925" spans="1:14" ht="10.5" hidden="1" x14ac:dyDescent="0.25">
      <c r="A925" s="8" t="s">
        <v>470</v>
      </c>
      <c r="B925" s="4" t="s">
        <v>21</v>
      </c>
      <c r="C925" s="5">
        <v>44075</v>
      </c>
      <c r="D925" s="4" t="s">
        <v>2292</v>
      </c>
      <c r="E925" s="4" t="s">
        <v>2282</v>
      </c>
      <c r="F925" s="4" t="s">
        <v>2290</v>
      </c>
      <c r="G925" s="6">
        <v>351756.07338739687</v>
      </c>
      <c r="H925" s="6">
        <f t="shared" si="15"/>
        <v>848.90691510308534</v>
      </c>
      <c r="I925" s="4"/>
      <c r="J925" s="4" t="s">
        <v>68</v>
      </c>
      <c r="K925" s="7">
        <v>-335638.61</v>
      </c>
      <c r="L925" s="4" t="s">
        <v>1052</v>
      </c>
      <c r="M925" s="4" t="s">
        <v>61</v>
      </c>
      <c r="N925" s="4"/>
    </row>
    <row r="926" spans="1:14" ht="10.5" hidden="1" x14ac:dyDescent="0.25">
      <c r="A926" s="8" t="s">
        <v>470</v>
      </c>
      <c r="B926" s="4" t="s">
        <v>21</v>
      </c>
      <c r="C926" s="5">
        <v>44075</v>
      </c>
      <c r="D926" s="4" t="s">
        <v>2293</v>
      </c>
      <c r="E926" s="4" t="s">
        <v>2285</v>
      </c>
      <c r="F926" s="4" t="s">
        <v>2286</v>
      </c>
      <c r="G926" s="6">
        <v>-7694.8060138466999</v>
      </c>
      <c r="H926" s="6">
        <f t="shared" si="15"/>
        <v>-6845.8990987436146</v>
      </c>
      <c r="I926" s="4"/>
      <c r="J926" s="4" t="s">
        <v>748</v>
      </c>
      <c r="K926" s="7">
        <v>7342.23</v>
      </c>
      <c r="L926" s="4" t="s">
        <v>1052</v>
      </c>
      <c r="M926" s="4" t="s">
        <v>61</v>
      </c>
      <c r="N926" s="4"/>
    </row>
    <row r="927" spans="1:14" ht="10.5" hidden="1" x14ac:dyDescent="0.25">
      <c r="A927" s="8" t="s">
        <v>470</v>
      </c>
      <c r="B927" s="4" t="s">
        <v>21</v>
      </c>
      <c r="C927" s="5">
        <v>44075</v>
      </c>
      <c r="D927" s="4" t="s">
        <v>2293</v>
      </c>
      <c r="E927" s="4" t="s">
        <v>2285</v>
      </c>
      <c r="F927" s="4" t="s">
        <v>2286</v>
      </c>
      <c r="G927" s="6">
        <v>-51551.646455969501</v>
      </c>
      <c r="H927" s="6">
        <f t="shared" si="15"/>
        <v>-58397.545554713113</v>
      </c>
      <c r="I927" s="4"/>
      <c r="J927" s="4" t="s">
        <v>748</v>
      </c>
      <c r="K927" s="7">
        <v>49189.55</v>
      </c>
      <c r="L927" s="4" t="s">
        <v>1052</v>
      </c>
      <c r="M927" s="4" t="s">
        <v>61</v>
      </c>
      <c r="N927" s="4"/>
    </row>
    <row r="928" spans="1:14" ht="10.5" hidden="1" x14ac:dyDescent="0.25">
      <c r="A928" s="8" t="s">
        <v>470</v>
      </c>
      <c r="B928" s="4" t="s">
        <v>21</v>
      </c>
      <c r="C928" s="5">
        <v>44104</v>
      </c>
      <c r="D928" s="4" t="s">
        <v>2294</v>
      </c>
      <c r="E928" s="4" t="s">
        <v>2295</v>
      </c>
      <c r="F928" s="4" t="s">
        <v>2296</v>
      </c>
      <c r="G928" s="6">
        <v>-48733.624698188498</v>
      </c>
      <c r="H928" s="6">
        <f t="shared" si="15"/>
        <v>-107131.17025290162</v>
      </c>
      <c r="I928" s="4"/>
      <c r="J928" s="4" t="s">
        <v>68</v>
      </c>
      <c r="K928" s="7">
        <v>46500.65</v>
      </c>
      <c r="L928" s="4" t="s">
        <v>1052</v>
      </c>
      <c r="M928" s="4" t="s">
        <v>61</v>
      </c>
      <c r="N928" s="4"/>
    </row>
    <row r="929" spans="1:14" ht="10.5" hidden="1" x14ac:dyDescent="0.25">
      <c r="A929" s="8" t="s">
        <v>470</v>
      </c>
      <c r="B929" s="4" t="s">
        <v>21</v>
      </c>
      <c r="C929" s="5">
        <v>44105</v>
      </c>
      <c r="D929" s="4" t="s">
        <v>2297</v>
      </c>
      <c r="E929" s="4" t="s">
        <v>2295</v>
      </c>
      <c r="F929" s="4" t="s">
        <v>2296</v>
      </c>
      <c r="G929" s="6">
        <v>48733.624698188498</v>
      </c>
      <c r="H929" s="6">
        <f t="shared" si="15"/>
        <v>-58397.545554713121</v>
      </c>
      <c r="I929" s="4"/>
      <c r="J929" s="4" t="s">
        <v>68</v>
      </c>
      <c r="K929" s="7">
        <v>-46500.65</v>
      </c>
      <c r="L929" s="4" t="s">
        <v>1888</v>
      </c>
      <c r="M929" s="4" t="s">
        <v>61</v>
      </c>
      <c r="N929" s="4"/>
    </row>
    <row r="930" spans="1:14" ht="10.5" hidden="1" x14ac:dyDescent="0.25">
      <c r="A930" s="8" t="s">
        <v>470</v>
      </c>
      <c r="B930" s="4" t="s">
        <v>21</v>
      </c>
      <c r="C930" s="5">
        <v>44135</v>
      </c>
      <c r="D930" s="4" t="s">
        <v>2298</v>
      </c>
      <c r="E930" s="4" t="s">
        <v>2299</v>
      </c>
      <c r="F930" s="4" t="s">
        <v>2296</v>
      </c>
      <c r="G930" s="6">
        <v>-58630.4366235571</v>
      </c>
      <c r="H930" s="6">
        <f t="shared" si="15"/>
        <v>-117027.98217827022</v>
      </c>
      <c r="I930" s="4"/>
      <c r="J930" s="4" t="s">
        <v>68</v>
      </c>
      <c r="K930" s="7">
        <v>55943.99</v>
      </c>
      <c r="L930" s="4" t="s">
        <v>1888</v>
      </c>
      <c r="M930" s="4" t="s">
        <v>61</v>
      </c>
      <c r="N930" s="4"/>
    </row>
    <row r="931" spans="1:14" ht="10.5" hidden="1" x14ac:dyDescent="0.25">
      <c r="A931" s="8" t="s">
        <v>470</v>
      </c>
      <c r="B931" s="4" t="s">
        <v>21</v>
      </c>
      <c r="C931" s="5">
        <v>44136</v>
      </c>
      <c r="D931" s="4" t="s">
        <v>2300</v>
      </c>
      <c r="E931" s="4" t="s">
        <v>2299</v>
      </c>
      <c r="F931" s="4" t="s">
        <v>2296</v>
      </c>
      <c r="G931" s="6">
        <v>58630.4366235571</v>
      </c>
      <c r="H931" s="6">
        <f t="shared" si="15"/>
        <v>-58397.545554713121</v>
      </c>
      <c r="I931" s="4"/>
      <c r="J931" s="4" t="s">
        <v>68</v>
      </c>
      <c r="K931" s="7">
        <v>-55943.99</v>
      </c>
      <c r="L931" s="4" t="s">
        <v>1896</v>
      </c>
      <c r="M931" s="4" t="s">
        <v>61</v>
      </c>
      <c r="N931" s="4"/>
    </row>
    <row r="932" spans="1:14" ht="10.5" hidden="1" x14ac:dyDescent="0.25">
      <c r="A932" s="8" t="s">
        <v>470</v>
      </c>
      <c r="B932" s="4" t="s">
        <v>21</v>
      </c>
      <c r="C932" s="5">
        <v>44165</v>
      </c>
      <c r="D932" s="4" t="s">
        <v>2301</v>
      </c>
      <c r="E932" s="4" t="s">
        <v>2302</v>
      </c>
      <c r="F932" s="4" t="s">
        <v>2296</v>
      </c>
      <c r="G932" s="6">
        <v>-96035.255432526799</v>
      </c>
      <c r="H932" s="6">
        <f t="shared" si="15"/>
        <v>-154432.80098723993</v>
      </c>
      <c r="I932" s="4"/>
      <c r="J932" s="4" t="s">
        <v>68</v>
      </c>
      <c r="K932" s="7">
        <v>91634.92</v>
      </c>
      <c r="L932" s="4" t="s">
        <v>1896</v>
      </c>
      <c r="M932" s="4" t="s">
        <v>61</v>
      </c>
      <c r="N932" s="4"/>
    </row>
    <row r="933" spans="1:14" ht="10.5" hidden="1" x14ac:dyDescent="0.25">
      <c r="A933" s="8" t="s">
        <v>470</v>
      </c>
      <c r="B933" s="4" t="s">
        <v>21</v>
      </c>
      <c r="C933" s="5">
        <v>44166</v>
      </c>
      <c r="D933" s="4" t="s">
        <v>2303</v>
      </c>
      <c r="E933" s="4" t="s">
        <v>2302</v>
      </c>
      <c r="F933" s="4" t="s">
        <v>2296</v>
      </c>
      <c r="G933" s="6">
        <v>96035.255432526799</v>
      </c>
      <c r="H933" s="6">
        <f t="shared" si="15"/>
        <v>-58397.545554713128</v>
      </c>
      <c r="I933" s="4"/>
      <c r="J933" s="4" t="s">
        <v>68</v>
      </c>
      <c r="K933" s="7">
        <v>-91634.92</v>
      </c>
      <c r="L933" s="4" t="s">
        <v>1056</v>
      </c>
      <c r="M933" s="4" t="s">
        <v>61</v>
      </c>
      <c r="N933" s="4"/>
    </row>
    <row r="934" spans="1:14" ht="10.5" hidden="1" x14ac:dyDescent="0.25">
      <c r="A934" s="8" t="s">
        <v>470</v>
      </c>
      <c r="B934" s="4" t="s">
        <v>21</v>
      </c>
      <c r="C934" s="5">
        <v>44195</v>
      </c>
      <c r="D934" s="4" t="s">
        <v>2304</v>
      </c>
      <c r="E934" s="4" t="s">
        <v>2305</v>
      </c>
      <c r="F934" s="4" t="s">
        <v>2305</v>
      </c>
      <c r="G934" s="6">
        <v>-74232.325160990003</v>
      </c>
      <c r="H934" s="6">
        <f t="shared" si="15"/>
        <v>-132629.87071570312</v>
      </c>
      <c r="I934" s="4"/>
      <c r="J934" s="4" t="s">
        <v>68</v>
      </c>
      <c r="K934" s="7">
        <v>70831</v>
      </c>
      <c r="L934" s="4" t="s">
        <v>1056</v>
      </c>
      <c r="M934" s="4" t="s">
        <v>61</v>
      </c>
      <c r="N934" s="4"/>
    </row>
    <row r="935" spans="1:14" ht="10.5" hidden="1" x14ac:dyDescent="0.25">
      <c r="A935" s="8" t="s">
        <v>470</v>
      </c>
      <c r="B935" s="4" t="s">
        <v>21</v>
      </c>
      <c r="C935" s="5">
        <v>44196</v>
      </c>
      <c r="D935" s="4" t="s">
        <v>2306</v>
      </c>
      <c r="E935" s="4" t="s">
        <v>2307</v>
      </c>
      <c r="F935" s="4" t="s">
        <v>2296</v>
      </c>
      <c r="G935" s="6">
        <v>-91361.860474141402</v>
      </c>
      <c r="H935" s="6">
        <f t="shared" si="15"/>
        <v>-223991.73118984452</v>
      </c>
      <c r="I935" s="4"/>
      <c r="J935" s="4" t="s">
        <v>68</v>
      </c>
      <c r="K935" s="7">
        <v>87175.66</v>
      </c>
      <c r="L935" s="4" t="s">
        <v>1056</v>
      </c>
      <c r="M935" s="4" t="s">
        <v>61</v>
      </c>
      <c r="N935" s="4"/>
    </row>
    <row r="936" spans="1:14" ht="10.5" hidden="1" x14ac:dyDescent="0.25">
      <c r="A936" s="8" t="s">
        <v>470</v>
      </c>
      <c r="B936" s="4" t="s">
        <v>21</v>
      </c>
      <c r="C936" s="5">
        <v>44196</v>
      </c>
      <c r="D936" s="4" t="s">
        <v>2308</v>
      </c>
      <c r="E936" s="4" t="s">
        <v>2309</v>
      </c>
      <c r="F936" s="4" t="s">
        <v>2310</v>
      </c>
      <c r="G936" s="6">
        <v>-241329.5395752278</v>
      </c>
      <c r="H936" s="6">
        <f t="shared" si="15"/>
        <v>-465321.27076507232</v>
      </c>
      <c r="I936" s="4"/>
      <c r="J936" s="4" t="s">
        <v>68</v>
      </c>
      <c r="K936" s="7">
        <v>230271.82</v>
      </c>
      <c r="L936" s="4" t="s">
        <v>1056</v>
      </c>
      <c r="M936" s="4" t="s">
        <v>61</v>
      </c>
      <c r="N936" s="4"/>
    </row>
    <row r="937" spans="1:14" ht="10.5" hidden="1" x14ac:dyDescent="0.25">
      <c r="A937" s="8" t="s">
        <v>470</v>
      </c>
      <c r="B937" s="4" t="s">
        <v>21</v>
      </c>
      <c r="C937" s="5">
        <v>44197</v>
      </c>
      <c r="D937" s="4" t="s">
        <v>2311</v>
      </c>
      <c r="E937" s="4" t="s">
        <v>2307</v>
      </c>
      <c r="F937" s="4" t="s">
        <v>2296</v>
      </c>
      <c r="G937" s="6">
        <v>91361.860474141402</v>
      </c>
      <c r="H937" s="6">
        <f t="shared" si="15"/>
        <v>-373959.41029093089</v>
      </c>
      <c r="I937" s="4"/>
      <c r="J937" s="4" t="s">
        <v>68</v>
      </c>
      <c r="K937" s="7">
        <v>-87175.66</v>
      </c>
      <c r="L937" s="4" t="s">
        <v>1958</v>
      </c>
      <c r="M937" s="4" t="s">
        <v>61</v>
      </c>
      <c r="N937" s="4"/>
    </row>
    <row r="938" spans="1:14" ht="10.5" hidden="1" x14ac:dyDescent="0.25">
      <c r="A938" s="8" t="s">
        <v>470</v>
      </c>
      <c r="B938" s="4" t="s">
        <v>21</v>
      </c>
      <c r="C938" s="5">
        <v>44227</v>
      </c>
      <c r="D938" s="4" t="s">
        <v>2312</v>
      </c>
      <c r="E938" s="4" t="s">
        <v>2307</v>
      </c>
      <c r="F938" s="4" t="s">
        <v>2296</v>
      </c>
      <c r="G938" s="6">
        <v>-84539.143584212405</v>
      </c>
      <c r="H938" s="6">
        <f t="shared" si="15"/>
        <v>-458498.55387514329</v>
      </c>
      <c r="I938" s="4"/>
      <c r="J938" s="4" t="s">
        <v>68</v>
      </c>
      <c r="K938" s="7">
        <v>80665.56</v>
      </c>
      <c r="L938" s="4" t="s">
        <v>1958</v>
      </c>
      <c r="M938" s="4" t="s">
        <v>61</v>
      </c>
      <c r="N938" s="4"/>
    </row>
    <row r="939" spans="1:14" ht="10.5" hidden="1" x14ac:dyDescent="0.25">
      <c r="A939" s="8" t="s">
        <v>470</v>
      </c>
      <c r="B939" s="4" t="s">
        <v>21</v>
      </c>
      <c r="C939" s="5">
        <v>44227</v>
      </c>
      <c r="D939" s="4" t="s">
        <v>2313</v>
      </c>
      <c r="E939" s="4" t="s">
        <v>2314</v>
      </c>
      <c r="F939" s="4" t="s">
        <v>2296</v>
      </c>
      <c r="G939" s="6">
        <v>-51544.970566722201</v>
      </c>
      <c r="H939" s="6">
        <f t="shared" si="15"/>
        <v>-510043.52444186551</v>
      </c>
      <c r="I939" s="4"/>
      <c r="J939" s="4" t="s">
        <v>68</v>
      </c>
      <c r="K939" s="7">
        <v>49183.18</v>
      </c>
      <c r="L939" s="4" t="s">
        <v>1958</v>
      </c>
      <c r="M939" s="4" t="s">
        <v>61</v>
      </c>
      <c r="N939" s="4"/>
    </row>
    <row r="940" spans="1:14" ht="10.5" hidden="1" x14ac:dyDescent="0.25">
      <c r="A940" s="8" t="s">
        <v>470</v>
      </c>
      <c r="B940" s="4" t="s">
        <v>21</v>
      </c>
      <c r="C940" s="5">
        <v>44228</v>
      </c>
      <c r="D940" s="4" t="s">
        <v>2315</v>
      </c>
      <c r="E940" s="4" t="s">
        <v>2307</v>
      </c>
      <c r="F940" s="4" t="s">
        <v>2296</v>
      </c>
      <c r="G940" s="6">
        <v>84539.143584212405</v>
      </c>
      <c r="H940" s="6">
        <f t="shared" si="15"/>
        <v>-425504.3808576531</v>
      </c>
      <c r="I940" s="4"/>
      <c r="J940" s="4" t="s">
        <v>68</v>
      </c>
      <c r="K940" s="7">
        <v>-80665.56</v>
      </c>
      <c r="L940" s="4" t="s">
        <v>1971</v>
      </c>
      <c r="M940" s="4" t="s">
        <v>61</v>
      </c>
      <c r="N940" s="4"/>
    </row>
    <row r="941" spans="1:14" ht="10.5" hidden="1" x14ac:dyDescent="0.25">
      <c r="A941" s="8" t="s">
        <v>470</v>
      </c>
      <c r="B941" s="4" t="s">
        <v>21</v>
      </c>
      <c r="C941" s="5">
        <v>44228</v>
      </c>
      <c r="D941" s="4" t="s">
        <v>2316</v>
      </c>
      <c r="E941" s="4" t="s">
        <v>2314</v>
      </c>
      <c r="F941" s="4" t="s">
        <v>2296</v>
      </c>
      <c r="G941" s="6">
        <v>51544.970566722201</v>
      </c>
      <c r="H941" s="6">
        <f t="shared" si="15"/>
        <v>-373959.41029093089</v>
      </c>
      <c r="I941" s="4"/>
      <c r="J941" s="4" t="s">
        <v>68</v>
      </c>
      <c r="K941" s="7">
        <v>-49183.18</v>
      </c>
      <c r="L941" s="4" t="s">
        <v>1971</v>
      </c>
      <c r="M941" s="4" t="s">
        <v>61</v>
      </c>
      <c r="N941" s="4"/>
    </row>
    <row r="942" spans="1:14" ht="10.5" hidden="1" x14ac:dyDescent="0.25">
      <c r="A942" s="8" t="s">
        <v>470</v>
      </c>
      <c r="B942" s="4" t="s">
        <v>21</v>
      </c>
      <c r="C942" s="5">
        <v>44255</v>
      </c>
      <c r="D942" s="4" t="s">
        <v>2317</v>
      </c>
      <c r="E942" s="4" t="s">
        <v>2318</v>
      </c>
      <c r="F942" s="4" t="s">
        <v>2296</v>
      </c>
      <c r="G942" s="6">
        <v>-103089.9201730386</v>
      </c>
      <c r="H942" s="6">
        <f t="shared" si="15"/>
        <v>-477049.3304639695</v>
      </c>
      <c r="I942" s="4"/>
      <c r="J942" s="4" t="s">
        <v>68</v>
      </c>
      <c r="K942" s="7">
        <v>98366.34</v>
      </c>
      <c r="L942" s="4" t="s">
        <v>1971</v>
      </c>
      <c r="M942" s="4" t="s">
        <v>61</v>
      </c>
      <c r="N942" s="4"/>
    </row>
    <row r="943" spans="1:14" ht="10.5" hidden="1" x14ac:dyDescent="0.25">
      <c r="A943" s="8" t="s">
        <v>470</v>
      </c>
      <c r="B943" s="4" t="s">
        <v>21</v>
      </c>
      <c r="C943" s="5">
        <v>44255</v>
      </c>
      <c r="D943" s="4" t="s">
        <v>2319</v>
      </c>
      <c r="E943" s="4" t="s">
        <v>2307</v>
      </c>
      <c r="F943" s="4" t="s">
        <v>2296</v>
      </c>
      <c r="G943" s="6">
        <v>-84539.143584212405</v>
      </c>
      <c r="H943" s="6">
        <f t="shared" si="15"/>
        <v>-561588.4740481819</v>
      </c>
      <c r="I943" s="4"/>
      <c r="J943" s="4" t="s">
        <v>68</v>
      </c>
      <c r="K943" s="7">
        <v>80665.56</v>
      </c>
      <c r="L943" s="4" t="s">
        <v>1971</v>
      </c>
      <c r="M943" s="4" t="s">
        <v>61</v>
      </c>
      <c r="N943" s="4"/>
    </row>
    <row r="944" spans="1:14" ht="10.5" hidden="1" x14ac:dyDescent="0.25">
      <c r="A944" s="8" t="s">
        <v>470</v>
      </c>
      <c r="B944" s="4" t="s">
        <v>21</v>
      </c>
      <c r="C944" s="5">
        <v>44256</v>
      </c>
      <c r="D944" s="4" t="s">
        <v>2320</v>
      </c>
      <c r="E944" s="4" t="s">
        <v>2318</v>
      </c>
      <c r="F944" s="4" t="s">
        <v>2296</v>
      </c>
      <c r="G944" s="6">
        <v>103089.9201730386</v>
      </c>
      <c r="H944" s="6">
        <f t="shared" si="15"/>
        <v>-458498.55387514329</v>
      </c>
      <c r="I944" s="4"/>
      <c r="J944" s="4" t="s">
        <v>68</v>
      </c>
      <c r="K944" s="7">
        <v>-98366.34</v>
      </c>
      <c r="L944" s="4" t="s">
        <v>1029</v>
      </c>
      <c r="M944" s="4" t="s">
        <v>61</v>
      </c>
      <c r="N944" s="4"/>
    </row>
    <row r="945" spans="1:14" ht="10.5" hidden="1" x14ac:dyDescent="0.25">
      <c r="A945" s="8" t="s">
        <v>470</v>
      </c>
      <c r="B945" s="4" t="s">
        <v>21</v>
      </c>
      <c r="C945" s="5">
        <v>44256</v>
      </c>
      <c r="D945" s="4" t="s">
        <v>2321</v>
      </c>
      <c r="E945" s="4" t="s">
        <v>2307</v>
      </c>
      <c r="F945" s="4" t="s">
        <v>2296</v>
      </c>
      <c r="G945" s="6">
        <v>84539.143584212405</v>
      </c>
      <c r="H945" s="6">
        <f t="shared" si="15"/>
        <v>-373959.41029093089</v>
      </c>
      <c r="I945" s="4"/>
      <c r="J945" s="4" t="s">
        <v>68</v>
      </c>
      <c r="K945" s="7">
        <v>-80665.56</v>
      </c>
      <c r="L945" s="4" t="s">
        <v>1029</v>
      </c>
      <c r="M945" s="4" t="s">
        <v>61</v>
      </c>
      <c r="N945" s="4"/>
    </row>
    <row r="946" spans="1:14" ht="10.5" hidden="1" x14ac:dyDescent="0.25">
      <c r="A946" s="8" t="s">
        <v>470</v>
      </c>
      <c r="B946" s="4" t="s">
        <v>249</v>
      </c>
      <c r="C946" s="5">
        <v>44266</v>
      </c>
      <c r="D946" s="4" t="s">
        <v>2322</v>
      </c>
      <c r="E946" s="4" t="s">
        <v>2323</v>
      </c>
      <c r="F946" s="4" t="s">
        <v>2323</v>
      </c>
      <c r="G946" s="6">
        <v>58355.86578778</v>
      </c>
      <c r="H946" s="6">
        <f t="shared" si="15"/>
        <v>-315603.54450315086</v>
      </c>
      <c r="I946" s="4" t="s">
        <v>252</v>
      </c>
      <c r="J946" s="4" t="s">
        <v>68</v>
      </c>
      <c r="K946" s="7">
        <v>-55682</v>
      </c>
      <c r="L946" s="4" t="s">
        <v>1029</v>
      </c>
      <c r="M946" s="4" t="s">
        <v>61</v>
      </c>
      <c r="N946" s="4"/>
    </row>
    <row r="947" spans="1:14" ht="10.5" hidden="1" x14ac:dyDescent="0.25">
      <c r="A947" s="8" t="s">
        <v>470</v>
      </c>
      <c r="B947" s="4" t="s">
        <v>21</v>
      </c>
      <c r="C947" s="5">
        <v>44286</v>
      </c>
      <c r="D947" s="4" t="s">
        <v>2324</v>
      </c>
      <c r="E947" s="4" t="s">
        <v>2325</v>
      </c>
      <c r="F947" s="4" t="s">
        <v>2325</v>
      </c>
      <c r="G947" s="6">
        <v>41.679766933300002</v>
      </c>
      <c r="H947" s="6">
        <f t="shared" si="15"/>
        <v>-315561.86473621754</v>
      </c>
      <c r="I947" s="4"/>
      <c r="J947" s="4" t="s">
        <v>68</v>
      </c>
      <c r="K947" s="7">
        <v>-39.770000000000003</v>
      </c>
      <c r="L947" s="4" t="s">
        <v>1029</v>
      </c>
      <c r="M947" s="4" t="s">
        <v>61</v>
      </c>
      <c r="N947" s="4"/>
    </row>
    <row r="948" spans="1:14" ht="10.5" hidden="1" x14ac:dyDescent="0.25">
      <c r="A948" s="8" t="s">
        <v>470</v>
      </c>
      <c r="B948" s="4" t="s">
        <v>21</v>
      </c>
      <c r="C948" s="5">
        <v>44286</v>
      </c>
      <c r="D948" s="4" t="s">
        <v>2326</v>
      </c>
      <c r="E948" s="4" t="s">
        <v>2307</v>
      </c>
      <c r="F948" s="4" t="s">
        <v>2296</v>
      </c>
      <c r="G948" s="6">
        <v>-84539.143584212405</v>
      </c>
      <c r="H948" s="6">
        <f t="shared" si="15"/>
        <v>-400101.00832042994</v>
      </c>
      <c r="I948" s="4"/>
      <c r="J948" s="4" t="s">
        <v>68</v>
      </c>
      <c r="K948" s="7">
        <v>80665.56</v>
      </c>
      <c r="L948" s="4" t="s">
        <v>1029</v>
      </c>
      <c r="M948" s="4" t="s">
        <v>61</v>
      </c>
      <c r="N948" s="4"/>
    </row>
    <row r="949" spans="1:14" ht="10.5" hidden="1" x14ac:dyDescent="0.25">
      <c r="A949" s="8" t="s">
        <v>470</v>
      </c>
      <c r="B949" s="4" t="s">
        <v>21</v>
      </c>
      <c r="C949" s="5">
        <v>44286</v>
      </c>
      <c r="D949" s="4" t="s">
        <v>2327</v>
      </c>
      <c r="E949" s="4" t="s">
        <v>2328</v>
      </c>
      <c r="F949" s="4" t="s">
        <v>2328</v>
      </c>
      <c r="G949" s="6">
        <v>-128493.65951736319</v>
      </c>
      <c r="H949" s="6">
        <f t="shared" si="15"/>
        <v>-528594.66783779312</v>
      </c>
      <c r="I949" s="4"/>
      <c r="J949" s="4" t="s">
        <v>68</v>
      </c>
      <c r="K949" s="7">
        <v>122606.08</v>
      </c>
      <c r="L949" s="4" t="s">
        <v>1029</v>
      </c>
      <c r="M949" s="4" t="s">
        <v>61</v>
      </c>
      <c r="N949" s="4"/>
    </row>
    <row r="950" spans="1:14" ht="10.5" hidden="1" x14ac:dyDescent="0.25">
      <c r="A950" s="8" t="s">
        <v>470</v>
      </c>
      <c r="B950" s="4" t="s">
        <v>21</v>
      </c>
      <c r="C950" s="5">
        <v>44286</v>
      </c>
      <c r="D950" s="4" t="s">
        <v>2329</v>
      </c>
      <c r="E950" s="4" t="s">
        <v>2330</v>
      </c>
      <c r="F950" s="4" t="s">
        <v>2330</v>
      </c>
      <c r="G950" s="6">
        <v>194218.18740474191</v>
      </c>
      <c r="H950" s="6">
        <f t="shared" si="15"/>
        <v>-334376.48043305124</v>
      </c>
      <c r="I950" s="4"/>
      <c r="J950" s="4" t="s">
        <v>68</v>
      </c>
      <c r="K950" s="7">
        <v>-185319.11</v>
      </c>
      <c r="L950" s="4" t="s">
        <v>1029</v>
      </c>
      <c r="M950" s="4" t="s">
        <v>61</v>
      </c>
      <c r="N950" s="4"/>
    </row>
    <row r="951" spans="1:14" ht="10.5" hidden="1" x14ac:dyDescent="0.25">
      <c r="A951" s="8" t="s">
        <v>470</v>
      </c>
      <c r="B951" s="4" t="s">
        <v>21</v>
      </c>
      <c r="C951" s="5">
        <v>44287</v>
      </c>
      <c r="D951" s="4" t="s">
        <v>2331</v>
      </c>
      <c r="E951" s="4" t="s">
        <v>2307</v>
      </c>
      <c r="F951" s="4" t="s">
        <v>2296</v>
      </c>
      <c r="G951" s="6">
        <v>84539.143584212405</v>
      </c>
      <c r="H951" s="6">
        <f t="shared" si="15"/>
        <v>-249837.33684883884</v>
      </c>
      <c r="I951" s="4"/>
      <c r="J951" s="4" t="s">
        <v>68</v>
      </c>
      <c r="K951" s="7">
        <v>-80665.56</v>
      </c>
      <c r="L951" s="4" t="s">
        <v>1999</v>
      </c>
      <c r="M951" s="4" t="s">
        <v>61</v>
      </c>
      <c r="N951" s="4"/>
    </row>
    <row r="952" spans="1:14" ht="10.5" hidden="1" x14ac:dyDescent="0.25">
      <c r="A952" s="8" t="s">
        <v>470</v>
      </c>
      <c r="B952" s="4" t="s">
        <v>21</v>
      </c>
      <c r="C952" s="5">
        <v>44287</v>
      </c>
      <c r="D952" s="4" t="s">
        <v>2332</v>
      </c>
      <c r="E952" s="4" t="s">
        <v>2328</v>
      </c>
      <c r="F952" s="4" t="s">
        <v>2328</v>
      </c>
      <c r="G952" s="6">
        <v>128493.65951736319</v>
      </c>
      <c r="H952" s="6">
        <f t="shared" si="15"/>
        <v>-121343.67733147564</v>
      </c>
      <c r="I952" s="4"/>
      <c r="J952" s="4" t="s">
        <v>68</v>
      </c>
      <c r="K952" s="7">
        <v>-122606.08</v>
      </c>
      <c r="L952" s="4" t="s">
        <v>1999</v>
      </c>
      <c r="M952" s="4" t="s">
        <v>61</v>
      </c>
      <c r="N952" s="4"/>
    </row>
    <row r="953" spans="1:14" ht="10.5" hidden="1" x14ac:dyDescent="0.25">
      <c r="A953" s="8" t="s">
        <v>470</v>
      </c>
      <c r="B953" s="4" t="s">
        <v>21</v>
      </c>
      <c r="C953" s="5">
        <v>44287</v>
      </c>
      <c r="D953" s="4" t="s">
        <v>2333</v>
      </c>
      <c r="E953" s="4" t="s">
        <v>2330</v>
      </c>
      <c r="F953" s="4" t="s">
        <v>2330</v>
      </c>
      <c r="G953" s="6">
        <v>-194218.18740474191</v>
      </c>
      <c r="H953" s="6">
        <f t="shared" si="15"/>
        <v>-315561.86473621754</v>
      </c>
      <c r="I953" s="4"/>
      <c r="J953" s="4" t="s">
        <v>68</v>
      </c>
      <c r="K953" s="7">
        <v>185319.11</v>
      </c>
      <c r="L953" s="4" t="s">
        <v>1999</v>
      </c>
      <c r="M953" s="4" t="s">
        <v>61</v>
      </c>
      <c r="N953" s="4"/>
    </row>
    <row r="954" spans="1:14" ht="10.5" hidden="1" x14ac:dyDescent="0.25">
      <c r="A954" s="8" t="s">
        <v>470</v>
      </c>
      <c r="B954" s="4" t="s">
        <v>21</v>
      </c>
      <c r="C954" s="5">
        <v>44316</v>
      </c>
      <c r="D954" s="4" t="s">
        <v>2334</v>
      </c>
      <c r="E954" s="4" t="s">
        <v>2335</v>
      </c>
      <c r="F954" s="4" t="s">
        <v>2335</v>
      </c>
      <c r="G954" s="6">
        <v>158551.30064267921</v>
      </c>
      <c r="H954" s="6">
        <f t="shared" si="15"/>
        <v>-157010.56409353833</v>
      </c>
      <c r="I954" s="4"/>
      <c r="J954" s="4" t="s">
        <v>68</v>
      </c>
      <c r="K954" s="7">
        <v>-151286.48000000001</v>
      </c>
      <c r="L954" s="4" t="s">
        <v>1999</v>
      </c>
      <c r="M954" s="4" t="s">
        <v>61</v>
      </c>
      <c r="N954" s="4"/>
    </row>
    <row r="955" spans="1:14" ht="10.5" hidden="1" x14ac:dyDescent="0.25">
      <c r="A955" s="8" t="s">
        <v>470</v>
      </c>
      <c r="B955" s="4" t="s">
        <v>21</v>
      </c>
      <c r="C955" s="5">
        <v>44316</v>
      </c>
      <c r="D955" s="4" t="s">
        <v>2336</v>
      </c>
      <c r="E955" s="4" t="s">
        <v>2337</v>
      </c>
      <c r="F955" s="4" t="s">
        <v>2337</v>
      </c>
      <c r="G955" s="6">
        <v>-515.99278978150005</v>
      </c>
      <c r="H955" s="6">
        <f t="shared" si="15"/>
        <v>-157526.55688331983</v>
      </c>
      <c r="I955" s="4"/>
      <c r="J955" s="4" t="s">
        <v>68</v>
      </c>
      <c r="K955" s="7">
        <v>492.35</v>
      </c>
      <c r="L955" s="4" t="s">
        <v>1999</v>
      </c>
      <c r="M955" s="4" t="s">
        <v>61</v>
      </c>
      <c r="N955" s="4"/>
    </row>
    <row r="956" spans="1:14" ht="10.5" hidden="1" x14ac:dyDescent="0.25">
      <c r="A956" s="8" t="s">
        <v>470</v>
      </c>
      <c r="B956" s="4" t="s">
        <v>21</v>
      </c>
      <c r="C956" s="5">
        <v>44316</v>
      </c>
      <c r="D956" s="4" t="s">
        <v>2338</v>
      </c>
      <c r="E956" s="4" t="s">
        <v>2339</v>
      </c>
      <c r="F956" s="4" t="s">
        <v>2339</v>
      </c>
      <c r="G956" s="6">
        <v>16627.2506287631</v>
      </c>
      <c r="H956" s="6">
        <f t="shared" si="15"/>
        <v>-140899.30625455672</v>
      </c>
      <c r="I956" s="4"/>
      <c r="J956" s="4" t="s">
        <v>68</v>
      </c>
      <c r="K956" s="7">
        <v>-15865.39</v>
      </c>
      <c r="L956" s="4" t="s">
        <v>1999</v>
      </c>
      <c r="M956" s="4" t="s">
        <v>61</v>
      </c>
      <c r="N956" s="4"/>
    </row>
    <row r="957" spans="1:14" ht="10.5" hidden="1" x14ac:dyDescent="0.25">
      <c r="A957" s="8" t="s">
        <v>470</v>
      </c>
      <c r="B957" s="4" t="s">
        <v>21</v>
      </c>
      <c r="C957" s="5">
        <v>44316</v>
      </c>
      <c r="D957" s="4" t="s">
        <v>2340</v>
      </c>
      <c r="E957" s="4" t="s">
        <v>2341</v>
      </c>
      <c r="F957" s="4" t="s">
        <v>2341</v>
      </c>
      <c r="G957" s="6">
        <v>-263028.31759034441</v>
      </c>
      <c r="H957" s="6">
        <f t="shared" si="15"/>
        <v>-403927.6238449011</v>
      </c>
      <c r="I957" s="4"/>
      <c r="J957" s="4" t="s">
        <v>68</v>
      </c>
      <c r="K957" s="7">
        <v>250976.36</v>
      </c>
      <c r="L957" s="4" t="s">
        <v>1999</v>
      </c>
      <c r="M957" s="4" t="s">
        <v>61</v>
      </c>
      <c r="N957" s="4"/>
    </row>
    <row r="958" spans="1:14" ht="10.5" hidden="1" x14ac:dyDescent="0.25">
      <c r="A958" s="8" t="s">
        <v>470</v>
      </c>
      <c r="B958" s="4" t="s">
        <v>21</v>
      </c>
      <c r="C958" s="5">
        <v>44317</v>
      </c>
      <c r="D958" s="4" t="s">
        <v>2342</v>
      </c>
      <c r="E958" s="4" t="s">
        <v>2341</v>
      </c>
      <c r="F958" s="4" t="s">
        <v>2341</v>
      </c>
      <c r="G958" s="6">
        <v>263028.31759034441</v>
      </c>
      <c r="H958" s="6">
        <f t="shared" si="15"/>
        <v>-140899.30625455669</v>
      </c>
      <c r="I958" s="4"/>
      <c r="J958" s="4" t="s">
        <v>68</v>
      </c>
      <c r="K958" s="7">
        <v>-250976.36</v>
      </c>
      <c r="L958" s="4" t="s">
        <v>2033</v>
      </c>
      <c r="M958" s="4" t="s">
        <v>61</v>
      </c>
      <c r="N958" s="4"/>
    </row>
    <row r="959" spans="1:14" ht="10.5" hidden="1" x14ac:dyDescent="0.25">
      <c r="A959" s="8" t="s">
        <v>470</v>
      </c>
      <c r="B959" s="4" t="s">
        <v>249</v>
      </c>
      <c r="C959" s="5">
        <v>44322</v>
      </c>
      <c r="D959" s="4" t="s">
        <v>2343</v>
      </c>
      <c r="E959" s="4" t="s">
        <v>2344</v>
      </c>
      <c r="F959" s="4" t="s">
        <v>2344</v>
      </c>
      <c r="G959" s="6">
        <v>1650.4852339094</v>
      </c>
      <c r="H959" s="6">
        <f t="shared" si="15"/>
        <v>-139248.8210206473</v>
      </c>
      <c r="I959" s="4" t="s">
        <v>252</v>
      </c>
      <c r="J959" s="4" t="s">
        <v>68</v>
      </c>
      <c r="K959" s="7">
        <v>-1574.86</v>
      </c>
      <c r="L959" s="4" t="s">
        <v>2033</v>
      </c>
      <c r="M959" s="4" t="s">
        <v>61</v>
      </c>
      <c r="N959" s="4"/>
    </row>
    <row r="960" spans="1:14" ht="10.5" hidden="1" x14ac:dyDescent="0.25">
      <c r="A960" s="8" t="s">
        <v>470</v>
      </c>
      <c r="B960" s="4" t="s">
        <v>249</v>
      </c>
      <c r="C960" s="5">
        <v>44323</v>
      </c>
      <c r="D960" s="4" t="s">
        <v>2345</v>
      </c>
      <c r="E960" s="4" t="s">
        <v>2346</v>
      </c>
      <c r="F960" s="4" t="s">
        <v>2346</v>
      </c>
      <c r="G960" s="6">
        <v>74232.325160990003</v>
      </c>
      <c r="H960" s="6">
        <f t="shared" si="15"/>
        <v>-65016.495859657298</v>
      </c>
      <c r="I960" s="4" t="s">
        <v>252</v>
      </c>
      <c r="J960" s="4" t="s">
        <v>68</v>
      </c>
      <c r="K960" s="7">
        <v>-70831</v>
      </c>
      <c r="L960" s="4" t="s">
        <v>2033</v>
      </c>
      <c r="M960" s="4" t="s">
        <v>61</v>
      </c>
      <c r="N960" s="4"/>
    </row>
    <row r="961" spans="1:14" ht="10.5" hidden="1" x14ac:dyDescent="0.25">
      <c r="A961" s="8" t="s">
        <v>470</v>
      </c>
      <c r="B961" s="4" t="s">
        <v>249</v>
      </c>
      <c r="C961" s="5">
        <v>44333</v>
      </c>
      <c r="D961" s="4" t="s">
        <v>2347</v>
      </c>
      <c r="E961" s="4" t="s">
        <v>2348</v>
      </c>
      <c r="F961" s="4" t="s">
        <v>2348</v>
      </c>
      <c r="G961" s="6">
        <v>38294.6613966</v>
      </c>
      <c r="H961" s="6">
        <f t="shared" si="15"/>
        <v>-26721.834463057297</v>
      </c>
      <c r="I961" s="4" t="s">
        <v>252</v>
      </c>
      <c r="J961" s="4" t="s">
        <v>68</v>
      </c>
      <c r="K961" s="7">
        <v>-36540</v>
      </c>
      <c r="L961" s="4" t="s">
        <v>2033</v>
      </c>
      <c r="M961" s="4" t="s">
        <v>61</v>
      </c>
      <c r="N961" s="4"/>
    </row>
    <row r="962" spans="1:14" ht="10.5" hidden="1" x14ac:dyDescent="0.25">
      <c r="A962" s="8" t="s">
        <v>470</v>
      </c>
      <c r="B962" s="4" t="s">
        <v>249</v>
      </c>
      <c r="C962" s="5">
        <v>44341</v>
      </c>
      <c r="D962" s="4" t="s">
        <v>2349</v>
      </c>
      <c r="E962" s="4" t="s">
        <v>2350</v>
      </c>
      <c r="F962" s="4" t="s">
        <v>2350</v>
      </c>
      <c r="G962" s="6">
        <v>436.1126832777</v>
      </c>
      <c r="H962" s="6">
        <f t="shared" si="15"/>
        <v>-26285.721779779597</v>
      </c>
      <c r="I962" s="4" t="s">
        <v>252</v>
      </c>
      <c r="J962" s="4" t="s">
        <v>68</v>
      </c>
      <c r="K962" s="7">
        <v>-416.13</v>
      </c>
      <c r="L962" s="4" t="s">
        <v>2033</v>
      </c>
      <c r="M962" s="4" t="s">
        <v>61</v>
      </c>
      <c r="N962" s="4"/>
    </row>
    <row r="963" spans="1:14" ht="10.5" hidden="1" x14ac:dyDescent="0.25">
      <c r="A963" s="8" t="s">
        <v>470</v>
      </c>
      <c r="B963" s="4" t="s">
        <v>21</v>
      </c>
      <c r="C963" s="5">
        <v>44347</v>
      </c>
      <c r="D963" s="4" t="s">
        <v>2351</v>
      </c>
      <c r="E963" s="4" t="s">
        <v>2352</v>
      </c>
      <c r="F963" s="4" t="s">
        <v>2353</v>
      </c>
      <c r="G963" s="6">
        <v>-238.12069009090001</v>
      </c>
      <c r="H963" s="6">
        <f t="shared" si="15"/>
        <v>-26523.842469870495</v>
      </c>
      <c r="I963" s="4"/>
      <c r="J963" s="4" t="s">
        <v>68</v>
      </c>
      <c r="K963" s="7">
        <v>227.21</v>
      </c>
      <c r="L963" s="4" t="s">
        <v>2033</v>
      </c>
      <c r="M963" s="4" t="s">
        <v>61</v>
      </c>
      <c r="N963" s="4"/>
    </row>
    <row r="964" spans="1:14" ht="10.5" hidden="1" x14ac:dyDescent="0.25">
      <c r="A964" s="8" t="s">
        <v>470</v>
      </c>
      <c r="B964" s="4" t="s">
        <v>21</v>
      </c>
      <c r="C964" s="5">
        <v>44347</v>
      </c>
      <c r="D964" s="4" t="s">
        <v>2351</v>
      </c>
      <c r="E964" s="4" t="s">
        <v>2352</v>
      </c>
      <c r="F964" s="4" t="s">
        <v>2353</v>
      </c>
      <c r="G964" s="6">
        <v>-17.124651538599998</v>
      </c>
      <c r="H964" s="6">
        <f t="shared" si="15"/>
        <v>-26540.967121409096</v>
      </c>
      <c r="I964" s="4"/>
      <c r="J964" s="4" t="s">
        <v>68</v>
      </c>
      <c r="K964" s="7">
        <v>16.34</v>
      </c>
      <c r="L964" s="4" t="s">
        <v>2033</v>
      </c>
      <c r="M964" s="4" t="s">
        <v>61</v>
      </c>
      <c r="N964" s="4"/>
    </row>
    <row r="965" spans="1:14" ht="10.5" hidden="1" x14ac:dyDescent="0.25">
      <c r="A965" s="8" t="s">
        <v>470</v>
      </c>
      <c r="B965" s="4" t="s">
        <v>21</v>
      </c>
      <c r="C965" s="5">
        <v>44347</v>
      </c>
      <c r="D965" s="4" t="s">
        <v>2351</v>
      </c>
      <c r="E965" s="4" t="s">
        <v>2352</v>
      </c>
      <c r="F965" s="4" t="s">
        <v>2353</v>
      </c>
      <c r="G965" s="6">
        <v>-7.4199836532000001</v>
      </c>
      <c r="H965" s="6">
        <f t="shared" si="15"/>
        <v>-26548.387105062295</v>
      </c>
      <c r="I965" s="4"/>
      <c r="J965" s="4" t="s">
        <v>68</v>
      </c>
      <c r="K965" s="7">
        <v>7.08</v>
      </c>
      <c r="L965" s="4" t="s">
        <v>2033</v>
      </c>
      <c r="M965" s="4" t="s">
        <v>61</v>
      </c>
      <c r="N965" s="4"/>
    </row>
    <row r="966" spans="1:14" ht="10.5" hidden="1" x14ac:dyDescent="0.25">
      <c r="A966" s="8" t="s">
        <v>470</v>
      </c>
      <c r="B966" s="4" t="s">
        <v>21</v>
      </c>
      <c r="C966" s="5">
        <v>44347</v>
      </c>
      <c r="D966" s="4" t="s">
        <v>2351</v>
      </c>
      <c r="E966" s="4" t="s">
        <v>2352</v>
      </c>
      <c r="F966" s="4" t="s">
        <v>2354</v>
      </c>
      <c r="G966" s="6">
        <v>-8092.4668326843002</v>
      </c>
      <c r="H966" s="6">
        <f t="shared" si="15"/>
        <v>-34640.853937746593</v>
      </c>
      <c r="I966" s="4"/>
      <c r="J966" s="4" t="s">
        <v>68</v>
      </c>
      <c r="K966" s="7">
        <v>7721.67</v>
      </c>
      <c r="L966" s="4" t="s">
        <v>2033</v>
      </c>
      <c r="M966" s="4" t="s">
        <v>61</v>
      </c>
      <c r="N966" s="4"/>
    </row>
    <row r="967" spans="1:14" ht="10.5" hidden="1" x14ac:dyDescent="0.25">
      <c r="A967" s="8" t="s">
        <v>470</v>
      </c>
      <c r="B967" s="4" t="s">
        <v>21</v>
      </c>
      <c r="C967" s="5">
        <v>44347</v>
      </c>
      <c r="D967" s="4" t="s">
        <v>2351</v>
      </c>
      <c r="E967" s="4" t="s">
        <v>2352</v>
      </c>
      <c r="F967" s="4" t="s">
        <v>2355</v>
      </c>
      <c r="G967" s="6">
        <v>-5355.3208006825998</v>
      </c>
      <c r="H967" s="6">
        <f t="shared" si="15"/>
        <v>-39996.174738429196</v>
      </c>
      <c r="I967" s="4"/>
      <c r="J967" s="4" t="s">
        <v>68</v>
      </c>
      <c r="K967" s="7">
        <v>5109.9399999999996</v>
      </c>
      <c r="L967" s="4" t="s">
        <v>2033</v>
      </c>
      <c r="M967" s="4" t="s">
        <v>61</v>
      </c>
      <c r="N967" s="4"/>
    </row>
    <row r="968" spans="1:14" ht="10.5" hidden="1" x14ac:dyDescent="0.25">
      <c r="A968" s="8" t="s">
        <v>470</v>
      </c>
      <c r="B968" s="4" t="s">
        <v>21</v>
      </c>
      <c r="C968" s="5">
        <v>44347</v>
      </c>
      <c r="D968" s="4" t="s">
        <v>2351</v>
      </c>
      <c r="E968" s="4" t="s">
        <v>2352</v>
      </c>
      <c r="F968" s="4" t="s">
        <v>2356</v>
      </c>
      <c r="G968" s="6">
        <v>-13090.821442390001</v>
      </c>
      <c r="H968" s="6">
        <f t="shared" si="15"/>
        <v>-53086.996180819195</v>
      </c>
      <c r="I968" s="4"/>
      <c r="J968" s="4" t="s">
        <v>68</v>
      </c>
      <c r="K968" s="7">
        <v>12491</v>
      </c>
      <c r="L968" s="4" t="s">
        <v>2033</v>
      </c>
      <c r="M968" s="4" t="s">
        <v>61</v>
      </c>
      <c r="N968" s="4"/>
    </row>
    <row r="969" spans="1:14" ht="10.5" hidden="1" x14ac:dyDescent="0.25">
      <c r="A969" s="8" t="s">
        <v>470</v>
      </c>
      <c r="B969" s="4" t="s">
        <v>21</v>
      </c>
      <c r="C969" s="5">
        <v>44347</v>
      </c>
      <c r="D969" s="4" t="s">
        <v>2351</v>
      </c>
      <c r="E969" s="4" t="s">
        <v>2352</v>
      </c>
      <c r="F969" s="4" t="s">
        <v>2357</v>
      </c>
      <c r="G969" s="6">
        <v>-1650.4537933007</v>
      </c>
      <c r="H969" s="6">
        <f t="shared" si="15"/>
        <v>-54737.449974119896</v>
      </c>
      <c r="I969" s="4"/>
      <c r="J969" s="4" t="s">
        <v>68</v>
      </c>
      <c r="K969" s="7">
        <v>1574.83</v>
      </c>
      <c r="L969" s="4" t="s">
        <v>2033</v>
      </c>
      <c r="M969" s="4" t="s">
        <v>61</v>
      </c>
      <c r="N969" s="4"/>
    </row>
    <row r="970" spans="1:14" ht="10.5" hidden="1" x14ac:dyDescent="0.25">
      <c r="A970" s="8" t="s">
        <v>470</v>
      </c>
      <c r="B970" s="4" t="s">
        <v>21</v>
      </c>
      <c r="C970" s="5">
        <v>44347</v>
      </c>
      <c r="D970" s="4" t="s">
        <v>2351</v>
      </c>
      <c r="E970" s="4" t="s">
        <v>2352</v>
      </c>
      <c r="F970" s="4" t="s">
        <v>2354</v>
      </c>
      <c r="G970" s="6">
        <v>-252.51000867260001</v>
      </c>
      <c r="H970" s="6">
        <f t="shared" si="15"/>
        <v>-54989.959982792498</v>
      </c>
      <c r="I970" s="4"/>
      <c r="J970" s="4" t="s">
        <v>68</v>
      </c>
      <c r="K970" s="7">
        <v>240.94</v>
      </c>
      <c r="L970" s="4" t="s">
        <v>2033</v>
      </c>
      <c r="M970" s="4" t="s">
        <v>61</v>
      </c>
      <c r="N970" s="4"/>
    </row>
    <row r="971" spans="1:14" ht="10.5" hidden="1" x14ac:dyDescent="0.25">
      <c r="A971" s="8" t="s">
        <v>470</v>
      </c>
      <c r="B971" s="4" t="s">
        <v>21</v>
      </c>
      <c r="C971" s="5">
        <v>44347</v>
      </c>
      <c r="D971" s="4" t="s">
        <v>2351</v>
      </c>
      <c r="E971" s="4" t="s">
        <v>2352</v>
      </c>
      <c r="F971" s="4" t="s">
        <v>2355</v>
      </c>
      <c r="G971" s="6">
        <v>-167.1068352405</v>
      </c>
      <c r="H971" s="6">
        <f t="shared" si="15"/>
        <v>-55157.066818032996</v>
      </c>
      <c r="I971" s="4"/>
      <c r="J971" s="4" t="s">
        <v>68</v>
      </c>
      <c r="K971" s="7">
        <v>159.44999999999999</v>
      </c>
      <c r="L971" s="4" t="s">
        <v>2033</v>
      </c>
      <c r="M971" s="4" t="s">
        <v>61</v>
      </c>
      <c r="N971" s="4"/>
    </row>
    <row r="972" spans="1:14" ht="10.5" hidden="1" x14ac:dyDescent="0.25">
      <c r="A972" s="8" t="s">
        <v>470</v>
      </c>
      <c r="B972" s="4" t="s">
        <v>21</v>
      </c>
      <c r="C972" s="5">
        <v>44347</v>
      </c>
      <c r="D972" s="4" t="s">
        <v>2351</v>
      </c>
      <c r="E972" s="4" t="s">
        <v>2352</v>
      </c>
      <c r="F972" s="4" t="s">
        <v>2356</v>
      </c>
      <c r="G972" s="6">
        <v>-408.46590802750001</v>
      </c>
      <c r="H972" s="6">
        <f t="shared" si="15"/>
        <v>-55565.532726060497</v>
      </c>
      <c r="I972" s="4"/>
      <c r="J972" s="4" t="s">
        <v>68</v>
      </c>
      <c r="K972" s="7">
        <v>389.75</v>
      </c>
      <c r="L972" s="4" t="s">
        <v>2033</v>
      </c>
      <c r="M972" s="4" t="s">
        <v>61</v>
      </c>
      <c r="N972" s="4"/>
    </row>
    <row r="973" spans="1:14" ht="10.5" hidden="1" x14ac:dyDescent="0.25">
      <c r="A973" s="8" t="s">
        <v>470</v>
      </c>
      <c r="B973" s="4" t="s">
        <v>21</v>
      </c>
      <c r="C973" s="5">
        <v>44347</v>
      </c>
      <c r="D973" s="4" t="s">
        <v>2351</v>
      </c>
      <c r="E973" s="4" t="s">
        <v>2352</v>
      </c>
      <c r="F973" s="4" t="s">
        <v>2354</v>
      </c>
      <c r="G973" s="6">
        <v>-582.0075878486</v>
      </c>
      <c r="H973" s="6">
        <f t="shared" si="15"/>
        <v>-56147.540313909099</v>
      </c>
      <c r="I973" s="4"/>
      <c r="J973" s="4" t="s">
        <v>68</v>
      </c>
      <c r="K973" s="7">
        <v>555.34</v>
      </c>
      <c r="L973" s="4" t="s">
        <v>2033</v>
      </c>
      <c r="M973" s="4" t="s">
        <v>61</v>
      </c>
      <c r="N973" s="4"/>
    </row>
    <row r="974" spans="1:14" ht="10.5" hidden="1" x14ac:dyDescent="0.25">
      <c r="A974" s="8" t="s">
        <v>470</v>
      </c>
      <c r="B974" s="4" t="s">
        <v>21</v>
      </c>
      <c r="C974" s="5">
        <v>44347</v>
      </c>
      <c r="D974" s="4" t="s">
        <v>2351</v>
      </c>
      <c r="E974" s="4" t="s">
        <v>2352</v>
      </c>
      <c r="F974" s="4" t="s">
        <v>2355</v>
      </c>
      <c r="G974" s="6">
        <v>-385.18937738659997</v>
      </c>
      <c r="H974" s="6">
        <f t="shared" si="15"/>
        <v>-56532.729691295703</v>
      </c>
      <c r="I974" s="4"/>
      <c r="J974" s="4" t="s">
        <v>68</v>
      </c>
      <c r="K974" s="7">
        <v>367.54</v>
      </c>
      <c r="L974" s="4" t="s">
        <v>2033</v>
      </c>
      <c r="M974" s="4" t="s">
        <v>61</v>
      </c>
      <c r="N974" s="4"/>
    </row>
    <row r="975" spans="1:14" ht="10.5" hidden="1" x14ac:dyDescent="0.25">
      <c r="A975" s="8" t="s">
        <v>470</v>
      </c>
      <c r="B975" s="4" t="s">
        <v>21</v>
      </c>
      <c r="C975" s="5">
        <v>44347</v>
      </c>
      <c r="D975" s="4" t="s">
        <v>2351</v>
      </c>
      <c r="E975" s="4" t="s">
        <v>2352</v>
      </c>
      <c r="F975" s="4" t="s">
        <v>2356</v>
      </c>
      <c r="G975" s="6">
        <v>-941.50998792730002</v>
      </c>
      <c r="H975" s="6">
        <f t="shared" si="15"/>
        <v>-57474.239679222999</v>
      </c>
      <c r="I975" s="4"/>
      <c r="J975" s="4" t="s">
        <v>68</v>
      </c>
      <c r="K975" s="7">
        <v>898.37</v>
      </c>
      <c r="L975" s="4" t="s">
        <v>2033</v>
      </c>
      <c r="M975" s="4" t="s">
        <v>61</v>
      </c>
      <c r="N975" s="4"/>
    </row>
    <row r="976" spans="1:14" ht="10.5" hidden="1" x14ac:dyDescent="0.25">
      <c r="A976" s="8" t="s">
        <v>470</v>
      </c>
      <c r="B976" s="4" t="s">
        <v>21</v>
      </c>
      <c r="C976" s="5">
        <v>44347</v>
      </c>
      <c r="D976" s="4" t="s">
        <v>2358</v>
      </c>
      <c r="E976" s="4" t="s">
        <v>2359</v>
      </c>
      <c r="F976" s="4" t="s">
        <v>2359</v>
      </c>
      <c r="G976" s="6">
        <v>-292315.29699540889</v>
      </c>
      <c r="H976" s="6">
        <f t="shared" si="15"/>
        <v>-349789.53667463188</v>
      </c>
      <c r="I976" s="4"/>
      <c r="J976" s="4" t="s">
        <v>68</v>
      </c>
      <c r="K976" s="7">
        <v>278921.40999999997</v>
      </c>
      <c r="L976" s="4" t="s">
        <v>2033</v>
      </c>
      <c r="M976" s="4" t="s">
        <v>61</v>
      </c>
      <c r="N976" s="4"/>
    </row>
    <row r="977" spans="1:14" ht="10.5" hidden="1" x14ac:dyDescent="0.25">
      <c r="A977" s="8" t="s">
        <v>470</v>
      </c>
      <c r="B977" s="4" t="s">
        <v>21</v>
      </c>
      <c r="C977" s="5">
        <v>44347</v>
      </c>
      <c r="D977" s="4" t="s">
        <v>2360</v>
      </c>
      <c r="E977" s="4" t="s">
        <v>2361</v>
      </c>
      <c r="F977" s="4" t="s">
        <v>2361</v>
      </c>
      <c r="G977" s="6">
        <v>-38294.6613966</v>
      </c>
      <c r="H977" s="6">
        <f t="shared" si="15"/>
        <v>-388084.19807123189</v>
      </c>
      <c r="I977" s="4"/>
      <c r="J977" s="4" t="s">
        <v>68</v>
      </c>
      <c r="K977" s="7">
        <v>36540</v>
      </c>
      <c r="L977" s="4" t="s">
        <v>2033</v>
      </c>
      <c r="M977" s="4" t="s">
        <v>61</v>
      </c>
      <c r="N977" s="4"/>
    </row>
    <row r="978" spans="1:14" ht="10.5" hidden="1" x14ac:dyDescent="0.25">
      <c r="A978" s="8" t="s">
        <v>470</v>
      </c>
      <c r="B978" s="4" t="s">
        <v>21</v>
      </c>
      <c r="C978" s="5">
        <v>44347</v>
      </c>
      <c r="D978" s="4" t="s">
        <v>2362</v>
      </c>
      <c r="E978" s="4" t="s">
        <v>2363</v>
      </c>
      <c r="F978" s="4" t="s">
        <v>2363</v>
      </c>
      <c r="G978" s="6">
        <v>4265.2748970536004</v>
      </c>
      <c r="H978" s="6">
        <f t="shared" ref="H978:H1041" si="16">H977+G978</f>
        <v>-383818.92317417829</v>
      </c>
      <c r="I978" s="4"/>
      <c r="J978" s="4" t="s">
        <v>68</v>
      </c>
      <c r="K978" s="7">
        <v>-4069.84</v>
      </c>
      <c r="L978" s="4" t="s">
        <v>2033</v>
      </c>
      <c r="M978" s="4" t="s">
        <v>61</v>
      </c>
      <c r="N978" s="4"/>
    </row>
    <row r="979" spans="1:14" ht="10.5" hidden="1" x14ac:dyDescent="0.25">
      <c r="A979" s="8" t="s">
        <v>470</v>
      </c>
      <c r="B979" s="4" t="s">
        <v>21</v>
      </c>
      <c r="C979" s="5">
        <v>44348</v>
      </c>
      <c r="D979" s="4" t="s">
        <v>2364</v>
      </c>
      <c r="E979" s="4" t="s">
        <v>2359</v>
      </c>
      <c r="F979" s="4" t="s">
        <v>2359</v>
      </c>
      <c r="G979" s="6">
        <v>292315.29699540889</v>
      </c>
      <c r="H979" s="6">
        <f t="shared" si="16"/>
        <v>-91503.626178769395</v>
      </c>
      <c r="I979" s="4"/>
      <c r="J979" s="4" t="s">
        <v>68</v>
      </c>
      <c r="K979" s="7">
        <v>-278921.40999999997</v>
      </c>
      <c r="L979" s="4" t="s">
        <v>1031</v>
      </c>
      <c r="M979" s="4" t="s">
        <v>61</v>
      </c>
      <c r="N979" s="4"/>
    </row>
    <row r="980" spans="1:14" ht="10.5" hidden="1" x14ac:dyDescent="0.25">
      <c r="A980" s="8" t="s">
        <v>470</v>
      </c>
      <c r="B980" s="4" t="s">
        <v>249</v>
      </c>
      <c r="C980" s="5">
        <v>44351</v>
      </c>
      <c r="D980" s="4" t="s">
        <v>2365</v>
      </c>
      <c r="E980" s="4" t="s">
        <v>2366</v>
      </c>
      <c r="F980" s="4" t="s">
        <v>2366</v>
      </c>
      <c r="G980" s="6">
        <v>3544.1426157075002</v>
      </c>
      <c r="H980" s="6">
        <f t="shared" si="16"/>
        <v>-87959.483563061891</v>
      </c>
      <c r="I980" s="4" t="s">
        <v>252</v>
      </c>
      <c r="J980" s="4" t="s">
        <v>68</v>
      </c>
      <c r="K980" s="7">
        <v>-3381.75</v>
      </c>
      <c r="L980" s="4" t="s">
        <v>1031</v>
      </c>
      <c r="M980" s="4" t="s">
        <v>61</v>
      </c>
      <c r="N980" s="4"/>
    </row>
    <row r="981" spans="1:14" ht="10.5" hidden="1" x14ac:dyDescent="0.25">
      <c r="A981" s="8" t="s">
        <v>470</v>
      </c>
      <c r="B981" s="4" t="s">
        <v>21</v>
      </c>
      <c r="C981" s="5">
        <v>44377</v>
      </c>
      <c r="D981" s="4" t="s">
        <v>2367</v>
      </c>
      <c r="E981" s="4" t="s">
        <v>2368</v>
      </c>
      <c r="F981" s="4" t="s">
        <v>2369</v>
      </c>
      <c r="G981" s="6">
        <v>-7.4199836532000001</v>
      </c>
      <c r="H981" s="6">
        <f t="shared" si="16"/>
        <v>-87966.903546715097</v>
      </c>
      <c r="I981" s="4"/>
      <c r="J981" s="4" t="s">
        <v>68</v>
      </c>
      <c r="K981" s="7">
        <v>7.08</v>
      </c>
      <c r="L981" s="4" t="s">
        <v>1031</v>
      </c>
      <c r="M981" s="4" t="s">
        <v>61</v>
      </c>
      <c r="N981" s="4" t="s">
        <v>39</v>
      </c>
    </row>
    <row r="982" spans="1:14" ht="10.5" hidden="1" x14ac:dyDescent="0.25">
      <c r="A982" s="8" t="s">
        <v>470</v>
      </c>
      <c r="B982" s="4" t="s">
        <v>21</v>
      </c>
      <c r="C982" s="5">
        <v>44377</v>
      </c>
      <c r="D982" s="4" t="s">
        <v>2367</v>
      </c>
      <c r="E982" s="4" t="s">
        <v>2368</v>
      </c>
      <c r="F982" s="4" t="s">
        <v>2369</v>
      </c>
      <c r="G982" s="6">
        <v>-243.30839052639999</v>
      </c>
      <c r="H982" s="6">
        <f t="shared" si="16"/>
        <v>-88210.211937241504</v>
      </c>
      <c r="I982" s="4"/>
      <c r="J982" s="4" t="s">
        <v>68</v>
      </c>
      <c r="K982" s="7">
        <v>232.16</v>
      </c>
      <c r="L982" s="4" t="s">
        <v>1031</v>
      </c>
      <c r="M982" s="4" t="s">
        <v>61</v>
      </c>
      <c r="N982" s="4" t="s">
        <v>39</v>
      </c>
    </row>
    <row r="983" spans="1:14" ht="10.5" hidden="1" x14ac:dyDescent="0.25">
      <c r="A983" s="8" t="s">
        <v>470</v>
      </c>
      <c r="B983" s="4" t="s">
        <v>21</v>
      </c>
      <c r="C983" s="5">
        <v>44377</v>
      </c>
      <c r="D983" s="4" t="s">
        <v>2367</v>
      </c>
      <c r="E983" s="4" t="s">
        <v>2368</v>
      </c>
      <c r="F983" s="4" t="s">
        <v>2369</v>
      </c>
      <c r="G983" s="6">
        <v>-16.988408900900001</v>
      </c>
      <c r="H983" s="6">
        <f t="shared" si="16"/>
        <v>-88227.200346142403</v>
      </c>
      <c r="I983" s="4"/>
      <c r="J983" s="4" t="s">
        <v>68</v>
      </c>
      <c r="K983" s="7">
        <v>16.21</v>
      </c>
      <c r="L983" s="4" t="s">
        <v>1031</v>
      </c>
      <c r="M983" s="4" t="s">
        <v>61</v>
      </c>
      <c r="N983" s="4" t="s">
        <v>39</v>
      </c>
    </row>
    <row r="984" spans="1:14" ht="10.5" hidden="1" x14ac:dyDescent="0.25">
      <c r="A984" s="8" t="s">
        <v>470</v>
      </c>
      <c r="B984" s="4" t="s">
        <v>21</v>
      </c>
      <c r="C984" s="5">
        <v>44377</v>
      </c>
      <c r="D984" s="4" t="s">
        <v>2367</v>
      </c>
      <c r="E984" s="4" t="s">
        <v>2368</v>
      </c>
      <c r="F984" s="4" t="s">
        <v>2370</v>
      </c>
      <c r="G984" s="6">
        <v>-3544.1216553016998</v>
      </c>
      <c r="H984" s="6">
        <f t="shared" si="16"/>
        <v>-91771.322001444103</v>
      </c>
      <c r="I984" s="4"/>
      <c r="J984" s="4" t="s">
        <v>68</v>
      </c>
      <c r="K984" s="7">
        <v>3381.73</v>
      </c>
      <c r="L984" s="4" t="s">
        <v>1031</v>
      </c>
      <c r="M984" s="4" t="s">
        <v>61</v>
      </c>
      <c r="N984" s="4" t="s">
        <v>39</v>
      </c>
    </row>
    <row r="985" spans="1:14" ht="10.5" hidden="1" x14ac:dyDescent="0.25">
      <c r="A985" s="8" t="s">
        <v>470</v>
      </c>
      <c r="B985" s="4" t="s">
        <v>21</v>
      </c>
      <c r="C985" s="5">
        <v>44377</v>
      </c>
      <c r="D985" s="4" t="s">
        <v>2367</v>
      </c>
      <c r="E985" s="4" t="s">
        <v>2368</v>
      </c>
      <c r="F985" s="4" t="s">
        <v>2371</v>
      </c>
      <c r="G985" s="6">
        <v>-167.1068352405</v>
      </c>
      <c r="H985" s="6">
        <f t="shared" si="16"/>
        <v>-91938.428836684601</v>
      </c>
      <c r="I985" s="4"/>
      <c r="J985" s="4" t="s">
        <v>68</v>
      </c>
      <c r="K985" s="7">
        <v>159.44999999999999</v>
      </c>
      <c r="L985" s="4" t="s">
        <v>1031</v>
      </c>
      <c r="M985" s="4" t="s">
        <v>61</v>
      </c>
      <c r="N985" s="4" t="s">
        <v>39</v>
      </c>
    </row>
    <row r="986" spans="1:14" ht="10.5" hidden="1" x14ac:dyDescent="0.25">
      <c r="A986" s="8" t="s">
        <v>470</v>
      </c>
      <c r="B986" s="4" t="s">
        <v>21</v>
      </c>
      <c r="C986" s="5">
        <v>44377</v>
      </c>
      <c r="D986" s="4" t="s">
        <v>2367</v>
      </c>
      <c r="E986" s="4" t="s">
        <v>2368</v>
      </c>
      <c r="F986" s="4" t="s">
        <v>2371</v>
      </c>
      <c r="G986" s="6">
        <v>-382.3806830094</v>
      </c>
      <c r="H986" s="6">
        <f t="shared" si="16"/>
        <v>-92320.809519693998</v>
      </c>
      <c r="I986" s="4"/>
      <c r="J986" s="4" t="s">
        <v>68</v>
      </c>
      <c r="K986" s="7">
        <v>364.86</v>
      </c>
      <c r="L986" s="4" t="s">
        <v>1031</v>
      </c>
      <c r="M986" s="4" t="s">
        <v>61</v>
      </c>
      <c r="N986" s="4" t="s">
        <v>39</v>
      </c>
    </row>
    <row r="987" spans="1:14" ht="10.5" hidden="1" x14ac:dyDescent="0.25">
      <c r="A987" s="8" t="s">
        <v>470</v>
      </c>
      <c r="B987" s="4" t="s">
        <v>21</v>
      </c>
      <c r="C987" s="5">
        <v>44377</v>
      </c>
      <c r="D987" s="4" t="s">
        <v>2367</v>
      </c>
      <c r="E987" s="4" t="s">
        <v>2368</v>
      </c>
      <c r="F987" s="4" t="s">
        <v>2371</v>
      </c>
      <c r="G987" s="6">
        <v>-5473.1287614815001</v>
      </c>
      <c r="H987" s="6">
        <f t="shared" si="16"/>
        <v>-97793.938281175491</v>
      </c>
      <c r="I987" s="4"/>
      <c r="J987" s="4" t="s">
        <v>68</v>
      </c>
      <c r="K987" s="7">
        <v>5222.3500000000004</v>
      </c>
      <c r="L987" s="4" t="s">
        <v>1031</v>
      </c>
      <c r="M987" s="4" t="s">
        <v>61</v>
      </c>
      <c r="N987" s="4" t="s">
        <v>39</v>
      </c>
    </row>
    <row r="988" spans="1:14" ht="10.5" hidden="1" x14ac:dyDescent="0.25">
      <c r="A988" s="8" t="s">
        <v>470</v>
      </c>
      <c r="B988" s="4" t="s">
        <v>21</v>
      </c>
      <c r="C988" s="5">
        <v>44377</v>
      </c>
      <c r="D988" s="4" t="s">
        <v>2367</v>
      </c>
      <c r="E988" s="4" t="s">
        <v>2368</v>
      </c>
      <c r="F988" s="4" t="s">
        <v>2372</v>
      </c>
      <c r="G988" s="6">
        <v>-408.46590802750001</v>
      </c>
      <c r="H988" s="6">
        <f t="shared" si="16"/>
        <v>-98202.404189202993</v>
      </c>
      <c r="I988" s="4"/>
      <c r="J988" s="4" t="s">
        <v>68</v>
      </c>
      <c r="K988" s="7">
        <v>389.75</v>
      </c>
      <c r="L988" s="4" t="s">
        <v>1031</v>
      </c>
      <c r="M988" s="4" t="s">
        <v>61</v>
      </c>
      <c r="N988" s="4" t="s">
        <v>39</v>
      </c>
    </row>
    <row r="989" spans="1:14" ht="10.5" hidden="1" x14ac:dyDescent="0.25">
      <c r="A989" s="8" t="s">
        <v>470</v>
      </c>
      <c r="B989" s="4" t="s">
        <v>21</v>
      </c>
      <c r="C989" s="5">
        <v>44377</v>
      </c>
      <c r="D989" s="4" t="s">
        <v>2367</v>
      </c>
      <c r="E989" s="4" t="s">
        <v>2368</v>
      </c>
      <c r="F989" s="4" t="s">
        <v>2372</v>
      </c>
      <c r="G989" s="6">
        <v>-934.66641543360004</v>
      </c>
      <c r="H989" s="6">
        <f t="shared" si="16"/>
        <v>-99137.070604636596</v>
      </c>
      <c r="I989" s="4"/>
      <c r="J989" s="4" t="s">
        <v>68</v>
      </c>
      <c r="K989" s="7">
        <v>891.84</v>
      </c>
      <c r="L989" s="4" t="s">
        <v>1031</v>
      </c>
      <c r="M989" s="4" t="s">
        <v>61</v>
      </c>
      <c r="N989" s="4" t="s">
        <v>39</v>
      </c>
    </row>
    <row r="990" spans="1:14" ht="10.5" hidden="1" x14ac:dyDescent="0.25">
      <c r="A990" s="8" t="s">
        <v>470</v>
      </c>
      <c r="B990" s="4" t="s">
        <v>21</v>
      </c>
      <c r="C990" s="5">
        <v>44377</v>
      </c>
      <c r="D990" s="4" t="s">
        <v>2367</v>
      </c>
      <c r="E990" s="4" t="s">
        <v>2368</v>
      </c>
      <c r="F990" s="4" t="s">
        <v>2372</v>
      </c>
      <c r="G990" s="6">
        <v>-13378.827898284901</v>
      </c>
      <c r="H990" s="6">
        <f t="shared" si="16"/>
        <v>-112515.8985029215</v>
      </c>
      <c r="I990" s="4"/>
      <c r="J990" s="4" t="s">
        <v>68</v>
      </c>
      <c r="K990" s="7">
        <v>12765.81</v>
      </c>
      <c r="L990" s="4" t="s">
        <v>1031</v>
      </c>
      <c r="M990" s="4" t="s">
        <v>61</v>
      </c>
      <c r="N990" s="4" t="s">
        <v>39</v>
      </c>
    </row>
    <row r="991" spans="1:14" ht="10.5" hidden="1" x14ac:dyDescent="0.25">
      <c r="A991" s="8" t="s">
        <v>470</v>
      </c>
      <c r="B991" s="4" t="s">
        <v>21</v>
      </c>
      <c r="C991" s="5">
        <v>44377</v>
      </c>
      <c r="D991" s="4" t="s">
        <v>2367</v>
      </c>
      <c r="E991" s="4" t="s">
        <v>2368</v>
      </c>
      <c r="F991" s="4" t="s">
        <v>2373</v>
      </c>
      <c r="G991" s="6">
        <v>-252.51000867260001</v>
      </c>
      <c r="H991" s="6">
        <f t="shared" si="16"/>
        <v>-112768.4085115941</v>
      </c>
      <c r="I991" s="4"/>
      <c r="J991" s="4" t="s">
        <v>68</v>
      </c>
      <c r="K991" s="7">
        <v>240.94</v>
      </c>
      <c r="L991" s="4" t="s">
        <v>1031</v>
      </c>
      <c r="M991" s="4" t="s">
        <v>61</v>
      </c>
      <c r="N991" s="4" t="s">
        <v>39</v>
      </c>
    </row>
    <row r="992" spans="1:14" ht="10.5" hidden="1" x14ac:dyDescent="0.25">
      <c r="A992" s="8" t="s">
        <v>470</v>
      </c>
      <c r="B992" s="4" t="s">
        <v>21</v>
      </c>
      <c r="C992" s="5">
        <v>44377</v>
      </c>
      <c r="D992" s="4" t="s">
        <v>2367</v>
      </c>
      <c r="E992" s="4" t="s">
        <v>2368</v>
      </c>
      <c r="F992" s="4" t="s">
        <v>2373</v>
      </c>
      <c r="G992" s="6">
        <v>-577.76310567409996</v>
      </c>
      <c r="H992" s="6">
        <f t="shared" si="16"/>
        <v>-113346.17161726819</v>
      </c>
      <c r="I992" s="4"/>
      <c r="J992" s="4" t="s">
        <v>68</v>
      </c>
      <c r="K992" s="7">
        <v>551.29</v>
      </c>
      <c r="L992" s="4" t="s">
        <v>1031</v>
      </c>
      <c r="M992" s="4" t="s">
        <v>61</v>
      </c>
      <c r="N992" s="4" t="s">
        <v>39</v>
      </c>
    </row>
    <row r="993" spans="1:14" ht="10.5" hidden="1" x14ac:dyDescent="0.25">
      <c r="A993" s="8" t="s">
        <v>470</v>
      </c>
      <c r="B993" s="4" t="s">
        <v>21</v>
      </c>
      <c r="C993" s="5">
        <v>44377</v>
      </c>
      <c r="D993" s="4" t="s">
        <v>2367</v>
      </c>
      <c r="E993" s="4" t="s">
        <v>2368</v>
      </c>
      <c r="F993" s="4" t="s">
        <v>2373</v>
      </c>
      <c r="G993" s="6">
        <v>-8270.5149997524004</v>
      </c>
      <c r="H993" s="6">
        <f t="shared" si="16"/>
        <v>-121616.68661702059</v>
      </c>
      <c r="I993" s="4"/>
      <c r="J993" s="4" t="s">
        <v>68</v>
      </c>
      <c r="K993" s="7">
        <v>7891.56</v>
      </c>
      <c r="L993" s="4" t="s">
        <v>1031</v>
      </c>
      <c r="M993" s="4" t="s">
        <v>61</v>
      </c>
      <c r="N993" s="4" t="s">
        <v>39</v>
      </c>
    </row>
    <row r="994" spans="1:14" ht="10.5" hidden="1" x14ac:dyDescent="0.25">
      <c r="A994" s="8" t="s">
        <v>470</v>
      </c>
      <c r="B994" s="4" t="s">
        <v>21</v>
      </c>
      <c r="C994" s="5">
        <v>44377</v>
      </c>
      <c r="D994" s="4" t="s">
        <v>2374</v>
      </c>
      <c r="E994" s="4" t="s">
        <v>2375</v>
      </c>
      <c r="F994" s="4" t="s">
        <v>2375</v>
      </c>
      <c r="G994" s="6">
        <v>-223603.07286529819</v>
      </c>
      <c r="H994" s="6">
        <f t="shared" si="16"/>
        <v>-345219.75948231877</v>
      </c>
      <c r="I994" s="4"/>
      <c r="J994" s="4" t="s">
        <v>68</v>
      </c>
      <c r="K994" s="7">
        <v>213357.58</v>
      </c>
      <c r="L994" s="4" t="s">
        <v>1031</v>
      </c>
      <c r="M994" s="4" t="s">
        <v>61</v>
      </c>
      <c r="N994" s="4" t="s">
        <v>39</v>
      </c>
    </row>
    <row r="995" spans="1:14" ht="10.5" hidden="1" x14ac:dyDescent="0.25">
      <c r="A995" s="8" t="s">
        <v>470</v>
      </c>
      <c r="B995" s="4" t="s">
        <v>21</v>
      </c>
      <c r="C995" s="5">
        <v>44378</v>
      </c>
      <c r="D995" s="4" t="s">
        <v>2376</v>
      </c>
      <c r="E995" s="4" t="s">
        <v>2375</v>
      </c>
      <c r="F995" s="4" t="s">
        <v>2375</v>
      </c>
      <c r="G995" s="6">
        <v>223603.07286529819</v>
      </c>
      <c r="H995" s="6">
        <f t="shared" si="16"/>
        <v>-121616.68661702058</v>
      </c>
      <c r="I995" s="4"/>
      <c r="J995" s="4" t="s">
        <v>68</v>
      </c>
      <c r="K995" s="7">
        <v>-213357.58</v>
      </c>
      <c r="L995" s="4" t="s">
        <v>2086</v>
      </c>
      <c r="M995" s="4" t="s">
        <v>61</v>
      </c>
      <c r="N995" s="4" t="s">
        <v>39</v>
      </c>
    </row>
    <row r="996" spans="1:14" ht="10.5" hidden="1" x14ac:dyDescent="0.25">
      <c r="A996" s="8" t="s">
        <v>470</v>
      </c>
      <c r="B996" s="4" t="s">
        <v>249</v>
      </c>
      <c r="C996" s="5">
        <v>44383</v>
      </c>
      <c r="D996" s="4" t="s">
        <v>2377</v>
      </c>
      <c r="E996" s="4" t="s">
        <v>2378</v>
      </c>
      <c r="F996" s="4" t="s">
        <v>2378</v>
      </c>
      <c r="G996" s="6">
        <v>1649.5315354454999</v>
      </c>
      <c r="H996" s="6">
        <f t="shared" si="16"/>
        <v>-119967.15508157508</v>
      </c>
      <c r="I996" s="4" t="s">
        <v>252</v>
      </c>
      <c r="J996" s="4" t="s">
        <v>68</v>
      </c>
      <c r="K996" s="7">
        <v>-1573.95</v>
      </c>
      <c r="L996" s="4" t="s">
        <v>2086</v>
      </c>
      <c r="M996" s="4" t="s">
        <v>61</v>
      </c>
      <c r="N996" s="4"/>
    </row>
    <row r="997" spans="1:14" ht="10.5" hidden="1" x14ac:dyDescent="0.25">
      <c r="A997" s="8" t="s">
        <v>470</v>
      </c>
      <c r="B997" s="4" t="s">
        <v>249</v>
      </c>
      <c r="C997" s="5">
        <v>44403</v>
      </c>
      <c r="D997" s="4" t="s">
        <v>2379</v>
      </c>
      <c r="E997" s="4" t="s">
        <v>2380</v>
      </c>
      <c r="F997" s="4" t="s">
        <v>2380</v>
      </c>
      <c r="G997" s="6">
        <v>2906.1288235613001</v>
      </c>
      <c r="H997" s="6">
        <f t="shared" si="16"/>
        <v>-117061.02625801378</v>
      </c>
      <c r="I997" s="4" t="s">
        <v>252</v>
      </c>
      <c r="J997" s="4" t="s">
        <v>68</v>
      </c>
      <c r="K997" s="7">
        <v>-2772.97</v>
      </c>
      <c r="L997" s="4" t="s">
        <v>2086</v>
      </c>
      <c r="M997" s="4" t="s">
        <v>61</v>
      </c>
      <c r="N997" s="4"/>
    </row>
    <row r="998" spans="1:14" ht="10.5" hidden="1" x14ac:dyDescent="0.25">
      <c r="A998" s="8" t="s">
        <v>470</v>
      </c>
      <c r="B998" s="4" t="s">
        <v>21</v>
      </c>
      <c r="C998" s="5">
        <v>44408</v>
      </c>
      <c r="D998" s="4" t="s">
        <v>2381</v>
      </c>
      <c r="E998" s="4" t="s">
        <v>2382</v>
      </c>
      <c r="F998" s="4" t="s">
        <v>2383</v>
      </c>
      <c r="G998" s="6">
        <v>-17.5333794517</v>
      </c>
      <c r="H998" s="6">
        <f t="shared" si="16"/>
        <v>-117078.55963746549</v>
      </c>
      <c r="I998" s="4"/>
      <c r="J998" s="4" t="s">
        <v>68</v>
      </c>
      <c r="K998" s="7">
        <v>16.73</v>
      </c>
      <c r="L998" s="4" t="s">
        <v>2086</v>
      </c>
      <c r="M998" s="4" t="s">
        <v>61</v>
      </c>
      <c r="N998" s="4" t="s">
        <v>39</v>
      </c>
    </row>
    <row r="999" spans="1:14" ht="10.5" hidden="1" x14ac:dyDescent="0.25">
      <c r="A999" s="8" t="s">
        <v>470</v>
      </c>
      <c r="B999" s="4" t="s">
        <v>21</v>
      </c>
      <c r="C999" s="5">
        <v>44408</v>
      </c>
      <c r="D999" s="4" t="s">
        <v>2381</v>
      </c>
      <c r="E999" s="4" t="s">
        <v>2382</v>
      </c>
      <c r="F999" s="4" t="s">
        <v>2383</v>
      </c>
      <c r="G999" s="6">
        <v>-23.381332669900001</v>
      </c>
      <c r="H999" s="6">
        <f t="shared" si="16"/>
        <v>-117101.94097013539</v>
      </c>
      <c r="I999" s="4"/>
      <c r="J999" s="4" t="s">
        <v>68</v>
      </c>
      <c r="K999" s="7">
        <v>22.31</v>
      </c>
      <c r="L999" s="4" t="s">
        <v>2086</v>
      </c>
      <c r="M999" s="4" t="s">
        <v>61</v>
      </c>
      <c r="N999" s="4" t="s">
        <v>39</v>
      </c>
    </row>
    <row r="1000" spans="1:14" ht="10.5" hidden="1" x14ac:dyDescent="0.25">
      <c r="A1000" s="8" t="s">
        <v>470</v>
      </c>
      <c r="B1000" s="4" t="s">
        <v>21</v>
      </c>
      <c r="C1000" s="5">
        <v>44408</v>
      </c>
      <c r="D1000" s="4" t="s">
        <v>2381</v>
      </c>
      <c r="E1000" s="4" t="s">
        <v>2382</v>
      </c>
      <c r="F1000" s="4" t="s">
        <v>2383</v>
      </c>
      <c r="G1000" s="6">
        <v>-412.94095466580001</v>
      </c>
      <c r="H1000" s="6">
        <f t="shared" si="16"/>
        <v>-117514.88192480119</v>
      </c>
      <c r="I1000" s="4"/>
      <c r="J1000" s="4" t="s">
        <v>68</v>
      </c>
      <c r="K1000" s="7">
        <v>394.02</v>
      </c>
      <c r="L1000" s="4" t="s">
        <v>2086</v>
      </c>
      <c r="M1000" s="4" t="s">
        <v>61</v>
      </c>
      <c r="N1000" s="4" t="s">
        <v>39</v>
      </c>
    </row>
    <row r="1001" spans="1:14" ht="10.5" hidden="1" x14ac:dyDescent="0.25">
      <c r="A1001" s="8" t="s">
        <v>470</v>
      </c>
      <c r="B1001" s="4" t="s">
        <v>21</v>
      </c>
      <c r="C1001" s="5">
        <v>44408</v>
      </c>
      <c r="D1001" s="4" t="s">
        <v>2381</v>
      </c>
      <c r="E1001" s="4" t="s">
        <v>2382</v>
      </c>
      <c r="F1001" s="4" t="s">
        <v>2384</v>
      </c>
      <c r="G1001" s="6">
        <v>-1019.2311726337</v>
      </c>
      <c r="H1001" s="6">
        <f t="shared" si="16"/>
        <v>-118534.11309743489</v>
      </c>
      <c r="I1001" s="4"/>
      <c r="J1001" s="4" t="s">
        <v>68</v>
      </c>
      <c r="K1001" s="7">
        <v>972.53</v>
      </c>
      <c r="L1001" s="4" t="s">
        <v>2086</v>
      </c>
      <c r="M1001" s="4" t="s">
        <v>61</v>
      </c>
      <c r="N1001" s="4" t="s">
        <v>39</v>
      </c>
    </row>
    <row r="1002" spans="1:14" ht="10.5" hidden="1" x14ac:dyDescent="0.25">
      <c r="A1002" s="8" t="s">
        <v>470</v>
      </c>
      <c r="B1002" s="4" t="s">
        <v>21</v>
      </c>
      <c r="C1002" s="5">
        <v>44408</v>
      </c>
      <c r="D1002" s="4" t="s">
        <v>2381</v>
      </c>
      <c r="E1002" s="4" t="s">
        <v>2382</v>
      </c>
      <c r="F1002" s="4" t="s">
        <v>2384</v>
      </c>
      <c r="G1002" s="6">
        <v>-630.27940240600003</v>
      </c>
      <c r="H1002" s="6">
        <f t="shared" si="16"/>
        <v>-119164.39249984089</v>
      </c>
      <c r="I1002" s="4"/>
      <c r="J1002" s="4" t="s">
        <v>68</v>
      </c>
      <c r="K1002" s="7">
        <v>601.4</v>
      </c>
      <c r="L1002" s="4" t="s">
        <v>2086</v>
      </c>
      <c r="M1002" s="4" t="s">
        <v>61</v>
      </c>
      <c r="N1002" s="4" t="s">
        <v>39</v>
      </c>
    </row>
    <row r="1003" spans="1:14" ht="10.5" hidden="1" x14ac:dyDescent="0.25">
      <c r="A1003" s="8" t="s">
        <v>470</v>
      </c>
      <c r="B1003" s="4" t="s">
        <v>21</v>
      </c>
      <c r="C1003" s="5">
        <v>44408</v>
      </c>
      <c r="D1003" s="4" t="s">
        <v>2381</v>
      </c>
      <c r="E1003" s="4" t="s">
        <v>2382</v>
      </c>
      <c r="F1003" s="4" t="s">
        <v>2385</v>
      </c>
      <c r="G1003" s="6">
        <v>-394.47483715599998</v>
      </c>
      <c r="H1003" s="6">
        <f t="shared" si="16"/>
        <v>-119558.86733699689</v>
      </c>
      <c r="I1003" s="4"/>
      <c r="J1003" s="4" t="s">
        <v>68</v>
      </c>
      <c r="K1003" s="7">
        <v>376.4</v>
      </c>
      <c r="L1003" s="4" t="s">
        <v>2086</v>
      </c>
      <c r="M1003" s="4" t="s">
        <v>61</v>
      </c>
      <c r="N1003" s="4" t="s">
        <v>39</v>
      </c>
    </row>
    <row r="1004" spans="1:14" ht="10.5" hidden="1" x14ac:dyDescent="0.25">
      <c r="A1004" s="8" t="s">
        <v>470</v>
      </c>
      <c r="B1004" s="4" t="s">
        <v>21</v>
      </c>
      <c r="C1004" s="5">
        <v>44408</v>
      </c>
      <c r="D1004" s="4" t="s">
        <v>2381</v>
      </c>
      <c r="E1004" s="4" t="s">
        <v>2382</v>
      </c>
      <c r="F1004" s="4" t="s">
        <v>2385</v>
      </c>
      <c r="G1004" s="6">
        <v>-9288.7819937192999</v>
      </c>
      <c r="H1004" s="6">
        <f t="shared" si="16"/>
        <v>-128847.64933071619</v>
      </c>
      <c r="I1004" s="4"/>
      <c r="J1004" s="4" t="s">
        <v>68</v>
      </c>
      <c r="K1004" s="7">
        <v>8863.17</v>
      </c>
      <c r="L1004" s="4" t="s">
        <v>2086</v>
      </c>
      <c r="M1004" s="4" t="s">
        <v>61</v>
      </c>
      <c r="N1004" s="4" t="s">
        <v>39</v>
      </c>
    </row>
    <row r="1005" spans="1:14" ht="10.5" hidden="1" x14ac:dyDescent="0.25">
      <c r="A1005" s="8" t="s">
        <v>470</v>
      </c>
      <c r="B1005" s="4" t="s">
        <v>21</v>
      </c>
      <c r="C1005" s="5">
        <v>44408</v>
      </c>
      <c r="D1005" s="4" t="s">
        <v>2381</v>
      </c>
      <c r="E1005" s="4" t="s">
        <v>2382</v>
      </c>
      <c r="F1005" s="4" t="s">
        <v>2385</v>
      </c>
      <c r="G1005" s="6">
        <v>-526.33675004379995</v>
      </c>
      <c r="H1005" s="6">
        <f t="shared" si="16"/>
        <v>-129373.98608075999</v>
      </c>
      <c r="I1005" s="4"/>
      <c r="J1005" s="4" t="s">
        <v>68</v>
      </c>
      <c r="K1005" s="7">
        <v>502.22</v>
      </c>
      <c r="L1005" s="4" t="s">
        <v>2086</v>
      </c>
      <c r="M1005" s="4" t="s">
        <v>61</v>
      </c>
      <c r="N1005" s="4" t="s">
        <v>39</v>
      </c>
    </row>
    <row r="1006" spans="1:14" ht="10.5" hidden="1" x14ac:dyDescent="0.25">
      <c r="A1006" s="8" t="s">
        <v>470</v>
      </c>
      <c r="B1006" s="4" t="s">
        <v>21</v>
      </c>
      <c r="C1006" s="5">
        <v>44408</v>
      </c>
      <c r="D1006" s="4" t="s">
        <v>2381</v>
      </c>
      <c r="E1006" s="4" t="s">
        <v>2382</v>
      </c>
      <c r="F1006" s="4" t="s">
        <v>2386</v>
      </c>
      <c r="G1006" s="6">
        <v>-964.28346882899996</v>
      </c>
      <c r="H1006" s="6">
        <f t="shared" si="16"/>
        <v>-130338.26954958899</v>
      </c>
      <c r="I1006" s="4"/>
      <c r="J1006" s="4" t="s">
        <v>68</v>
      </c>
      <c r="K1006" s="7">
        <v>920.1</v>
      </c>
      <c r="L1006" s="4" t="s">
        <v>2086</v>
      </c>
      <c r="M1006" s="4" t="s">
        <v>61</v>
      </c>
      <c r="N1006" s="4" t="s">
        <v>39</v>
      </c>
    </row>
    <row r="1007" spans="1:14" ht="10.5" hidden="1" x14ac:dyDescent="0.25">
      <c r="A1007" s="8" t="s">
        <v>470</v>
      </c>
      <c r="B1007" s="4" t="s">
        <v>21</v>
      </c>
      <c r="C1007" s="5">
        <v>44408</v>
      </c>
      <c r="D1007" s="4" t="s">
        <v>2381</v>
      </c>
      <c r="E1007" s="4" t="s">
        <v>2382</v>
      </c>
      <c r="F1007" s="4" t="s">
        <v>2386</v>
      </c>
      <c r="G1007" s="6">
        <v>-22705.778790966</v>
      </c>
      <c r="H1007" s="6">
        <f t="shared" si="16"/>
        <v>-153044.04834055499</v>
      </c>
      <c r="I1007" s="4"/>
      <c r="J1007" s="4" t="s">
        <v>68</v>
      </c>
      <c r="K1007" s="7">
        <v>21665.4</v>
      </c>
      <c r="L1007" s="4" t="s">
        <v>2086</v>
      </c>
      <c r="M1007" s="4" t="s">
        <v>61</v>
      </c>
      <c r="N1007" s="4" t="s">
        <v>39</v>
      </c>
    </row>
    <row r="1008" spans="1:14" ht="10.5" hidden="1" x14ac:dyDescent="0.25">
      <c r="A1008" s="8" t="s">
        <v>470</v>
      </c>
      <c r="B1008" s="4" t="s">
        <v>21</v>
      </c>
      <c r="C1008" s="5">
        <v>44408</v>
      </c>
      <c r="D1008" s="4" t="s">
        <v>2381</v>
      </c>
      <c r="E1008" s="4" t="s">
        <v>2382</v>
      </c>
      <c r="F1008" s="4" t="s">
        <v>2386</v>
      </c>
      <c r="G1008" s="6">
        <v>-1286.5706684098</v>
      </c>
      <c r="H1008" s="6">
        <f t="shared" si="16"/>
        <v>-154330.6190089648</v>
      </c>
      <c r="I1008" s="4"/>
      <c r="J1008" s="4" t="s">
        <v>68</v>
      </c>
      <c r="K1008" s="7">
        <v>1227.6199999999999</v>
      </c>
      <c r="L1008" s="4" t="s">
        <v>2086</v>
      </c>
      <c r="M1008" s="4" t="s">
        <v>61</v>
      </c>
      <c r="N1008" s="4" t="s">
        <v>39</v>
      </c>
    </row>
    <row r="1009" spans="1:14" ht="10.5" hidden="1" x14ac:dyDescent="0.25">
      <c r="A1009" s="8" t="s">
        <v>470</v>
      </c>
      <c r="B1009" s="4" t="s">
        <v>21</v>
      </c>
      <c r="C1009" s="5">
        <v>44408</v>
      </c>
      <c r="D1009" s="4" t="s">
        <v>2381</v>
      </c>
      <c r="E1009" s="4" t="s">
        <v>2382</v>
      </c>
      <c r="F1009" s="4" t="s">
        <v>2387</v>
      </c>
      <c r="G1009" s="6">
        <v>-596.09298054620001</v>
      </c>
      <c r="H1009" s="6">
        <f t="shared" si="16"/>
        <v>-154926.71198951101</v>
      </c>
      <c r="I1009" s="4"/>
      <c r="J1009" s="4" t="s">
        <v>68</v>
      </c>
      <c r="K1009" s="7">
        <v>568.78</v>
      </c>
      <c r="L1009" s="4" t="s">
        <v>2086</v>
      </c>
      <c r="M1009" s="4" t="s">
        <v>61</v>
      </c>
      <c r="N1009" s="4" t="s">
        <v>39</v>
      </c>
    </row>
    <row r="1010" spans="1:14" ht="10.5" hidden="1" x14ac:dyDescent="0.25">
      <c r="A1010" s="8" t="s">
        <v>470</v>
      </c>
      <c r="B1010" s="4" t="s">
        <v>21</v>
      </c>
      <c r="C1010" s="5">
        <v>44408</v>
      </c>
      <c r="D1010" s="4" t="s">
        <v>2381</v>
      </c>
      <c r="E1010" s="4" t="s">
        <v>2382</v>
      </c>
      <c r="F1010" s="4" t="s">
        <v>2387</v>
      </c>
      <c r="G1010" s="6">
        <v>-14036.2824668106</v>
      </c>
      <c r="H1010" s="6">
        <f t="shared" si="16"/>
        <v>-168962.99445632161</v>
      </c>
      <c r="I1010" s="4"/>
      <c r="J1010" s="4" t="s">
        <v>68</v>
      </c>
      <c r="K1010" s="7">
        <v>13393.14</v>
      </c>
      <c r="L1010" s="4" t="s">
        <v>2086</v>
      </c>
      <c r="M1010" s="4" t="s">
        <v>61</v>
      </c>
      <c r="N1010" s="4" t="s">
        <v>39</v>
      </c>
    </row>
    <row r="1011" spans="1:14" ht="10.5" hidden="1" x14ac:dyDescent="0.25">
      <c r="A1011" s="8" t="s">
        <v>470</v>
      </c>
      <c r="B1011" s="4" t="s">
        <v>21</v>
      </c>
      <c r="C1011" s="5">
        <v>44408</v>
      </c>
      <c r="D1011" s="4" t="s">
        <v>2381</v>
      </c>
      <c r="E1011" s="4" t="s">
        <v>2382</v>
      </c>
      <c r="F1011" s="4" t="s">
        <v>2387</v>
      </c>
      <c r="G1011" s="6">
        <v>-795.33211787810001</v>
      </c>
      <c r="H1011" s="6">
        <f t="shared" si="16"/>
        <v>-169758.32657419972</v>
      </c>
      <c r="I1011" s="4"/>
      <c r="J1011" s="4" t="s">
        <v>68</v>
      </c>
      <c r="K1011" s="7">
        <v>758.89</v>
      </c>
      <c r="L1011" s="4" t="s">
        <v>2086</v>
      </c>
      <c r="M1011" s="4" t="s">
        <v>61</v>
      </c>
      <c r="N1011" s="4" t="s">
        <v>39</v>
      </c>
    </row>
    <row r="1012" spans="1:14" ht="10.5" hidden="1" x14ac:dyDescent="0.25">
      <c r="A1012" s="8" t="s">
        <v>470</v>
      </c>
      <c r="B1012" s="4" t="s">
        <v>21</v>
      </c>
      <c r="C1012" s="5">
        <v>44408</v>
      </c>
      <c r="D1012" s="4" t="s">
        <v>2388</v>
      </c>
      <c r="E1012" s="4" t="s">
        <v>2389</v>
      </c>
      <c r="F1012" s="4" t="s">
        <v>2389</v>
      </c>
      <c r="G1012" s="6">
        <v>-8.4365633345000006</v>
      </c>
      <c r="H1012" s="6">
        <f t="shared" si="16"/>
        <v>-169766.7631375342</v>
      </c>
      <c r="I1012" s="4"/>
      <c r="J1012" s="4" t="s">
        <v>68</v>
      </c>
      <c r="K1012" s="7">
        <v>8.0500000000000007</v>
      </c>
      <c r="L1012" s="4" t="s">
        <v>2086</v>
      </c>
      <c r="M1012" s="4" t="s">
        <v>61</v>
      </c>
      <c r="N1012" s="4" t="s">
        <v>39</v>
      </c>
    </row>
    <row r="1013" spans="1:14" ht="10.5" hidden="1" x14ac:dyDescent="0.25">
      <c r="A1013" s="8" t="s">
        <v>470</v>
      </c>
      <c r="B1013" s="4" t="s">
        <v>21</v>
      </c>
      <c r="C1013" s="5">
        <v>44408</v>
      </c>
      <c r="D1013" s="4" t="s">
        <v>2388</v>
      </c>
      <c r="E1013" s="4" t="s">
        <v>2389</v>
      </c>
      <c r="F1013" s="4" t="s">
        <v>2389</v>
      </c>
      <c r="G1013" s="6">
        <v>-286.5392274889</v>
      </c>
      <c r="H1013" s="6">
        <f t="shared" si="16"/>
        <v>-170053.30236502309</v>
      </c>
      <c r="I1013" s="4"/>
      <c r="J1013" s="4" t="s">
        <v>68</v>
      </c>
      <c r="K1013" s="7">
        <v>273.41000000000003</v>
      </c>
      <c r="L1013" s="4" t="s">
        <v>2086</v>
      </c>
      <c r="M1013" s="4" t="s">
        <v>61</v>
      </c>
      <c r="N1013" s="4" t="s">
        <v>39</v>
      </c>
    </row>
    <row r="1014" spans="1:14" ht="10.5" hidden="1" x14ac:dyDescent="0.25">
      <c r="A1014" s="8" t="s">
        <v>470</v>
      </c>
      <c r="B1014" s="4" t="s">
        <v>21</v>
      </c>
      <c r="C1014" s="5">
        <v>44408</v>
      </c>
      <c r="D1014" s="4" t="s">
        <v>2388</v>
      </c>
      <c r="E1014" s="4" t="s">
        <v>2389</v>
      </c>
      <c r="F1014" s="4" t="s">
        <v>2389</v>
      </c>
      <c r="G1014" s="6">
        <v>-189.61831106970001</v>
      </c>
      <c r="H1014" s="6">
        <f t="shared" si="16"/>
        <v>-170242.92067609279</v>
      </c>
      <c r="I1014" s="4"/>
      <c r="J1014" s="4" t="s">
        <v>68</v>
      </c>
      <c r="K1014" s="7">
        <v>180.93</v>
      </c>
      <c r="L1014" s="4" t="s">
        <v>2086</v>
      </c>
      <c r="M1014" s="4" t="s">
        <v>61</v>
      </c>
      <c r="N1014" s="4" t="s">
        <v>39</v>
      </c>
    </row>
    <row r="1015" spans="1:14" ht="10.5" hidden="1" x14ac:dyDescent="0.25">
      <c r="A1015" s="8" t="s">
        <v>470</v>
      </c>
      <c r="B1015" s="4" t="s">
        <v>21</v>
      </c>
      <c r="C1015" s="5">
        <v>44408</v>
      </c>
      <c r="D1015" s="4" t="s">
        <v>2388</v>
      </c>
      <c r="E1015" s="4" t="s">
        <v>2389</v>
      </c>
      <c r="F1015" s="4" t="s">
        <v>2389</v>
      </c>
      <c r="G1015" s="6">
        <v>-463.51841386119997</v>
      </c>
      <c r="H1015" s="6">
        <f t="shared" si="16"/>
        <v>-170706.43908995399</v>
      </c>
      <c r="I1015" s="4"/>
      <c r="J1015" s="4" t="s">
        <v>68</v>
      </c>
      <c r="K1015" s="7">
        <v>442.28</v>
      </c>
      <c r="L1015" s="4" t="s">
        <v>2086</v>
      </c>
      <c r="M1015" s="4" t="s">
        <v>61</v>
      </c>
      <c r="N1015" s="4" t="s">
        <v>39</v>
      </c>
    </row>
    <row r="1016" spans="1:14" ht="10.5" hidden="1" x14ac:dyDescent="0.25">
      <c r="A1016" s="8" t="s">
        <v>470</v>
      </c>
      <c r="B1016" s="4" t="s">
        <v>21</v>
      </c>
      <c r="C1016" s="5">
        <v>44408</v>
      </c>
      <c r="D1016" s="4" t="s">
        <v>2390</v>
      </c>
      <c r="E1016" s="4" t="s">
        <v>2391</v>
      </c>
      <c r="F1016" s="4" t="s">
        <v>2391</v>
      </c>
      <c r="G1016" s="6">
        <v>-246203.92386482941</v>
      </c>
      <c r="H1016" s="6">
        <f t="shared" si="16"/>
        <v>-416910.36295478337</v>
      </c>
      <c r="I1016" s="4"/>
      <c r="J1016" s="4" t="s">
        <v>68</v>
      </c>
      <c r="K1016" s="7">
        <v>234922.86</v>
      </c>
      <c r="L1016" s="4" t="s">
        <v>2086</v>
      </c>
      <c r="M1016" s="4" t="s">
        <v>61</v>
      </c>
      <c r="N1016" s="4" t="s">
        <v>39</v>
      </c>
    </row>
    <row r="1017" spans="1:14" ht="10.5" hidden="1" x14ac:dyDescent="0.25">
      <c r="A1017" s="8" t="s">
        <v>470</v>
      </c>
      <c r="B1017" s="4" t="s">
        <v>21</v>
      </c>
      <c r="C1017" s="5">
        <v>44409</v>
      </c>
      <c r="D1017" s="4" t="s">
        <v>2392</v>
      </c>
      <c r="E1017" s="4" t="s">
        <v>2391</v>
      </c>
      <c r="F1017" s="4" t="s">
        <v>2391</v>
      </c>
      <c r="G1017" s="6">
        <v>246203.92386482941</v>
      </c>
      <c r="H1017" s="6">
        <f t="shared" si="16"/>
        <v>-170706.43908995396</v>
      </c>
      <c r="I1017" s="4"/>
      <c r="J1017" s="4" t="s">
        <v>68</v>
      </c>
      <c r="K1017" s="7">
        <v>-234922.86</v>
      </c>
      <c r="L1017" s="4" t="s">
        <v>2097</v>
      </c>
      <c r="M1017" s="4" t="s">
        <v>61</v>
      </c>
      <c r="N1017" s="4" t="s">
        <v>39</v>
      </c>
    </row>
    <row r="1018" spans="1:14" ht="10.5" hidden="1" x14ac:dyDescent="0.25">
      <c r="A1018" s="8" t="s">
        <v>470</v>
      </c>
      <c r="B1018" s="4" t="s">
        <v>249</v>
      </c>
      <c r="C1018" s="5">
        <v>44412</v>
      </c>
      <c r="D1018" s="4" t="s">
        <v>2393</v>
      </c>
      <c r="E1018" s="4" t="s">
        <v>2394</v>
      </c>
      <c r="F1018" s="4" t="s">
        <v>2394</v>
      </c>
      <c r="G1018" s="6">
        <v>4990.1905316466</v>
      </c>
      <c r="H1018" s="6">
        <f t="shared" si="16"/>
        <v>-165716.24855830736</v>
      </c>
      <c r="I1018" s="4" t="s">
        <v>252</v>
      </c>
      <c r="J1018" s="4" t="s">
        <v>68</v>
      </c>
      <c r="K1018" s="7">
        <v>-4761.54</v>
      </c>
      <c r="L1018" s="4" t="s">
        <v>2097</v>
      </c>
      <c r="M1018" s="4" t="s">
        <v>61</v>
      </c>
      <c r="N1018" s="4"/>
    </row>
    <row r="1019" spans="1:14" ht="10.5" hidden="1" x14ac:dyDescent="0.25">
      <c r="A1019" s="8" t="s">
        <v>470</v>
      </c>
      <c r="B1019" s="4" t="s">
        <v>249</v>
      </c>
      <c r="C1019" s="5">
        <v>44414</v>
      </c>
      <c r="D1019" s="4" t="s">
        <v>2395</v>
      </c>
      <c r="E1019" s="4" t="s">
        <v>2396</v>
      </c>
      <c r="F1019" s="4" t="s">
        <v>2396</v>
      </c>
      <c r="G1019" s="6">
        <v>20541.197683999999</v>
      </c>
      <c r="H1019" s="6">
        <f t="shared" si="16"/>
        <v>-145175.05087430734</v>
      </c>
      <c r="I1019" s="4" t="s">
        <v>252</v>
      </c>
      <c r="J1019" s="4" t="s">
        <v>68</v>
      </c>
      <c r="K1019" s="7">
        <v>-19600</v>
      </c>
      <c r="L1019" s="4" t="s">
        <v>2097</v>
      </c>
      <c r="M1019" s="4" t="s">
        <v>61</v>
      </c>
      <c r="N1019" s="4"/>
    </row>
    <row r="1020" spans="1:14" ht="10.5" hidden="1" x14ac:dyDescent="0.25">
      <c r="A1020" s="8" t="s">
        <v>470</v>
      </c>
      <c r="B1020" s="4" t="s">
        <v>21</v>
      </c>
      <c r="C1020" s="5">
        <v>44439</v>
      </c>
      <c r="D1020" s="4" t="s">
        <v>2397</v>
      </c>
      <c r="E1020" s="4" t="s">
        <v>2398</v>
      </c>
      <c r="F1020" s="4" t="s">
        <v>2353</v>
      </c>
      <c r="G1020" s="6">
        <v>-256.6811294268</v>
      </c>
      <c r="H1020" s="6">
        <f t="shared" si="16"/>
        <v>-145431.73200373416</v>
      </c>
      <c r="I1020" s="4"/>
      <c r="J1020" s="4" t="s">
        <v>68</v>
      </c>
      <c r="K1020" s="7">
        <v>244.92</v>
      </c>
      <c r="L1020" s="4" t="s">
        <v>2097</v>
      </c>
      <c r="M1020" s="4" t="s">
        <v>61</v>
      </c>
      <c r="N1020" s="4" t="s">
        <v>39</v>
      </c>
    </row>
    <row r="1021" spans="1:14" ht="10.5" hidden="1" x14ac:dyDescent="0.25">
      <c r="A1021" s="8" t="s">
        <v>470</v>
      </c>
      <c r="B1021" s="4" t="s">
        <v>21</v>
      </c>
      <c r="C1021" s="5">
        <v>44439</v>
      </c>
      <c r="D1021" s="4" t="s">
        <v>2397</v>
      </c>
      <c r="E1021" s="4" t="s">
        <v>2398</v>
      </c>
      <c r="F1021" s="4" t="s">
        <v>2353</v>
      </c>
      <c r="G1021" s="6">
        <v>-8.4365633345000006</v>
      </c>
      <c r="H1021" s="6">
        <f t="shared" si="16"/>
        <v>-145440.16856706864</v>
      </c>
      <c r="I1021" s="4"/>
      <c r="J1021" s="4" t="s">
        <v>68</v>
      </c>
      <c r="K1021" s="7">
        <v>8.0500000000000007</v>
      </c>
      <c r="L1021" s="4" t="s">
        <v>2097</v>
      </c>
      <c r="M1021" s="4" t="s">
        <v>61</v>
      </c>
      <c r="N1021" s="4" t="s">
        <v>39</v>
      </c>
    </row>
    <row r="1022" spans="1:14" ht="10.5" hidden="1" x14ac:dyDescent="0.25">
      <c r="A1022" s="8" t="s">
        <v>470</v>
      </c>
      <c r="B1022" s="4" t="s">
        <v>21</v>
      </c>
      <c r="C1022" s="5">
        <v>44439</v>
      </c>
      <c r="D1022" s="4" t="s">
        <v>2397</v>
      </c>
      <c r="E1022" s="4" t="s">
        <v>2398</v>
      </c>
      <c r="F1022" s="4" t="s">
        <v>2353</v>
      </c>
      <c r="G1022" s="6">
        <v>-17.082730727000001</v>
      </c>
      <c r="H1022" s="6">
        <f t="shared" si="16"/>
        <v>-145457.25129779565</v>
      </c>
      <c r="I1022" s="4"/>
      <c r="J1022" s="4" t="s">
        <v>68</v>
      </c>
      <c r="K1022" s="7">
        <v>16.3</v>
      </c>
      <c r="L1022" s="4" t="s">
        <v>2097</v>
      </c>
      <c r="M1022" s="4" t="s">
        <v>61</v>
      </c>
      <c r="N1022" s="4" t="s">
        <v>39</v>
      </c>
    </row>
    <row r="1023" spans="1:14" ht="10.5" hidden="1" x14ac:dyDescent="0.25">
      <c r="A1023" s="8" t="s">
        <v>470</v>
      </c>
      <c r="B1023" s="4" t="s">
        <v>21</v>
      </c>
      <c r="C1023" s="5">
        <v>44439</v>
      </c>
      <c r="D1023" s="4" t="s">
        <v>2397</v>
      </c>
      <c r="E1023" s="4" t="s">
        <v>2398</v>
      </c>
      <c r="F1023" s="4" t="s">
        <v>2354</v>
      </c>
      <c r="G1023" s="6">
        <v>-286.61258890919999</v>
      </c>
      <c r="H1023" s="6">
        <f t="shared" si="16"/>
        <v>-145743.86388670484</v>
      </c>
      <c r="I1023" s="4"/>
      <c r="J1023" s="4" t="s">
        <v>68</v>
      </c>
      <c r="K1023" s="7">
        <v>273.48</v>
      </c>
      <c r="L1023" s="4" t="s">
        <v>2097</v>
      </c>
      <c r="M1023" s="4" t="s">
        <v>61</v>
      </c>
      <c r="N1023" s="4" t="s">
        <v>39</v>
      </c>
    </row>
    <row r="1024" spans="1:14" ht="10.5" hidden="1" x14ac:dyDescent="0.25">
      <c r="A1024" s="8" t="s">
        <v>470</v>
      </c>
      <c r="B1024" s="4" t="s">
        <v>21</v>
      </c>
      <c r="C1024" s="5">
        <v>44439</v>
      </c>
      <c r="D1024" s="4" t="s">
        <v>2397</v>
      </c>
      <c r="E1024" s="4" t="s">
        <v>2398</v>
      </c>
      <c r="F1024" s="4" t="s">
        <v>2355</v>
      </c>
      <c r="G1024" s="6">
        <v>-189.6811922871</v>
      </c>
      <c r="H1024" s="6">
        <f t="shared" si="16"/>
        <v>-145933.54507899194</v>
      </c>
      <c r="I1024" s="4"/>
      <c r="J1024" s="4" t="s">
        <v>68</v>
      </c>
      <c r="K1024" s="7">
        <v>180.99</v>
      </c>
      <c r="L1024" s="4" t="s">
        <v>2097</v>
      </c>
      <c r="M1024" s="4" t="s">
        <v>61</v>
      </c>
      <c r="N1024" s="4" t="s">
        <v>39</v>
      </c>
    </row>
    <row r="1025" spans="1:14" ht="10.5" hidden="1" x14ac:dyDescent="0.25">
      <c r="A1025" s="8" t="s">
        <v>470</v>
      </c>
      <c r="B1025" s="4" t="s">
        <v>21</v>
      </c>
      <c r="C1025" s="5">
        <v>44439</v>
      </c>
      <c r="D1025" s="4" t="s">
        <v>2397</v>
      </c>
      <c r="E1025" s="4" t="s">
        <v>2398</v>
      </c>
      <c r="F1025" s="4" t="s">
        <v>2356</v>
      </c>
      <c r="G1025" s="6">
        <v>-463.64417629600001</v>
      </c>
      <c r="H1025" s="6">
        <f t="shared" si="16"/>
        <v>-146397.18925528793</v>
      </c>
      <c r="I1025" s="4"/>
      <c r="J1025" s="4" t="s">
        <v>68</v>
      </c>
      <c r="K1025" s="7">
        <v>442.4</v>
      </c>
      <c r="L1025" s="4" t="s">
        <v>2097</v>
      </c>
      <c r="M1025" s="4" t="s">
        <v>61</v>
      </c>
      <c r="N1025" s="4" t="s">
        <v>39</v>
      </c>
    </row>
    <row r="1026" spans="1:14" ht="10.5" hidden="1" x14ac:dyDescent="0.25">
      <c r="A1026" s="8" t="s">
        <v>470</v>
      </c>
      <c r="B1026" s="4" t="s">
        <v>21</v>
      </c>
      <c r="C1026" s="5">
        <v>44439</v>
      </c>
      <c r="D1026" s="4" t="s">
        <v>2397</v>
      </c>
      <c r="E1026" s="4" t="s">
        <v>2398</v>
      </c>
      <c r="F1026" s="4" t="s">
        <v>2354</v>
      </c>
      <c r="G1026" s="6">
        <v>-8725.7016523081002</v>
      </c>
      <c r="H1026" s="6">
        <f t="shared" si="16"/>
        <v>-155122.89090759604</v>
      </c>
      <c r="I1026" s="4"/>
      <c r="J1026" s="4" t="s">
        <v>68</v>
      </c>
      <c r="K1026" s="7">
        <v>8325.89</v>
      </c>
      <c r="L1026" s="4" t="s">
        <v>2097</v>
      </c>
      <c r="M1026" s="4" t="s">
        <v>61</v>
      </c>
      <c r="N1026" s="4" t="s">
        <v>39</v>
      </c>
    </row>
    <row r="1027" spans="1:14" ht="10.5" hidden="1" x14ac:dyDescent="0.25">
      <c r="A1027" s="8" t="s">
        <v>470</v>
      </c>
      <c r="B1027" s="4" t="s">
        <v>21</v>
      </c>
      <c r="C1027" s="5">
        <v>44439</v>
      </c>
      <c r="D1027" s="4" t="s">
        <v>2397</v>
      </c>
      <c r="E1027" s="4" t="s">
        <v>2398</v>
      </c>
      <c r="F1027" s="4" t="s">
        <v>2355</v>
      </c>
      <c r="G1027" s="6">
        <v>-5774.2773918129997</v>
      </c>
      <c r="H1027" s="6">
        <f t="shared" si="16"/>
        <v>-160897.16829940904</v>
      </c>
      <c r="I1027" s="4"/>
      <c r="J1027" s="4" t="s">
        <v>68</v>
      </c>
      <c r="K1027" s="7">
        <v>5509.7</v>
      </c>
      <c r="L1027" s="4" t="s">
        <v>2097</v>
      </c>
      <c r="M1027" s="4" t="s">
        <v>61</v>
      </c>
      <c r="N1027" s="4" t="s">
        <v>39</v>
      </c>
    </row>
    <row r="1028" spans="1:14" ht="10.5" hidden="1" x14ac:dyDescent="0.25">
      <c r="A1028" s="8" t="s">
        <v>470</v>
      </c>
      <c r="B1028" s="4" t="s">
        <v>21</v>
      </c>
      <c r="C1028" s="5">
        <v>44439</v>
      </c>
      <c r="D1028" s="4" t="s">
        <v>2397</v>
      </c>
      <c r="E1028" s="4" t="s">
        <v>2398</v>
      </c>
      <c r="F1028" s="4" t="s">
        <v>2356</v>
      </c>
      <c r="G1028" s="6">
        <v>-14114.999270792499</v>
      </c>
      <c r="H1028" s="6">
        <f t="shared" si="16"/>
        <v>-175012.16757020153</v>
      </c>
      <c r="I1028" s="4"/>
      <c r="J1028" s="4" t="s">
        <v>68</v>
      </c>
      <c r="K1028" s="7">
        <v>13468.25</v>
      </c>
      <c r="L1028" s="4" t="s">
        <v>2097</v>
      </c>
      <c r="M1028" s="4" t="s">
        <v>61</v>
      </c>
      <c r="N1028" s="4" t="s">
        <v>39</v>
      </c>
    </row>
    <row r="1029" spans="1:14" ht="10.5" hidden="1" x14ac:dyDescent="0.25">
      <c r="A1029" s="8" t="s">
        <v>470</v>
      </c>
      <c r="B1029" s="4" t="s">
        <v>21</v>
      </c>
      <c r="C1029" s="5">
        <v>44439</v>
      </c>
      <c r="D1029" s="4" t="s">
        <v>2397</v>
      </c>
      <c r="E1029" s="4" t="s">
        <v>2398</v>
      </c>
      <c r="F1029" s="4" t="s">
        <v>2357</v>
      </c>
      <c r="G1029" s="6">
        <v>-4358.9469505737998</v>
      </c>
      <c r="H1029" s="6">
        <f t="shared" si="16"/>
        <v>-179371.11452077533</v>
      </c>
      <c r="I1029" s="4"/>
      <c r="J1029" s="4" t="s">
        <v>68</v>
      </c>
      <c r="K1029" s="7">
        <v>4159.22</v>
      </c>
      <c r="L1029" s="4" t="s">
        <v>2097</v>
      </c>
      <c r="M1029" s="4" t="s">
        <v>61</v>
      </c>
      <c r="N1029" s="4" t="s">
        <v>39</v>
      </c>
    </row>
    <row r="1030" spans="1:14" ht="10.5" hidden="1" x14ac:dyDescent="0.25">
      <c r="A1030" s="8" t="s">
        <v>470</v>
      </c>
      <c r="B1030" s="4" t="s">
        <v>21</v>
      </c>
      <c r="C1030" s="5">
        <v>44439</v>
      </c>
      <c r="D1030" s="4" t="s">
        <v>2397</v>
      </c>
      <c r="E1030" s="4" t="s">
        <v>2398</v>
      </c>
      <c r="F1030" s="4" t="s">
        <v>2354</v>
      </c>
      <c r="G1030" s="6">
        <v>-581.12725080500002</v>
      </c>
      <c r="H1030" s="6">
        <f t="shared" si="16"/>
        <v>-179952.24177158033</v>
      </c>
      <c r="I1030" s="4"/>
      <c r="J1030" s="4" t="s">
        <v>68</v>
      </c>
      <c r="K1030" s="7">
        <v>554.5</v>
      </c>
      <c r="L1030" s="4" t="s">
        <v>2097</v>
      </c>
      <c r="M1030" s="4" t="s">
        <v>61</v>
      </c>
      <c r="N1030" s="4" t="s">
        <v>39</v>
      </c>
    </row>
    <row r="1031" spans="1:14" ht="10.5" hidden="1" x14ac:dyDescent="0.25">
      <c r="A1031" s="8" t="s">
        <v>470</v>
      </c>
      <c r="B1031" s="4" t="s">
        <v>21</v>
      </c>
      <c r="C1031" s="5">
        <v>44439</v>
      </c>
      <c r="D1031" s="4" t="s">
        <v>2397</v>
      </c>
      <c r="E1031" s="4" t="s">
        <v>2398</v>
      </c>
      <c r="F1031" s="4" t="s">
        <v>2355</v>
      </c>
      <c r="G1031" s="6">
        <v>-384.59200582130001</v>
      </c>
      <c r="H1031" s="6">
        <f t="shared" si="16"/>
        <v>-180336.83377740163</v>
      </c>
      <c r="I1031" s="4"/>
      <c r="J1031" s="4" t="s">
        <v>68</v>
      </c>
      <c r="K1031" s="7">
        <v>366.97</v>
      </c>
      <c r="L1031" s="4" t="s">
        <v>2097</v>
      </c>
      <c r="M1031" s="4" t="s">
        <v>61</v>
      </c>
      <c r="N1031" s="4" t="s">
        <v>39</v>
      </c>
    </row>
    <row r="1032" spans="1:14" ht="10.5" hidden="1" x14ac:dyDescent="0.25">
      <c r="A1032" s="8" t="s">
        <v>470</v>
      </c>
      <c r="B1032" s="4" t="s">
        <v>21</v>
      </c>
      <c r="C1032" s="5">
        <v>44439</v>
      </c>
      <c r="D1032" s="4" t="s">
        <v>2397</v>
      </c>
      <c r="E1032" s="4" t="s">
        <v>2398</v>
      </c>
      <c r="F1032" s="4" t="s">
        <v>2356</v>
      </c>
      <c r="G1032" s="6">
        <v>-940.06371992710001</v>
      </c>
      <c r="H1032" s="6">
        <f t="shared" si="16"/>
        <v>-181276.89749732873</v>
      </c>
      <c r="I1032" s="4"/>
      <c r="J1032" s="4" t="s">
        <v>68</v>
      </c>
      <c r="K1032" s="7">
        <v>896.99</v>
      </c>
      <c r="L1032" s="4" t="s">
        <v>2097</v>
      </c>
      <c r="M1032" s="4" t="s">
        <v>61</v>
      </c>
      <c r="N1032" s="4" t="s">
        <v>39</v>
      </c>
    </row>
    <row r="1033" spans="1:14" ht="10.5" hidden="1" x14ac:dyDescent="0.25">
      <c r="A1033" s="8" t="s">
        <v>470</v>
      </c>
      <c r="B1033" s="4" t="s">
        <v>21</v>
      </c>
      <c r="C1033" s="5">
        <v>44439</v>
      </c>
      <c r="D1033" s="4" t="s">
        <v>2397</v>
      </c>
      <c r="E1033" s="4" t="s">
        <v>2398</v>
      </c>
      <c r="F1033" s="4" t="s">
        <v>2357</v>
      </c>
      <c r="G1033" s="6">
        <v>-631.222620667</v>
      </c>
      <c r="H1033" s="6">
        <f t="shared" si="16"/>
        <v>-181908.12011799571</v>
      </c>
      <c r="I1033" s="4"/>
      <c r="J1033" s="4" t="s">
        <v>68</v>
      </c>
      <c r="K1033" s="7">
        <v>602.29999999999995</v>
      </c>
      <c r="L1033" s="4" t="s">
        <v>2097</v>
      </c>
      <c r="M1033" s="4" t="s">
        <v>61</v>
      </c>
      <c r="N1033" s="4" t="s">
        <v>39</v>
      </c>
    </row>
    <row r="1034" spans="1:14" ht="10.5" hidden="1" x14ac:dyDescent="0.25">
      <c r="A1034" s="8" t="s">
        <v>470</v>
      </c>
      <c r="B1034" s="4" t="s">
        <v>21</v>
      </c>
      <c r="C1034" s="5">
        <v>44439</v>
      </c>
      <c r="D1034" s="4" t="s">
        <v>2399</v>
      </c>
      <c r="E1034" s="4" t="s">
        <v>2400</v>
      </c>
      <c r="F1034" s="4" t="s">
        <v>2400</v>
      </c>
      <c r="G1034" s="6">
        <v>-278651.59622189618</v>
      </c>
      <c r="H1034" s="6">
        <f t="shared" si="16"/>
        <v>-460559.71633989189</v>
      </c>
      <c r="I1034" s="4"/>
      <c r="J1034" s="4" t="s">
        <v>68</v>
      </c>
      <c r="K1034" s="7">
        <v>265883.78000000003</v>
      </c>
      <c r="L1034" s="4" t="s">
        <v>2097</v>
      </c>
      <c r="M1034" s="4" t="s">
        <v>61</v>
      </c>
      <c r="N1034" s="4" t="s">
        <v>39</v>
      </c>
    </row>
    <row r="1035" spans="1:14" ht="10.5" hidden="1" x14ac:dyDescent="0.25">
      <c r="A1035" s="8" t="s">
        <v>470</v>
      </c>
      <c r="B1035" s="4" t="s">
        <v>21</v>
      </c>
      <c r="C1035" s="5">
        <v>44440</v>
      </c>
      <c r="D1035" s="4" t="s">
        <v>2401</v>
      </c>
      <c r="E1035" s="4" t="s">
        <v>2400</v>
      </c>
      <c r="F1035" s="4" t="s">
        <v>2400</v>
      </c>
      <c r="G1035" s="6">
        <v>278651.59622189618</v>
      </c>
      <c r="H1035" s="6">
        <f t="shared" si="16"/>
        <v>-181908.12011799571</v>
      </c>
      <c r="I1035" s="4"/>
      <c r="J1035" s="4" t="s">
        <v>68</v>
      </c>
      <c r="K1035" s="7">
        <v>-265883.78000000003</v>
      </c>
      <c r="L1035" s="4" t="s">
        <v>1033</v>
      </c>
      <c r="M1035" s="4" t="s">
        <v>61</v>
      </c>
      <c r="N1035" s="4" t="s">
        <v>39</v>
      </c>
    </row>
    <row r="1036" spans="1:14" ht="10.5" hidden="1" x14ac:dyDescent="0.25">
      <c r="A1036" s="8" t="s">
        <v>470</v>
      </c>
      <c r="B1036" s="4" t="s">
        <v>249</v>
      </c>
      <c r="C1036" s="5">
        <v>44445</v>
      </c>
      <c r="D1036" s="4" t="s">
        <v>2402</v>
      </c>
      <c r="E1036" s="4" t="s">
        <v>2403</v>
      </c>
      <c r="F1036" s="4" t="s">
        <v>2403</v>
      </c>
      <c r="G1036" s="6">
        <v>2280.7331957066999</v>
      </c>
      <c r="H1036" s="6">
        <f t="shared" si="16"/>
        <v>-179627.38692228901</v>
      </c>
      <c r="I1036" s="4" t="s">
        <v>252</v>
      </c>
      <c r="J1036" s="4" t="s">
        <v>68</v>
      </c>
      <c r="K1036" s="7">
        <v>-2176.23</v>
      </c>
      <c r="L1036" s="4" t="s">
        <v>1033</v>
      </c>
      <c r="M1036" s="4" t="s">
        <v>61</v>
      </c>
      <c r="N1036" s="4"/>
    </row>
    <row r="1037" spans="1:14" ht="10.5" hidden="1" x14ac:dyDescent="0.25">
      <c r="A1037" s="8" t="s">
        <v>470</v>
      </c>
      <c r="B1037" s="4" t="s">
        <v>21</v>
      </c>
      <c r="C1037" s="5">
        <v>44469</v>
      </c>
      <c r="D1037" s="4" t="s">
        <v>2404</v>
      </c>
      <c r="E1037" s="4" t="s">
        <v>2405</v>
      </c>
      <c r="F1037" s="4" t="s">
        <v>2353</v>
      </c>
      <c r="G1037" s="6">
        <v>-258.80861061550002</v>
      </c>
      <c r="H1037" s="6">
        <f t="shared" si="16"/>
        <v>-179886.1955329045</v>
      </c>
      <c r="I1037" s="4"/>
      <c r="J1037" s="4" t="s">
        <v>68</v>
      </c>
      <c r="K1037" s="7">
        <v>246.95</v>
      </c>
      <c r="L1037" s="4" t="s">
        <v>1033</v>
      </c>
      <c r="M1037" s="4" t="s">
        <v>61</v>
      </c>
      <c r="N1037" s="4" t="s">
        <v>39</v>
      </c>
    </row>
    <row r="1038" spans="1:14" ht="10.5" hidden="1" x14ac:dyDescent="0.25">
      <c r="A1038" s="8" t="s">
        <v>470</v>
      </c>
      <c r="B1038" s="4" t="s">
        <v>21</v>
      </c>
      <c r="C1038" s="5">
        <v>44469</v>
      </c>
      <c r="D1038" s="4" t="s">
        <v>2404</v>
      </c>
      <c r="E1038" s="4" t="s">
        <v>2405</v>
      </c>
      <c r="F1038" s="4" t="s">
        <v>2353</v>
      </c>
      <c r="G1038" s="6">
        <v>-10.2496384362</v>
      </c>
      <c r="H1038" s="6">
        <f t="shared" si="16"/>
        <v>-179896.44517134069</v>
      </c>
      <c r="I1038" s="4"/>
      <c r="J1038" s="4" t="s">
        <v>68</v>
      </c>
      <c r="K1038" s="7">
        <v>9.7799999999999994</v>
      </c>
      <c r="L1038" s="4" t="s">
        <v>1033</v>
      </c>
      <c r="M1038" s="4" t="s">
        <v>61</v>
      </c>
      <c r="N1038" s="4" t="s">
        <v>39</v>
      </c>
    </row>
    <row r="1039" spans="1:14" ht="10.5" hidden="1" x14ac:dyDescent="0.25">
      <c r="A1039" s="8" t="s">
        <v>470</v>
      </c>
      <c r="B1039" s="4" t="s">
        <v>21</v>
      </c>
      <c r="C1039" s="5">
        <v>44469</v>
      </c>
      <c r="D1039" s="4" t="s">
        <v>2404</v>
      </c>
      <c r="E1039" s="4" t="s">
        <v>2405</v>
      </c>
      <c r="F1039" s="4" t="s">
        <v>2353</v>
      </c>
      <c r="G1039" s="6">
        <v>-17.239933770499999</v>
      </c>
      <c r="H1039" s="6">
        <f t="shared" si="16"/>
        <v>-179913.68510511119</v>
      </c>
      <c r="I1039" s="4"/>
      <c r="J1039" s="4" t="s">
        <v>68</v>
      </c>
      <c r="K1039" s="7">
        <v>16.45</v>
      </c>
      <c r="L1039" s="4" t="s">
        <v>1033</v>
      </c>
      <c r="M1039" s="4" t="s">
        <v>61</v>
      </c>
      <c r="N1039" s="4" t="s">
        <v>39</v>
      </c>
    </row>
    <row r="1040" spans="1:14" ht="10.5" hidden="1" x14ac:dyDescent="0.25">
      <c r="A1040" s="8" t="s">
        <v>470</v>
      </c>
      <c r="B1040" s="4" t="s">
        <v>21</v>
      </c>
      <c r="C1040" s="5">
        <v>44469</v>
      </c>
      <c r="D1040" s="4" t="s">
        <v>2404</v>
      </c>
      <c r="E1040" s="4" t="s">
        <v>2405</v>
      </c>
      <c r="F1040" s="4" t="s">
        <v>2354</v>
      </c>
      <c r="G1040" s="6">
        <v>-585.90622332739997</v>
      </c>
      <c r="H1040" s="6">
        <f t="shared" si="16"/>
        <v>-180499.59132843858</v>
      </c>
      <c r="I1040" s="4"/>
      <c r="J1040" s="4" t="s">
        <v>68</v>
      </c>
      <c r="K1040" s="7">
        <v>559.05999999999995</v>
      </c>
      <c r="L1040" s="4" t="s">
        <v>1033</v>
      </c>
      <c r="M1040" s="4" t="s">
        <v>61</v>
      </c>
      <c r="N1040" s="4" t="s">
        <v>39</v>
      </c>
    </row>
    <row r="1041" spans="1:14" ht="10.5" hidden="1" x14ac:dyDescent="0.25">
      <c r="A1041" s="8" t="s">
        <v>470</v>
      </c>
      <c r="B1041" s="4" t="s">
        <v>21</v>
      </c>
      <c r="C1041" s="5">
        <v>44469</v>
      </c>
      <c r="D1041" s="4" t="s">
        <v>2404</v>
      </c>
      <c r="E1041" s="4" t="s">
        <v>2405</v>
      </c>
      <c r="F1041" s="4" t="s">
        <v>2355</v>
      </c>
      <c r="G1041" s="6">
        <v>-387.74654689419998</v>
      </c>
      <c r="H1041" s="6">
        <f t="shared" si="16"/>
        <v>-180887.33787533277</v>
      </c>
      <c r="I1041" s="4"/>
      <c r="J1041" s="4" t="s">
        <v>68</v>
      </c>
      <c r="K1041" s="7">
        <v>369.98</v>
      </c>
      <c r="L1041" s="4" t="s">
        <v>1033</v>
      </c>
      <c r="M1041" s="4" t="s">
        <v>61</v>
      </c>
      <c r="N1041" s="4" t="s">
        <v>39</v>
      </c>
    </row>
    <row r="1042" spans="1:14" ht="10.5" hidden="1" x14ac:dyDescent="0.25">
      <c r="A1042" s="8" t="s">
        <v>470</v>
      </c>
      <c r="B1042" s="4" t="s">
        <v>21</v>
      </c>
      <c r="C1042" s="5">
        <v>44469</v>
      </c>
      <c r="D1042" s="4" t="s">
        <v>2404</v>
      </c>
      <c r="E1042" s="4" t="s">
        <v>2405</v>
      </c>
      <c r="F1042" s="4" t="s">
        <v>2356</v>
      </c>
      <c r="G1042" s="6">
        <v>-947.82955027599996</v>
      </c>
      <c r="H1042" s="6">
        <f t="shared" ref="H1042:H1105" si="17">H1041+G1042</f>
        <v>-181835.16742560876</v>
      </c>
      <c r="I1042" s="4"/>
      <c r="J1042" s="4" t="s">
        <v>68</v>
      </c>
      <c r="K1042" s="7">
        <v>904.4</v>
      </c>
      <c r="L1042" s="4" t="s">
        <v>1033</v>
      </c>
      <c r="M1042" s="4" t="s">
        <v>61</v>
      </c>
      <c r="N1042" s="4" t="s">
        <v>39</v>
      </c>
    </row>
    <row r="1043" spans="1:14" ht="10.5" hidden="1" x14ac:dyDescent="0.25">
      <c r="A1043" s="8" t="s">
        <v>470</v>
      </c>
      <c r="B1043" s="4" t="s">
        <v>21</v>
      </c>
      <c r="C1043" s="5">
        <v>44469</v>
      </c>
      <c r="D1043" s="4" t="s">
        <v>2404</v>
      </c>
      <c r="E1043" s="4" t="s">
        <v>2405</v>
      </c>
      <c r="F1043" s="4" t="s">
        <v>2355</v>
      </c>
      <c r="G1043" s="6">
        <v>-230.49110237970001</v>
      </c>
      <c r="H1043" s="6">
        <f t="shared" si="17"/>
        <v>-182065.65852798845</v>
      </c>
      <c r="I1043" s="4"/>
      <c r="J1043" s="4" t="s">
        <v>68</v>
      </c>
      <c r="K1043" s="7">
        <v>219.93</v>
      </c>
      <c r="L1043" s="4" t="s">
        <v>1033</v>
      </c>
      <c r="M1043" s="4" t="s">
        <v>61</v>
      </c>
      <c r="N1043" s="4" t="s">
        <v>39</v>
      </c>
    </row>
    <row r="1044" spans="1:14" ht="10.5" hidden="1" x14ac:dyDescent="0.25">
      <c r="A1044" s="8" t="s">
        <v>470</v>
      </c>
      <c r="B1044" s="4" t="s">
        <v>21</v>
      </c>
      <c r="C1044" s="5">
        <v>44469</v>
      </c>
      <c r="D1044" s="4" t="s">
        <v>2404</v>
      </c>
      <c r="E1044" s="4" t="s">
        <v>2405</v>
      </c>
      <c r="F1044" s="4" t="s">
        <v>2356</v>
      </c>
      <c r="G1044" s="6">
        <v>-563.40522770109999</v>
      </c>
      <c r="H1044" s="6">
        <f t="shared" si="17"/>
        <v>-182629.06375568954</v>
      </c>
      <c r="I1044" s="4"/>
      <c r="J1044" s="4" t="s">
        <v>68</v>
      </c>
      <c r="K1044" s="7">
        <v>537.59</v>
      </c>
      <c r="L1044" s="4" t="s">
        <v>1033</v>
      </c>
      <c r="M1044" s="4" t="s">
        <v>61</v>
      </c>
      <c r="N1044" s="4" t="s">
        <v>39</v>
      </c>
    </row>
    <row r="1045" spans="1:14" ht="10.5" hidden="1" x14ac:dyDescent="0.25">
      <c r="A1045" s="8" t="s">
        <v>470</v>
      </c>
      <c r="B1045" s="4" t="s">
        <v>21</v>
      </c>
      <c r="C1045" s="5">
        <v>44469</v>
      </c>
      <c r="D1045" s="4" t="s">
        <v>2404</v>
      </c>
      <c r="E1045" s="4" t="s">
        <v>2405</v>
      </c>
      <c r="F1045" s="4" t="s">
        <v>2354</v>
      </c>
      <c r="G1045" s="6">
        <v>-348.28858297570002</v>
      </c>
      <c r="H1045" s="6">
        <f t="shared" si="17"/>
        <v>-182977.35233866525</v>
      </c>
      <c r="I1045" s="4"/>
      <c r="J1045" s="4" t="s">
        <v>68</v>
      </c>
      <c r="K1045" s="7">
        <v>332.33</v>
      </c>
      <c r="L1045" s="4" t="s">
        <v>1033</v>
      </c>
      <c r="M1045" s="4" t="s">
        <v>61</v>
      </c>
      <c r="N1045" s="4" t="s">
        <v>39</v>
      </c>
    </row>
    <row r="1046" spans="1:14" ht="10.5" hidden="1" x14ac:dyDescent="0.25">
      <c r="A1046" s="8" t="s">
        <v>470</v>
      </c>
      <c r="B1046" s="4" t="s">
        <v>21</v>
      </c>
      <c r="C1046" s="5">
        <v>44469</v>
      </c>
      <c r="D1046" s="4" t="s">
        <v>2404</v>
      </c>
      <c r="E1046" s="4" t="s">
        <v>2405</v>
      </c>
      <c r="F1046" s="4" t="s">
        <v>2357</v>
      </c>
      <c r="G1046" s="6">
        <v>-631.222620667</v>
      </c>
      <c r="H1046" s="6">
        <f t="shared" si="17"/>
        <v>-183608.57495933224</v>
      </c>
      <c r="I1046" s="4"/>
      <c r="J1046" s="4" t="s">
        <v>68</v>
      </c>
      <c r="K1046" s="7">
        <v>602.29999999999995</v>
      </c>
      <c r="L1046" s="4" t="s">
        <v>1033</v>
      </c>
      <c r="M1046" s="4" t="s">
        <v>61</v>
      </c>
      <c r="N1046" s="4" t="s">
        <v>39</v>
      </c>
    </row>
    <row r="1047" spans="1:14" ht="10.5" hidden="1" x14ac:dyDescent="0.25">
      <c r="A1047" s="8" t="s">
        <v>470</v>
      </c>
      <c r="B1047" s="4" t="s">
        <v>21</v>
      </c>
      <c r="C1047" s="5">
        <v>44469</v>
      </c>
      <c r="D1047" s="4" t="s">
        <v>2404</v>
      </c>
      <c r="E1047" s="4" t="s">
        <v>2405</v>
      </c>
      <c r="F1047" s="4" t="s">
        <v>2356</v>
      </c>
      <c r="G1047" s="6">
        <v>-14233.698048837899</v>
      </c>
      <c r="H1047" s="6">
        <f t="shared" si="17"/>
        <v>-197842.27300817013</v>
      </c>
      <c r="I1047" s="4"/>
      <c r="J1047" s="4" t="s">
        <v>68</v>
      </c>
      <c r="K1047" s="7">
        <v>13581.51</v>
      </c>
      <c r="L1047" s="4" t="s">
        <v>1033</v>
      </c>
      <c r="M1047" s="4" t="s">
        <v>61</v>
      </c>
      <c r="N1047" s="4" t="s">
        <v>39</v>
      </c>
    </row>
    <row r="1048" spans="1:14" ht="10.5" hidden="1" x14ac:dyDescent="0.25">
      <c r="A1048" s="8" t="s">
        <v>470</v>
      </c>
      <c r="B1048" s="4" t="s">
        <v>21</v>
      </c>
      <c r="C1048" s="5">
        <v>44469</v>
      </c>
      <c r="D1048" s="4" t="s">
        <v>2404</v>
      </c>
      <c r="E1048" s="4" t="s">
        <v>2405</v>
      </c>
      <c r="F1048" s="4" t="s">
        <v>2354</v>
      </c>
      <c r="G1048" s="6">
        <v>-8798.9582705790999</v>
      </c>
      <c r="H1048" s="6">
        <f t="shared" si="17"/>
        <v>-206641.23127874924</v>
      </c>
      <c r="I1048" s="4"/>
      <c r="J1048" s="4" t="s">
        <v>68</v>
      </c>
      <c r="K1048" s="7">
        <v>8395.7900000000009</v>
      </c>
      <c r="L1048" s="4" t="s">
        <v>1033</v>
      </c>
      <c r="M1048" s="4" t="s">
        <v>61</v>
      </c>
      <c r="N1048" s="4" t="s">
        <v>39</v>
      </c>
    </row>
    <row r="1049" spans="1:14" ht="10.5" hidden="1" x14ac:dyDescent="0.25">
      <c r="A1049" s="8" t="s">
        <v>470</v>
      </c>
      <c r="B1049" s="4" t="s">
        <v>21</v>
      </c>
      <c r="C1049" s="5">
        <v>44469</v>
      </c>
      <c r="D1049" s="4" t="s">
        <v>2404</v>
      </c>
      <c r="E1049" s="4" t="s">
        <v>2405</v>
      </c>
      <c r="F1049" s="4" t="s">
        <v>2355</v>
      </c>
      <c r="G1049" s="6">
        <v>-5822.8740926603004</v>
      </c>
      <c r="H1049" s="6">
        <f t="shared" si="17"/>
        <v>-212464.10537140953</v>
      </c>
      <c r="I1049" s="4"/>
      <c r="J1049" s="4" t="s">
        <v>68</v>
      </c>
      <c r="K1049" s="7">
        <v>5556.07</v>
      </c>
      <c r="L1049" s="4" t="s">
        <v>1033</v>
      </c>
      <c r="M1049" s="4" t="s">
        <v>61</v>
      </c>
      <c r="N1049" s="4" t="s">
        <v>39</v>
      </c>
    </row>
    <row r="1050" spans="1:14" ht="10.5" hidden="1" x14ac:dyDescent="0.25">
      <c r="A1050" s="8" t="s">
        <v>470</v>
      </c>
      <c r="B1050" s="4" t="s">
        <v>21</v>
      </c>
      <c r="C1050" s="5">
        <v>44469</v>
      </c>
      <c r="D1050" s="4" t="s">
        <v>2404</v>
      </c>
      <c r="E1050" s="4" t="s">
        <v>2405</v>
      </c>
      <c r="F1050" s="4" t="s">
        <v>2357</v>
      </c>
      <c r="G1050" s="6">
        <v>-1649.5105750396999</v>
      </c>
      <c r="H1050" s="6">
        <f t="shared" si="17"/>
        <v>-214113.61594644922</v>
      </c>
      <c r="I1050" s="4"/>
      <c r="J1050" s="4" t="s">
        <v>68</v>
      </c>
      <c r="K1050" s="7">
        <v>1573.93</v>
      </c>
      <c r="L1050" s="4" t="s">
        <v>1033</v>
      </c>
      <c r="M1050" s="4" t="s">
        <v>61</v>
      </c>
      <c r="N1050" s="4" t="s">
        <v>39</v>
      </c>
    </row>
    <row r="1051" spans="1:14" ht="10.5" hidden="1" x14ac:dyDescent="0.25">
      <c r="A1051" s="8" t="s">
        <v>470</v>
      </c>
      <c r="B1051" s="4" t="s">
        <v>21</v>
      </c>
      <c r="C1051" s="5">
        <v>44469</v>
      </c>
      <c r="D1051" s="4" t="s">
        <v>2406</v>
      </c>
      <c r="E1051" s="4" t="s">
        <v>2407</v>
      </c>
      <c r="F1051" s="4" t="s">
        <v>2407</v>
      </c>
      <c r="G1051" s="6">
        <v>-170285.88950798311</v>
      </c>
      <c r="H1051" s="6">
        <f t="shared" si="17"/>
        <v>-384399.50545443234</v>
      </c>
      <c r="I1051" s="4"/>
      <c r="J1051" s="4" t="s">
        <v>68</v>
      </c>
      <c r="K1051" s="7">
        <v>162483.39000000001</v>
      </c>
      <c r="L1051" s="4" t="s">
        <v>1033</v>
      </c>
      <c r="M1051" s="4" t="s">
        <v>61</v>
      </c>
      <c r="N1051" s="4" t="s">
        <v>39</v>
      </c>
    </row>
    <row r="1052" spans="1:14" ht="10.5" hidden="1" x14ac:dyDescent="0.25">
      <c r="A1052" s="8" t="s">
        <v>470</v>
      </c>
      <c r="B1052" s="4" t="s">
        <v>21</v>
      </c>
      <c r="C1052" s="5">
        <v>44469</v>
      </c>
      <c r="D1052" s="4" t="s">
        <v>2408</v>
      </c>
      <c r="E1052" s="4" t="s">
        <v>2409</v>
      </c>
      <c r="F1052" s="4" t="s">
        <v>2409</v>
      </c>
      <c r="G1052" s="6">
        <v>32121.821888499999</v>
      </c>
      <c r="H1052" s="6">
        <f t="shared" si="17"/>
        <v>-352277.68356593233</v>
      </c>
      <c r="I1052" s="4"/>
      <c r="J1052" s="4" t="s">
        <v>68</v>
      </c>
      <c r="K1052" s="7">
        <v>-30650</v>
      </c>
      <c r="L1052" s="4" t="s">
        <v>1033</v>
      </c>
      <c r="M1052" s="4" t="s">
        <v>61</v>
      </c>
      <c r="N1052" s="4" t="s">
        <v>39</v>
      </c>
    </row>
    <row r="1053" spans="1:14" ht="10.5" hidden="1" x14ac:dyDescent="0.25">
      <c r="A1053" s="8" t="s">
        <v>470</v>
      </c>
      <c r="B1053" s="4" t="s">
        <v>21</v>
      </c>
      <c r="C1053" s="5">
        <v>44469</v>
      </c>
      <c r="D1053" s="4" t="s">
        <v>2410</v>
      </c>
      <c r="E1053" s="4" t="s">
        <v>2411</v>
      </c>
      <c r="F1053" s="4" t="s">
        <v>2411</v>
      </c>
      <c r="G1053" s="6">
        <v>-52663.019572500001</v>
      </c>
      <c r="H1053" s="6">
        <f t="shared" si="17"/>
        <v>-404940.70313843235</v>
      </c>
      <c r="I1053" s="4"/>
      <c r="J1053" s="4" t="s">
        <v>68</v>
      </c>
      <c r="K1053" s="7">
        <v>50250</v>
      </c>
      <c r="L1053" s="4" t="s">
        <v>1033</v>
      </c>
      <c r="M1053" s="4" t="s">
        <v>61</v>
      </c>
      <c r="N1053" s="4" t="s">
        <v>2412</v>
      </c>
    </row>
    <row r="1054" spans="1:14" ht="10.5" hidden="1" x14ac:dyDescent="0.25">
      <c r="A1054" s="8" t="s">
        <v>470</v>
      </c>
      <c r="B1054" s="4" t="s">
        <v>21</v>
      </c>
      <c r="C1054" s="5">
        <v>44470</v>
      </c>
      <c r="D1054" s="4" t="s">
        <v>2413</v>
      </c>
      <c r="E1054" s="4" t="s">
        <v>2407</v>
      </c>
      <c r="F1054" s="4" t="s">
        <v>2407</v>
      </c>
      <c r="G1054" s="6">
        <v>170285.88950798311</v>
      </c>
      <c r="H1054" s="6">
        <f t="shared" si="17"/>
        <v>-234654.81363044924</v>
      </c>
      <c r="I1054" s="4"/>
      <c r="J1054" s="4" t="s">
        <v>68</v>
      </c>
      <c r="K1054" s="7">
        <v>-162483.39000000001</v>
      </c>
      <c r="L1054" s="4" t="s">
        <v>2127</v>
      </c>
      <c r="M1054" s="4" t="s">
        <v>61</v>
      </c>
      <c r="N1054" s="4" t="s">
        <v>39</v>
      </c>
    </row>
    <row r="1055" spans="1:14" ht="10.5" hidden="1" x14ac:dyDescent="0.25">
      <c r="A1055" s="8" t="s">
        <v>470</v>
      </c>
      <c r="B1055" s="4" t="s">
        <v>249</v>
      </c>
      <c r="C1055" s="5">
        <v>44475</v>
      </c>
      <c r="D1055" s="4" t="s">
        <v>2414</v>
      </c>
      <c r="E1055" s="4" t="s">
        <v>2415</v>
      </c>
      <c r="F1055" s="4" t="s">
        <v>2415</v>
      </c>
      <c r="G1055" s="6">
        <v>3790.1968193937</v>
      </c>
      <c r="H1055" s="6">
        <f t="shared" si="17"/>
        <v>-230864.61681105554</v>
      </c>
      <c r="I1055" s="4" t="s">
        <v>252</v>
      </c>
      <c r="J1055" s="4" t="s">
        <v>68</v>
      </c>
      <c r="K1055" s="7">
        <v>-3616.53</v>
      </c>
      <c r="L1055" s="4" t="s">
        <v>2127</v>
      </c>
      <c r="M1055" s="4" t="s">
        <v>61</v>
      </c>
      <c r="N1055" s="4"/>
    </row>
    <row r="1056" spans="1:14" ht="10.5" hidden="1" x14ac:dyDescent="0.25">
      <c r="A1056" s="8" t="s">
        <v>470</v>
      </c>
      <c r="B1056" s="4" t="s">
        <v>249</v>
      </c>
      <c r="C1056" s="5">
        <v>44482</v>
      </c>
      <c r="D1056" s="4" t="s">
        <v>2416</v>
      </c>
      <c r="E1056" s="4" t="s">
        <v>2417</v>
      </c>
      <c r="F1056" s="4" t="s">
        <v>2418</v>
      </c>
      <c r="G1056" s="6">
        <v>60786.004756029099</v>
      </c>
      <c r="H1056" s="6">
        <f t="shared" si="17"/>
        <v>-170078.61205502646</v>
      </c>
      <c r="I1056" s="4" t="s">
        <v>252</v>
      </c>
      <c r="J1056" s="4" t="s">
        <v>68</v>
      </c>
      <c r="K1056" s="7">
        <v>-58000.79</v>
      </c>
      <c r="L1056" s="4" t="s">
        <v>2127</v>
      </c>
      <c r="M1056" s="4" t="s">
        <v>61</v>
      </c>
      <c r="N1056" s="4"/>
    </row>
    <row r="1057" spans="1:14" ht="10.5" hidden="1" x14ac:dyDescent="0.25">
      <c r="A1057" s="8" t="s">
        <v>470</v>
      </c>
      <c r="B1057" s="4" t="s">
        <v>249</v>
      </c>
      <c r="C1057" s="5">
        <v>44482</v>
      </c>
      <c r="D1057" s="4" t="s">
        <v>2416</v>
      </c>
      <c r="E1057" s="4" t="s">
        <v>2417</v>
      </c>
      <c r="F1057" s="4" t="s">
        <v>2417</v>
      </c>
      <c r="G1057" s="6">
        <v>35961.003176248298</v>
      </c>
      <c r="H1057" s="6">
        <f t="shared" si="17"/>
        <v>-134117.60887877818</v>
      </c>
      <c r="I1057" s="4" t="s">
        <v>252</v>
      </c>
      <c r="J1057" s="4" t="s">
        <v>68</v>
      </c>
      <c r="K1057" s="7">
        <v>-34313.269999999997</v>
      </c>
      <c r="L1057" s="4" t="s">
        <v>2127</v>
      </c>
      <c r="M1057" s="4" t="s">
        <v>61</v>
      </c>
      <c r="N1057" s="4"/>
    </row>
    <row r="1058" spans="1:14" ht="10.5" hidden="1" x14ac:dyDescent="0.25">
      <c r="A1058" s="8" t="s">
        <v>470</v>
      </c>
      <c r="B1058" s="4" t="s">
        <v>249</v>
      </c>
      <c r="C1058" s="5">
        <v>44494</v>
      </c>
      <c r="D1058" s="4" t="s">
        <v>2419</v>
      </c>
      <c r="E1058" s="4" t="s">
        <v>2420</v>
      </c>
      <c r="F1058" s="4" t="s">
        <v>2420</v>
      </c>
      <c r="G1058" s="6">
        <v>896.77000174720001</v>
      </c>
      <c r="H1058" s="6">
        <f t="shared" si="17"/>
        <v>-133220.83887703097</v>
      </c>
      <c r="I1058" s="4" t="s">
        <v>252</v>
      </c>
      <c r="J1058" s="4" t="s">
        <v>68</v>
      </c>
      <c r="K1058" s="7">
        <v>-855.68</v>
      </c>
      <c r="L1058" s="4" t="s">
        <v>2127</v>
      </c>
      <c r="M1058" s="4" t="s">
        <v>61</v>
      </c>
      <c r="N1058" s="4"/>
    </row>
    <row r="1059" spans="1:14" ht="10.5" hidden="1" x14ac:dyDescent="0.25">
      <c r="A1059" s="8" t="s">
        <v>470</v>
      </c>
      <c r="B1059" s="4" t="s">
        <v>21</v>
      </c>
      <c r="C1059" s="5">
        <v>44500</v>
      </c>
      <c r="D1059" s="4" t="s">
        <v>2421</v>
      </c>
      <c r="E1059" s="4" t="s">
        <v>2398</v>
      </c>
      <c r="F1059" s="4" t="s">
        <v>2353</v>
      </c>
      <c r="G1059" s="6">
        <v>-24.188308293199999</v>
      </c>
      <c r="H1059" s="6">
        <f t="shared" si="17"/>
        <v>-133245.02718532417</v>
      </c>
      <c r="I1059" s="4"/>
      <c r="J1059" s="4" t="s">
        <v>68</v>
      </c>
      <c r="K1059" s="7">
        <v>23.08</v>
      </c>
      <c r="L1059" s="4" t="s">
        <v>2127</v>
      </c>
      <c r="M1059" s="4" t="s">
        <v>61</v>
      </c>
      <c r="N1059" s="4" t="s">
        <v>39</v>
      </c>
    </row>
    <row r="1060" spans="1:14" ht="10.5" hidden="1" x14ac:dyDescent="0.25">
      <c r="A1060" s="8" t="s">
        <v>470</v>
      </c>
      <c r="B1060" s="4" t="s">
        <v>21</v>
      </c>
      <c r="C1060" s="5">
        <v>44500</v>
      </c>
      <c r="D1060" s="4" t="s">
        <v>2421</v>
      </c>
      <c r="E1060" s="4" t="s">
        <v>2398</v>
      </c>
      <c r="F1060" s="4" t="s">
        <v>2353</v>
      </c>
      <c r="G1060" s="6">
        <v>-352.42826312120002</v>
      </c>
      <c r="H1060" s="6">
        <f t="shared" si="17"/>
        <v>-133597.45544844537</v>
      </c>
      <c r="I1060" s="4"/>
      <c r="J1060" s="4" t="s">
        <v>68</v>
      </c>
      <c r="K1060" s="7">
        <v>336.28</v>
      </c>
      <c r="L1060" s="4" t="s">
        <v>2127</v>
      </c>
      <c r="M1060" s="4" t="s">
        <v>61</v>
      </c>
      <c r="N1060" s="4" t="s">
        <v>39</v>
      </c>
    </row>
    <row r="1061" spans="1:14" ht="10.5" hidden="1" x14ac:dyDescent="0.25">
      <c r="A1061" s="8" t="s">
        <v>470</v>
      </c>
      <c r="B1061" s="4" t="s">
        <v>21</v>
      </c>
      <c r="C1061" s="5">
        <v>44500</v>
      </c>
      <c r="D1061" s="4" t="s">
        <v>2421</v>
      </c>
      <c r="E1061" s="4" t="s">
        <v>2398</v>
      </c>
      <c r="F1061" s="4" t="s">
        <v>2353</v>
      </c>
      <c r="G1061" s="6">
        <v>-12.6705653061</v>
      </c>
      <c r="H1061" s="6">
        <f t="shared" si="17"/>
        <v>-133610.12601375146</v>
      </c>
      <c r="I1061" s="4"/>
      <c r="J1061" s="4" t="s">
        <v>68</v>
      </c>
      <c r="K1061" s="7">
        <v>12.09</v>
      </c>
      <c r="L1061" s="4" t="s">
        <v>2127</v>
      </c>
      <c r="M1061" s="4" t="s">
        <v>61</v>
      </c>
      <c r="N1061" s="4" t="s">
        <v>39</v>
      </c>
    </row>
    <row r="1062" spans="1:14" ht="10.5" hidden="1" x14ac:dyDescent="0.25">
      <c r="A1062" s="8" t="s">
        <v>470</v>
      </c>
      <c r="B1062" s="4" t="s">
        <v>21</v>
      </c>
      <c r="C1062" s="5">
        <v>44500</v>
      </c>
      <c r="D1062" s="4" t="s">
        <v>2421</v>
      </c>
      <c r="E1062" s="4" t="s">
        <v>2398</v>
      </c>
      <c r="F1062" s="4" t="s">
        <v>2354</v>
      </c>
      <c r="G1062" s="6">
        <v>-822.83217028770002</v>
      </c>
      <c r="H1062" s="6">
        <f t="shared" si="17"/>
        <v>-134432.95818403916</v>
      </c>
      <c r="I1062" s="4"/>
      <c r="J1062" s="4" t="s">
        <v>68</v>
      </c>
      <c r="K1062" s="7">
        <v>785.13</v>
      </c>
      <c r="L1062" s="4" t="s">
        <v>2127</v>
      </c>
      <c r="M1062" s="4" t="s">
        <v>61</v>
      </c>
      <c r="N1062" s="4" t="s">
        <v>39</v>
      </c>
    </row>
    <row r="1063" spans="1:14" ht="10.5" hidden="1" x14ac:dyDescent="0.25">
      <c r="A1063" s="8" t="s">
        <v>470</v>
      </c>
      <c r="B1063" s="4" t="s">
        <v>21</v>
      </c>
      <c r="C1063" s="5">
        <v>44500</v>
      </c>
      <c r="D1063" s="4" t="s">
        <v>2421</v>
      </c>
      <c r="E1063" s="4" t="s">
        <v>2398</v>
      </c>
      <c r="F1063" s="4" t="s">
        <v>2355</v>
      </c>
      <c r="G1063" s="6">
        <v>-544.47798126370003</v>
      </c>
      <c r="H1063" s="6">
        <f t="shared" si="17"/>
        <v>-134977.43616530288</v>
      </c>
      <c r="I1063" s="4"/>
      <c r="J1063" s="4" t="s">
        <v>68</v>
      </c>
      <c r="K1063" s="7">
        <v>519.53</v>
      </c>
      <c r="L1063" s="4" t="s">
        <v>2127</v>
      </c>
      <c r="M1063" s="4" t="s">
        <v>61</v>
      </c>
      <c r="N1063" s="4" t="s">
        <v>39</v>
      </c>
    </row>
    <row r="1064" spans="1:14" ht="10.5" hidden="1" x14ac:dyDescent="0.25">
      <c r="A1064" s="8" t="s">
        <v>470</v>
      </c>
      <c r="B1064" s="4" t="s">
        <v>21</v>
      </c>
      <c r="C1064" s="5">
        <v>44500</v>
      </c>
      <c r="D1064" s="4" t="s">
        <v>2421</v>
      </c>
      <c r="E1064" s="4" t="s">
        <v>2398</v>
      </c>
      <c r="F1064" s="4" t="s">
        <v>2356</v>
      </c>
      <c r="G1064" s="6">
        <v>-1331.0276891116</v>
      </c>
      <c r="H1064" s="6">
        <f t="shared" si="17"/>
        <v>-136308.46385441447</v>
      </c>
      <c r="I1064" s="4"/>
      <c r="J1064" s="4" t="s">
        <v>68</v>
      </c>
      <c r="K1064" s="7">
        <v>1270.04</v>
      </c>
      <c r="L1064" s="4" t="s">
        <v>2127</v>
      </c>
      <c r="M1064" s="4" t="s">
        <v>61</v>
      </c>
      <c r="N1064" s="4" t="s">
        <v>39</v>
      </c>
    </row>
    <row r="1065" spans="1:14" ht="10.5" hidden="1" x14ac:dyDescent="0.25">
      <c r="A1065" s="8" t="s">
        <v>470</v>
      </c>
      <c r="B1065" s="4" t="s">
        <v>21</v>
      </c>
      <c r="C1065" s="5">
        <v>44500</v>
      </c>
      <c r="D1065" s="4" t="s">
        <v>2421</v>
      </c>
      <c r="E1065" s="4" t="s">
        <v>2398</v>
      </c>
      <c r="F1065" s="4" t="s">
        <v>2357</v>
      </c>
      <c r="G1065" s="6">
        <v>-630.27940240600003</v>
      </c>
      <c r="H1065" s="6">
        <f t="shared" si="17"/>
        <v>-136938.74325682048</v>
      </c>
      <c r="I1065" s="4"/>
      <c r="J1065" s="4" t="s">
        <v>68</v>
      </c>
      <c r="K1065" s="7">
        <v>601.4</v>
      </c>
      <c r="L1065" s="4" t="s">
        <v>2127</v>
      </c>
      <c r="M1065" s="4" t="s">
        <v>61</v>
      </c>
      <c r="N1065" s="4" t="s">
        <v>39</v>
      </c>
    </row>
    <row r="1066" spans="1:14" ht="10.5" hidden="1" x14ac:dyDescent="0.25">
      <c r="A1066" s="8" t="s">
        <v>470</v>
      </c>
      <c r="B1066" s="4" t="s">
        <v>21</v>
      </c>
      <c r="C1066" s="5">
        <v>44500</v>
      </c>
      <c r="D1066" s="4" t="s">
        <v>2421</v>
      </c>
      <c r="E1066" s="4" t="s">
        <v>2398</v>
      </c>
      <c r="F1066" s="4" t="s">
        <v>2354</v>
      </c>
      <c r="G1066" s="6">
        <v>-430.63153716099998</v>
      </c>
      <c r="H1066" s="6">
        <f t="shared" si="17"/>
        <v>-137369.37479398149</v>
      </c>
      <c r="I1066" s="4"/>
      <c r="J1066" s="4" t="s">
        <v>68</v>
      </c>
      <c r="K1066" s="7">
        <v>410.9</v>
      </c>
      <c r="L1066" s="4" t="s">
        <v>2127</v>
      </c>
      <c r="M1066" s="4" t="s">
        <v>61</v>
      </c>
      <c r="N1066" s="4" t="s">
        <v>39</v>
      </c>
    </row>
    <row r="1067" spans="1:14" ht="10.5" hidden="1" x14ac:dyDescent="0.25">
      <c r="A1067" s="8" t="s">
        <v>470</v>
      </c>
      <c r="B1067" s="4" t="s">
        <v>21</v>
      </c>
      <c r="C1067" s="5">
        <v>44500</v>
      </c>
      <c r="D1067" s="4" t="s">
        <v>2421</v>
      </c>
      <c r="E1067" s="4" t="s">
        <v>2398</v>
      </c>
      <c r="F1067" s="4" t="s">
        <v>2355</v>
      </c>
      <c r="G1067" s="6">
        <v>-284.98815745970001</v>
      </c>
      <c r="H1067" s="6">
        <f t="shared" si="17"/>
        <v>-137654.3629514412</v>
      </c>
      <c r="I1067" s="4"/>
      <c r="J1067" s="4" t="s">
        <v>68</v>
      </c>
      <c r="K1067" s="7">
        <v>271.93</v>
      </c>
      <c r="L1067" s="4" t="s">
        <v>2127</v>
      </c>
      <c r="M1067" s="4" t="s">
        <v>61</v>
      </c>
      <c r="N1067" s="4" t="s">
        <v>39</v>
      </c>
    </row>
    <row r="1068" spans="1:14" ht="10.5" hidden="1" x14ac:dyDescent="0.25">
      <c r="A1068" s="8" t="s">
        <v>470</v>
      </c>
      <c r="B1068" s="4" t="s">
        <v>21</v>
      </c>
      <c r="C1068" s="5">
        <v>44500</v>
      </c>
      <c r="D1068" s="4" t="s">
        <v>2421</v>
      </c>
      <c r="E1068" s="4" t="s">
        <v>2398</v>
      </c>
      <c r="F1068" s="4" t="s">
        <v>2356</v>
      </c>
      <c r="G1068" s="6">
        <v>-696.59812635720004</v>
      </c>
      <c r="H1068" s="6">
        <f t="shared" si="17"/>
        <v>-138350.96107779839</v>
      </c>
      <c r="I1068" s="4"/>
      <c r="J1068" s="4" t="s">
        <v>68</v>
      </c>
      <c r="K1068" s="7">
        <v>664.68</v>
      </c>
      <c r="L1068" s="4" t="s">
        <v>2127</v>
      </c>
      <c r="M1068" s="4" t="s">
        <v>61</v>
      </c>
      <c r="N1068" s="4" t="s">
        <v>39</v>
      </c>
    </row>
    <row r="1069" spans="1:14" ht="10.5" hidden="1" x14ac:dyDescent="0.25">
      <c r="A1069" s="8" t="s">
        <v>470</v>
      </c>
      <c r="B1069" s="4" t="s">
        <v>21</v>
      </c>
      <c r="C1069" s="5">
        <v>44500</v>
      </c>
      <c r="D1069" s="4" t="s">
        <v>2421</v>
      </c>
      <c r="E1069" s="4" t="s">
        <v>2398</v>
      </c>
      <c r="F1069" s="4" t="s">
        <v>2357</v>
      </c>
      <c r="G1069" s="6">
        <v>-631.222620667</v>
      </c>
      <c r="H1069" s="6">
        <f t="shared" si="17"/>
        <v>-138982.18369846538</v>
      </c>
      <c r="I1069" s="4"/>
      <c r="J1069" s="4" t="s">
        <v>68</v>
      </c>
      <c r="K1069" s="7">
        <v>602.29999999999995</v>
      </c>
      <c r="L1069" s="4" t="s">
        <v>2127</v>
      </c>
      <c r="M1069" s="4" t="s">
        <v>61</v>
      </c>
      <c r="N1069" s="4" t="s">
        <v>39</v>
      </c>
    </row>
    <row r="1070" spans="1:14" ht="10.5" hidden="1" x14ac:dyDescent="0.25">
      <c r="A1070" s="8" t="s">
        <v>470</v>
      </c>
      <c r="B1070" s="4" t="s">
        <v>21</v>
      </c>
      <c r="C1070" s="5">
        <v>44500</v>
      </c>
      <c r="D1070" s="4" t="s">
        <v>2421</v>
      </c>
      <c r="E1070" s="4" t="s">
        <v>2398</v>
      </c>
      <c r="F1070" s="4" t="s">
        <v>2354</v>
      </c>
      <c r="G1070" s="6">
        <v>-11981.208999946701</v>
      </c>
      <c r="H1070" s="6">
        <f t="shared" si="17"/>
        <v>-150963.39269841209</v>
      </c>
      <c r="I1070" s="4"/>
      <c r="J1070" s="4" t="s">
        <v>68</v>
      </c>
      <c r="K1070" s="7">
        <v>11432.23</v>
      </c>
      <c r="L1070" s="4" t="s">
        <v>2127</v>
      </c>
      <c r="M1070" s="4" t="s">
        <v>61</v>
      </c>
      <c r="N1070" s="4" t="s">
        <v>39</v>
      </c>
    </row>
    <row r="1071" spans="1:14" ht="10.5" hidden="1" x14ac:dyDescent="0.25">
      <c r="A1071" s="8" t="s">
        <v>470</v>
      </c>
      <c r="B1071" s="4" t="s">
        <v>21</v>
      </c>
      <c r="C1071" s="5">
        <v>44500</v>
      </c>
      <c r="D1071" s="4" t="s">
        <v>2421</v>
      </c>
      <c r="E1071" s="4" t="s">
        <v>2398</v>
      </c>
      <c r="F1071" s="4" t="s">
        <v>2355</v>
      </c>
      <c r="G1071" s="6">
        <v>-7928.6927019659997</v>
      </c>
      <c r="H1071" s="6">
        <f t="shared" si="17"/>
        <v>-158892.0854003781</v>
      </c>
      <c r="I1071" s="4"/>
      <c r="J1071" s="4" t="s">
        <v>68</v>
      </c>
      <c r="K1071" s="7">
        <v>7565.4</v>
      </c>
      <c r="L1071" s="4" t="s">
        <v>2127</v>
      </c>
      <c r="M1071" s="4" t="s">
        <v>61</v>
      </c>
      <c r="N1071" s="4" t="s">
        <v>39</v>
      </c>
    </row>
    <row r="1072" spans="1:14" ht="10.5" hidden="1" x14ac:dyDescent="0.25">
      <c r="A1072" s="8" t="s">
        <v>470</v>
      </c>
      <c r="B1072" s="4" t="s">
        <v>21</v>
      </c>
      <c r="C1072" s="5">
        <v>44500</v>
      </c>
      <c r="D1072" s="4" t="s">
        <v>2421</v>
      </c>
      <c r="E1072" s="4" t="s">
        <v>2398</v>
      </c>
      <c r="F1072" s="4" t="s">
        <v>2356</v>
      </c>
      <c r="G1072" s="6">
        <v>-19381.238346825099</v>
      </c>
      <c r="H1072" s="6">
        <f t="shared" si="17"/>
        <v>-178273.32374720319</v>
      </c>
      <c r="I1072" s="4"/>
      <c r="J1072" s="4" t="s">
        <v>68</v>
      </c>
      <c r="K1072" s="7">
        <v>18493.189999999999</v>
      </c>
      <c r="L1072" s="4" t="s">
        <v>2127</v>
      </c>
      <c r="M1072" s="4" t="s">
        <v>61</v>
      </c>
      <c r="N1072" s="4" t="s">
        <v>39</v>
      </c>
    </row>
    <row r="1073" spans="1:14" ht="10.5" hidden="1" x14ac:dyDescent="0.25">
      <c r="A1073" s="8" t="s">
        <v>470</v>
      </c>
      <c r="B1073" s="4" t="s">
        <v>21</v>
      </c>
      <c r="C1073" s="5">
        <v>44500</v>
      </c>
      <c r="D1073" s="4" t="s">
        <v>2421</v>
      </c>
      <c r="E1073" s="4" t="s">
        <v>2398</v>
      </c>
      <c r="F1073" s="4" t="s">
        <v>2357</v>
      </c>
      <c r="G1073" s="6">
        <v>-2528.6843161177999</v>
      </c>
      <c r="H1073" s="6">
        <f t="shared" si="17"/>
        <v>-180802.008063321</v>
      </c>
      <c r="I1073" s="4"/>
      <c r="J1073" s="4" t="s">
        <v>68</v>
      </c>
      <c r="K1073" s="7">
        <v>2412.8200000000002</v>
      </c>
      <c r="L1073" s="4" t="s">
        <v>2127</v>
      </c>
      <c r="M1073" s="4" t="s">
        <v>61</v>
      </c>
      <c r="N1073" s="4" t="s">
        <v>39</v>
      </c>
    </row>
    <row r="1074" spans="1:14" ht="10.5" hidden="1" x14ac:dyDescent="0.25">
      <c r="A1074" s="8" t="s">
        <v>470</v>
      </c>
      <c r="B1074" s="4" t="s">
        <v>21</v>
      </c>
      <c r="C1074" s="5">
        <v>44500</v>
      </c>
      <c r="D1074" s="4" t="s">
        <v>2421</v>
      </c>
      <c r="E1074" s="4" t="s">
        <v>2398</v>
      </c>
      <c r="F1074" s="4" t="s">
        <v>2422</v>
      </c>
      <c r="G1074" s="6">
        <v>-34.940996468599998</v>
      </c>
      <c r="H1074" s="6">
        <f t="shared" si="17"/>
        <v>-180836.94905978959</v>
      </c>
      <c r="I1074" s="4"/>
      <c r="J1074" s="4" t="s">
        <v>68</v>
      </c>
      <c r="K1074" s="7">
        <v>33.340000000000003</v>
      </c>
      <c r="L1074" s="4" t="s">
        <v>2127</v>
      </c>
      <c r="M1074" s="4" t="s">
        <v>61</v>
      </c>
      <c r="N1074" s="4" t="s">
        <v>39</v>
      </c>
    </row>
    <row r="1075" spans="1:14" ht="10.5" hidden="1" x14ac:dyDescent="0.25">
      <c r="A1075" s="8" t="s">
        <v>470</v>
      </c>
      <c r="B1075" s="4" t="s">
        <v>21</v>
      </c>
      <c r="C1075" s="5">
        <v>44500</v>
      </c>
      <c r="D1075" s="4" t="s">
        <v>2423</v>
      </c>
      <c r="E1075" s="4" t="s">
        <v>2424</v>
      </c>
      <c r="F1075" s="4" t="s">
        <v>2424</v>
      </c>
      <c r="G1075" s="6">
        <v>-207188.7380386515</v>
      </c>
      <c r="H1075" s="6">
        <f t="shared" si="17"/>
        <v>-388025.68709844106</v>
      </c>
      <c r="I1075" s="4"/>
      <c r="J1075" s="4" t="s">
        <v>68</v>
      </c>
      <c r="K1075" s="7">
        <v>197695.35</v>
      </c>
      <c r="L1075" s="4" t="s">
        <v>2127</v>
      </c>
      <c r="M1075" s="4" t="s">
        <v>61</v>
      </c>
      <c r="N1075" s="4" t="s">
        <v>39</v>
      </c>
    </row>
    <row r="1076" spans="1:14" ht="10.5" hidden="1" x14ac:dyDescent="0.25">
      <c r="A1076" s="8" t="s">
        <v>470</v>
      </c>
      <c r="B1076" s="4" t="s">
        <v>21</v>
      </c>
      <c r="C1076" s="5">
        <v>44501</v>
      </c>
      <c r="D1076" s="4" t="s">
        <v>2425</v>
      </c>
      <c r="E1076" s="4" t="s">
        <v>2424</v>
      </c>
      <c r="F1076" s="4" t="s">
        <v>2424</v>
      </c>
      <c r="G1076" s="6">
        <v>207188.7380386515</v>
      </c>
      <c r="H1076" s="6">
        <f t="shared" si="17"/>
        <v>-180836.94905978956</v>
      </c>
      <c r="I1076" s="4"/>
      <c r="J1076" s="4" t="s">
        <v>68</v>
      </c>
      <c r="K1076" s="7">
        <v>-197695.35</v>
      </c>
      <c r="L1076" s="4" t="s">
        <v>1133</v>
      </c>
      <c r="M1076" s="4" t="s">
        <v>61</v>
      </c>
      <c r="N1076" s="4" t="s">
        <v>39</v>
      </c>
    </row>
    <row r="1077" spans="1:14" ht="10.5" hidden="1" x14ac:dyDescent="0.25">
      <c r="A1077" s="8" t="s">
        <v>470</v>
      </c>
      <c r="B1077" s="4" t="s">
        <v>249</v>
      </c>
      <c r="C1077" s="5">
        <v>44504</v>
      </c>
      <c r="D1077" s="4" t="s">
        <v>2426</v>
      </c>
      <c r="E1077" s="4" t="s">
        <v>2427</v>
      </c>
      <c r="F1077" s="4" t="s">
        <v>2427</v>
      </c>
      <c r="G1077" s="6">
        <v>4049.1731132556001</v>
      </c>
      <c r="H1077" s="6">
        <f t="shared" si="17"/>
        <v>-176787.77594653398</v>
      </c>
      <c r="I1077" s="4" t="s">
        <v>252</v>
      </c>
      <c r="J1077" s="4" t="s">
        <v>68</v>
      </c>
      <c r="K1077" s="7">
        <v>-3863.64</v>
      </c>
      <c r="L1077" s="4" t="s">
        <v>1133</v>
      </c>
      <c r="M1077" s="4" t="s">
        <v>61</v>
      </c>
      <c r="N1077" s="4"/>
    </row>
    <row r="1078" spans="1:14" ht="10.5" hidden="1" x14ac:dyDescent="0.25">
      <c r="A1078" s="8" t="s">
        <v>470</v>
      </c>
      <c r="B1078" s="4" t="s">
        <v>21</v>
      </c>
      <c r="C1078" s="5">
        <v>44530</v>
      </c>
      <c r="D1078" s="4" t="s">
        <v>2428</v>
      </c>
      <c r="E1078" s="4" t="s">
        <v>2429</v>
      </c>
      <c r="F1078" s="4" t="s">
        <v>2353</v>
      </c>
      <c r="G1078" s="6">
        <v>-9.8094699143999993</v>
      </c>
      <c r="H1078" s="6">
        <f t="shared" si="17"/>
        <v>-176797.58541644839</v>
      </c>
      <c r="I1078" s="4"/>
      <c r="J1078" s="4" t="s">
        <v>68</v>
      </c>
      <c r="K1078" s="7">
        <v>9.36</v>
      </c>
      <c r="L1078" s="4" t="s">
        <v>1133</v>
      </c>
      <c r="M1078" s="4" t="s">
        <v>61</v>
      </c>
      <c r="N1078" s="4" t="s">
        <v>39</v>
      </c>
    </row>
    <row r="1079" spans="1:14" ht="10.5" hidden="1" x14ac:dyDescent="0.25">
      <c r="A1079" s="8" t="s">
        <v>470</v>
      </c>
      <c r="B1079" s="4" t="s">
        <v>21</v>
      </c>
      <c r="C1079" s="5">
        <v>44530</v>
      </c>
      <c r="D1079" s="4" t="s">
        <v>2428</v>
      </c>
      <c r="E1079" s="4" t="s">
        <v>2429</v>
      </c>
      <c r="F1079" s="4" t="s">
        <v>2353</v>
      </c>
      <c r="G1079" s="6">
        <v>-17.921146959000001</v>
      </c>
      <c r="H1079" s="6">
        <f t="shared" si="17"/>
        <v>-176815.5065634074</v>
      </c>
      <c r="I1079" s="4"/>
      <c r="J1079" s="4" t="s">
        <v>68</v>
      </c>
      <c r="K1079" s="7">
        <v>17.100000000000001</v>
      </c>
      <c r="L1079" s="4" t="s">
        <v>1133</v>
      </c>
      <c r="M1079" s="4" t="s">
        <v>61</v>
      </c>
      <c r="N1079" s="4" t="s">
        <v>39</v>
      </c>
    </row>
    <row r="1080" spans="1:14" ht="10.5" hidden="1" x14ac:dyDescent="0.25">
      <c r="A1080" s="8" t="s">
        <v>470</v>
      </c>
      <c r="B1080" s="4" t="s">
        <v>21</v>
      </c>
      <c r="C1080" s="5">
        <v>44530</v>
      </c>
      <c r="D1080" s="4" t="s">
        <v>2428</v>
      </c>
      <c r="E1080" s="4" t="s">
        <v>2429</v>
      </c>
      <c r="F1080" s="4" t="s">
        <v>2353</v>
      </c>
      <c r="G1080" s="6">
        <v>-273.04072615370001</v>
      </c>
      <c r="H1080" s="6">
        <f t="shared" si="17"/>
        <v>-177088.5472895611</v>
      </c>
      <c r="I1080" s="4"/>
      <c r="J1080" s="4" t="s">
        <v>68</v>
      </c>
      <c r="K1080" s="7">
        <v>260.52999999999997</v>
      </c>
      <c r="L1080" s="4" t="s">
        <v>1133</v>
      </c>
      <c r="M1080" s="4" t="s">
        <v>61</v>
      </c>
      <c r="N1080" s="4" t="s">
        <v>39</v>
      </c>
    </row>
    <row r="1081" spans="1:14" ht="10.5" hidden="1" x14ac:dyDescent="0.25">
      <c r="A1081" s="8" t="s">
        <v>470</v>
      </c>
      <c r="B1081" s="4" t="s">
        <v>21</v>
      </c>
      <c r="C1081" s="5">
        <v>44530</v>
      </c>
      <c r="D1081" s="4" t="s">
        <v>2428</v>
      </c>
      <c r="E1081" s="4" t="s">
        <v>2429</v>
      </c>
      <c r="F1081" s="4" t="s">
        <v>2355</v>
      </c>
      <c r="G1081" s="6">
        <v>-220.90171672619999</v>
      </c>
      <c r="H1081" s="6">
        <f t="shared" si="17"/>
        <v>-177309.44900628729</v>
      </c>
      <c r="I1081" s="4"/>
      <c r="J1081" s="4" t="s">
        <v>68</v>
      </c>
      <c r="K1081" s="7">
        <v>210.78</v>
      </c>
      <c r="L1081" s="4" t="s">
        <v>1133</v>
      </c>
      <c r="M1081" s="4" t="s">
        <v>61</v>
      </c>
      <c r="N1081" s="4" t="s">
        <v>39</v>
      </c>
    </row>
    <row r="1082" spans="1:14" ht="10.5" hidden="1" x14ac:dyDescent="0.25">
      <c r="A1082" s="8" t="s">
        <v>470</v>
      </c>
      <c r="B1082" s="4" t="s">
        <v>21</v>
      </c>
      <c r="C1082" s="5">
        <v>44530</v>
      </c>
      <c r="D1082" s="4" t="s">
        <v>2428</v>
      </c>
      <c r="E1082" s="4" t="s">
        <v>2429</v>
      </c>
      <c r="F1082" s="4" t="s">
        <v>2356</v>
      </c>
      <c r="G1082" s="6">
        <v>-539.97149401670003</v>
      </c>
      <c r="H1082" s="6">
        <f t="shared" si="17"/>
        <v>-177849.420500304</v>
      </c>
      <c r="I1082" s="4"/>
      <c r="J1082" s="4" t="s">
        <v>68</v>
      </c>
      <c r="K1082" s="7">
        <v>515.23</v>
      </c>
      <c r="L1082" s="4" t="s">
        <v>1133</v>
      </c>
      <c r="M1082" s="4" t="s">
        <v>61</v>
      </c>
      <c r="N1082" s="4" t="s">
        <v>39</v>
      </c>
    </row>
    <row r="1083" spans="1:14" ht="10.5" hidden="1" x14ac:dyDescent="0.25">
      <c r="A1083" s="8" t="s">
        <v>470</v>
      </c>
      <c r="B1083" s="4" t="s">
        <v>21</v>
      </c>
      <c r="C1083" s="5">
        <v>44530</v>
      </c>
      <c r="D1083" s="4" t="s">
        <v>2428</v>
      </c>
      <c r="E1083" s="4" t="s">
        <v>2429</v>
      </c>
      <c r="F1083" s="4" t="s">
        <v>2354</v>
      </c>
      <c r="G1083" s="6">
        <v>-333.81542277080001</v>
      </c>
      <c r="H1083" s="6">
        <f t="shared" si="17"/>
        <v>-178183.2359230748</v>
      </c>
      <c r="I1083" s="4"/>
      <c r="J1083" s="4" t="s">
        <v>68</v>
      </c>
      <c r="K1083" s="7">
        <v>318.52</v>
      </c>
      <c r="L1083" s="4" t="s">
        <v>1133</v>
      </c>
      <c r="M1083" s="4" t="s">
        <v>61</v>
      </c>
      <c r="N1083" s="4" t="s">
        <v>39</v>
      </c>
    </row>
    <row r="1084" spans="1:14" ht="10.5" hidden="1" x14ac:dyDescent="0.25">
      <c r="A1084" s="8" t="s">
        <v>470</v>
      </c>
      <c r="B1084" s="4" t="s">
        <v>21</v>
      </c>
      <c r="C1084" s="5">
        <v>44530</v>
      </c>
      <c r="D1084" s="4" t="s">
        <v>2428</v>
      </c>
      <c r="E1084" s="4" t="s">
        <v>2429</v>
      </c>
      <c r="F1084" s="4" t="s">
        <v>2355</v>
      </c>
      <c r="G1084" s="6">
        <v>-403.49829185290002</v>
      </c>
      <c r="H1084" s="6">
        <f t="shared" si="17"/>
        <v>-178586.73421492771</v>
      </c>
      <c r="I1084" s="4"/>
      <c r="J1084" s="4" t="s">
        <v>68</v>
      </c>
      <c r="K1084" s="7">
        <v>385.01</v>
      </c>
      <c r="L1084" s="4" t="s">
        <v>1133</v>
      </c>
      <c r="M1084" s="4" t="s">
        <v>61</v>
      </c>
      <c r="N1084" s="4" t="s">
        <v>39</v>
      </c>
    </row>
    <row r="1085" spans="1:14" ht="10.5" hidden="1" x14ac:dyDescent="0.25">
      <c r="A1085" s="8" t="s">
        <v>470</v>
      </c>
      <c r="B1085" s="4" t="s">
        <v>21</v>
      </c>
      <c r="C1085" s="5">
        <v>44530</v>
      </c>
      <c r="D1085" s="4" t="s">
        <v>2428</v>
      </c>
      <c r="E1085" s="4" t="s">
        <v>2429</v>
      </c>
      <c r="F1085" s="4" t="s">
        <v>2356</v>
      </c>
      <c r="G1085" s="6">
        <v>-986.23949390450002</v>
      </c>
      <c r="H1085" s="6">
        <f t="shared" si="17"/>
        <v>-179572.9737088322</v>
      </c>
      <c r="I1085" s="4"/>
      <c r="J1085" s="4" t="s">
        <v>68</v>
      </c>
      <c r="K1085" s="7">
        <v>941.05</v>
      </c>
      <c r="L1085" s="4" t="s">
        <v>1133</v>
      </c>
      <c r="M1085" s="4" t="s">
        <v>61</v>
      </c>
      <c r="N1085" s="4" t="s">
        <v>39</v>
      </c>
    </row>
    <row r="1086" spans="1:14" ht="10.5" hidden="1" x14ac:dyDescent="0.25">
      <c r="A1086" s="8" t="s">
        <v>470</v>
      </c>
      <c r="B1086" s="4" t="s">
        <v>21</v>
      </c>
      <c r="C1086" s="5">
        <v>44530</v>
      </c>
      <c r="D1086" s="4" t="s">
        <v>2428</v>
      </c>
      <c r="E1086" s="4" t="s">
        <v>2429</v>
      </c>
      <c r="F1086" s="4" t="s">
        <v>2354</v>
      </c>
      <c r="G1086" s="6">
        <v>-609.66484330169999</v>
      </c>
      <c r="H1086" s="6">
        <f t="shared" si="17"/>
        <v>-180182.6385521339</v>
      </c>
      <c r="I1086" s="4"/>
      <c r="J1086" s="4" t="s">
        <v>68</v>
      </c>
      <c r="K1086" s="7">
        <v>581.73</v>
      </c>
      <c r="L1086" s="4" t="s">
        <v>1133</v>
      </c>
      <c r="M1086" s="4" t="s">
        <v>61</v>
      </c>
      <c r="N1086" s="4" t="s">
        <v>39</v>
      </c>
    </row>
    <row r="1087" spans="1:14" ht="10.5" hidden="1" x14ac:dyDescent="0.25">
      <c r="A1087" s="8" t="s">
        <v>470</v>
      </c>
      <c r="B1087" s="4" t="s">
        <v>21</v>
      </c>
      <c r="C1087" s="5">
        <v>44530</v>
      </c>
      <c r="D1087" s="4" t="s">
        <v>2428</v>
      </c>
      <c r="E1087" s="4" t="s">
        <v>2429</v>
      </c>
      <c r="F1087" s="4" t="s">
        <v>2357</v>
      </c>
      <c r="G1087" s="6">
        <v>-1262.1203550441001</v>
      </c>
      <c r="H1087" s="6">
        <f t="shared" si="17"/>
        <v>-181444.75890717801</v>
      </c>
      <c r="I1087" s="4"/>
      <c r="J1087" s="4" t="s">
        <v>68</v>
      </c>
      <c r="K1087" s="7">
        <v>1204.29</v>
      </c>
      <c r="L1087" s="4" t="s">
        <v>1133</v>
      </c>
      <c r="M1087" s="4" t="s">
        <v>61</v>
      </c>
      <c r="N1087" s="4" t="s">
        <v>39</v>
      </c>
    </row>
    <row r="1088" spans="1:14" ht="10.5" hidden="1" x14ac:dyDescent="0.25">
      <c r="A1088" s="8" t="s">
        <v>470</v>
      </c>
      <c r="B1088" s="4" t="s">
        <v>21</v>
      </c>
      <c r="C1088" s="5">
        <v>44530</v>
      </c>
      <c r="D1088" s="4" t="s">
        <v>2428</v>
      </c>
      <c r="E1088" s="4" t="s">
        <v>2429</v>
      </c>
      <c r="F1088" s="4" t="s">
        <v>2356</v>
      </c>
      <c r="G1088" s="6">
        <v>-15014.787570974901</v>
      </c>
      <c r="H1088" s="6">
        <f t="shared" si="17"/>
        <v>-196459.54647815292</v>
      </c>
      <c r="I1088" s="4"/>
      <c r="J1088" s="4" t="s">
        <v>68</v>
      </c>
      <c r="K1088" s="7">
        <v>14326.81</v>
      </c>
      <c r="L1088" s="4" t="s">
        <v>1133</v>
      </c>
      <c r="M1088" s="4" t="s">
        <v>61</v>
      </c>
      <c r="N1088" s="4" t="s">
        <v>39</v>
      </c>
    </row>
    <row r="1089" spans="1:14" ht="10.5" hidden="1" x14ac:dyDescent="0.25">
      <c r="A1089" s="8" t="s">
        <v>470</v>
      </c>
      <c r="B1089" s="4" t="s">
        <v>21</v>
      </c>
      <c r="C1089" s="5">
        <v>44530</v>
      </c>
      <c r="D1089" s="4" t="s">
        <v>2428</v>
      </c>
      <c r="E1089" s="4" t="s">
        <v>2429</v>
      </c>
      <c r="F1089" s="4" t="s">
        <v>2354</v>
      </c>
      <c r="G1089" s="6">
        <v>-9281.9174608198009</v>
      </c>
      <c r="H1089" s="6">
        <f t="shared" si="17"/>
        <v>-205741.46393897271</v>
      </c>
      <c r="I1089" s="4"/>
      <c r="J1089" s="4" t="s">
        <v>68</v>
      </c>
      <c r="K1089" s="7">
        <v>8856.6200000000008</v>
      </c>
      <c r="L1089" s="4" t="s">
        <v>1133</v>
      </c>
      <c r="M1089" s="4" t="s">
        <v>61</v>
      </c>
      <c r="N1089" s="4" t="s">
        <v>39</v>
      </c>
    </row>
    <row r="1090" spans="1:14" ht="10.5" hidden="1" x14ac:dyDescent="0.25">
      <c r="A1090" s="8" t="s">
        <v>470</v>
      </c>
      <c r="B1090" s="4" t="s">
        <v>21</v>
      </c>
      <c r="C1090" s="5">
        <v>44530</v>
      </c>
      <c r="D1090" s="4" t="s">
        <v>2428</v>
      </c>
      <c r="E1090" s="4" t="s">
        <v>2429</v>
      </c>
      <c r="F1090" s="4" t="s">
        <v>2355</v>
      </c>
      <c r="G1090" s="6">
        <v>-6142.3735582697</v>
      </c>
      <c r="H1090" s="6">
        <f t="shared" si="17"/>
        <v>-211883.83749724241</v>
      </c>
      <c r="I1090" s="4"/>
      <c r="J1090" s="4" t="s">
        <v>68</v>
      </c>
      <c r="K1090" s="7">
        <v>5860.93</v>
      </c>
      <c r="L1090" s="4" t="s">
        <v>1133</v>
      </c>
      <c r="M1090" s="4" t="s">
        <v>61</v>
      </c>
      <c r="N1090" s="4" t="s">
        <v>39</v>
      </c>
    </row>
    <row r="1091" spans="1:14" ht="10.5" hidden="1" x14ac:dyDescent="0.25">
      <c r="A1091" s="8" t="s">
        <v>470</v>
      </c>
      <c r="B1091" s="4" t="s">
        <v>21</v>
      </c>
      <c r="C1091" s="5">
        <v>44530</v>
      </c>
      <c r="D1091" s="4" t="s">
        <v>2428</v>
      </c>
      <c r="E1091" s="4" t="s">
        <v>2429</v>
      </c>
      <c r="F1091" s="4" t="s">
        <v>2357</v>
      </c>
      <c r="G1091" s="6">
        <v>-3066.2139228587998</v>
      </c>
      <c r="H1091" s="6">
        <f t="shared" si="17"/>
        <v>-214950.0514201012</v>
      </c>
      <c r="I1091" s="4"/>
      <c r="J1091" s="4" t="s">
        <v>68</v>
      </c>
      <c r="K1091" s="7">
        <v>2925.72</v>
      </c>
      <c r="L1091" s="4" t="s">
        <v>1133</v>
      </c>
      <c r="M1091" s="4" t="s">
        <v>61</v>
      </c>
      <c r="N1091" s="4" t="s">
        <v>39</v>
      </c>
    </row>
    <row r="1092" spans="1:14" ht="10.5" hidden="1" x14ac:dyDescent="0.25">
      <c r="A1092" s="8" t="s">
        <v>470</v>
      </c>
      <c r="B1092" s="4" t="s">
        <v>21</v>
      </c>
      <c r="C1092" s="5">
        <v>44530</v>
      </c>
      <c r="D1092" s="4" t="s">
        <v>2428</v>
      </c>
      <c r="E1092" s="4" t="s">
        <v>2429</v>
      </c>
      <c r="F1092" s="4" t="s">
        <v>2422</v>
      </c>
      <c r="G1092" s="6">
        <v>-34.940996468599998</v>
      </c>
      <c r="H1092" s="6">
        <f t="shared" si="17"/>
        <v>-214984.99241656979</v>
      </c>
      <c r="I1092" s="4"/>
      <c r="J1092" s="4" t="s">
        <v>68</v>
      </c>
      <c r="K1092" s="7">
        <v>33.340000000000003</v>
      </c>
      <c r="L1092" s="4" t="s">
        <v>1133</v>
      </c>
      <c r="M1092" s="4" t="s">
        <v>61</v>
      </c>
      <c r="N1092" s="4" t="s">
        <v>39</v>
      </c>
    </row>
    <row r="1093" spans="1:14" ht="10.5" hidden="1" x14ac:dyDescent="0.25">
      <c r="A1093" s="8" t="s">
        <v>470</v>
      </c>
      <c r="B1093" s="4" t="s">
        <v>21</v>
      </c>
      <c r="C1093" s="5">
        <v>44530</v>
      </c>
      <c r="D1093" s="4" t="s">
        <v>2430</v>
      </c>
      <c r="E1093" s="4" t="s">
        <v>2431</v>
      </c>
      <c r="F1093" s="4" t="s">
        <v>2432</v>
      </c>
      <c r="G1093" s="6">
        <v>-86.346391693100003</v>
      </c>
      <c r="H1093" s="6">
        <f t="shared" si="17"/>
        <v>-215071.3388082629</v>
      </c>
      <c r="I1093" s="4"/>
      <c r="J1093" s="4" t="s">
        <v>68</v>
      </c>
      <c r="K1093" s="7">
        <v>82.39</v>
      </c>
      <c r="L1093" s="4" t="s">
        <v>1133</v>
      </c>
      <c r="M1093" s="4" t="s">
        <v>61</v>
      </c>
      <c r="N1093" s="4" t="s">
        <v>39</v>
      </c>
    </row>
    <row r="1094" spans="1:14" ht="10.5" hidden="1" x14ac:dyDescent="0.25">
      <c r="A1094" s="8" t="s">
        <v>470</v>
      </c>
      <c r="B1094" s="4" t="s">
        <v>21</v>
      </c>
      <c r="C1094" s="5">
        <v>44530</v>
      </c>
      <c r="D1094" s="4" t="s">
        <v>2430</v>
      </c>
      <c r="E1094" s="4" t="s">
        <v>2431</v>
      </c>
      <c r="F1094" s="4" t="s">
        <v>2433</v>
      </c>
      <c r="G1094" s="6">
        <v>-34.102580236599998</v>
      </c>
      <c r="H1094" s="6">
        <f t="shared" si="17"/>
        <v>-215105.44138849949</v>
      </c>
      <c r="I1094" s="4"/>
      <c r="J1094" s="4" t="s">
        <v>68</v>
      </c>
      <c r="K1094" s="7">
        <v>32.54</v>
      </c>
      <c r="L1094" s="4" t="s">
        <v>1133</v>
      </c>
      <c r="M1094" s="4" t="s">
        <v>61</v>
      </c>
      <c r="N1094" s="4" t="s">
        <v>39</v>
      </c>
    </row>
    <row r="1095" spans="1:14" ht="10.5" hidden="1" x14ac:dyDescent="0.25">
      <c r="A1095" s="8" t="s">
        <v>470</v>
      </c>
      <c r="B1095" s="4" t="s">
        <v>21</v>
      </c>
      <c r="C1095" s="5">
        <v>44530</v>
      </c>
      <c r="D1095" s="4" t="s">
        <v>2430</v>
      </c>
      <c r="E1095" s="4" t="s">
        <v>2431</v>
      </c>
      <c r="F1095" s="4" t="s">
        <v>2434</v>
      </c>
      <c r="G1095" s="6">
        <v>-27.384770177699998</v>
      </c>
      <c r="H1095" s="6">
        <f t="shared" si="17"/>
        <v>-215132.8261586772</v>
      </c>
      <c r="I1095" s="4"/>
      <c r="J1095" s="4" t="s">
        <v>68</v>
      </c>
      <c r="K1095" s="7">
        <v>26.13</v>
      </c>
      <c r="L1095" s="4" t="s">
        <v>1133</v>
      </c>
      <c r="M1095" s="4" t="s">
        <v>61</v>
      </c>
      <c r="N1095" s="4" t="s">
        <v>39</v>
      </c>
    </row>
    <row r="1096" spans="1:14" ht="10.5" hidden="1" x14ac:dyDescent="0.25">
      <c r="A1096" s="8" t="s">
        <v>470</v>
      </c>
      <c r="B1096" s="4" t="s">
        <v>21</v>
      </c>
      <c r="C1096" s="5">
        <v>44530</v>
      </c>
      <c r="D1096" s="4" t="s">
        <v>2435</v>
      </c>
      <c r="E1096" s="4" t="s">
        <v>2436</v>
      </c>
      <c r="F1096" s="4" t="s">
        <v>2436</v>
      </c>
      <c r="G1096" s="6">
        <v>-250753.41138432809</v>
      </c>
      <c r="H1096" s="6">
        <f t="shared" si="17"/>
        <v>-465886.23754300526</v>
      </c>
      <c r="I1096" s="4"/>
      <c r="J1096" s="4" t="s">
        <v>68</v>
      </c>
      <c r="K1096" s="7">
        <v>239263.89</v>
      </c>
      <c r="L1096" s="4" t="s">
        <v>1133</v>
      </c>
      <c r="M1096" s="4" t="s">
        <v>61</v>
      </c>
      <c r="N1096" s="4" t="s">
        <v>39</v>
      </c>
    </row>
    <row r="1097" spans="1:14" ht="10.5" hidden="1" x14ac:dyDescent="0.25">
      <c r="A1097" s="8" t="s">
        <v>470</v>
      </c>
      <c r="B1097" s="4" t="s">
        <v>21</v>
      </c>
      <c r="C1097" s="5">
        <v>44531</v>
      </c>
      <c r="D1097" s="4" t="s">
        <v>2437</v>
      </c>
      <c r="E1097" s="4" t="s">
        <v>2436</v>
      </c>
      <c r="F1097" s="4" t="s">
        <v>2436</v>
      </c>
      <c r="G1097" s="6">
        <v>250753.41138432809</v>
      </c>
      <c r="H1097" s="6">
        <f t="shared" si="17"/>
        <v>-215132.82615867717</v>
      </c>
      <c r="I1097" s="4"/>
      <c r="J1097" s="4" t="s">
        <v>68</v>
      </c>
      <c r="K1097" s="7">
        <v>-239263.89</v>
      </c>
      <c r="L1097" s="4" t="s">
        <v>1036</v>
      </c>
      <c r="M1097" s="4" t="s">
        <v>61</v>
      </c>
      <c r="N1097" s="4" t="s">
        <v>39</v>
      </c>
    </row>
    <row r="1098" spans="1:14" ht="10.5" hidden="1" x14ac:dyDescent="0.25">
      <c r="A1098" s="8" t="s">
        <v>470</v>
      </c>
      <c r="B1098" s="4" t="s">
        <v>249</v>
      </c>
      <c r="C1098" s="5">
        <v>44536</v>
      </c>
      <c r="D1098" s="4" t="s">
        <v>2438</v>
      </c>
      <c r="E1098" s="4" t="s">
        <v>2439</v>
      </c>
      <c r="F1098" s="4" t="s">
        <v>2439</v>
      </c>
      <c r="G1098" s="6">
        <v>15350.0178211372</v>
      </c>
      <c r="H1098" s="6">
        <f t="shared" si="17"/>
        <v>-199782.80833753996</v>
      </c>
      <c r="I1098" s="4" t="s">
        <v>252</v>
      </c>
      <c r="J1098" s="4" t="s">
        <v>68</v>
      </c>
      <c r="K1098" s="7">
        <v>-14646.68</v>
      </c>
      <c r="L1098" s="4" t="s">
        <v>1036</v>
      </c>
      <c r="M1098" s="4" t="s">
        <v>61</v>
      </c>
      <c r="N1098" s="4"/>
    </row>
    <row r="1099" spans="1:14" ht="10.5" hidden="1" x14ac:dyDescent="0.25">
      <c r="A1099" s="8" t="s">
        <v>470</v>
      </c>
      <c r="B1099" s="4" t="s">
        <v>249</v>
      </c>
      <c r="C1099" s="5">
        <v>44538</v>
      </c>
      <c r="D1099" s="4" t="s">
        <v>2440</v>
      </c>
      <c r="E1099" s="4" t="s">
        <v>2441</v>
      </c>
      <c r="F1099" s="4" t="s">
        <v>2441</v>
      </c>
      <c r="G1099" s="6">
        <v>71922.488441830006</v>
      </c>
      <c r="H1099" s="6">
        <f t="shared" si="17"/>
        <v>-127860.31989570995</v>
      </c>
      <c r="I1099" s="4" t="s">
        <v>252</v>
      </c>
      <c r="J1099" s="4" t="s">
        <v>68</v>
      </c>
      <c r="K1099" s="7">
        <v>-68627</v>
      </c>
      <c r="L1099" s="4" t="s">
        <v>1036</v>
      </c>
      <c r="M1099" s="4" t="s">
        <v>61</v>
      </c>
      <c r="N1099" s="4"/>
    </row>
    <row r="1100" spans="1:14" ht="10.5" hidden="1" x14ac:dyDescent="0.25">
      <c r="A1100" s="8" t="s">
        <v>470</v>
      </c>
      <c r="B1100" s="4" t="s">
        <v>249</v>
      </c>
      <c r="C1100" s="5">
        <v>44554</v>
      </c>
      <c r="D1100" s="4" t="s">
        <v>2442</v>
      </c>
      <c r="E1100" s="4" t="s">
        <v>2443</v>
      </c>
      <c r="F1100" s="4" t="s">
        <v>2443</v>
      </c>
      <c r="G1100" s="6">
        <v>210.34815240590001</v>
      </c>
      <c r="H1100" s="6">
        <f t="shared" si="17"/>
        <v>-127649.97174330405</v>
      </c>
      <c r="I1100" s="4" t="s">
        <v>252</v>
      </c>
      <c r="J1100" s="4" t="s">
        <v>68</v>
      </c>
      <c r="K1100" s="7">
        <v>-200.71</v>
      </c>
      <c r="L1100" s="4" t="s">
        <v>1036</v>
      </c>
      <c r="M1100" s="4" t="s">
        <v>61</v>
      </c>
      <c r="N1100" s="4"/>
    </row>
    <row r="1101" spans="1:14" ht="10.5" hidden="1" x14ac:dyDescent="0.25">
      <c r="A1101" s="8" t="s">
        <v>470</v>
      </c>
      <c r="B1101" s="4" t="s">
        <v>21</v>
      </c>
      <c r="C1101" s="5">
        <v>44561</v>
      </c>
      <c r="D1101" s="4" t="s">
        <v>2444</v>
      </c>
      <c r="E1101" s="4" t="s">
        <v>2445</v>
      </c>
      <c r="F1101" s="4" t="s">
        <v>2445</v>
      </c>
      <c r="G1101" s="6">
        <v>-253.99819748440001</v>
      </c>
      <c r="H1101" s="6">
        <f t="shared" si="17"/>
        <v>-127903.96994078845</v>
      </c>
      <c r="I1101" s="4"/>
      <c r="J1101" s="4" t="s">
        <v>68</v>
      </c>
      <c r="K1101" s="7">
        <v>242.36</v>
      </c>
      <c r="L1101" s="4" t="s">
        <v>1036</v>
      </c>
      <c r="M1101" s="4" t="s">
        <v>61</v>
      </c>
      <c r="N1101" s="4" t="s">
        <v>39</v>
      </c>
    </row>
    <row r="1102" spans="1:14" ht="10.5" hidden="1" x14ac:dyDescent="0.25">
      <c r="A1102" s="8" t="s">
        <v>470</v>
      </c>
      <c r="B1102" s="4" t="s">
        <v>21</v>
      </c>
      <c r="C1102" s="5">
        <v>44561</v>
      </c>
      <c r="D1102" s="4" t="s">
        <v>2446</v>
      </c>
      <c r="E1102" s="4" t="s">
        <v>2447</v>
      </c>
      <c r="F1102" s="4" t="s">
        <v>2383</v>
      </c>
      <c r="G1102" s="6">
        <v>-265.54738108020001</v>
      </c>
      <c r="H1102" s="6">
        <f t="shared" si="17"/>
        <v>-128169.51732186865</v>
      </c>
      <c r="I1102" s="4"/>
      <c r="J1102" s="4" t="s">
        <v>68</v>
      </c>
      <c r="K1102" s="7">
        <v>253.38</v>
      </c>
      <c r="L1102" s="4" t="s">
        <v>1036</v>
      </c>
      <c r="M1102" s="4" t="s">
        <v>61</v>
      </c>
      <c r="N1102" s="4" t="s">
        <v>39</v>
      </c>
    </row>
    <row r="1103" spans="1:14" ht="10.5" hidden="1" x14ac:dyDescent="0.25">
      <c r="A1103" s="8" t="s">
        <v>470</v>
      </c>
      <c r="B1103" s="4" t="s">
        <v>21</v>
      </c>
      <c r="C1103" s="5">
        <v>44561</v>
      </c>
      <c r="D1103" s="4" t="s">
        <v>2446</v>
      </c>
      <c r="E1103" s="4" t="s">
        <v>2447</v>
      </c>
      <c r="F1103" s="4" t="s">
        <v>2383</v>
      </c>
      <c r="G1103" s="6">
        <v>-9.6837074796000007</v>
      </c>
      <c r="H1103" s="6">
        <f t="shared" si="17"/>
        <v>-128179.20102934826</v>
      </c>
      <c r="I1103" s="4"/>
      <c r="J1103" s="4" t="s">
        <v>68</v>
      </c>
      <c r="K1103" s="7">
        <v>9.24</v>
      </c>
      <c r="L1103" s="4" t="s">
        <v>1036</v>
      </c>
      <c r="M1103" s="4" t="s">
        <v>61</v>
      </c>
      <c r="N1103" s="4" t="s">
        <v>39</v>
      </c>
    </row>
    <row r="1104" spans="1:14" ht="10.5" hidden="1" x14ac:dyDescent="0.25">
      <c r="A1104" s="8" t="s">
        <v>470</v>
      </c>
      <c r="B1104" s="4" t="s">
        <v>21</v>
      </c>
      <c r="C1104" s="5">
        <v>44561</v>
      </c>
      <c r="D1104" s="4" t="s">
        <v>2446</v>
      </c>
      <c r="E1104" s="4" t="s">
        <v>2447</v>
      </c>
      <c r="F1104" s="4" t="s">
        <v>2383</v>
      </c>
      <c r="G1104" s="6">
        <v>-21.0337672203</v>
      </c>
      <c r="H1104" s="6">
        <f t="shared" si="17"/>
        <v>-128200.23479656856</v>
      </c>
      <c r="I1104" s="4"/>
      <c r="J1104" s="4" t="s">
        <v>68</v>
      </c>
      <c r="K1104" s="7">
        <v>20.07</v>
      </c>
      <c r="L1104" s="4" t="s">
        <v>1036</v>
      </c>
      <c r="M1104" s="4" t="s">
        <v>61</v>
      </c>
      <c r="N1104" s="4" t="s">
        <v>39</v>
      </c>
    </row>
    <row r="1105" spans="1:14" ht="10.5" hidden="1" x14ac:dyDescent="0.25">
      <c r="A1105" s="8" t="s">
        <v>470</v>
      </c>
      <c r="B1105" s="4" t="s">
        <v>21</v>
      </c>
      <c r="C1105" s="5">
        <v>44561</v>
      </c>
      <c r="D1105" s="4" t="s">
        <v>2446</v>
      </c>
      <c r="E1105" s="4" t="s">
        <v>2447</v>
      </c>
      <c r="F1105" s="4" t="s">
        <v>2384</v>
      </c>
      <c r="G1105" s="6">
        <v>-2523.9472644070001</v>
      </c>
      <c r="H1105" s="6">
        <f t="shared" si="17"/>
        <v>-130724.18206097557</v>
      </c>
      <c r="I1105" s="4"/>
      <c r="J1105" s="4" t="s">
        <v>68</v>
      </c>
      <c r="K1105" s="7">
        <v>2408.3000000000002</v>
      </c>
      <c r="L1105" s="4" t="s">
        <v>1036</v>
      </c>
      <c r="M1105" s="4" t="s">
        <v>61</v>
      </c>
      <c r="N1105" s="4" t="s">
        <v>39</v>
      </c>
    </row>
    <row r="1106" spans="1:14" ht="10.5" hidden="1" x14ac:dyDescent="0.25">
      <c r="A1106" s="8" t="s">
        <v>470</v>
      </c>
      <c r="B1106" s="4" t="s">
        <v>21</v>
      </c>
      <c r="C1106" s="5">
        <v>44561</v>
      </c>
      <c r="D1106" s="4" t="s">
        <v>2446</v>
      </c>
      <c r="E1106" s="4" t="s">
        <v>2447</v>
      </c>
      <c r="F1106" s="4" t="s">
        <v>2384</v>
      </c>
      <c r="G1106" s="6">
        <v>-631.222620667</v>
      </c>
      <c r="H1106" s="6">
        <f t="shared" ref="H1106:H1169" si="18">H1105+G1106</f>
        <v>-131355.40468164257</v>
      </c>
      <c r="I1106" s="4"/>
      <c r="J1106" s="4" t="s">
        <v>68</v>
      </c>
      <c r="K1106" s="7">
        <v>602.29999999999995</v>
      </c>
      <c r="L1106" s="4" t="s">
        <v>1036</v>
      </c>
      <c r="M1106" s="4" t="s">
        <v>61</v>
      </c>
      <c r="N1106" s="4" t="s">
        <v>39</v>
      </c>
    </row>
    <row r="1107" spans="1:14" ht="10.5" hidden="1" x14ac:dyDescent="0.25">
      <c r="A1107" s="8" t="s">
        <v>470</v>
      </c>
      <c r="B1107" s="4" t="s">
        <v>21</v>
      </c>
      <c r="C1107" s="5">
        <v>44561</v>
      </c>
      <c r="D1107" s="4" t="s">
        <v>2446</v>
      </c>
      <c r="E1107" s="4" t="s">
        <v>2447</v>
      </c>
      <c r="F1107" s="4" t="s">
        <v>2384</v>
      </c>
      <c r="G1107" s="6">
        <v>-9684.1266877159997</v>
      </c>
      <c r="H1107" s="6">
        <f t="shared" si="18"/>
        <v>-141039.53136935856</v>
      </c>
      <c r="I1107" s="4"/>
      <c r="J1107" s="4" t="s">
        <v>68</v>
      </c>
      <c r="K1107" s="7">
        <v>9240.4</v>
      </c>
      <c r="L1107" s="4" t="s">
        <v>1036</v>
      </c>
      <c r="M1107" s="4" t="s">
        <v>61</v>
      </c>
      <c r="N1107" s="4" t="s">
        <v>39</v>
      </c>
    </row>
    <row r="1108" spans="1:14" ht="10.5" hidden="1" x14ac:dyDescent="0.25">
      <c r="A1108" s="8" t="s">
        <v>470</v>
      </c>
      <c r="B1108" s="4" t="s">
        <v>21</v>
      </c>
      <c r="C1108" s="5">
        <v>44561</v>
      </c>
      <c r="D1108" s="4" t="s">
        <v>2446</v>
      </c>
      <c r="E1108" s="4" t="s">
        <v>2447</v>
      </c>
      <c r="F1108" s="4" t="s">
        <v>2385</v>
      </c>
      <c r="G1108" s="6">
        <v>-473.35932438430001</v>
      </c>
      <c r="H1108" s="6">
        <f t="shared" si="18"/>
        <v>-141512.89069374287</v>
      </c>
      <c r="I1108" s="4"/>
      <c r="J1108" s="4" t="s">
        <v>68</v>
      </c>
      <c r="K1108" s="7">
        <v>451.67</v>
      </c>
      <c r="L1108" s="4" t="s">
        <v>1036</v>
      </c>
      <c r="M1108" s="4" t="s">
        <v>61</v>
      </c>
      <c r="N1108" s="4" t="s">
        <v>39</v>
      </c>
    </row>
    <row r="1109" spans="1:14" ht="10.5" hidden="1" x14ac:dyDescent="0.25">
      <c r="A1109" s="8" t="s">
        <v>470</v>
      </c>
      <c r="B1109" s="4" t="s">
        <v>21</v>
      </c>
      <c r="C1109" s="5">
        <v>44561</v>
      </c>
      <c r="D1109" s="4" t="s">
        <v>2446</v>
      </c>
      <c r="E1109" s="4" t="s">
        <v>2447</v>
      </c>
      <c r="F1109" s="4" t="s">
        <v>2385</v>
      </c>
      <c r="G1109" s="6">
        <v>-217.78909646490001</v>
      </c>
      <c r="H1109" s="6">
        <f t="shared" si="18"/>
        <v>-141730.67979020777</v>
      </c>
      <c r="I1109" s="4"/>
      <c r="J1109" s="4" t="s">
        <v>68</v>
      </c>
      <c r="K1109" s="7">
        <v>207.81</v>
      </c>
      <c r="L1109" s="4" t="s">
        <v>1036</v>
      </c>
      <c r="M1109" s="4" t="s">
        <v>61</v>
      </c>
      <c r="N1109" s="4" t="s">
        <v>39</v>
      </c>
    </row>
    <row r="1110" spans="1:14" ht="10.5" hidden="1" x14ac:dyDescent="0.25">
      <c r="A1110" s="8" t="s">
        <v>470</v>
      </c>
      <c r="B1110" s="4" t="s">
        <v>21</v>
      </c>
      <c r="C1110" s="5">
        <v>44561</v>
      </c>
      <c r="D1110" s="4" t="s">
        <v>2446</v>
      </c>
      <c r="E1110" s="4" t="s">
        <v>2447</v>
      </c>
      <c r="F1110" s="4" t="s">
        <v>2385</v>
      </c>
      <c r="G1110" s="6">
        <v>-5973.0868408260003</v>
      </c>
      <c r="H1110" s="6">
        <f t="shared" si="18"/>
        <v>-147703.76663103377</v>
      </c>
      <c r="I1110" s="4"/>
      <c r="J1110" s="4" t="s">
        <v>68</v>
      </c>
      <c r="K1110" s="7">
        <v>5699.4</v>
      </c>
      <c r="L1110" s="4" t="s">
        <v>1036</v>
      </c>
      <c r="M1110" s="4" t="s">
        <v>61</v>
      </c>
      <c r="N1110" s="4" t="s">
        <v>39</v>
      </c>
    </row>
    <row r="1111" spans="1:14" ht="10.5" hidden="1" x14ac:dyDescent="0.25">
      <c r="A1111" s="8" t="s">
        <v>470</v>
      </c>
      <c r="B1111" s="4" t="s">
        <v>21</v>
      </c>
      <c r="C1111" s="5">
        <v>44561</v>
      </c>
      <c r="D1111" s="4" t="s">
        <v>2446</v>
      </c>
      <c r="E1111" s="4" t="s">
        <v>2447</v>
      </c>
      <c r="F1111" s="4" t="s">
        <v>2386</v>
      </c>
      <c r="G1111" s="6">
        <v>-1157.0353605657999</v>
      </c>
      <c r="H1111" s="6">
        <f t="shared" si="18"/>
        <v>-148860.80199159955</v>
      </c>
      <c r="I1111" s="4"/>
      <c r="J1111" s="4" t="s">
        <v>68</v>
      </c>
      <c r="K1111" s="7">
        <v>1104.02</v>
      </c>
      <c r="L1111" s="4" t="s">
        <v>1036</v>
      </c>
      <c r="M1111" s="4" t="s">
        <v>61</v>
      </c>
      <c r="N1111" s="4" t="s">
        <v>39</v>
      </c>
    </row>
    <row r="1112" spans="1:14" ht="10.5" hidden="1" x14ac:dyDescent="0.25">
      <c r="A1112" s="8" t="s">
        <v>470</v>
      </c>
      <c r="B1112" s="4" t="s">
        <v>21</v>
      </c>
      <c r="C1112" s="5">
        <v>44561</v>
      </c>
      <c r="D1112" s="4" t="s">
        <v>2446</v>
      </c>
      <c r="E1112" s="4" t="s">
        <v>2447</v>
      </c>
      <c r="F1112" s="4" t="s">
        <v>2386</v>
      </c>
      <c r="G1112" s="6">
        <v>-532.37334691420006</v>
      </c>
      <c r="H1112" s="6">
        <f t="shared" si="18"/>
        <v>-149393.17533851374</v>
      </c>
      <c r="I1112" s="4"/>
      <c r="J1112" s="4" t="s">
        <v>68</v>
      </c>
      <c r="K1112" s="7">
        <v>507.98</v>
      </c>
      <c r="L1112" s="4" t="s">
        <v>1036</v>
      </c>
      <c r="M1112" s="4" t="s">
        <v>61</v>
      </c>
      <c r="N1112" s="4" t="s">
        <v>39</v>
      </c>
    </row>
    <row r="1113" spans="1:14" ht="10.5" hidden="1" x14ac:dyDescent="0.25">
      <c r="A1113" s="8" t="s">
        <v>470</v>
      </c>
      <c r="B1113" s="4" t="s">
        <v>21</v>
      </c>
      <c r="C1113" s="5">
        <v>44561</v>
      </c>
      <c r="D1113" s="4" t="s">
        <v>2446</v>
      </c>
      <c r="E1113" s="4" t="s">
        <v>2447</v>
      </c>
      <c r="F1113" s="4" t="s">
        <v>2386</v>
      </c>
      <c r="G1113" s="6">
        <v>-14601.01868028</v>
      </c>
      <c r="H1113" s="6">
        <f t="shared" si="18"/>
        <v>-163994.19401879373</v>
      </c>
      <c r="I1113" s="4"/>
      <c r="J1113" s="4" t="s">
        <v>68</v>
      </c>
      <c r="K1113" s="7">
        <v>13932</v>
      </c>
      <c r="L1113" s="4" t="s">
        <v>1036</v>
      </c>
      <c r="M1113" s="4" t="s">
        <v>61</v>
      </c>
      <c r="N1113" s="4" t="s">
        <v>39</v>
      </c>
    </row>
    <row r="1114" spans="1:14" ht="10.5" hidden="1" x14ac:dyDescent="0.25">
      <c r="A1114" s="8" t="s">
        <v>470</v>
      </c>
      <c r="B1114" s="4" t="s">
        <v>21</v>
      </c>
      <c r="C1114" s="5">
        <v>44561</v>
      </c>
      <c r="D1114" s="4" t="s">
        <v>2446</v>
      </c>
      <c r="E1114" s="4" t="s">
        <v>2447</v>
      </c>
      <c r="F1114" s="4" t="s">
        <v>2448</v>
      </c>
      <c r="G1114" s="6">
        <v>-34.940996468599998</v>
      </c>
      <c r="H1114" s="6">
        <f t="shared" si="18"/>
        <v>-164029.13501526232</v>
      </c>
      <c r="I1114" s="4"/>
      <c r="J1114" s="4" t="s">
        <v>68</v>
      </c>
      <c r="K1114" s="7">
        <v>33.340000000000003</v>
      </c>
      <c r="L1114" s="4" t="s">
        <v>1036</v>
      </c>
      <c r="M1114" s="4" t="s">
        <v>61</v>
      </c>
      <c r="N1114" s="4" t="s">
        <v>39</v>
      </c>
    </row>
    <row r="1115" spans="1:14" ht="10.5" hidden="1" x14ac:dyDescent="0.25">
      <c r="A1115" s="8" t="s">
        <v>470</v>
      </c>
      <c r="B1115" s="4" t="s">
        <v>21</v>
      </c>
      <c r="C1115" s="5">
        <v>44561</v>
      </c>
      <c r="D1115" s="4" t="s">
        <v>2446</v>
      </c>
      <c r="E1115" s="4" t="s">
        <v>2447</v>
      </c>
      <c r="F1115" s="4" t="s">
        <v>2387</v>
      </c>
      <c r="G1115" s="6">
        <v>-715.25288751920004</v>
      </c>
      <c r="H1115" s="6">
        <f t="shared" si="18"/>
        <v>-164744.38790278151</v>
      </c>
      <c r="I1115" s="4"/>
      <c r="J1115" s="4" t="s">
        <v>68</v>
      </c>
      <c r="K1115" s="7">
        <v>682.48</v>
      </c>
      <c r="L1115" s="4" t="s">
        <v>1036</v>
      </c>
      <c r="M1115" s="4" t="s">
        <v>61</v>
      </c>
      <c r="N1115" s="4" t="s">
        <v>39</v>
      </c>
    </row>
    <row r="1116" spans="1:14" ht="10.5" hidden="1" x14ac:dyDescent="0.25">
      <c r="A1116" s="8" t="s">
        <v>470</v>
      </c>
      <c r="B1116" s="4" t="s">
        <v>21</v>
      </c>
      <c r="C1116" s="5">
        <v>44561</v>
      </c>
      <c r="D1116" s="4" t="s">
        <v>2446</v>
      </c>
      <c r="E1116" s="4" t="s">
        <v>2447</v>
      </c>
      <c r="F1116" s="4" t="s">
        <v>2387</v>
      </c>
      <c r="G1116" s="6">
        <v>-329.08885126289999</v>
      </c>
      <c r="H1116" s="6">
        <f t="shared" si="18"/>
        <v>-165073.47675404442</v>
      </c>
      <c r="I1116" s="4"/>
      <c r="J1116" s="4" t="s">
        <v>68</v>
      </c>
      <c r="K1116" s="7">
        <v>314.01</v>
      </c>
      <c r="L1116" s="4" t="s">
        <v>1036</v>
      </c>
      <c r="M1116" s="4" t="s">
        <v>61</v>
      </c>
      <c r="N1116" s="4" t="s">
        <v>39</v>
      </c>
    </row>
    <row r="1117" spans="1:14" ht="10.5" hidden="1" x14ac:dyDescent="0.25">
      <c r="A1117" s="8" t="s">
        <v>470</v>
      </c>
      <c r="B1117" s="4" t="s">
        <v>21</v>
      </c>
      <c r="C1117" s="5">
        <v>44561</v>
      </c>
      <c r="D1117" s="4" t="s">
        <v>2446</v>
      </c>
      <c r="E1117" s="4" t="s">
        <v>2447</v>
      </c>
      <c r="F1117" s="4" t="s">
        <v>2387</v>
      </c>
      <c r="G1117" s="6">
        <v>-9026.2109902626999</v>
      </c>
      <c r="H1117" s="6">
        <f t="shared" si="18"/>
        <v>-174099.68774430713</v>
      </c>
      <c r="I1117" s="4"/>
      <c r="J1117" s="4" t="s">
        <v>68</v>
      </c>
      <c r="K1117" s="7">
        <v>8612.6299999999992</v>
      </c>
      <c r="L1117" s="4" t="s">
        <v>1036</v>
      </c>
      <c r="M1117" s="4" t="s">
        <v>61</v>
      </c>
      <c r="N1117" s="4" t="s">
        <v>39</v>
      </c>
    </row>
    <row r="1118" spans="1:14" ht="10.5" hidden="1" x14ac:dyDescent="0.25">
      <c r="A1118" s="8" t="s">
        <v>470</v>
      </c>
      <c r="B1118" s="4" t="s">
        <v>21</v>
      </c>
      <c r="C1118" s="5">
        <v>44561</v>
      </c>
      <c r="D1118" s="4" t="s">
        <v>2449</v>
      </c>
      <c r="E1118" s="4" t="s">
        <v>2450</v>
      </c>
      <c r="F1118" s="4" t="s">
        <v>2450</v>
      </c>
      <c r="G1118" s="6">
        <v>-263407.32364801998</v>
      </c>
      <c r="H1118" s="6">
        <f t="shared" si="18"/>
        <v>-437507.01139232714</v>
      </c>
      <c r="I1118" s="4"/>
      <c r="J1118" s="4" t="s">
        <v>68</v>
      </c>
      <c r="K1118" s="7">
        <v>251338</v>
      </c>
      <c r="L1118" s="4" t="s">
        <v>1036</v>
      </c>
      <c r="M1118" s="4" t="s">
        <v>61</v>
      </c>
      <c r="N1118" s="4" t="s">
        <v>39</v>
      </c>
    </row>
    <row r="1119" spans="1:14" ht="10.5" hidden="1" x14ac:dyDescent="0.25">
      <c r="A1119" s="8" t="s">
        <v>470</v>
      </c>
      <c r="B1119" s="4" t="s">
        <v>21</v>
      </c>
      <c r="C1119" s="5">
        <v>44561</v>
      </c>
      <c r="D1119" s="4" t="s">
        <v>2451</v>
      </c>
      <c r="E1119" s="4" t="s">
        <v>2452</v>
      </c>
      <c r="F1119" s="4" t="s">
        <v>2453</v>
      </c>
      <c r="G1119" s="6">
        <v>-12576.243479999999</v>
      </c>
      <c r="H1119" s="6">
        <f t="shared" si="18"/>
        <v>-450083.25487232715</v>
      </c>
      <c r="I1119" s="4"/>
      <c r="J1119" s="4" t="s">
        <v>68</v>
      </c>
      <c r="K1119" s="7">
        <v>12000</v>
      </c>
      <c r="L1119" s="4" t="s">
        <v>1036</v>
      </c>
      <c r="M1119" s="4" t="s">
        <v>61</v>
      </c>
      <c r="N1119" s="4" t="s">
        <v>181</v>
      </c>
    </row>
    <row r="1120" spans="1:14" ht="10.5" hidden="1" x14ac:dyDescent="0.25">
      <c r="A1120" s="8" t="s">
        <v>470</v>
      </c>
      <c r="B1120" s="4" t="s">
        <v>21</v>
      </c>
      <c r="C1120" s="5">
        <v>44561</v>
      </c>
      <c r="D1120" s="4" t="s">
        <v>2451</v>
      </c>
      <c r="E1120" s="4" t="s">
        <v>2452</v>
      </c>
      <c r="F1120" s="4" t="s">
        <v>2454</v>
      </c>
      <c r="G1120" s="6">
        <v>-8048.7958271999996</v>
      </c>
      <c r="H1120" s="6">
        <f t="shared" si="18"/>
        <v>-458132.05069952714</v>
      </c>
      <c r="I1120" s="4"/>
      <c r="J1120" s="4" t="s">
        <v>68</v>
      </c>
      <c r="K1120" s="7">
        <v>7680</v>
      </c>
      <c r="L1120" s="4" t="s">
        <v>1036</v>
      </c>
      <c r="M1120" s="4" t="s">
        <v>61</v>
      </c>
      <c r="N1120" s="4" t="s">
        <v>181</v>
      </c>
    </row>
    <row r="1121" spans="1:14" ht="10.5" hidden="1" x14ac:dyDescent="0.25">
      <c r="A1121" s="8" t="s">
        <v>470</v>
      </c>
      <c r="B1121" s="4" t="s">
        <v>21</v>
      </c>
      <c r="C1121" s="5">
        <v>44561</v>
      </c>
      <c r="D1121" s="4" t="s">
        <v>2455</v>
      </c>
      <c r="E1121" s="4" t="s">
        <v>2456</v>
      </c>
      <c r="F1121" s="4" t="s">
        <v>2456</v>
      </c>
      <c r="G1121" s="6">
        <v>80466.997866200007</v>
      </c>
      <c r="H1121" s="6">
        <f t="shared" si="18"/>
        <v>-377665.05283332715</v>
      </c>
      <c r="I1121" s="4"/>
      <c r="J1121" s="4" t="s">
        <v>68</v>
      </c>
      <c r="K1121" s="7">
        <v>-76780</v>
      </c>
      <c r="L1121" s="4" t="s">
        <v>1036</v>
      </c>
      <c r="M1121" s="4" t="s">
        <v>61</v>
      </c>
      <c r="N1121" s="4" t="s">
        <v>39</v>
      </c>
    </row>
    <row r="1122" spans="1:14" ht="10.5" hidden="1" x14ac:dyDescent="0.25">
      <c r="A1122" s="8" t="s">
        <v>470</v>
      </c>
      <c r="B1122" s="4" t="s">
        <v>21</v>
      </c>
      <c r="C1122" s="5">
        <v>44562</v>
      </c>
      <c r="D1122" s="4" t="s">
        <v>2457</v>
      </c>
      <c r="E1122" s="4" t="s">
        <v>2450</v>
      </c>
      <c r="F1122" s="4" t="s">
        <v>2450</v>
      </c>
      <c r="G1122" s="6">
        <v>263407.32364801998</v>
      </c>
      <c r="H1122" s="6">
        <f t="shared" si="18"/>
        <v>-114257.72918530717</v>
      </c>
      <c r="I1122" s="4"/>
      <c r="J1122" s="4" t="s">
        <v>68</v>
      </c>
      <c r="K1122" s="7">
        <v>-251338</v>
      </c>
      <c r="L1122" s="4" t="s">
        <v>60</v>
      </c>
      <c r="M1122" s="4" t="s">
        <v>61</v>
      </c>
      <c r="N1122" s="4" t="s">
        <v>39</v>
      </c>
    </row>
    <row r="1123" spans="1:14" ht="10.5" hidden="1" x14ac:dyDescent="0.25">
      <c r="A1123" s="8" t="s">
        <v>470</v>
      </c>
      <c r="B1123" s="4" t="s">
        <v>21</v>
      </c>
      <c r="C1123" s="5">
        <v>44562</v>
      </c>
      <c r="D1123" s="4" t="s">
        <v>58</v>
      </c>
      <c r="E1123" s="4" t="s">
        <v>59</v>
      </c>
      <c r="F1123" s="4" t="s">
        <v>59</v>
      </c>
      <c r="G1123" s="6">
        <v>-80466.997866200007</v>
      </c>
      <c r="H1123" s="6">
        <f t="shared" si="18"/>
        <v>-194724.72705150716</v>
      </c>
      <c r="I1123" s="4"/>
      <c r="J1123" s="4" t="s">
        <v>68</v>
      </c>
      <c r="K1123" s="7">
        <v>76780</v>
      </c>
      <c r="L1123" s="4" t="s">
        <v>60</v>
      </c>
      <c r="M1123" s="4" t="s">
        <v>61</v>
      </c>
      <c r="N1123" s="4" t="s">
        <v>39</v>
      </c>
    </row>
    <row r="1124" spans="1:14" ht="10.5" hidden="1" x14ac:dyDescent="0.25">
      <c r="A1124" s="8" t="s">
        <v>470</v>
      </c>
      <c r="B1124" s="4" t="s">
        <v>249</v>
      </c>
      <c r="C1124" s="5">
        <v>44566</v>
      </c>
      <c r="D1124" s="4" t="s">
        <v>2458</v>
      </c>
      <c r="E1124" s="4" t="s">
        <v>2459</v>
      </c>
      <c r="F1124" s="4" t="s">
        <v>2459</v>
      </c>
      <c r="G1124" s="6">
        <v>21556.980869879601</v>
      </c>
      <c r="H1124" s="6">
        <f t="shared" si="18"/>
        <v>-173167.74618162756</v>
      </c>
      <c r="I1124" s="4" t="s">
        <v>252</v>
      </c>
      <c r="J1124" s="4" t="s">
        <v>68</v>
      </c>
      <c r="K1124" s="7">
        <v>-20569.240000000002</v>
      </c>
      <c r="L1124" s="4" t="s">
        <v>60</v>
      </c>
      <c r="M1124" s="4" t="s">
        <v>61</v>
      </c>
      <c r="N1124" s="4"/>
    </row>
    <row r="1125" spans="1:14" ht="10.5" hidden="1" x14ac:dyDescent="0.25">
      <c r="A1125" s="8" t="s">
        <v>470</v>
      </c>
      <c r="B1125" s="4" t="s">
        <v>21</v>
      </c>
      <c r="C1125" s="5">
        <v>44592</v>
      </c>
      <c r="D1125" s="4" t="s">
        <v>2460</v>
      </c>
      <c r="E1125" s="4" t="s">
        <v>2461</v>
      </c>
      <c r="F1125" s="4" t="s">
        <v>2353</v>
      </c>
      <c r="G1125" s="6">
        <v>-29.858098062100002</v>
      </c>
      <c r="H1125" s="6">
        <f t="shared" si="18"/>
        <v>-173197.60427968967</v>
      </c>
      <c r="I1125" s="4"/>
      <c r="J1125" s="4" t="s">
        <v>68</v>
      </c>
      <c r="K1125" s="7">
        <v>28.49</v>
      </c>
      <c r="L1125" s="4" t="s">
        <v>60</v>
      </c>
      <c r="M1125" s="4" t="s">
        <v>61</v>
      </c>
      <c r="N1125" s="4" t="s">
        <v>39</v>
      </c>
    </row>
    <row r="1126" spans="1:14" ht="10.5" hidden="1" x14ac:dyDescent="0.25">
      <c r="A1126" s="8" t="s">
        <v>470</v>
      </c>
      <c r="B1126" s="4" t="s">
        <v>21</v>
      </c>
      <c r="C1126" s="5">
        <v>44592</v>
      </c>
      <c r="D1126" s="4" t="s">
        <v>2460</v>
      </c>
      <c r="E1126" s="4" t="s">
        <v>2461</v>
      </c>
      <c r="F1126" s="4" t="s">
        <v>2353</v>
      </c>
      <c r="G1126" s="6">
        <v>-497.20178598180001</v>
      </c>
      <c r="H1126" s="6">
        <f t="shared" si="18"/>
        <v>-173694.80606567147</v>
      </c>
      <c r="I1126" s="4"/>
      <c r="J1126" s="4" t="s">
        <v>68</v>
      </c>
      <c r="K1126" s="7">
        <v>474.42</v>
      </c>
      <c r="L1126" s="4" t="s">
        <v>60</v>
      </c>
      <c r="M1126" s="4" t="s">
        <v>61</v>
      </c>
      <c r="N1126" s="4" t="s">
        <v>39</v>
      </c>
    </row>
    <row r="1127" spans="1:14" ht="10.5" hidden="1" x14ac:dyDescent="0.25">
      <c r="A1127" s="8" t="s">
        <v>470</v>
      </c>
      <c r="B1127" s="4" t="s">
        <v>21</v>
      </c>
      <c r="C1127" s="5">
        <v>44592</v>
      </c>
      <c r="D1127" s="4" t="s">
        <v>2460</v>
      </c>
      <c r="E1127" s="4" t="s">
        <v>2461</v>
      </c>
      <c r="F1127" s="4" t="s">
        <v>2353</v>
      </c>
      <c r="G1127" s="6">
        <v>-18.633800756199999</v>
      </c>
      <c r="H1127" s="6">
        <f t="shared" si="18"/>
        <v>-173713.43986642765</v>
      </c>
      <c r="I1127" s="4"/>
      <c r="J1127" s="4" t="s">
        <v>68</v>
      </c>
      <c r="K1127" s="7">
        <v>17.78</v>
      </c>
      <c r="L1127" s="4" t="s">
        <v>60</v>
      </c>
      <c r="M1127" s="4" t="s">
        <v>61</v>
      </c>
      <c r="N1127" s="4" t="s">
        <v>39</v>
      </c>
    </row>
    <row r="1128" spans="1:14" ht="10.5" hidden="1" x14ac:dyDescent="0.25">
      <c r="A1128" s="8" t="s">
        <v>470</v>
      </c>
      <c r="B1128" s="4" t="s">
        <v>21</v>
      </c>
      <c r="C1128" s="5">
        <v>44592</v>
      </c>
      <c r="D1128" s="4" t="s">
        <v>2460</v>
      </c>
      <c r="E1128" s="4" t="s">
        <v>2461</v>
      </c>
      <c r="F1128" s="4" t="s">
        <v>2357</v>
      </c>
      <c r="G1128" s="6">
        <v>-18401.810984805601</v>
      </c>
      <c r="H1128" s="6">
        <f t="shared" si="18"/>
        <v>-192115.25085123326</v>
      </c>
      <c r="I1128" s="4"/>
      <c r="J1128" s="4" t="s">
        <v>68</v>
      </c>
      <c r="K1128" s="7">
        <v>17558.64</v>
      </c>
      <c r="L1128" s="4" t="s">
        <v>60</v>
      </c>
      <c r="M1128" s="4" t="s">
        <v>61</v>
      </c>
      <c r="N1128" s="4" t="s">
        <v>39</v>
      </c>
    </row>
    <row r="1129" spans="1:14" ht="10.5" hidden="1" x14ac:dyDescent="0.25">
      <c r="A1129" s="8" t="s">
        <v>470</v>
      </c>
      <c r="B1129" s="4" t="s">
        <v>21</v>
      </c>
      <c r="C1129" s="5">
        <v>44592</v>
      </c>
      <c r="D1129" s="4" t="s">
        <v>2460</v>
      </c>
      <c r="E1129" s="4" t="s">
        <v>2461</v>
      </c>
      <c r="F1129" s="4" t="s">
        <v>2357</v>
      </c>
      <c r="G1129" s="6">
        <v>-1262.445241334</v>
      </c>
      <c r="H1129" s="6">
        <f t="shared" si="18"/>
        <v>-193377.69609256726</v>
      </c>
      <c r="I1129" s="4"/>
      <c r="J1129" s="4" t="s">
        <v>68</v>
      </c>
      <c r="K1129" s="7">
        <v>1204.5999999999999</v>
      </c>
      <c r="L1129" s="4" t="s">
        <v>60</v>
      </c>
      <c r="M1129" s="4" t="s">
        <v>61</v>
      </c>
      <c r="N1129" s="4" t="s">
        <v>39</v>
      </c>
    </row>
    <row r="1130" spans="1:14" ht="10.5" hidden="1" x14ac:dyDescent="0.25">
      <c r="A1130" s="8" t="s">
        <v>470</v>
      </c>
      <c r="B1130" s="4" t="s">
        <v>21</v>
      </c>
      <c r="C1130" s="5">
        <v>44592</v>
      </c>
      <c r="D1130" s="4" t="s">
        <v>2460</v>
      </c>
      <c r="E1130" s="4" t="s">
        <v>2461</v>
      </c>
      <c r="F1130" s="4" t="s">
        <v>2357</v>
      </c>
      <c r="G1130" s="6">
        <v>-1892.7246437399999</v>
      </c>
      <c r="H1130" s="6">
        <f t="shared" si="18"/>
        <v>-195270.42073630725</v>
      </c>
      <c r="I1130" s="4"/>
      <c r="J1130" s="4" t="s">
        <v>68</v>
      </c>
      <c r="K1130" s="7">
        <v>1806</v>
      </c>
      <c r="L1130" s="4" t="s">
        <v>60</v>
      </c>
      <c r="M1130" s="4" t="s">
        <v>61</v>
      </c>
      <c r="N1130" s="4" t="s">
        <v>39</v>
      </c>
    </row>
    <row r="1131" spans="1:14" ht="10.5" hidden="1" x14ac:dyDescent="0.25">
      <c r="A1131" s="8" t="s">
        <v>470</v>
      </c>
      <c r="B1131" s="4" t="s">
        <v>21</v>
      </c>
      <c r="C1131" s="5">
        <v>44592</v>
      </c>
      <c r="D1131" s="4" t="s">
        <v>2460</v>
      </c>
      <c r="E1131" s="4" t="s">
        <v>2461</v>
      </c>
      <c r="F1131" s="4" t="s">
        <v>2355</v>
      </c>
      <c r="G1131" s="6">
        <v>-11184.9022231989</v>
      </c>
      <c r="H1131" s="6">
        <f t="shared" si="18"/>
        <v>-206455.32295950616</v>
      </c>
      <c r="I1131" s="4"/>
      <c r="J1131" s="4" t="s">
        <v>68</v>
      </c>
      <c r="K1131" s="7">
        <v>10672.41</v>
      </c>
      <c r="L1131" s="4" t="s">
        <v>60</v>
      </c>
      <c r="M1131" s="4" t="s">
        <v>61</v>
      </c>
      <c r="N1131" s="4" t="s">
        <v>39</v>
      </c>
    </row>
    <row r="1132" spans="1:14" ht="10.5" hidden="1" x14ac:dyDescent="0.25">
      <c r="A1132" s="8" t="s">
        <v>470</v>
      </c>
      <c r="B1132" s="4" t="s">
        <v>21</v>
      </c>
      <c r="C1132" s="5">
        <v>44592</v>
      </c>
      <c r="D1132" s="4" t="s">
        <v>2460</v>
      </c>
      <c r="E1132" s="4" t="s">
        <v>2461</v>
      </c>
      <c r="F1132" s="4" t="s">
        <v>2355</v>
      </c>
      <c r="G1132" s="6">
        <v>-419.27099721740001</v>
      </c>
      <c r="H1132" s="6">
        <f t="shared" si="18"/>
        <v>-206874.59395672355</v>
      </c>
      <c r="I1132" s="4"/>
      <c r="J1132" s="4" t="s">
        <v>68</v>
      </c>
      <c r="K1132" s="7">
        <v>400.06</v>
      </c>
      <c r="L1132" s="4" t="s">
        <v>60</v>
      </c>
      <c r="M1132" s="4" t="s">
        <v>61</v>
      </c>
      <c r="N1132" s="4" t="s">
        <v>39</v>
      </c>
    </row>
    <row r="1133" spans="1:14" ht="10.5" hidden="1" x14ac:dyDescent="0.25">
      <c r="A1133" s="8" t="s">
        <v>470</v>
      </c>
      <c r="B1133" s="4" t="s">
        <v>21</v>
      </c>
      <c r="C1133" s="5">
        <v>44592</v>
      </c>
      <c r="D1133" s="4" t="s">
        <v>2460</v>
      </c>
      <c r="E1133" s="4" t="s">
        <v>2461</v>
      </c>
      <c r="F1133" s="4" t="s">
        <v>2355</v>
      </c>
      <c r="G1133" s="6">
        <v>-671.70764446969997</v>
      </c>
      <c r="H1133" s="6">
        <f t="shared" si="18"/>
        <v>-207546.30160119323</v>
      </c>
      <c r="I1133" s="4"/>
      <c r="J1133" s="4" t="s">
        <v>68</v>
      </c>
      <c r="K1133" s="7">
        <v>640.92999999999995</v>
      </c>
      <c r="L1133" s="4" t="s">
        <v>60</v>
      </c>
      <c r="M1133" s="4" t="s">
        <v>61</v>
      </c>
      <c r="N1133" s="4" t="s">
        <v>39</v>
      </c>
    </row>
    <row r="1134" spans="1:14" ht="10.5" hidden="1" x14ac:dyDescent="0.25">
      <c r="A1134" s="8" t="s">
        <v>470</v>
      </c>
      <c r="B1134" s="4" t="s">
        <v>21</v>
      </c>
      <c r="C1134" s="5">
        <v>44592</v>
      </c>
      <c r="D1134" s="4" t="s">
        <v>2460</v>
      </c>
      <c r="E1134" s="4" t="s">
        <v>2461</v>
      </c>
      <c r="F1134" s="4" t="s">
        <v>2356</v>
      </c>
      <c r="G1134" s="6">
        <v>-2498.3965297367999</v>
      </c>
      <c r="H1134" s="6">
        <f t="shared" si="18"/>
        <v>-210044.69813093005</v>
      </c>
      <c r="I1134" s="4"/>
      <c r="J1134" s="4" t="s">
        <v>68</v>
      </c>
      <c r="K1134" s="7">
        <v>2383.92</v>
      </c>
      <c r="L1134" s="4" t="s">
        <v>60</v>
      </c>
      <c r="M1134" s="4" t="s">
        <v>61</v>
      </c>
      <c r="N1134" s="4" t="s">
        <v>39</v>
      </c>
    </row>
    <row r="1135" spans="1:14" ht="10.5" hidden="1" x14ac:dyDescent="0.25">
      <c r="A1135" s="8" t="s">
        <v>470</v>
      </c>
      <c r="B1135" s="4" t="s">
        <v>21</v>
      </c>
      <c r="C1135" s="5">
        <v>44592</v>
      </c>
      <c r="D1135" s="4" t="s">
        <v>2460</v>
      </c>
      <c r="E1135" s="4" t="s">
        <v>2461</v>
      </c>
      <c r="F1135" s="4" t="s">
        <v>2356</v>
      </c>
      <c r="G1135" s="6">
        <v>-93.169003781000001</v>
      </c>
      <c r="H1135" s="6">
        <f t="shared" si="18"/>
        <v>-210137.86713471104</v>
      </c>
      <c r="I1135" s="4"/>
      <c r="J1135" s="4" t="s">
        <v>68</v>
      </c>
      <c r="K1135" s="7">
        <v>88.9</v>
      </c>
      <c r="L1135" s="4" t="s">
        <v>60</v>
      </c>
      <c r="M1135" s="4" t="s">
        <v>61</v>
      </c>
      <c r="N1135" s="4" t="s">
        <v>39</v>
      </c>
    </row>
    <row r="1136" spans="1:14" ht="10.5" hidden="1" x14ac:dyDescent="0.25">
      <c r="A1136" s="8" t="s">
        <v>470</v>
      </c>
      <c r="B1136" s="4" t="s">
        <v>21</v>
      </c>
      <c r="C1136" s="5">
        <v>44592</v>
      </c>
      <c r="D1136" s="4" t="s">
        <v>2460</v>
      </c>
      <c r="E1136" s="4" t="s">
        <v>2461</v>
      </c>
      <c r="F1136" s="4" t="s">
        <v>2356</v>
      </c>
      <c r="G1136" s="6">
        <v>-149.26952990469999</v>
      </c>
      <c r="H1136" s="6">
        <f t="shared" si="18"/>
        <v>-210287.13666461574</v>
      </c>
      <c r="I1136" s="4"/>
      <c r="J1136" s="4" t="s">
        <v>68</v>
      </c>
      <c r="K1136" s="7">
        <v>142.43</v>
      </c>
      <c r="L1136" s="4" t="s">
        <v>60</v>
      </c>
      <c r="M1136" s="4" t="s">
        <v>61</v>
      </c>
      <c r="N1136" s="4" t="s">
        <v>39</v>
      </c>
    </row>
    <row r="1137" spans="1:14" ht="10.5" hidden="1" x14ac:dyDescent="0.25">
      <c r="A1137" s="8" t="s">
        <v>470</v>
      </c>
      <c r="B1137" s="4" t="s">
        <v>21</v>
      </c>
      <c r="C1137" s="5">
        <v>44592</v>
      </c>
      <c r="D1137" s="4" t="s">
        <v>2460</v>
      </c>
      <c r="E1137" s="4" t="s">
        <v>2461</v>
      </c>
      <c r="F1137" s="4" t="s">
        <v>2354</v>
      </c>
      <c r="G1137" s="6">
        <v>-2244.545055093</v>
      </c>
      <c r="H1137" s="6">
        <f t="shared" si="18"/>
        <v>-212531.68171970875</v>
      </c>
      <c r="I1137" s="4"/>
      <c r="J1137" s="4" t="s">
        <v>68</v>
      </c>
      <c r="K1137" s="7">
        <v>2141.6999999999998</v>
      </c>
      <c r="L1137" s="4" t="s">
        <v>60</v>
      </c>
      <c r="M1137" s="4" t="s">
        <v>61</v>
      </c>
      <c r="N1137" s="4" t="s">
        <v>39</v>
      </c>
    </row>
    <row r="1138" spans="1:14" ht="10.5" hidden="1" x14ac:dyDescent="0.25">
      <c r="A1138" s="8" t="s">
        <v>470</v>
      </c>
      <c r="B1138" s="4" t="s">
        <v>21</v>
      </c>
      <c r="C1138" s="5">
        <v>44592</v>
      </c>
      <c r="D1138" s="4" t="s">
        <v>2460</v>
      </c>
      <c r="E1138" s="4" t="s">
        <v>2461</v>
      </c>
      <c r="F1138" s="4" t="s">
        <v>2354</v>
      </c>
      <c r="G1138" s="6">
        <v>-83.873063808699996</v>
      </c>
      <c r="H1138" s="6">
        <f t="shared" si="18"/>
        <v>-212615.55478351747</v>
      </c>
      <c r="I1138" s="4"/>
      <c r="J1138" s="4" t="s">
        <v>68</v>
      </c>
      <c r="K1138" s="7">
        <v>80.03</v>
      </c>
      <c r="L1138" s="4" t="s">
        <v>60</v>
      </c>
      <c r="M1138" s="4" t="s">
        <v>61</v>
      </c>
      <c r="N1138" s="4" t="s">
        <v>39</v>
      </c>
    </row>
    <row r="1139" spans="1:14" ht="10.5" hidden="1" x14ac:dyDescent="0.25">
      <c r="A1139" s="8" t="s">
        <v>470</v>
      </c>
      <c r="B1139" s="4" t="s">
        <v>21</v>
      </c>
      <c r="C1139" s="5">
        <v>44592</v>
      </c>
      <c r="D1139" s="4" t="s">
        <v>2460</v>
      </c>
      <c r="E1139" s="4" t="s">
        <v>2461</v>
      </c>
      <c r="F1139" s="4" t="s">
        <v>2354</v>
      </c>
      <c r="G1139" s="6">
        <v>-134.3142803664</v>
      </c>
      <c r="H1139" s="6">
        <f t="shared" si="18"/>
        <v>-212749.86906388387</v>
      </c>
      <c r="I1139" s="4"/>
      <c r="J1139" s="4" t="s">
        <v>68</v>
      </c>
      <c r="K1139" s="7">
        <v>128.16</v>
      </c>
      <c r="L1139" s="4" t="s">
        <v>60</v>
      </c>
      <c r="M1139" s="4" t="s">
        <v>61</v>
      </c>
      <c r="N1139" s="4" t="s">
        <v>39</v>
      </c>
    </row>
    <row r="1140" spans="1:14" ht="10.5" hidden="1" x14ac:dyDescent="0.25">
      <c r="A1140" s="8" t="s">
        <v>470</v>
      </c>
      <c r="B1140" s="4" t="s">
        <v>21</v>
      </c>
      <c r="C1140" s="5">
        <v>44592</v>
      </c>
      <c r="D1140" s="4" t="s">
        <v>2460</v>
      </c>
      <c r="E1140" s="4" t="s">
        <v>2461</v>
      </c>
      <c r="F1140" s="4" t="s">
        <v>2462</v>
      </c>
      <c r="G1140" s="6">
        <v>-39545.075365004799</v>
      </c>
      <c r="H1140" s="6">
        <f t="shared" si="18"/>
        <v>-252294.94442888867</v>
      </c>
      <c r="I1140" s="4"/>
      <c r="J1140" s="4" t="s">
        <v>68</v>
      </c>
      <c r="K1140" s="7">
        <v>37733.120000000003</v>
      </c>
      <c r="L1140" s="4" t="s">
        <v>60</v>
      </c>
      <c r="M1140" s="4" t="s">
        <v>61</v>
      </c>
      <c r="N1140" s="4" t="s">
        <v>39</v>
      </c>
    </row>
    <row r="1141" spans="1:14" ht="10.5" hidden="1" x14ac:dyDescent="0.25">
      <c r="A1141" s="8" t="s">
        <v>470</v>
      </c>
      <c r="B1141" s="4" t="s">
        <v>21</v>
      </c>
      <c r="C1141" s="5">
        <v>44592</v>
      </c>
      <c r="D1141" s="4" t="s">
        <v>2460</v>
      </c>
      <c r="E1141" s="4" t="s">
        <v>2461</v>
      </c>
      <c r="F1141" s="4" t="s">
        <v>2463</v>
      </c>
      <c r="G1141" s="6">
        <v>-2373.3677091397999</v>
      </c>
      <c r="H1141" s="6">
        <f t="shared" si="18"/>
        <v>-254668.31213802847</v>
      </c>
      <c r="I1141" s="4"/>
      <c r="J1141" s="4" t="s">
        <v>68</v>
      </c>
      <c r="K1141" s="7">
        <v>2264.62</v>
      </c>
      <c r="L1141" s="4" t="s">
        <v>60</v>
      </c>
      <c r="M1141" s="4" t="s">
        <v>61</v>
      </c>
      <c r="N1141" s="4" t="s">
        <v>39</v>
      </c>
    </row>
    <row r="1142" spans="1:14" ht="10.5" hidden="1" x14ac:dyDescent="0.25">
      <c r="A1142" s="8" t="s">
        <v>470</v>
      </c>
      <c r="B1142" s="4" t="s">
        <v>21</v>
      </c>
      <c r="C1142" s="5">
        <v>44592</v>
      </c>
      <c r="D1142" s="4" t="s">
        <v>2460</v>
      </c>
      <c r="E1142" s="4" t="s">
        <v>2461</v>
      </c>
      <c r="F1142" s="4" t="s">
        <v>2464</v>
      </c>
      <c r="G1142" s="6">
        <v>-1481.4395611324001</v>
      </c>
      <c r="H1142" s="6">
        <f t="shared" si="18"/>
        <v>-256149.75169916087</v>
      </c>
      <c r="I1142" s="4"/>
      <c r="J1142" s="4" t="s">
        <v>68</v>
      </c>
      <c r="K1142" s="7">
        <v>1413.56</v>
      </c>
      <c r="L1142" s="4" t="s">
        <v>60</v>
      </c>
      <c r="M1142" s="4" t="s">
        <v>61</v>
      </c>
      <c r="N1142" s="4" t="s">
        <v>39</v>
      </c>
    </row>
    <row r="1143" spans="1:14" ht="10.5" hidden="1" x14ac:dyDescent="0.25">
      <c r="A1143" s="8" t="s">
        <v>470</v>
      </c>
      <c r="B1143" s="4" t="s">
        <v>21</v>
      </c>
      <c r="C1143" s="5">
        <v>44592</v>
      </c>
      <c r="D1143" s="4" t="s">
        <v>85</v>
      </c>
      <c r="E1143" s="4" t="s">
        <v>86</v>
      </c>
      <c r="F1143" s="4" t="s">
        <v>86</v>
      </c>
      <c r="G1143" s="6">
        <v>-110988.49277187001</v>
      </c>
      <c r="H1143" s="6">
        <f t="shared" si="18"/>
        <v>-367138.24447103089</v>
      </c>
      <c r="I1143" s="4"/>
      <c r="J1143" s="4" t="s">
        <v>68</v>
      </c>
      <c r="K1143" s="7">
        <v>105903</v>
      </c>
      <c r="L1143" s="4" t="s">
        <v>60</v>
      </c>
      <c r="M1143" s="4" t="s">
        <v>61</v>
      </c>
      <c r="N1143" s="4" t="s">
        <v>39</v>
      </c>
    </row>
    <row r="1144" spans="1:14" ht="10.5" hidden="1" x14ac:dyDescent="0.25">
      <c r="A1144" s="8" t="s">
        <v>470</v>
      </c>
      <c r="B1144" s="4" t="s">
        <v>21</v>
      </c>
      <c r="C1144" s="5">
        <v>44592</v>
      </c>
      <c r="D1144" s="4" t="s">
        <v>87</v>
      </c>
      <c r="E1144" s="4" t="s">
        <v>88</v>
      </c>
      <c r="F1144" s="4" t="s">
        <v>88</v>
      </c>
      <c r="G1144" s="6">
        <v>-25746.630622806799</v>
      </c>
      <c r="H1144" s="6">
        <f t="shared" si="18"/>
        <v>-392884.87509383768</v>
      </c>
      <c r="I1144" s="4"/>
      <c r="J1144" s="4" t="s">
        <v>68</v>
      </c>
      <c r="K1144" s="7">
        <v>24566.92</v>
      </c>
      <c r="L1144" s="4" t="s">
        <v>60</v>
      </c>
      <c r="M1144" s="4" t="s">
        <v>61</v>
      </c>
      <c r="N1144" s="4" t="s">
        <v>39</v>
      </c>
    </row>
    <row r="1145" spans="1:14" ht="10.5" hidden="1" x14ac:dyDescent="0.25">
      <c r="A1145" s="8" t="s">
        <v>470</v>
      </c>
      <c r="B1145" s="4" t="s">
        <v>21</v>
      </c>
      <c r="C1145" s="5">
        <v>44592</v>
      </c>
      <c r="D1145" s="4" t="s">
        <v>2465</v>
      </c>
      <c r="E1145" s="4" t="s">
        <v>2466</v>
      </c>
      <c r="F1145" s="4" t="s">
        <v>2466</v>
      </c>
      <c r="G1145" s="6">
        <v>-23685.604400695702</v>
      </c>
      <c r="H1145" s="6">
        <f t="shared" si="18"/>
        <v>-416570.47949453339</v>
      </c>
      <c r="I1145" s="4"/>
      <c r="J1145" s="4" t="s">
        <v>68</v>
      </c>
      <c r="K1145" s="7">
        <v>22600.33</v>
      </c>
      <c r="L1145" s="4" t="s">
        <v>60</v>
      </c>
      <c r="M1145" s="4" t="s">
        <v>61</v>
      </c>
      <c r="N1145" s="4" t="s">
        <v>39</v>
      </c>
    </row>
    <row r="1146" spans="1:14" ht="10.5" hidden="1" x14ac:dyDescent="0.25">
      <c r="A1146" s="8" t="s">
        <v>470</v>
      </c>
      <c r="B1146" s="4" t="s">
        <v>21</v>
      </c>
      <c r="C1146" s="5">
        <v>44592</v>
      </c>
      <c r="D1146" s="4" t="s">
        <v>2467</v>
      </c>
      <c r="E1146" s="4" t="s">
        <v>2468</v>
      </c>
      <c r="F1146" s="4" t="s">
        <v>2468</v>
      </c>
      <c r="G1146" s="6">
        <v>-20541.197683999999</v>
      </c>
      <c r="H1146" s="6">
        <f t="shared" si="18"/>
        <v>-437111.6771785334</v>
      </c>
      <c r="I1146" s="4"/>
      <c r="J1146" s="4" t="s">
        <v>68</v>
      </c>
      <c r="K1146" s="7">
        <v>19600</v>
      </c>
      <c r="L1146" s="4" t="s">
        <v>60</v>
      </c>
      <c r="M1146" s="4" t="s">
        <v>61</v>
      </c>
      <c r="N1146" s="4" t="s">
        <v>39</v>
      </c>
    </row>
    <row r="1147" spans="1:14" ht="10.5" hidden="1" x14ac:dyDescent="0.25">
      <c r="A1147" s="8" t="s">
        <v>470</v>
      </c>
      <c r="B1147" s="4" t="s">
        <v>21</v>
      </c>
      <c r="C1147" s="5">
        <v>44592</v>
      </c>
      <c r="D1147" s="4" t="s">
        <v>2469</v>
      </c>
      <c r="E1147" s="4" t="s">
        <v>2470</v>
      </c>
      <c r="F1147" s="4" t="s">
        <v>2450</v>
      </c>
      <c r="G1147" s="6">
        <v>-38294.6613966</v>
      </c>
      <c r="H1147" s="6">
        <f t="shared" si="18"/>
        <v>-475406.33857513341</v>
      </c>
      <c r="I1147" s="4"/>
      <c r="J1147" s="4" t="s">
        <v>68</v>
      </c>
      <c r="K1147" s="7">
        <v>36540</v>
      </c>
      <c r="L1147" s="4" t="s">
        <v>60</v>
      </c>
      <c r="M1147" s="4" t="s">
        <v>61</v>
      </c>
      <c r="N1147" s="4" t="s">
        <v>39</v>
      </c>
    </row>
    <row r="1148" spans="1:14" ht="10.5" hidden="1" x14ac:dyDescent="0.25">
      <c r="A1148" s="8" t="s">
        <v>470</v>
      </c>
      <c r="B1148" s="4" t="s">
        <v>21</v>
      </c>
      <c r="C1148" s="5">
        <v>44593</v>
      </c>
      <c r="D1148" s="4" t="s">
        <v>92</v>
      </c>
      <c r="E1148" s="4" t="s">
        <v>88</v>
      </c>
      <c r="F1148" s="4" t="s">
        <v>88</v>
      </c>
      <c r="G1148" s="6">
        <v>25746.630622806799</v>
      </c>
      <c r="H1148" s="6">
        <f t="shared" si="18"/>
        <v>-449659.70795232663</v>
      </c>
      <c r="I1148" s="4"/>
      <c r="J1148" s="4" t="s">
        <v>68</v>
      </c>
      <c r="K1148" s="7">
        <v>-24566.92</v>
      </c>
      <c r="L1148" s="4" t="s">
        <v>26</v>
      </c>
      <c r="M1148" s="4" t="s">
        <v>61</v>
      </c>
      <c r="N1148" s="4" t="s">
        <v>39</v>
      </c>
    </row>
    <row r="1149" spans="1:14" ht="10.5" hidden="1" x14ac:dyDescent="0.25">
      <c r="A1149" s="8" t="s">
        <v>470</v>
      </c>
      <c r="B1149" s="4" t="s">
        <v>21</v>
      </c>
      <c r="C1149" s="5">
        <v>44593</v>
      </c>
      <c r="D1149" s="4" t="s">
        <v>2471</v>
      </c>
      <c r="E1149" s="4" t="s">
        <v>2466</v>
      </c>
      <c r="F1149" s="4" t="s">
        <v>2466</v>
      </c>
      <c r="G1149" s="6">
        <v>23685.604400695702</v>
      </c>
      <c r="H1149" s="6">
        <f t="shared" si="18"/>
        <v>-425974.10355163092</v>
      </c>
      <c r="I1149" s="4"/>
      <c r="J1149" s="4" t="s">
        <v>68</v>
      </c>
      <c r="K1149" s="7">
        <v>-22600.33</v>
      </c>
      <c r="L1149" s="4" t="s">
        <v>26</v>
      </c>
      <c r="M1149" s="4" t="s">
        <v>61</v>
      </c>
      <c r="N1149" s="4" t="s">
        <v>39</v>
      </c>
    </row>
    <row r="1150" spans="1:14" ht="10.5" hidden="1" x14ac:dyDescent="0.25">
      <c r="A1150" s="8" t="s">
        <v>470</v>
      </c>
      <c r="B1150" s="4" t="s">
        <v>249</v>
      </c>
      <c r="C1150" s="5">
        <v>44596</v>
      </c>
      <c r="D1150" s="4" t="s">
        <v>2472</v>
      </c>
      <c r="E1150" s="4" t="s">
        <v>2473</v>
      </c>
      <c r="F1150" s="4" t="s">
        <v>2473</v>
      </c>
      <c r="G1150" s="6">
        <v>11352.5330685844</v>
      </c>
      <c r="H1150" s="6">
        <f t="shared" si="18"/>
        <v>-414621.57048304653</v>
      </c>
      <c r="I1150" s="4" t="s">
        <v>252</v>
      </c>
      <c r="J1150" s="4" t="s">
        <v>68</v>
      </c>
      <c r="K1150" s="7">
        <v>-10832.36</v>
      </c>
      <c r="L1150" s="4" t="s">
        <v>26</v>
      </c>
      <c r="M1150" s="4" t="s">
        <v>61</v>
      </c>
      <c r="N1150" s="4"/>
    </row>
    <row r="1151" spans="1:14" ht="10.5" hidden="1" x14ac:dyDescent="0.25">
      <c r="A1151" s="8" t="s">
        <v>470</v>
      </c>
      <c r="B1151" s="4" t="s">
        <v>249</v>
      </c>
      <c r="C1151" s="5">
        <v>44616</v>
      </c>
      <c r="D1151" s="4" t="s">
        <v>2474</v>
      </c>
      <c r="E1151" s="4" t="s">
        <v>2475</v>
      </c>
      <c r="F1151" s="4" t="s">
        <v>2475</v>
      </c>
      <c r="G1151" s="6">
        <v>454.10719165699999</v>
      </c>
      <c r="H1151" s="6">
        <f t="shared" si="18"/>
        <v>-414167.46329138952</v>
      </c>
      <c r="I1151" s="4" t="s">
        <v>252</v>
      </c>
      <c r="J1151" s="4" t="s">
        <v>68</v>
      </c>
      <c r="K1151" s="7">
        <v>-433.3</v>
      </c>
      <c r="L1151" s="4" t="s">
        <v>26</v>
      </c>
      <c r="M1151" s="4" t="s">
        <v>61</v>
      </c>
      <c r="N1151" s="4"/>
    </row>
    <row r="1152" spans="1:14" ht="10.5" hidden="1" x14ac:dyDescent="0.25">
      <c r="A1152" s="8" t="s">
        <v>470</v>
      </c>
      <c r="B1152" s="4" t="s">
        <v>249</v>
      </c>
      <c r="C1152" s="5">
        <v>44616</v>
      </c>
      <c r="D1152" s="4" t="s">
        <v>2476</v>
      </c>
      <c r="E1152" s="4" t="s">
        <v>2477</v>
      </c>
      <c r="F1152" s="4" t="s">
        <v>2477</v>
      </c>
      <c r="G1152" s="6">
        <v>93624.494359439806</v>
      </c>
      <c r="H1152" s="6">
        <f t="shared" si="18"/>
        <v>-320542.9689319497</v>
      </c>
      <c r="I1152" s="4" t="s">
        <v>252</v>
      </c>
      <c r="J1152" s="4" t="s">
        <v>68</v>
      </c>
      <c r="K1152" s="7">
        <v>-89334.62</v>
      </c>
      <c r="L1152" s="4" t="s">
        <v>26</v>
      </c>
      <c r="M1152" s="4" t="s">
        <v>61</v>
      </c>
      <c r="N1152" s="4"/>
    </row>
    <row r="1153" spans="1:14" ht="10.5" hidden="1" x14ac:dyDescent="0.25">
      <c r="A1153" s="8" t="s">
        <v>470</v>
      </c>
      <c r="B1153" s="4" t="s">
        <v>21</v>
      </c>
      <c r="C1153" s="5">
        <v>44620</v>
      </c>
      <c r="D1153" s="4" t="s">
        <v>2478</v>
      </c>
      <c r="E1153" s="4" t="s">
        <v>2479</v>
      </c>
      <c r="F1153" s="4" t="s">
        <v>2353</v>
      </c>
      <c r="G1153" s="6">
        <v>-23.1088473945</v>
      </c>
      <c r="H1153" s="6">
        <f t="shared" si="18"/>
        <v>-320566.07777934422</v>
      </c>
      <c r="I1153" s="4"/>
      <c r="J1153" s="4" t="s">
        <v>68</v>
      </c>
      <c r="K1153" s="7">
        <v>22.05</v>
      </c>
      <c r="L1153" s="4" t="s">
        <v>26</v>
      </c>
      <c r="M1153" s="4" t="s">
        <v>61</v>
      </c>
      <c r="N1153" s="4" t="s">
        <v>39</v>
      </c>
    </row>
    <row r="1154" spans="1:14" ht="10.5" hidden="1" x14ac:dyDescent="0.25">
      <c r="A1154" s="8" t="s">
        <v>470</v>
      </c>
      <c r="B1154" s="4" t="s">
        <v>21</v>
      </c>
      <c r="C1154" s="5">
        <v>44620</v>
      </c>
      <c r="D1154" s="4" t="s">
        <v>2478</v>
      </c>
      <c r="E1154" s="4" t="s">
        <v>2479</v>
      </c>
      <c r="F1154" s="4" t="s">
        <v>2353</v>
      </c>
      <c r="G1154" s="6">
        <v>-277.98738192249999</v>
      </c>
      <c r="H1154" s="6">
        <f t="shared" si="18"/>
        <v>-320844.06516126671</v>
      </c>
      <c r="I1154" s="4"/>
      <c r="J1154" s="4" t="s">
        <v>68</v>
      </c>
      <c r="K1154" s="7">
        <v>265.25</v>
      </c>
      <c r="L1154" s="4" t="s">
        <v>26</v>
      </c>
      <c r="M1154" s="4" t="s">
        <v>61</v>
      </c>
      <c r="N1154" s="4" t="s">
        <v>39</v>
      </c>
    </row>
    <row r="1155" spans="1:14" ht="10.5" hidden="1" x14ac:dyDescent="0.25">
      <c r="A1155" s="8" t="s">
        <v>470</v>
      </c>
      <c r="B1155" s="4" t="s">
        <v>21</v>
      </c>
      <c r="C1155" s="5">
        <v>44620</v>
      </c>
      <c r="D1155" s="4" t="s">
        <v>2478</v>
      </c>
      <c r="E1155" s="4" t="s">
        <v>2479</v>
      </c>
      <c r="F1155" s="4" t="s">
        <v>2353</v>
      </c>
      <c r="G1155" s="6">
        <v>-10.417321682600001</v>
      </c>
      <c r="H1155" s="6">
        <f t="shared" si="18"/>
        <v>-320854.48248294933</v>
      </c>
      <c r="I1155" s="4"/>
      <c r="J1155" s="4" t="s">
        <v>68</v>
      </c>
      <c r="K1155" s="7">
        <v>9.94</v>
      </c>
      <c r="L1155" s="4" t="s">
        <v>26</v>
      </c>
      <c r="M1155" s="4" t="s">
        <v>61</v>
      </c>
      <c r="N1155" s="4" t="s">
        <v>39</v>
      </c>
    </row>
    <row r="1156" spans="1:14" ht="10.5" hidden="1" x14ac:dyDescent="0.25">
      <c r="A1156" s="8" t="s">
        <v>470</v>
      </c>
      <c r="B1156" s="4" t="s">
        <v>21</v>
      </c>
      <c r="C1156" s="5">
        <v>44620</v>
      </c>
      <c r="D1156" s="4" t="s">
        <v>2478</v>
      </c>
      <c r="E1156" s="4" t="s">
        <v>2479</v>
      </c>
      <c r="F1156" s="4" t="s">
        <v>2462</v>
      </c>
      <c r="G1156" s="6">
        <v>-22156.9096046872</v>
      </c>
      <c r="H1156" s="6">
        <f t="shared" si="18"/>
        <v>-343011.39208763652</v>
      </c>
      <c r="I1156" s="4"/>
      <c r="J1156" s="4" t="s">
        <v>68</v>
      </c>
      <c r="K1156" s="7">
        <v>21141.68</v>
      </c>
      <c r="L1156" s="4" t="s">
        <v>26</v>
      </c>
      <c r="M1156" s="4" t="s">
        <v>61</v>
      </c>
      <c r="N1156" s="4" t="s">
        <v>39</v>
      </c>
    </row>
    <row r="1157" spans="1:14" ht="10.5" hidden="1" x14ac:dyDescent="0.25">
      <c r="A1157" s="8" t="s">
        <v>470</v>
      </c>
      <c r="B1157" s="4" t="s">
        <v>21</v>
      </c>
      <c r="C1157" s="5">
        <v>44620</v>
      </c>
      <c r="D1157" s="4" t="s">
        <v>2478</v>
      </c>
      <c r="E1157" s="4" t="s">
        <v>2479</v>
      </c>
      <c r="F1157" s="4" t="s">
        <v>2355</v>
      </c>
      <c r="G1157" s="6">
        <v>-6253.6837932706003</v>
      </c>
      <c r="H1157" s="6">
        <f t="shared" si="18"/>
        <v>-349265.07588090713</v>
      </c>
      <c r="I1157" s="4"/>
      <c r="J1157" s="4" t="s">
        <v>68</v>
      </c>
      <c r="K1157" s="7">
        <v>5967.14</v>
      </c>
      <c r="L1157" s="4" t="s">
        <v>26</v>
      </c>
      <c r="M1157" s="4" t="s">
        <v>61</v>
      </c>
      <c r="N1157" s="4" t="s">
        <v>39</v>
      </c>
    </row>
    <row r="1158" spans="1:14" ht="10.5" hidden="1" x14ac:dyDescent="0.25">
      <c r="A1158" s="8" t="s">
        <v>470</v>
      </c>
      <c r="B1158" s="4" t="s">
        <v>21</v>
      </c>
      <c r="C1158" s="5">
        <v>44620</v>
      </c>
      <c r="D1158" s="4" t="s">
        <v>2478</v>
      </c>
      <c r="E1158" s="4" t="s">
        <v>2479</v>
      </c>
      <c r="F1158" s="4" t="s">
        <v>2356</v>
      </c>
      <c r="G1158" s="6">
        <v>-1389.7587461631999</v>
      </c>
      <c r="H1158" s="6">
        <f t="shared" si="18"/>
        <v>-350654.83462707035</v>
      </c>
      <c r="I1158" s="4"/>
      <c r="J1158" s="4" t="s">
        <v>68</v>
      </c>
      <c r="K1158" s="7">
        <v>1326.08</v>
      </c>
      <c r="L1158" s="4" t="s">
        <v>26</v>
      </c>
      <c r="M1158" s="4" t="s">
        <v>61</v>
      </c>
      <c r="N1158" s="4" t="s">
        <v>39</v>
      </c>
    </row>
    <row r="1159" spans="1:14" ht="10.5" hidden="1" x14ac:dyDescent="0.25">
      <c r="A1159" s="8" t="s">
        <v>470</v>
      </c>
      <c r="B1159" s="4" t="s">
        <v>21</v>
      </c>
      <c r="C1159" s="5">
        <v>44620</v>
      </c>
      <c r="D1159" s="4" t="s">
        <v>2478</v>
      </c>
      <c r="E1159" s="4" t="s">
        <v>2479</v>
      </c>
      <c r="F1159" s="4" t="s">
        <v>2354</v>
      </c>
      <c r="G1159" s="6">
        <v>-1250.7807755063</v>
      </c>
      <c r="H1159" s="6">
        <f t="shared" si="18"/>
        <v>-351905.61540257663</v>
      </c>
      <c r="I1159" s="4"/>
      <c r="J1159" s="4" t="s">
        <v>68</v>
      </c>
      <c r="K1159" s="7">
        <v>1193.47</v>
      </c>
      <c r="L1159" s="4" t="s">
        <v>26</v>
      </c>
      <c r="M1159" s="4" t="s">
        <v>61</v>
      </c>
      <c r="N1159" s="4" t="s">
        <v>39</v>
      </c>
    </row>
    <row r="1160" spans="1:14" ht="10.5" hidden="1" x14ac:dyDescent="0.25">
      <c r="A1160" s="8" t="s">
        <v>470</v>
      </c>
      <c r="B1160" s="4" t="s">
        <v>21</v>
      </c>
      <c r="C1160" s="5">
        <v>44620</v>
      </c>
      <c r="D1160" s="4" t="s">
        <v>2478</v>
      </c>
      <c r="E1160" s="4" t="s">
        <v>2479</v>
      </c>
      <c r="F1160" s="4" t="s">
        <v>2357</v>
      </c>
      <c r="G1160" s="6">
        <v>-9458.8861669891994</v>
      </c>
      <c r="H1160" s="6">
        <f t="shared" si="18"/>
        <v>-361364.50156956585</v>
      </c>
      <c r="I1160" s="4"/>
      <c r="J1160" s="4" t="s">
        <v>68</v>
      </c>
      <c r="K1160" s="7">
        <v>9025.48</v>
      </c>
      <c r="L1160" s="4" t="s">
        <v>26</v>
      </c>
      <c r="M1160" s="4" t="s">
        <v>61</v>
      </c>
      <c r="N1160" s="4" t="s">
        <v>39</v>
      </c>
    </row>
    <row r="1161" spans="1:14" ht="10.5" hidden="1" x14ac:dyDescent="0.25">
      <c r="A1161" s="8" t="s">
        <v>470</v>
      </c>
      <c r="B1161" s="4" t="s">
        <v>21</v>
      </c>
      <c r="C1161" s="5">
        <v>44620</v>
      </c>
      <c r="D1161" s="4" t="s">
        <v>2478</v>
      </c>
      <c r="E1161" s="4" t="s">
        <v>2479</v>
      </c>
      <c r="F1161" s="4" t="s">
        <v>2354</v>
      </c>
      <c r="G1161" s="6">
        <v>-103.9007315506</v>
      </c>
      <c r="H1161" s="6">
        <f t="shared" si="18"/>
        <v>-361468.40230111644</v>
      </c>
      <c r="I1161" s="4"/>
      <c r="J1161" s="4" t="s">
        <v>68</v>
      </c>
      <c r="K1161" s="7">
        <v>99.14</v>
      </c>
      <c r="L1161" s="4" t="s">
        <v>26</v>
      </c>
      <c r="M1161" s="4" t="s">
        <v>61</v>
      </c>
      <c r="N1161" s="4" t="s">
        <v>39</v>
      </c>
    </row>
    <row r="1162" spans="1:14" ht="10.5" hidden="1" x14ac:dyDescent="0.25">
      <c r="A1162" s="8" t="s">
        <v>470</v>
      </c>
      <c r="B1162" s="4" t="s">
        <v>21</v>
      </c>
      <c r="C1162" s="5">
        <v>44620</v>
      </c>
      <c r="D1162" s="4" t="s">
        <v>2478</v>
      </c>
      <c r="E1162" s="4" t="s">
        <v>2479</v>
      </c>
      <c r="F1162" s="4" t="s">
        <v>2463</v>
      </c>
      <c r="G1162" s="6">
        <v>-1834.9263247465001</v>
      </c>
      <c r="H1162" s="6">
        <f t="shared" si="18"/>
        <v>-363303.32862586295</v>
      </c>
      <c r="I1162" s="4"/>
      <c r="J1162" s="4" t="s">
        <v>68</v>
      </c>
      <c r="K1162" s="7">
        <v>1750.85</v>
      </c>
      <c r="L1162" s="4" t="s">
        <v>26</v>
      </c>
      <c r="M1162" s="4" t="s">
        <v>61</v>
      </c>
      <c r="N1162" s="4" t="s">
        <v>39</v>
      </c>
    </row>
    <row r="1163" spans="1:14" ht="10.5" hidden="1" x14ac:dyDescent="0.25">
      <c r="A1163" s="8" t="s">
        <v>470</v>
      </c>
      <c r="B1163" s="4" t="s">
        <v>21</v>
      </c>
      <c r="C1163" s="5">
        <v>44620</v>
      </c>
      <c r="D1163" s="4" t="s">
        <v>2478</v>
      </c>
      <c r="E1163" s="4" t="s">
        <v>2479</v>
      </c>
      <c r="F1163" s="4" t="s">
        <v>2355</v>
      </c>
      <c r="G1163" s="6">
        <v>-519.3359745066</v>
      </c>
      <c r="H1163" s="6">
        <f t="shared" si="18"/>
        <v>-363822.66460036958</v>
      </c>
      <c r="I1163" s="4"/>
      <c r="J1163" s="4" t="s">
        <v>68</v>
      </c>
      <c r="K1163" s="7">
        <v>495.54</v>
      </c>
      <c r="L1163" s="4" t="s">
        <v>26</v>
      </c>
      <c r="M1163" s="4" t="s">
        <v>61</v>
      </c>
      <c r="N1163" s="4" t="s">
        <v>39</v>
      </c>
    </row>
    <row r="1164" spans="1:14" ht="10.5" hidden="1" x14ac:dyDescent="0.25">
      <c r="A1164" s="8" t="s">
        <v>470</v>
      </c>
      <c r="B1164" s="4" t="s">
        <v>21</v>
      </c>
      <c r="C1164" s="5">
        <v>44620</v>
      </c>
      <c r="D1164" s="4" t="s">
        <v>2478</v>
      </c>
      <c r="E1164" s="4" t="s">
        <v>2479</v>
      </c>
      <c r="F1164" s="4" t="s">
        <v>2356</v>
      </c>
      <c r="G1164" s="6">
        <v>-115.41847453770001</v>
      </c>
      <c r="H1164" s="6">
        <f t="shared" si="18"/>
        <v>-363938.08307490731</v>
      </c>
      <c r="I1164" s="4"/>
      <c r="J1164" s="4" t="s">
        <v>68</v>
      </c>
      <c r="K1164" s="7">
        <v>110.13</v>
      </c>
      <c r="L1164" s="4" t="s">
        <v>26</v>
      </c>
      <c r="M1164" s="4" t="s">
        <v>61</v>
      </c>
      <c r="N1164" s="4" t="s">
        <v>39</v>
      </c>
    </row>
    <row r="1165" spans="1:14" ht="10.5" hidden="1" x14ac:dyDescent="0.25">
      <c r="A1165" s="8" t="s">
        <v>470</v>
      </c>
      <c r="B1165" s="4" t="s">
        <v>21</v>
      </c>
      <c r="C1165" s="5">
        <v>44620</v>
      </c>
      <c r="D1165" s="4" t="s">
        <v>2478</v>
      </c>
      <c r="E1165" s="4" t="s">
        <v>2479</v>
      </c>
      <c r="F1165" s="4" t="s">
        <v>2357</v>
      </c>
      <c r="G1165" s="6">
        <v>-1262.445241334</v>
      </c>
      <c r="H1165" s="6">
        <f t="shared" si="18"/>
        <v>-365200.52831624128</v>
      </c>
      <c r="I1165" s="4"/>
      <c r="J1165" s="4" t="s">
        <v>68</v>
      </c>
      <c r="K1165" s="7">
        <v>1204.5999999999999</v>
      </c>
      <c r="L1165" s="4" t="s">
        <v>26</v>
      </c>
      <c r="M1165" s="4" t="s">
        <v>61</v>
      </c>
      <c r="N1165" s="4" t="s">
        <v>39</v>
      </c>
    </row>
    <row r="1166" spans="1:14" ht="10.5" hidden="1" x14ac:dyDescent="0.25">
      <c r="A1166" s="8" t="s">
        <v>470</v>
      </c>
      <c r="B1166" s="4" t="s">
        <v>21</v>
      </c>
      <c r="C1166" s="5">
        <v>44620</v>
      </c>
      <c r="D1166" s="4" t="s">
        <v>2478</v>
      </c>
      <c r="E1166" s="4" t="s">
        <v>2479</v>
      </c>
      <c r="F1166" s="4" t="s">
        <v>2354</v>
      </c>
      <c r="G1166" s="6">
        <v>-62.325766646300004</v>
      </c>
      <c r="H1166" s="6">
        <f t="shared" si="18"/>
        <v>-365262.85408288758</v>
      </c>
      <c r="I1166" s="4"/>
      <c r="J1166" s="4" t="s">
        <v>68</v>
      </c>
      <c r="K1166" s="7">
        <v>59.47</v>
      </c>
      <c r="L1166" s="4" t="s">
        <v>26</v>
      </c>
      <c r="M1166" s="4" t="s">
        <v>61</v>
      </c>
      <c r="N1166" s="4" t="s">
        <v>39</v>
      </c>
    </row>
    <row r="1167" spans="1:14" ht="10.5" hidden="1" x14ac:dyDescent="0.25">
      <c r="A1167" s="8" t="s">
        <v>470</v>
      </c>
      <c r="B1167" s="4" t="s">
        <v>21</v>
      </c>
      <c r="C1167" s="5">
        <v>44620</v>
      </c>
      <c r="D1167" s="4" t="s">
        <v>2478</v>
      </c>
      <c r="E1167" s="4" t="s">
        <v>2479</v>
      </c>
      <c r="F1167" s="4" t="s">
        <v>2464</v>
      </c>
      <c r="G1167" s="6">
        <v>-786.26674236960002</v>
      </c>
      <c r="H1167" s="6">
        <f t="shared" si="18"/>
        <v>-366049.12082525721</v>
      </c>
      <c r="I1167" s="4"/>
      <c r="J1167" s="4" t="s">
        <v>68</v>
      </c>
      <c r="K1167" s="7">
        <v>750.24</v>
      </c>
      <c r="L1167" s="4" t="s">
        <v>26</v>
      </c>
      <c r="M1167" s="4" t="s">
        <v>61</v>
      </c>
      <c r="N1167" s="4" t="s">
        <v>39</v>
      </c>
    </row>
    <row r="1168" spans="1:14" ht="10.5" hidden="1" x14ac:dyDescent="0.25">
      <c r="A1168" s="8" t="s">
        <v>470</v>
      </c>
      <c r="B1168" s="4" t="s">
        <v>21</v>
      </c>
      <c r="C1168" s="5">
        <v>44620</v>
      </c>
      <c r="D1168" s="4" t="s">
        <v>2478</v>
      </c>
      <c r="E1168" s="4" t="s">
        <v>2479</v>
      </c>
      <c r="F1168" s="4" t="s">
        <v>2355</v>
      </c>
      <c r="G1168" s="6">
        <v>-234.3163764382</v>
      </c>
      <c r="H1168" s="6">
        <f t="shared" si="18"/>
        <v>-366283.4372016954</v>
      </c>
      <c r="I1168" s="4"/>
      <c r="J1168" s="4" t="s">
        <v>68</v>
      </c>
      <c r="K1168" s="7">
        <v>223.58</v>
      </c>
      <c r="L1168" s="4" t="s">
        <v>26</v>
      </c>
      <c r="M1168" s="4" t="s">
        <v>61</v>
      </c>
      <c r="N1168" s="4" t="s">
        <v>39</v>
      </c>
    </row>
    <row r="1169" spans="1:14" ht="10.5" hidden="1" x14ac:dyDescent="0.25">
      <c r="A1169" s="8" t="s">
        <v>470</v>
      </c>
      <c r="B1169" s="4" t="s">
        <v>21</v>
      </c>
      <c r="C1169" s="5">
        <v>44620</v>
      </c>
      <c r="D1169" s="4" t="s">
        <v>2478</v>
      </c>
      <c r="E1169" s="4" t="s">
        <v>2479</v>
      </c>
      <c r="F1169" s="4" t="s">
        <v>2356</v>
      </c>
      <c r="G1169" s="6">
        <v>-78.266155257199998</v>
      </c>
      <c r="H1169" s="6">
        <f t="shared" si="18"/>
        <v>-366361.70335695258</v>
      </c>
      <c r="I1169" s="4"/>
      <c r="J1169" s="4" t="s">
        <v>68</v>
      </c>
      <c r="K1169" s="7">
        <v>74.680000000000007</v>
      </c>
      <c r="L1169" s="4" t="s">
        <v>26</v>
      </c>
      <c r="M1169" s="4" t="s">
        <v>61</v>
      </c>
      <c r="N1169" s="4" t="s">
        <v>39</v>
      </c>
    </row>
    <row r="1170" spans="1:14" ht="10.5" hidden="1" x14ac:dyDescent="0.25">
      <c r="A1170" s="8" t="s">
        <v>470</v>
      </c>
      <c r="B1170" s="4" t="s">
        <v>21</v>
      </c>
      <c r="C1170" s="5">
        <v>44620</v>
      </c>
      <c r="D1170" s="4" t="s">
        <v>2478</v>
      </c>
      <c r="E1170" s="4" t="s">
        <v>2479</v>
      </c>
      <c r="F1170" s="4" t="s">
        <v>2357</v>
      </c>
      <c r="G1170" s="6">
        <v>-631.222620667</v>
      </c>
      <c r="H1170" s="6">
        <f t="shared" ref="H1170:H1233" si="19">H1169+G1170</f>
        <v>-366992.9259776196</v>
      </c>
      <c r="I1170" s="4"/>
      <c r="J1170" s="4" t="s">
        <v>68</v>
      </c>
      <c r="K1170" s="7">
        <v>602.29999999999995</v>
      </c>
      <c r="L1170" s="4" t="s">
        <v>26</v>
      </c>
      <c r="M1170" s="4" t="s">
        <v>61</v>
      </c>
      <c r="N1170" s="4" t="s">
        <v>39</v>
      </c>
    </row>
    <row r="1171" spans="1:14" ht="10.5" hidden="1" x14ac:dyDescent="0.25">
      <c r="A1171" s="8" t="s">
        <v>470</v>
      </c>
      <c r="B1171" s="4" t="s">
        <v>21</v>
      </c>
      <c r="C1171" s="5">
        <v>44620</v>
      </c>
      <c r="D1171" s="4" t="s">
        <v>101</v>
      </c>
      <c r="E1171" s="4" t="s">
        <v>88</v>
      </c>
      <c r="F1171" s="4" t="s">
        <v>88</v>
      </c>
      <c r="G1171" s="6">
        <v>-51493.250765410703</v>
      </c>
      <c r="H1171" s="6">
        <f t="shared" si="19"/>
        <v>-418486.17674303032</v>
      </c>
      <c r="I1171" s="4"/>
      <c r="J1171" s="4" t="s">
        <v>68</v>
      </c>
      <c r="K1171" s="7">
        <v>49133.83</v>
      </c>
      <c r="L1171" s="4" t="s">
        <v>26</v>
      </c>
      <c r="M1171" s="4" t="s">
        <v>61</v>
      </c>
      <c r="N1171" s="4" t="s">
        <v>39</v>
      </c>
    </row>
    <row r="1172" spans="1:14" ht="10.5" hidden="1" x14ac:dyDescent="0.25">
      <c r="A1172" s="8" t="s">
        <v>470</v>
      </c>
      <c r="B1172" s="4" t="s">
        <v>21</v>
      </c>
      <c r="C1172" s="5">
        <v>44620</v>
      </c>
      <c r="D1172" s="4" t="s">
        <v>2480</v>
      </c>
      <c r="E1172" s="4" t="s">
        <v>2481</v>
      </c>
      <c r="F1172" s="4" t="s">
        <v>2481</v>
      </c>
      <c r="G1172" s="6">
        <v>-41083.066100985598</v>
      </c>
      <c r="H1172" s="6">
        <f t="shared" si="19"/>
        <v>-459569.24284401594</v>
      </c>
      <c r="I1172" s="4"/>
      <c r="J1172" s="4" t="s">
        <v>68</v>
      </c>
      <c r="K1172" s="7">
        <v>39200.639999999999</v>
      </c>
      <c r="L1172" s="4" t="s">
        <v>26</v>
      </c>
      <c r="M1172" s="4" t="s">
        <v>61</v>
      </c>
      <c r="N1172" s="4" t="s">
        <v>39</v>
      </c>
    </row>
    <row r="1173" spans="1:14" ht="10.5" hidden="1" x14ac:dyDescent="0.25">
      <c r="A1173" s="8" t="s">
        <v>470</v>
      </c>
      <c r="B1173" s="4" t="s">
        <v>21</v>
      </c>
      <c r="C1173" s="5">
        <v>44621</v>
      </c>
      <c r="D1173" s="4" t="s">
        <v>102</v>
      </c>
      <c r="E1173" s="4" t="s">
        <v>88</v>
      </c>
      <c r="F1173" s="4" t="s">
        <v>88</v>
      </c>
      <c r="G1173" s="6">
        <v>51493.250765410703</v>
      </c>
      <c r="H1173" s="6">
        <f t="shared" si="19"/>
        <v>-408075.99207860522</v>
      </c>
      <c r="I1173" s="4"/>
      <c r="J1173" s="4" t="s">
        <v>68</v>
      </c>
      <c r="K1173" s="7">
        <v>-49133.83</v>
      </c>
      <c r="L1173" s="4" t="s">
        <v>42</v>
      </c>
      <c r="M1173" s="4" t="s">
        <v>61</v>
      </c>
      <c r="N1173" s="4" t="s">
        <v>39</v>
      </c>
    </row>
    <row r="1174" spans="1:14" ht="10.5" hidden="1" x14ac:dyDescent="0.25">
      <c r="A1174" s="8" t="s">
        <v>470</v>
      </c>
      <c r="B1174" s="4" t="s">
        <v>21</v>
      </c>
      <c r="C1174" s="5">
        <v>44621</v>
      </c>
      <c r="D1174" s="4" t="s">
        <v>2482</v>
      </c>
      <c r="E1174" s="4" t="s">
        <v>2481</v>
      </c>
      <c r="F1174" s="4" t="s">
        <v>2481</v>
      </c>
      <c r="G1174" s="6">
        <v>41083.066100985598</v>
      </c>
      <c r="H1174" s="6">
        <f t="shared" si="19"/>
        <v>-366992.9259776196</v>
      </c>
      <c r="I1174" s="4"/>
      <c r="J1174" s="4" t="s">
        <v>68</v>
      </c>
      <c r="K1174" s="7">
        <v>-39200.639999999999</v>
      </c>
      <c r="L1174" s="4" t="s">
        <v>42</v>
      </c>
      <c r="M1174" s="4" t="s">
        <v>61</v>
      </c>
      <c r="N1174" s="4" t="s">
        <v>39</v>
      </c>
    </row>
    <row r="1175" spans="1:14" ht="10.5" hidden="1" x14ac:dyDescent="0.25">
      <c r="A1175" s="8" t="s">
        <v>470</v>
      </c>
      <c r="B1175" s="4" t="s">
        <v>249</v>
      </c>
      <c r="C1175" s="5">
        <v>44624</v>
      </c>
      <c r="D1175" s="4" t="s">
        <v>2483</v>
      </c>
      <c r="E1175" s="4" t="s">
        <v>2484</v>
      </c>
      <c r="F1175" s="4" t="s">
        <v>2484</v>
      </c>
      <c r="G1175" s="6">
        <v>4750.7178953816001</v>
      </c>
      <c r="H1175" s="6">
        <f t="shared" si="19"/>
        <v>-362242.20808223798</v>
      </c>
      <c r="I1175" s="4" t="s">
        <v>252</v>
      </c>
      <c r="J1175" s="4" t="s">
        <v>68</v>
      </c>
      <c r="K1175" s="7">
        <v>-4533.04</v>
      </c>
      <c r="L1175" s="4" t="s">
        <v>42</v>
      </c>
      <c r="M1175" s="4" t="s">
        <v>61</v>
      </c>
      <c r="N1175" s="4"/>
    </row>
    <row r="1176" spans="1:14" ht="10.5" hidden="1" x14ac:dyDescent="0.25">
      <c r="A1176" s="8" t="s">
        <v>470</v>
      </c>
      <c r="B1176" s="4" t="s">
        <v>21</v>
      </c>
      <c r="C1176" s="5">
        <v>44649</v>
      </c>
      <c r="D1176" s="4" t="s">
        <v>2485</v>
      </c>
      <c r="E1176" s="4" t="s">
        <v>2486</v>
      </c>
      <c r="F1176" s="4" t="s">
        <v>2487</v>
      </c>
      <c r="G1176" s="6">
        <v>43404.085196639899</v>
      </c>
      <c r="H1176" s="6">
        <f t="shared" si="19"/>
        <v>-318838.1228855981</v>
      </c>
      <c r="I1176" s="4"/>
      <c r="J1176" s="4" t="s">
        <v>68</v>
      </c>
      <c r="K1176" s="7">
        <v>-41415.31</v>
      </c>
      <c r="L1176" s="4" t="s">
        <v>42</v>
      </c>
      <c r="M1176" s="4" t="s">
        <v>61</v>
      </c>
      <c r="N1176" s="4" t="s">
        <v>1108</v>
      </c>
    </row>
    <row r="1177" spans="1:14" ht="10.5" hidden="1" x14ac:dyDescent="0.25">
      <c r="A1177" s="8" t="s">
        <v>470</v>
      </c>
      <c r="B1177" s="4" t="s">
        <v>21</v>
      </c>
      <c r="C1177" s="5">
        <v>44649</v>
      </c>
      <c r="D1177" s="4" t="s">
        <v>2485</v>
      </c>
      <c r="E1177" s="4" t="s">
        <v>2486</v>
      </c>
      <c r="F1177" s="4" t="s">
        <v>2488</v>
      </c>
      <c r="G1177" s="6">
        <v>24777.725384498899</v>
      </c>
      <c r="H1177" s="6">
        <f t="shared" si="19"/>
        <v>-294060.39750109921</v>
      </c>
      <c r="I1177" s="4"/>
      <c r="J1177" s="4" t="s">
        <v>68</v>
      </c>
      <c r="K1177" s="7">
        <v>-23642.41</v>
      </c>
      <c r="L1177" s="4" t="s">
        <v>42</v>
      </c>
      <c r="M1177" s="4" t="s">
        <v>61</v>
      </c>
      <c r="N1177" s="4" t="s">
        <v>1108</v>
      </c>
    </row>
    <row r="1178" spans="1:14" ht="10.5" hidden="1" x14ac:dyDescent="0.25">
      <c r="A1178" s="8" t="s">
        <v>470</v>
      </c>
      <c r="B1178" s="4" t="s">
        <v>21</v>
      </c>
      <c r="C1178" s="5">
        <v>44651</v>
      </c>
      <c r="D1178" s="4" t="s">
        <v>2489</v>
      </c>
      <c r="E1178" s="4" t="s">
        <v>2490</v>
      </c>
      <c r="F1178" s="4" t="s">
        <v>2353</v>
      </c>
      <c r="G1178" s="6">
        <v>-9.9771531608000004</v>
      </c>
      <c r="H1178" s="6">
        <f t="shared" si="19"/>
        <v>-294070.37465426</v>
      </c>
      <c r="I1178" s="4"/>
      <c r="J1178" s="4" t="s">
        <v>68</v>
      </c>
      <c r="K1178" s="7">
        <v>9.52</v>
      </c>
      <c r="L1178" s="4" t="s">
        <v>42</v>
      </c>
      <c r="M1178" s="4" t="s">
        <v>61</v>
      </c>
      <c r="N1178" s="4" t="s">
        <v>39</v>
      </c>
    </row>
    <row r="1179" spans="1:14" ht="10.5" hidden="1" x14ac:dyDescent="0.25">
      <c r="A1179" s="8" t="s">
        <v>470</v>
      </c>
      <c r="B1179" s="4" t="s">
        <v>21</v>
      </c>
      <c r="C1179" s="5">
        <v>44651</v>
      </c>
      <c r="D1179" s="4" t="s">
        <v>2489</v>
      </c>
      <c r="E1179" s="4" t="s">
        <v>2490</v>
      </c>
      <c r="F1179" s="4" t="s">
        <v>2353</v>
      </c>
      <c r="G1179" s="6">
        <v>-24.4817539744</v>
      </c>
      <c r="H1179" s="6">
        <f t="shared" si="19"/>
        <v>-294094.85640823439</v>
      </c>
      <c r="I1179" s="4"/>
      <c r="J1179" s="4" t="s">
        <v>68</v>
      </c>
      <c r="K1179" s="7">
        <v>23.36</v>
      </c>
      <c r="L1179" s="4" t="s">
        <v>42</v>
      </c>
      <c r="M1179" s="4" t="s">
        <v>61</v>
      </c>
      <c r="N1179" s="4" t="s">
        <v>39</v>
      </c>
    </row>
    <row r="1180" spans="1:14" ht="10.5" hidden="1" x14ac:dyDescent="0.25">
      <c r="A1180" s="8" t="s">
        <v>470</v>
      </c>
      <c r="B1180" s="4" t="s">
        <v>21</v>
      </c>
      <c r="C1180" s="5">
        <v>44651</v>
      </c>
      <c r="D1180" s="4" t="s">
        <v>2489</v>
      </c>
      <c r="E1180" s="4" t="s">
        <v>2490</v>
      </c>
      <c r="F1180" s="4" t="s">
        <v>2353</v>
      </c>
      <c r="G1180" s="6">
        <v>-282.09562145929999</v>
      </c>
      <c r="H1180" s="6">
        <f t="shared" si="19"/>
        <v>-294376.9520296937</v>
      </c>
      <c r="I1180" s="4"/>
      <c r="J1180" s="4" t="s">
        <v>68</v>
      </c>
      <c r="K1180" s="7">
        <v>269.17</v>
      </c>
      <c r="L1180" s="4" t="s">
        <v>42</v>
      </c>
      <c r="M1180" s="4" t="s">
        <v>61</v>
      </c>
      <c r="N1180" s="4" t="s">
        <v>39</v>
      </c>
    </row>
    <row r="1181" spans="1:14" ht="10.5" hidden="1" x14ac:dyDescent="0.25">
      <c r="A1181" s="8" t="s">
        <v>470</v>
      </c>
      <c r="B1181" s="4" t="s">
        <v>21</v>
      </c>
      <c r="C1181" s="5">
        <v>44651</v>
      </c>
      <c r="D1181" s="4" t="s">
        <v>2489</v>
      </c>
      <c r="E1181" s="4" t="s">
        <v>2490</v>
      </c>
      <c r="F1181" s="4" t="s">
        <v>2355</v>
      </c>
      <c r="G1181" s="6">
        <v>-6347.2929655733997</v>
      </c>
      <c r="H1181" s="6">
        <f t="shared" si="19"/>
        <v>-300724.24499526707</v>
      </c>
      <c r="I1181" s="4"/>
      <c r="J1181" s="4" t="s">
        <v>68</v>
      </c>
      <c r="K1181" s="7">
        <v>6056.46</v>
      </c>
      <c r="L1181" s="4" t="s">
        <v>42</v>
      </c>
      <c r="M1181" s="4" t="s">
        <v>61</v>
      </c>
      <c r="N1181" s="4" t="s">
        <v>39</v>
      </c>
    </row>
    <row r="1182" spans="1:14" ht="10.5" hidden="1" x14ac:dyDescent="0.25">
      <c r="A1182" s="8" t="s">
        <v>470</v>
      </c>
      <c r="B1182" s="4" t="s">
        <v>21</v>
      </c>
      <c r="C1182" s="5">
        <v>44651</v>
      </c>
      <c r="D1182" s="4" t="s">
        <v>2489</v>
      </c>
      <c r="E1182" s="4" t="s">
        <v>2490</v>
      </c>
      <c r="F1182" s="4" t="s">
        <v>2356</v>
      </c>
      <c r="G1182" s="6">
        <v>-1410.5200281081</v>
      </c>
      <c r="H1182" s="6">
        <f t="shared" si="19"/>
        <v>-302134.76502337516</v>
      </c>
      <c r="I1182" s="4"/>
      <c r="J1182" s="4" t="s">
        <v>68</v>
      </c>
      <c r="K1182" s="7">
        <v>1345.89</v>
      </c>
      <c r="L1182" s="4" t="s">
        <v>42</v>
      </c>
      <c r="M1182" s="4" t="s">
        <v>61</v>
      </c>
      <c r="N1182" s="4" t="s">
        <v>39</v>
      </c>
    </row>
    <row r="1183" spans="1:14" ht="10.5" hidden="1" x14ac:dyDescent="0.25">
      <c r="A1183" s="8" t="s">
        <v>470</v>
      </c>
      <c r="B1183" s="4" t="s">
        <v>21</v>
      </c>
      <c r="C1183" s="5">
        <v>44651</v>
      </c>
      <c r="D1183" s="4" t="s">
        <v>2489</v>
      </c>
      <c r="E1183" s="4" t="s">
        <v>2490</v>
      </c>
      <c r="F1183" s="4" t="s">
        <v>2357</v>
      </c>
      <c r="G1183" s="6">
        <v>-3494.9171026862</v>
      </c>
      <c r="H1183" s="6">
        <f t="shared" si="19"/>
        <v>-305629.68212606135</v>
      </c>
      <c r="I1183" s="4"/>
      <c r="J1183" s="4" t="s">
        <v>68</v>
      </c>
      <c r="K1183" s="7">
        <v>3334.78</v>
      </c>
      <c r="L1183" s="4" t="s">
        <v>42</v>
      </c>
      <c r="M1183" s="4" t="s">
        <v>61</v>
      </c>
      <c r="N1183" s="4" t="s">
        <v>39</v>
      </c>
    </row>
    <row r="1184" spans="1:14" ht="10.5" hidden="1" x14ac:dyDescent="0.25">
      <c r="A1184" s="8" t="s">
        <v>470</v>
      </c>
      <c r="B1184" s="4" t="s">
        <v>21</v>
      </c>
      <c r="C1184" s="5">
        <v>44651</v>
      </c>
      <c r="D1184" s="4" t="s">
        <v>2489</v>
      </c>
      <c r="E1184" s="4" t="s">
        <v>2490</v>
      </c>
      <c r="F1184" s="4" t="s">
        <v>2462</v>
      </c>
      <c r="G1184" s="6">
        <v>-65.511748327899994</v>
      </c>
      <c r="H1184" s="6">
        <f t="shared" si="19"/>
        <v>-305695.19387438922</v>
      </c>
      <c r="I1184" s="4"/>
      <c r="J1184" s="4" t="s">
        <v>68</v>
      </c>
      <c r="K1184" s="7">
        <v>62.51</v>
      </c>
      <c r="L1184" s="4" t="s">
        <v>42</v>
      </c>
      <c r="M1184" s="4" t="s">
        <v>61</v>
      </c>
      <c r="N1184" s="4" t="s">
        <v>39</v>
      </c>
    </row>
    <row r="1185" spans="1:14" ht="10.5" hidden="1" x14ac:dyDescent="0.25">
      <c r="A1185" s="8" t="s">
        <v>470</v>
      </c>
      <c r="B1185" s="4" t="s">
        <v>21</v>
      </c>
      <c r="C1185" s="5">
        <v>44651</v>
      </c>
      <c r="D1185" s="4" t="s">
        <v>2489</v>
      </c>
      <c r="E1185" s="4" t="s">
        <v>2490</v>
      </c>
      <c r="F1185" s="4" t="s">
        <v>2355</v>
      </c>
      <c r="G1185" s="6">
        <v>-549.85432535140001</v>
      </c>
      <c r="H1185" s="6">
        <f t="shared" si="19"/>
        <v>-306245.04819974065</v>
      </c>
      <c r="I1185" s="4"/>
      <c r="J1185" s="4" t="s">
        <v>68</v>
      </c>
      <c r="K1185" s="7">
        <v>524.66</v>
      </c>
      <c r="L1185" s="4" t="s">
        <v>42</v>
      </c>
      <c r="M1185" s="4" t="s">
        <v>61</v>
      </c>
      <c r="N1185" s="4" t="s">
        <v>39</v>
      </c>
    </row>
    <row r="1186" spans="1:14" ht="10.5" hidden="1" x14ac:dyDescent="0.25">
      <c r="A1186" s="8" t="s">
        <v>470</v>
      </c>
      <c r="B1186" s="4" t="s">
        <v>21</v>
      </c>
      <c r="C1186" s="5">
        <v>44651</v>
      </c>
      <c r="D1186" s="4" t="s">
        <v>2489</v>
      </c>
      <c r="E1186" s="4" t="s">
        <v>2490</v>
      </c>
      <c r="F1186" s="4" t="s">
        <v>2356</v>
      </c>
      <c r="G1186" s="6">
        <v>-122.1886856111</v>
      </c>
      <c r="H1186" s="6">
        <f t="shared" si="19"/>
        <v>-306367.23688535177</v>
      </c>
      <c r="I1186" s="4"/>
      <c r="J1186" s="4" t="s">
        <v>68</v>
      </c>
      <c r="K1186" s="7">
        <v>116.59</v>
      </c>
      <c r="L1186" s="4" t="s">
        <v>42</v>
      </c>
      <c r="M1186" s="4" t="s">
        <v>61</v>
      </c>
      <c r="N1186" s="4" t="s">
        <v>39</v>
      </c>
    </row>
    <row r="1187" spans="1:14" ht="10.5" hidden="1" x14ac:dyDescent="0.25">
      <c r="A1187" s="8" t="s">
        <v>470</v>
      </c>
      <c r="B1187" s="4" t="s">
        <v>21</v>
      </c>
      <c r="C1187" s="5">
        <v>44651</v>
      </c>
      <c r="D1187" s="4" t="s">
        <v>2489</v>
      </c>
      <c r="E1187" s="4" t="s">
        <v>2490</v>
      </c>
      <c r="F1187" s="4" t="s">
        <v>2357</v>
      </c>
      <c r="G1187" s="6">
        <v>-631.222620667</v>
      </c>
      <c r="H1187" s="6">
        <f t="shared" si="19"/>
        <v>-306998.45950601879</v>
      </c>
      <c r="I1187" s="4"/>
      <c r="J1187" s="4" t="s">
        <v>68</v>
      </c>
      <c r="K1187" s="7">
        <v>602.29999999999995</v>
      </c>
      <c r="L1187" s="4" t="s">
        <v>42</v>
      </c>
      <c r="M1187" s="4" t="s">
        <v>61</v>
      </c>
      <c r="N1187" s="4" t="s">
        <v>39</v>
      </c>
    </row>
    <row r="1188" spans="1:14" ht="10.5" hidden="1" x14ac:dyDescent="0.25">
      <c r="A1188" s="8" t="s">
        <v>470</v>
      </c>
      <c r="B1188" s="4" t="s">
        <v>21</v>
      </c>
      <c r="C1188" s="5">
        <v>44651</v>
      </c>
      <c r="D1188" s="4" t="s">
        <v>2489</v>
      </c>
      <c r="E1188" s="4" t="s">
        <v>2490</v>
      </c>
      <c r="F1188" s="4" t="s">
        <v>2355</v>
      </c>
      <c r="G1188" s="6">
        <v>-224.28682226289999</v>
      </c>
      <c r="H1188" s="6">
        <f t="shared" si="19"/>
        <v>-307222.7463282817</v>
      </c>
      <c r="I1188" s="4"/>
      <c r="J1188" s="4" t="s">
        <v>68</v>
      </c>
      <c r="K1188" s="7">
        <v>214.01</v>
      </c>
      <c r="L1188" s="4" t="s">
        <v>42</v>
      </c>
      <c r="M1188" s="4" t="s">
        <v>61</v>
      </c>
      <c r="N1188" s="4" t="s">
        <v>39</v>
      </c>
    </row>
    <row r="1189" spans="1:14" ht="10.5" hidden="1" x14ac:dyDescent="0.25">
      <c r="A1189" s="8" t="s">
        <v>470</v>
      </c>
      <c r="B1189" s="4" t="s">
        <v>21</v>
      </c>
      <c r="C1189" s="5">
        <v>44651</v>
      </c>
      <c r="D1189" s="4" t="s">
        <v>2489</v>
      </c>
      <c r="E1189" s="4" t="s">
        <v>2490</v>
      </c>
      <c r="F1189" s="4" t="s">
        <v>2356</v>
      </c>
      <c r="G1189" s="6">
        <v>-49.833364789500003</v>
      </c>
      <c r="H1189" s="6">
        <f t="shared" si="19"/>
        <v>-307272.57969307119</v>
      </c>
      <c r="I1189" s="4"/>
      <c r="J1189" s="4" t="s">
        <v>68</v>
      </c>
      <c r="K1189" s="7">
        <v>47.55</v>
      </c>
      <c r="L1189" s="4" t="s">
        <v>42</v>
      </c>
      <c r="M1189" s="4" t="s">
        <v>61</v>
      </c>
      <c r="N1189" s="4" t="s">
        <v>39</v>
      </c>
    </row>
    <row r="1190" spans="1:14" ht="10.5" hidden="1" x14ac:dyDescent="0.25">
      <c r="A1190" s="8" t="s">
        <v>470</v>
      </c>
      <c r="B1190" s="4" t="s">
        <v>21</v>
      </c>
      <c r="C1190" s="5">
        <v>44651</v>
      </c>
      <c r="D1190" s="4" t="s">
        <v>2489</v>
      </c>
      <c r="E1190" s="4" t="s">
        <v>2490</v>
      </c>
      <c r="F1190" s="4" t="s">
        <v>2491</v>
      </c>
      <c r="G1190" s="6">
        <v>-44.865748614899999</v>
      </c>
      <c r="H1190" s="6">
        <f t="shared" si="19"/>
        <v>-307317.44544168608</v>
      </c>
      <c r="I1190" s="4"/>
      <c r="J1190" s="4" t="s">
        <v>68</v>
      </c>
      <c r="K1190" s="7">
        <v>42.81</v>
      </c>
      <c r="L1190" s="4" t="s">
        <v>42</v>
      </c>
      <c r="M1190" s="4" t="s">
        <v>61</v>
      </c>
      <c r="N1190" s="4" t="s">
        <v>39</v>
      </c>
    </row>
    <row r="1191" spans="1:14" ht="10.5" hidden="1" x14ac:dyDescent="0.25">
      <c r="A1191" s="8" t="s">
        <v>470</v>
      </c>
      <c r="B1191" s="4" t="s">
        <v>21</v>
      </c>
      <c r="C1191" s="5">
        <v>44651</v>
      </c>
      <c r="D1191" s="4" t="s">
        <v>2489</v>
      </c>
      <c r="E1191" s="4" t="s">
        <v>2490</v>
      </c>
      <c r="F1191" s="4" t="s">
        <v>2491</v>
      </c>
      <c r="G1191" s="6">
        <v>-1269.5298584944001</v>
      </c>
      <c r="H1191" s="6">
        <f t="shared" si="19"/>
        <v>-308586.97530018049</v>
      </c>
      <c r="I1191" s="4"/>
      <c r="J1191" s="4" t="s">
        <v>68</v>
      </c>
      <c r="K1191" s="7">
        <v>1211.3599999999999</v>
      </c>
      <c r="L1191" s="4" t="s">
        <v>42</v>
      </c>
      <c r="M1191" s="4" t="s">
        <v>61</v>
      </c>
      <c r="N1191" s="4" t="s">
        <v>39</v>
      </c>
    </row>
    <row r="1192" spans="1:14" ht="10.5" hidden="1" x14ac:dyDescent="0.25">
      <c r="A1192" s="8" t="s">
        <v>470</v>
      </c>
      <c r="B1192" s="4" t="s">
        <v>21</v>
      </c>
      <c r="C1192" s="5">
        <v>44651</v>
      </c>
      <c r="D1192" s="4" t="s">
        <v>2489</v>
      </c>
      <c r="E1192" s="4" t="s">
        <v>2490</v>
      </c>
      <c r="F1192" s="4" t="s">
        <v>2491</v>
      </c>
      <c r="G1192" s="6">
        <v>-109.9897294355</v>
      </c>
      <c r="H1192" s="6">
        <f t="shared" si="19"/>
        <v>-308696.96502961597</v>
      </c>
      <c r="I1192" s="4"/>
      <c r="J1192" s="4" t="s">
        <v>68</v>
      </c>
      <c r="K1192" s="7">
        <v>104.95</v>
      </c>
      <c r="L1192" s="4" t="s">
        <v>42</v>
      </c>
      <c r="M1192" s="4" t="s">
        <v>61</v>
      </c>
      <c r="N1192" s="4" t="s">
        <v>39</v>
      </c>
    </row>
    <row r="1193" spans="1:14" ht="10.5" hidden="1" x14ac:dyDescent="0.25">
      <c r="A1193" s="8" t="s">
        <v>470</v>
      </c>
      <c r="B1193" s="4" t="s">
        <v>21</v>
      </c>
      <c r="C1193" s="5">
        <v>44651</v>
      </c>
      <c r="D1193" s="4" t="s">
        <v>112</v>
      </c>
      <c r="E1193" s="4" t="s">
        <v>113</v>
      </c>
      <c r="F1193" s="4" t="s">
        <v>113</v>
      </c>
      <c r="G1193" s="6">
        <v>-122897.4093322125</v>
      </c>
      <c r="H1193" s="6">
        <f t="shared" si="19"/>
        <v>-431594.37436182844</v>
      </c>
      <c r="I1193" s="4"/>
      <c r="J1193" s="4" t="s">
        <v>68</v>
      </c>
      <c r="K1193" s="7">
        <v>117266.25</v>
      </c>
      <c r="L1193" s="4" t="s">
        <v>42</v>
      </c>
      <c r="M1193" s="4" t="s">
        <v>61</v>
      </c>
      <c r="N1193" s="4" t="s">
        <v>39</v>
      </c>
    </row>
    <row r="1194" spans="1:14" ht="10.5" hidden="1" x14ac:dyDescent="0.25">
      <c r="A1194" s="8" t="s">
        <v>470</v>
      </c>
      <c r="B1194" s="4" t="s">
        <v>21</v>
      </c>
      <c r="C1194" s="5">
        <v>44652</v>
      </c>
      <c r="D1194" s="4" t="s">
        <v>119</v>
      </c>
      <c r="E1194" s="4" t="s">
        <v>113</v>
      </c>
      <c r="F1194" s="4" t="s">
        <v>113</v>
      </c>
      <c r="G1194" s="6">
        <v>122897.4093322125</v>
      </c>
      <c r="H1194" s="6">
        <f t="shared" si="19"/>
        <v>-308696.96502961591</v>
      </c>
      <c r="I1194" s="4"/>
      <c r="J1194" s="4" t="s">
        <v>68</v>
      </c>
      <c r="K1194" s="7">
        <v>-117266.25</v>
      </c>
      <c r="L1194" s="4" t="s">
        <v>45</v>
      </c>
      <c r="M1194" s="4" t="s">
        <v>61</v>
      </c>
      <c r="N1194" s="4" t="s">
        <v>39</v>
      </c>
    </row>
    <row r="1195" spans="1:14" ht="10.5" hidden="1" x14ac:dyDescent="0.25">
      <c r="A1195" s="8" t="s">
        <v>470</v>
      </c>
      <c r="B1195" s="4" t="s">
        <v>1977</v>
      </c>
      <c r="C1195" s="5">
        <v>44656</v>
      </c>
      <c r="D1195" s="4" t="s">
        <v>2492</v>
      </c>
      <c r="E1195" s="4" t="s">
        <v>2493</v>
      </c>
      <c r="F1195" s="4" t="s">
        <v>2493</v>
      </c>
      <c r="G1195" s="6">
        <v>-631.2121404641</v>
      </c>
      <c r="H1195" s="6">
        <f t="shared" si="19"/>
        <v>-309328.17717008002</v>
      </c>
      <c r="I1195" s="4"/>
      <c r="J1195" s="4" t="s">
        <v>68</v>
      </c>
      <c r="K1195" s="7">
        <v>602.29</v>
      </c>
      <c r="L1195" s="4" t="s">
        <v>45</v>
      </c>
      <c r="M1195" s="4" t="s">
        <v>61</v>
      </c>
      <c r="N1195" s="4"/>
    </row>
    <row r="1196" spans="1:14" ht="10.5" hidden="1" x14ac:dyDescent="0.25">
      <c r="A1196" s="8" t="s">
        <v>470</v>
      </c>
      <c r="B1196" s="4" t="s">
        <v>249</v>
      </c>
      <c r="C1196" s="5">
        <v>44657</v>
      </c>
      <c r="D1196" s="4" t="s">
        <v>2494</v>
      </c>
      <c r="E1196" s="4" t="s">
        <v>2495</v>
      </c>
      <c r="F1196" s="4" t="s">
        <v>2495</v>
      </c>
      <c r="G1196" s="6">
        <v>2862.7407835552999</v>
      </c>
      <c r="H1196" s="6">
        <f t="shared" si="19"/>
        <v>-306465.4363865247</v>
      </c>
      <c r="I1196" s="4" t="s">
        <v>252</v>
      </c>
      <c r="J1196" s="4" t="s">
        <v>68</v>
      </c>
      <c r="K1196" s="7">
        <v>-2731.57</v>
      </c>
      <c r="L1196" s="4" t="s">
        <v>45</v>
      </c>
      <c r="M1196" s="4" t="s">
        <v>61</v>
      </c>
      <c r="N1196" s="4"/>
    </row>
    <row r="1197" spans="1:14" ht="10.5" hidden="1" x14ac:dyDescent="0.25">
      <c r="A1197" s="8" t="s">
        <v>470</v>
      </c>
      <c r="B1197" s="4" t="s">
        <v>249</v>
      </c>
      <c r="C1197" s="5">
        <v>44658</v>
      </c>
      <c r="D1197" s="4" t="s">
        <v>2496</v>
      </c>
      <c r="E1197" s="4" t="s">
        <v>2497</v>
      </c>
      <c r="F1197" s="4" t="s">
        <v>2497</v>
      </c>
      <c r="G1197" s="6">
        <v>3875.3170273474998</v>
      </c>
      <c r="H1197" s="6">
        <f t="shared" si="19"/>
        <v>-302590.11935917719</v>
      </c>
      <c r="I1197" s="4" t="s">
        <v>252</v>
      </c>
      <c r="J1197" s="4" t="s">
        <v>68</v>
      </c>
      <c r="K1197" s="7">
        <v>-3697.75</v>
      </c>
      <c r="L1197" s="4" t="s">
        <v>45</v>
      </c>
      <c r="M1197" s="4" t="s">
        <v>61</v>
      </c>
      <c r="N1197" s="4"/>
    </row>
    <row r="1198" spans="1:14" ht="10.5" hidden="1" x14ac:dyDescent="0.25">
      <c r="A1198" s="8" t="s">
        <v>470</v>
      </c>
      <c r="B1198" s="4" t="s">
        <v>21</v>
      </c>
      <c r="C1198" s="5">
        <v>44681</v>
      </c>
      <c r="D1198" s="4" t="s">
        <v>2498</v>
      </c>
      <c r="E1198" s="4" t="s">
        <v>2499</v>
      </c>
      <c r="F1198" s="4" t="s">
        <v>2353</v>
      </c>
      <c r="G1198" s="6">
        <v>-361.80804471670001</v>
      </c>
      <c r="H1198" s="6">
        <f t="shared" si="19"/>
        <v>-302951.9274038939</v>
      </c>
      <c r="I1198" s="4"/>
      <c r="J1198" s="4" t="s">
        <v>68</v>
      </c>
      <c r="K1198" s="7">
        <v>345.23</v>
      </c>
      <c r="L1198" s="4" t="s">
        <v>45</v>
      </c>
      <c r="M1198" s="4" t="s">
        <v>61</v>
      </c>
      <c r="N1198" s="4" t="s">
        <v>39</v>
      </c>
    </row>
    <row r="1199" spans="1:14" ht="10.5" hidden="1" x14ac:dyDescent="0.25">
      <c r="A1199" s="8" t="s">
        <v>470</v>
      </c>
      <c r="B1199" s="4" t="s">
        <v>21</v>
      </c>
      <c r="C1199" s="5">
        <v>44681</v>
      </c>
      <c r="D1199" s="4" t="s">
        <v>2498</v>
      </c>
      <c r="E1199" s="4" t="s">
        <v>2499</v>
      </c>
      <c r="F1199" s="4" t="s">
        <v>2353</v>
      </c>
      <c r="G1199" s="6">
        <v>-34.396025917800003</v>
      </c>
      <c r="H1199" s="6">
        <f t="shared" si="19"/>
        <v>-302986.32342981169</v>
      </c>
      <c r="I1199" s="4"/>
      <c r="J1199" s="4" t="s">
        <v>68</v>
      </c>
      <c r="K1199" s="7">
        <v>32.82</v>
      </c>
      <c r="L1199" s="4" t="s">
        <v>45</v>
      </c>
      <c r="M1199" s="4" t="s">
        <v>61</v>
      </c>
      <c r="N1199" s="4" t="s">
        <v>39</v>
      </c>
    </row>
    <row r="1200" spans="1:14" ht="10.5" hidden="1" x14ac:dyDescent="0.25">
      <c r="A1200" s="8" t="s">
        <v>470</v>
      </c>
      <c r="B1200" s="4" t="s">
        <v>21</v>
      </c>
      <c r="C1200" s="5">
        <v>44681</v>
      </c>
      <c r="D1200" s="4" t="s">
        <v>2498</v>
      </c>
      <c r="E1200" s="4" t="s">
        <v>2499</v>
      </c>
      <c r="F1200" s="4" t="s">
        <v>2353</v>
      </c>
      <c r="G1200" s="6">
        <v>-12.8801693641</v>
      </c>
      <c r="H1200" s="6">
        <f t="shared" si="19"/>
        <v>-302999.20359917579</v>
      </c>
      <c r="I1200" s="4"/>
      <c r="J1200" s="4" t="s">
        <v>68</v>
      </c>
      <c r="K1200" s="7">
        <v>12.29</v>
      </c>
      <c r="L1200" s="4" t="s">
        <v>45</v>
      </c>
      <c r="M1200" s="4" t="s">
        <v>61</v>
      </c>
      <c r="N1200" s="4" t="s">
        <v>39</v>
      </c>
    </row>
    <row r="1201" spans="1:14" ht="10.5" hidden="1" x14ac:dyDescent="0.25">
      <c r="A1201" s="8" t="s">
        <v>470</v>
      </c>
      <c r="B1201" s="4" t="s">
        <v>21</v>
      </c>
      <c r="C1201" s="5">
        <v>44681</v>
      </c>
      <c r="D1201" s="4" t="s">
        <v>2498</v>
      </c>
      <c r="E1201" s="4" t="s">
        <v>2499</v>
      </c>
      <c r="F1201" s="4" t="s">
        <v>2355</v>
      </c>
      <c r="G1201" s="6">
        <v>-774.21450903460004</v>
      </c>
      <c r="H1201" s="6">
        <f t="shared" si="19"/>
        <v>-303773.41810821038</v>
      </c>
      <c r="I1201" s="4"/>
      <c r="J1201" s="4" t="s">
        <v>68</v>
      </c>
      <c r="K1201" s="7">
        <v>738.74</v>
      </c>
      <c r="L1201" s="4" t="s">
        <v>45</v>
      </c>
      <c r="M1201" s="4" t="s">
        <v>61</v>
      </c>
      <c r="N1201" s="4" t="s">
        <v>39</v>
      </c>
    </row>
    <row r="1202" spans="1:14" ht="10.5" hidden="1" x14ac:dyDescent="0.25">
      <c r="A1202" s="8" t="s">
        <v>470</v>
      </c>
      <c r="B1202" s="4" t="s">
        <v>21</v>
      </c>
      <c r="C1202" s="5">
        <v>44681</v>
      </c>
      <c r="D1202" s="4" t="s">
        <v>2498</v>
      </c>
      <c r="E1202" s="4" t="s">
        <v>2499</v>
      </c>
      <c r="F1202" s="4" t="s">
        <v>2356</v>
      </c>
      <c r="G1202" s="6">
        <v>-172.04301080639999</v>
      </c>
      <c r="H1202" s="6">
        <f t="shared" si="19"/>
        <v>-303945.46111901675</v>
      </c>
      <c r="I1202" s="4"/>
      <c r="J1202" s="4" t="s">
        <v>68</v>
      </c>
      <c r="K1202" s="7">
        <v>164.16</v>
      </c>
      <c r="L1202" s="4" t="s">
        <v>45</v>
      </c>
      <c r="M1202" s="4" t="s">
        <v>61</v>
      </c>
      <c r="N1202" s="4" t="s">
        <v>39</v>
      </c>
    </row>
    <row r="1203" spans="1:14" ht="10.5" hidden="1" x14ac:dyDescent="0.25">
      <c r="A1203" s="8" t="s">
        <v>470</v>
      </c>
      <c r="B1203" s="4" t="s">
        <v>21</v>
      </c>
      <c r="C1203" s="5">
        <v>44681</v>
      </c>
      <c r="D1203" s="4" t="s">
        <v>2498</v>
      </c>
      <c r="E1203" s="4" t="s">
        <v>2499</v>
      </c>
      <c r="F1203" s="4" t="s">
        <v>2357</v>
      </c>
      <c r="G1203" s="6">
        <v>-28.390869656100001</v>
      </c>
      <c r="H1203" s="6">
        <f t="shared" si="19"/>
        <v>-303973.85198867286</v>
      </c>
      <c r="I1203" s="4"/>
      <c r="J1203" s="4" t="s">
        <v>68</v>
      </c>
      <c r="K1203" s="7">
        <v>27.09</v>
      </c>
      <c r="L1203" s="4" t="s">
        <v>45</v>
      </c>
      <c r="M1203" s="4" t="s">
        <v>61</v>
      </c>
      <c r="N1203" s="4" t="s">
        <v>39</v>
      </c>
    </row>
    <row r="1204" spans="1:14" ht="10.5" hidden="1" x14ac:dyDescent="0.25">
      <c r="A1204" s="8" t="s">
        <v>470</v>
      </c>
      <c r="B1204" s="4" t="s">
        <v>21</v>
      </c>
      <c r="C1204" s="5">
        <v>44681</v>
      </c>
      <c r="D1204" s="4" t="s">
        <v>2498</v>
      </c>
      <c r="E1204" s="4" t="s">
        <v>2499</v>
      </c>
      <c r="F1204" s="4" t="s">
        <v>2355</v>
      </c>
      <c r="G1204" s="6">
        <v>-289.882412214</v>
      </c>
      <c r="H1204" s="6">
        <f t="shared" si="19"/>
        <v>-304263.73440088687</v>
      </c>
      <c r="I1204" s="4"/>
      <c r="J1204" s="4" t="s">
        <v>68</v>
      </c>
      <c r="K1204" s="7">
        <v>276.60000000000002</v>
      </c>
      <c r="L1204" s="4" t="s">
        <v>45</v>
      </c>
      <c r="M1204" s="4" t="s">
        <v>61</v>
      </c>
      <c r="N1204" s="4" t="s">
        <v>39</v>
      </c>
    </row>
    <row r="1205" spans="1:14" ht="10.5" hidden="1" x14ac:dyDescent="0.25">
      <c r="A1205" s="8" t="s">
        <v>470</v>
      </c>
      <c r="B1205" s="4" t="s">
        <v>21</v>
      </c>
      <c r="C1205" s="5">
        <v>44681</v>
      </c>
      <c r="D1205" s="4" t="s">
        <v>2498</v>
      </c>
      <c r="E1205" s="4" t="s">
        <v>2499</v>
      </c>
      <c r="F1205" s="4" t="s">
        <v>2356</v>
      </c>
      <c r="G1205" s="6">
        <v>-64.400846820500007</v>
      </c>
      <c r="H1205" s="6">
        <f t="shared" si="19"/>
        <v>-304328.13524770737</v>
      </c>
      <c r="I1205" s="4"/>
      <c r="J1205" s="4" t="s">
        <v>68</v>
      </c>
      <c r="K1205" s="7">
        <v>61.45</v>
      </c>
      <c r="L1205" s="4" t="s">
        <v>45</v>
      </c>
      <c r="M1205" s="4" t="s">
        <v>61</v>
      </c>
      <c r="N1205" s="4" t="s">
        <v>39</v>
      </c>
    </row>
    <row r="1206" spans="1:14" ht="10.5" hidden="1" x14ac:dyDescent="0.25">
      <c r="A1206" s="8" t="s">
        <v>470</v>
      </c>
      <c r="B1206" s="4" t="s">
        <v>21</v>
      </c>
      <c r="C1206" s="5">
        <v>44681</v>
      </c>
      <c r="D1206" s="4" t="s">
        <v>2498</v>
      </c>
      <c r="E1206" s="4" t="s">
        <v>2499</v>
      </c>
      <c r="F1206" s="4" t="s">
        <v>2355</v>
      </c>
      <c r="G1206" s="6">
        <v>-8139.1561366038004</v>
      </c>
      <c r="H1206" s="6">
        <f t="shared" si="19"/>
        <v>-312467.29138431116</v>
      </c>
      <c r="I1206" s="4"/>
      <c r="J1206" s="4" t="s">
        <v>68</v>
      </c>
      <c r="K1206" s="7">
        <v>7766.22</v>
      </c>
      <c r="L1206" s="4" t="s">
        <v>45</v>
      </c>
      <c r="M1206" s="4" t="s">
        <v>61</v>
      </c>
      <c r="N1206" s="4" t="s">
        <v>39</v>
      </c>
    </row>
    <row r="1207" spans="1:14" ht="10.5" hidden="1" x14ac:dyDescent="0.25">
      <c r="A1207" s="8" t="s">
        <v>470</v>
      </c>
      <c r="B1207" s="4" t="s">
        <v>21</v>
      </c>
      <c r="C1207" s="5">
        <v>44681</v>
      </c>
      <c r="D1207" s="4" t="s">
        <v>2498</v>
      </c>
      <c r="E1207" s="4" t="s">
        <v>2499</v>
      </c>
      <c r="F1207" s="4" t="s">
        <v>2356</v>
      </c>
      <c r="G1207" s="6">
        <v>-1808.8306195255</v>
      </c>
      <c r="H1207" s="6">
        <f t="shared" si="19"/>
        <v>-314276.12200383667</v>
      </c>
      <c r="I1207" s="4"/>
      <c r="J1207" s="4" t="s">
        <v>68</v>
      </c>
      <c r="K1207" s="7">
        <v>1725.95</v>
      </c>
      <c r="L1207" s="4" t="s">
        <v>45</v>
      </c>
      <c r="M1207" s="4" t="s">
        <v>61</v>
      </c>
      <c r="N1207" s="4" t="s">
        <v>39</v>
      </c>
    </row>
    <row r="1208" spans="1:14" ht="10.5" hidden="1" x14ac:dyDescent="0.25">
      <c r="A1208" s="8" t="s">
        <v>470</v>
      </c>
      <c r="B1208" s="4" t="s">
        <v>21</v>
      </c>
      <c r="C1208" s="5">
        <v>44681</v>
      </c>
      <c r="D1208" s="4" t="s">
        <v>2498</v>
      </c>
      <c r="E1208" s="4" t="s">
        <v>2499</v>
      </c>
      <c r="F1208" s="4" t="s">
        <v>2357</v>
      </c>
      <c r="G1208" s="6">
        <v>-614.18181075159998</v>
      </c>
      <c r="H1208" s="6">
        <f t="shared" si="19"/>
        <v>-314890.30381458829</v>
      </c>
      <c r="I1208" s="4"/>
      <c r="J1208" s="4" t="s">
        <v>68</v>
      </c>
      <c r="K1208" s="7">
        <v>586.04</v>
      </c>
      <c r="L1208" s="4" t="s">
        <v>45</v>
      </c>
      <c r="M1208" s="4" t="s">
        <v>61</v>
      </c>
      <c r="N1208" s="4" t="s">
        <v>39</v>
      </c>
    </row>
    <row r="1209" spans="1:14" ht="10.5" hidden="1" x14ac:dyDescent="0.25">
      <c r="A1209" s="8" t="s">
        <v>470</v>
      </c>
      <c r="B1209" s="4" t="s">
        <v>21</v>
      </c>
      <c r="C1209" s="5">
        <v>44681</v>
      </c>
      <c r="D1209" s="4" t="s">
        <v>2498</v>
      </c>
      <c r="E1209" s="4" t="s">
        <v>2499</v>
      </c>
      <c r="F1209" s="4" t="s">
        <v>2491</v>
      </c>
      <c r="G1209" s="6">
        <v>-1627.8165550367</v>
      </c>
      <c r="H1209" s="6">
        <f t="shared" si="19"/>
        <v>-316518.12036962499</v>
      </c>
      <c r="I1209" s="4"/>
      <c r="J1209" s="4" t="s">
        <v>68</v>
      </c>
      <c r="K1209" s="7">
        <v>1553.23</v>
      </c>
      <c r="L1209" s="4" t="s">
        <v>45</v>
      </c>
      <c r="M1209" s="4" t="s">
        <v>61</v>
      </c>
      <c r="N1209" s="4" t="s">
        <v>39</v>
      </c>
    </row>
    <row r="1210" spans="1:14" ht="10.5" hidden="1" x14ac:dyDescent="0.25">
      <c r="A1210" s="8" t="s">
        <v>470</v>
      </c>
      <c r="B1210" s="4" t="s">
        <v>21</v>
      </c>
      <c r="C1210" s="5">
        <v>44681</v>
      </c>
      <c r="D1210" s="4" t="s">
        <v>2498</v>
      </c>
      <c r="E1210" s="4" t="s">
        <v>2499</v>
      </c>
      <c r="F1210" s="4" t="s">
        <v>2491</v>
      </c>
      <c r="G1210" s="6">
        <v>-57.986962645699997</v>
      </c>
      <c r="H1210" s="6">
        <f t="shared" si="19"/>
        <v>-316576.10733227071</v>
      </c>
      <c r="I1210" s="4"/>
      <c r="J1210" s="4" t="s">
        <v>68</v>
      </c>
      <c r="K1210" s="7">
        <v>55.33</v>
      </c>
      <c r="L1210" s="4" t="s">
        <v>45</v>
      </c>
      <c r="M1210" s="4" t="s">
        <v>61</v>
      </c>
      <c r="N1210" s="4" t="s">
        <v>39</v>
      </c>
    </row>
    <row r="1211" spans="1:14" ht="10.5" hidden="1" x14ac:dyDescent="0.25">
      <c r="A1211" s="8" t="s">
        <v>470</v>
      </c>
      <c r="B1211" s="4" t="s">
        <v>21</v>
      </c>
      <c r="C1211" s="5">
        <v>44681</v>
      </c>
      <c r="D1211" s="4" t="s">
        <v>2498</v>
      </c>
      <c r="E1211" s="4" t="s">
        <v>2499</v>
      </c>
      <c r="F1211" s="4" t="s">
        <v>2491</v>
      </c>
      <c r="G1211" s="6">
        <v>-154.8449978475</v>
      </c>
      <c r="H1211" s="6">
        <f t="shared" si="19"/>
        <v>-316730.95233011822</v>
      </c>
      <c r="I1211" s="4"/>
      <c r="J1211" s="4" t="s">
        <v>68</v>
      </c>
      <c r="K1211" s="7">
        <v>147.75</v>
      </c>
      <c r="L1211" s="4" t="s">
        <v>45</v>
      </c>
      <c r="M1211" s="4" t="s">
        <v>61</v>
      </c>
      <c r="N1211" s="4" t="s">
        <v>39</v>
      </c>
    </row>
    <row r="1212" spans="1:14" ht="10.5" hidden="1" x14ac:dyDescent="0.25">
      <c r="A1212" s="8" t="s">
        <v>470</v>
      </c>
      <c r="B1212" s="4" t="s">
        <v>21</v>
      </c>
      <c r="C1212" s="5">
        <v>44681</v>
      </c>
      <c r="D1212" s="4" t="s">
        <v>138</v>
      </c>
      <c r="E1212" s="4" t="s">
        <v>139</v>
      </c>
      <c r="F1212" s="4" t="s">
        <v>139</v>
      </c>
      <c r="G1212" s="6">
        <v>-164833.2705035769</v>
      </c>
      <c r="H1212" s="6">
        <f t="shared" si="19"/>
        <v>-481564.22283369512</v>
      </c>
      <c r="I1212" s="4"/>
      <c r="J1212" s="4" t="s">
        <v>68</v>
      </c>
      <c r="K1212" s="7">
        <v>157280.60999999999</v>
      </c>
      <c r="L1212" s="4" t="s">
        <v>45</v>
      </c>
      <c r="M1212" s="4" t="s">
        <v>61</v>
      </c>
      <c r="N1212" s="4" t="s">
        <v>39</v>
      </c>
    </row>
    <row r="1213" spans="1:14" ht="10.5" hidden="1" x14ac:dyDescent="0.25">
      <c r="A1213" s="8" t="s">
        <v>470</v>
      </c>
      <c r="B1213" s="4" t="s">
        <v>21</v>
      </c>
      <c r="C1213" s="5">
        <v>44682</v>
      </c>
      <c r="D1213" s="4" t="s">
        <v>141</v>
      </c>
      <c r="E1213" s="4" t="s">
        <v>139</v>
      </c>
      <c r="F1213" s="4" t="s">
        <v>139</v>
      </c>
      <c r="G1213" s="6">
        <v>164833.2705035769</v>
      </c>
      <c r="H1213" s="6">
        <f t="shared" si="19"/>
        <v>-316730.95233011822</v>
      </c>
      <c r="I1213" s="4"/>
      <c r="J1213" s="4" t="s">
        <v>68</v>
      </c>
      <c r="K1213" s="7">
        <v>-157280.60999999999</v>
      </c>
      <c r="L1213" s="4" t="s">
        <v>52</v>
      </c>
      <c r="M1213" s="4" t="s">
        <v>61</v>
      </c>
      <c r="N1213" s="4" t="s">
        <v>39</v>
      </c>
    </row>
    <row r="1214" spans="1:14" ht="10.5" hidden="1" x14ac:dyDescent="0.25">
      <c r="A1214" s="8" t="s">
        <v>470</v>
      </c>
      <c r="B1214" s="4" t="s">
        <v>249</v>
      </c>
      <c r="C1214" s="5">
        <v>44685</v>
      </c>
      <c r="D1214" s="4" t="s">
        <v>2500</v>
      </c>
      <c r="E1214" s="4" t="s">
        <v>2501</v>
      </c>
      <c r="F1214" s="4" t="s">
        <v>2501</v>
      </c>
      <c r="G1214" s="6">
        <v>3204.3953980953002</v>
      </c>
      <c r="H1214" s="6">
        <f t="shared" si="19"/>
        <v>-313526.55693202291</v>
      </c>
      <c r="I1214" s="4" t="s">
        <v>252</v>
      </c>
      <c r="J1214" s="4" t="s">
        <v>68</v>
      </c>
      <c r="K1214" s="7">
        <v>-3057.57</v>
      </c>
      <c r="L1214" s="4" t="s">
        <v>52</v>
      </c>
      <c r="M1214" s="4" t="s">
        <v>61</v>
      </c>
      <c r="N1214" s="4"/>
    </row>
    <row r="1215" spans="1:14" ht="10.5" hidden="1" x14ac:dyDescent="0.25">
      <c r="A1215" s="8" t="s">
        <v>470</v>
      </c>
      <c r="B1215" s="4" t="s">
        <v>1977</v>
      </c>
      <c r="C1215" s="5">
        <v>44685</v>
      </c>
      <c r="D1215" s="4" t="s">
        <v>2502</v>
      </c>
      <c r="E1215" s="4" t="s">
        <v>2503</v>
      </c>
      <c r="F1215" s="4" t="s">
        <v>2503</v>
      </c>
      <c r="G1215" s="6">
        <v>-631.222620667</v>
      </c>
      <c r="H1215" s="6">
        <f t="shared" si="19"/>
        <v>-314157.77955268993</v>
      </c>
      <c r="I1215" s="4"/>
      <c r="J1215" s="4" t="s">
        <v>68</v>
      </c>
      <c r="K1215" s="7">
        <v>602.29999999999995</v>
      </c>
      <c r="L1215" s="4" t="s">
        <v>52</v>
      </c>
      <c r="M1215" s="4" t="s">
        <v>61</v>
      </c>
      <c r="N1215" s="4"/>
    </row>
    <row r="1216" spans="1:14" ht="10.5" hidden="1" x14ac:dyDescent="0.25">
      <c r="A1216" s="8" t="s">
        <v>470</v>
      </c>
      <c r="B1216" s="4" t="s">
        <v>249</v>
      </c>
      <c r="C1216" s="5">
        <v>44698</v>
      </c>
      <c r="D1216" s="4" t="s">
        <v>2504</v>
      </c>
      <c r="E1216" s="4" t="s">
        <v>2505</v>
      </c>
      <c r="F1216" s="4" t="s">
        <v>2505</v>
      </c>
      <c r="G1216" s="6">
        <v>74003.856737769995</v>
      </c>
      <c r="H1216" s="6">
        <f t="shared" si="19"/>
        <v>-240153.92281491993</v>
      </c>
      <c r="I1216" s="4" t="s">
        <v>252</v>
      </c>
      <c r="J1216" s="4" t="s">
        <v>68</v>
      </c>
      <c r="K1216" s="7">
        <v>-70613</v>
      </c>
      <c r="L1216" s="4" t="s">
        <v>52</v>
      </c>
      <c r="M1216" s="4" t="s">
        <v>61</v>
      </c>
      <c r="N1216" s="4"/>
    </row>
    <row r="1217" spans="1:14" ht="10.5" hidden="1" x14ac:dyDescent="0.25">
      <c r="A1217" s="8" t="s">
        <v>470</v>
      </c>
      <c r="B1217" s="4" t="s">
        <v>21</v>
      </c>
      <c r="C1217" s="5">
        <v>44712</v>
      </c>
      <c r="D1217" s="4" t="s">
        <v>2506</v>
      </c>
      <c r="E1217" s="4" t="s">
        <v>2507</v>
      </c>
      <c r="F1217" s="4" t="s">
        <v>2353</v>
      </c>
      <c r="G1217" s="6">
        <v>-296.76790551929997</v>
      </c>
      <c r="H1217" s="6">
        <f t="shared" si="19"/>
        <v>-240450.69072043922</v>
      </c>
      <c r="I1217" s="4"/>
      <c r="J1217" s="4" t="s">
        <v>68</v>
      </c>
      <c r="K1217" s="7">
        <v>283.17</v>
      </c>
      <c r="L1217" s="4" t="s">
        <v>52</v>
      </c>
      <c r="M1217" s="4" t="s">
        <v>61</v>
      </c>
      <c r="N1217" s="4" t="s">
        <v>39</v>
      </c>
    </row>
    <row r="1218" spans="1:14" ht="10.5" hidden="1" x14ac:dyDescent="0.25">
      <c r="A1218" s="8" t="s">
        <v>470</v>
      </c>
      <c r="B1218" s="4" t="s">
        <v>21</v>
      </c>
      <c r="C1218" s="5">
        <v>44712</v>
      </c>
      <c r="D1218" s="4" t="s">
        <v>2506</v>
      </c>
      <c r="E1218" s="4" t="s">
        <v>2507</v>
      </c>
      <c r="F1218" s="4" t="s">
        <v>2353</v>
      </c>
      <c r="G1218" s="6">
        <v>-0.96417866679999997</v>
      </c>
      <c r="H1218" s="6">
        <f t="shared" si="19"/>
        <v>-240451.65489910601</v>
      </c>
      <c r="I1218" s="4"/>
      <c r="J1218" s="4" t="s">
        <v>68</v>
      </c>
      <c r="K1218" s="7">
        <v>0.92</v>
      </c>
      <c r="L1218" s="4" t="s">
        <v>52</v>
      </c>
      <c r="M1218" s="4" t="s">
        <v>61</v>
      </c>
      <c r="N1218" s="4" t="s">
        <v>39</v>
      </c>
    </row>
    <row r="1219" spans="1:14" ht="10.5" hidden="1" x14ac:dyDescent="0.25">
      <c r="A1219" s="8" t="s">
        <v>470</v>
      </c>
      <c r="B1219" s="4" t="s">
        <v>21</v>
      </c>
      <c r="C1219" s="5">
        <v>44712</v>
      </c>
      <c r="D1219" s="4" t="s">
        <v>2506</v>
      </c>
      <c r="E1219" s="4" t="s">
        <v>2507</v>
      </c>
      <c r="F1219" s="4" t="s">
        <v>2353</v>
      </c>
      <c r="G1219" s="6">
        <v>-9.5055440302999994</v>
      </c>
      <c r="H1219" s="6">
        <f t="shared" si="19"/>
        <v>-240461.16044313632</v>
      </c>
      <c r="I1219" s="4"/>
      <c r="J1219" s="4" t="s">
        <v>68</v>
      </c>
      <c r="K1219" s="7">
        <v>9.07</v>
      </c>
      <c r="L1219" s="4" t="s">
        <v>52</v>
      </c>
      <c r="M1219" s="4" t="s">
        <v>61</v>
      </c>
      <c r="N1219" s="4" t="s">
        <v>39</v>
      </c>
    </row>
    <row r="1220" spans="1:14" ht="10.5" hidden="1" x14ac:dyDescent="0.25">
      <c r="A1220" s="8" t="s">
        <v>470</v>
      </c>
      <c r="B1220" s="4" t="s">
        <v>21</v>
      </c>
      <c r="C1220" s="5">
        <v>44712</v>
      </c>
      <c r="D1220" s="4" t="s">
        <v>2506</v>
      </c>
      <c r="E1220" s="4" t="s">
        <v>2507</v>
      </c>
      <c r="F1220" s="4" t="s">
        <v>2353</v>
      </c>
      <c r="G1220" s="6">
        <v>-29.480810757699999</v>
      </c>
      <c r="H1220" s="6">
        <f t="shared" si="19"/>
        <v>-240490.64125389402</v>
      </c>
      <c r="I1220" s="4"/>
      <c r="J1220" s="4" t="s">
        <v>68</v>
      </c>
      <c r="K1220" s="7">
        <v>28.13</v>
      </c>
      <c r="L1220" s="4" t="s">
        <v>52</v>
      </c>
      <c r="M1220" s="4" t="s">
        <v>61</v>
      </c>
      <c r="N1220" s="4" t="s">
        <v>39</v>
      </c>
    </row>
    <row r="1221" spans="1:14" ht="10.5" hidden="1" x14ac:dyDescent="0.25">
      <c r="A1221" s="8" t="s">
        <v>470</v>
      </c>
      <c r="B1221" s="4" t="s">
        <v>21</v>
      </c>
      <c r="C1221" s="5">
        <v>44712</v>
      </c>
      <c r="D1221" s="4" t="s">
        <v>2506</v>
      </c>
      <c r="E1221" s="4" t="s">
        <v>2507</v>
      </c>
      <c r="F1221" s="4" t="s">
        <v>2355</v>
      </c>
      <c r="G1221" s="6">
        <v>-213.91142139190001</v>
      </c>
      <c r="H1221" s="6">
        <f t="shared" si="19"/>
        <v>-240704.55267528593</v>
      </c>
      <c r="I1221" s="4"/>
      <c r="J1221" s="4" t="s">
        <v>68</v>
      </c>
      <c r="K1221" s="7">
        <v>204.11</v>
      </c>
      <c r="L1221" s="4" t="s">
        <v>52</v>
      </c>
      <c r="M1221" s="4" t="s">
        <v>61</v>
      </c>
      <c r="N1221" s="4" t="s">
        <v>39</v>
      </c>
    </row>
    <row r="1222" spans="1:14" ht="10.5" hidden="1" x14ac:dyDescent="0.25">
      <c r="A1222" s="8" t="s">
        <v>470</v>
      </c>
      <c r="B1222" s="4" t="s">
        <v>21</v>
      </c>
      <c r="C1222" s="5">
        <v>44712</v>
      </c>
      <c r="D1222" s="4" t="s">
        <v>2506</v>
      </c>
      <c r="E1222" s="4" t="s">
        <v>2507</v>
      </c>
      <c r="F1222" s="4" t="s">
        <v>2356</v>
      </c>
      <c r="G1222" s="6">
        <v>-47.538200354399997</v>
      </c>
      <c r="H1222" s="6">
        <f t="shared" si="19"/>
        <v>-240752.09087564034</v>
      </c>
      <c r="I1222" s="4"/>
      <c r="J1222" s="4" t="s">
        <v>68</v>
      </c>
      <c r="K1222" s="7">
        <v>45.36</v>
      </c>
      <c r="L1222" s="4" t="s">
        <v>52</v>
      </c>
      <c r="M1222" s="4" t="s">
        <v>61</v>
      </c>
      <c r="N1222" s="4" t="s">
        <v>39</v>
      </c>
    </row>
    <row r="1223" spans="1:14" ht="10.5" hidden="1" x14ac:dyDescent="0.25">
      <c r="A1223" s="8" t="s">
        <v>470</v>
      </c>
      <c r="B1223" s="4" t="s">
        <v>21</v>
      </c>
      <c r="C1223" s="5">
        <v>44712</v>
      </c>
      <c r="D1223" s="4" t="s">
        <v>2506</v>
      </c>
      <c r="E1223" s="4" t="s">
        <v>2507</v>
      </c>
      <c r="F1223" s="4" t="s">
        <v>2355</v>
      </c>
      <c r="G1223" s="6">
        <v>-6676.1093315608996</v>
      </c>
      <c r="H1223" s="6">
        <f t="shared" si="19"/>
        <v>-247428.20020720124</v>
      </c>
      <c r="I1223" s="4"/>
      <c r="J1223" s="4" t="s">
        <v>68</v>
      </c>
      <c r="K1223" s="7">
        <v>6370.21</v>
      </c>
      <c r="L1223" s="4" t="s">
        <v>52</v>
      </c>
      <c r="M1223" s="4" t="s">
        <v>61</v>
      </c>
      <c r="N1223" s="4" t="s">
        <v>39</v>
      </c>
    </row>
    <row r="1224" spans="1:14" ht="10.5" hidden="1" x14ac:dyDescent="0.25">
      <c r="A1224" s="8" t="s">
        <v>470</v>
      </c>
      <c r="B1224" s="4" t="s">
        <v>21</v>
      </c>
      <c r="C1224" s="5">
        <v>44712</v>
      </c>
      <c r="D1224" s="4" t="s">
        <v>2506</v>
      </c>
      <c r="E1224" s="4" t="s">
        <v>2507</v>
      </c>
      <c r="F1224" s="4" t="s">
        <v>2356</v>
      </c>
      <c r="G1224" s="6">
        <v>-1483.5670423211</v>
      </c>
      <c r="H1224" s="6">
        <f t="shared" si="19"/>
        <v>-248911.76724952235</v>
      </c>
      <c r="I1224" s="4"/>
      <c r="J1224" s="4" t="s">
        <v>68</v>
      </c>
      <c r="K1224" s="7">
        <v>1415.59</v>
      </c>
      <c r="L1224" s="4" t="s">
        <v>52</v>
      </c>
      <c r="M1224" s="4" t="s">
        <v>61</v>
      </c>
      <c r="N1224" s="4" t="s">
        <v>39</v>
      </c>
    </row>
    <row r="1225" spans="1:14" ht="10.5" hidden="1" x14ac:dyDescent="0.25">
      <c r="A1225" s="8" t="s">
        <v>470</v>
      </c>
      <c r="B1225" s="4" t="s">
        <v>21</v>
      </c>
      <c r="C1225" s="5">
        <v>44712</v>
      </c>
      <c r="D1225" s="4" t="s">
        <v>2506</v>
      </c>
      <c r="E1225" s="4" t="s">
        <v>2507</v>
      </c>
      <c r="F1225" s="4" t="s">
        <v>2357</v>
      </c>
      <c r="G1225" s="6">
        <v>-3288.6038283968001</v>
      </c>
      <c r="H1225" s="6">
        <f t="shared" si="19"/>
        <v>-252200.37107791915</v>
      </c>
      <c r="I1225" s="4"/>
      <c r="J1225" s="4" t="s">
        <v>68</v>
      </c>
      <c r="K1225" s="7">
        <v>3137.92</v>
      </c>
      <c r="L1225" s="4" t="s">
        <v>52</v>
      </c>
      <c r="M1225" s="4" t="s">
        <v>61</v>
      </c>
      <c r="N1225" s="4" t="s">
        <v>39</v>
      </c>
    </row>
    <row r="1226" spans="1:14" ht="10.5" hidden="1" x14ac:dyDescent="0.25">
      <c r="A1226" s="8" t="s">
        <v>470</v>
      </c>
      <c r="B1226" s="4" t="s">
        <v>21</v>
      </c>
      <c r="C1226" s="5">
        <v>44712</v>
      </c>
      <c r="D1226" s="4" t="s">
        <v>2506</v>
      </c>
      <c r="E1226" s="4" t="s">
        <v>2507</v>
      </c>
      <c r="F1226" s="4" t="s">
        <v>2462</v>
      </c>
      <c r="G1226" s="6">
        <v>-30.5707518593</v>
      </c>
      <c r="H1226" s="6">
        <f t="shared" si="19"/>
        <v>-252230.94182977846</v>
      </c>
      <c r="I1226" s="4"/>
      <c r="J1226" s="4" t="s">
        <v>68</v>
      </c>
      <c r="K1226" s="7">
        <v>29.17</v>
      </c>
      <c r="L1226" s="4" t="s">
        <v>52</v>
      </c>
      <c r="M1226" s="4" t="s">
        <v>61</v>
      </c>
      <c r="N1226" s="4" t="s">
        <v>39</v>
      </c>
    </row>
    <row r="1227" spans="1:14" ht="10.5" hidden="1" x14ac:dyDescent="0.25">
      <c r="A1227" s="8" t="s">
        <v>470</v>
      </c>
      <c r="B1227" s="4" t="s">
        <v>21</v>
      </c>
      <c r="C1227" s="5">
        <v>44712</v>
      </c>
      <c r="D1227" s="4" t="s">
        <v>2506</v>
      </c>
      <c r="E1227" s="4" t="s">
        <v>2507</v>
      </c>
      <c r="F1227" s="4" t="s">
        <v>2355</v>
      </c>
      <c r="G1227" s="6">
        <v>-663.19771971490002</v>
      </c>
      <c r="H1227" s="6">
        <f t="shared" si="19"/>
        <v>-252894.13954949335</v>
      </c>
      <c r="I1227" s="4"/>
      <c r="J1227" s="4" t="s">
        <v>68</v>
      </c>
      <c r="K1227" s="7">
        <v>632.80999999999995</v>
      </c>
      <c r="L1227" s="4" t="s">
        <v>52</v>
      </c>
      <c r="M1227" s="4" t="s">
        <v>61</v>
      </c>
      <c r="N1227" s="4" t="s">
        <v>39</v>
      </c>
    </row>
    <row r="1228" spans="1:14" ht="10.5" hidden="1" x14ac:dyDescent="0.25">
      <c r="A1228" s="8" t="s">
        <v>470</v>
      </c>
      <c r="B1228" s="4" t="s">
        <v>21</v>
      </c>
      <c r="C1228" s="5">
        <v>44712</v>
      </c>
      <c r="D1228" s="4" t="s">
        <v>2506</v>
      </c>
      <c r="E1228" s="4" t="s">
        <v>2507</v>
      </c>
      <c r="F1228" s="4" t="s">
        <v>2356</v>
      </c>
      <c r="G1228" s="6">
        <v>-147.3621329769</v>
      </c>
      <c r="H1228" s="6">
        <f t="shared" si="19"/>
        <v>-253041.50168247026</v>
      </c>
      <c r="I1228" s="4"/>
      <c r="J1228" s="4" t="s">
        <v>68</v>
      </c>
      <c r="K1228" s="7">
        <v>140.61000000000001</v>
      </c>
      <c r="L1228" s="4" t="s">
        <v>52</v>
      </c>
      <c r="M1228" s="4" t="s">
        <v>61</v>
      </c>
      <c r="N1228" s="4" t="s">
        <v>39</v>
      </c>
    </row>
    <row r="1229" spans="1:14" ht="10.5" hidden="1" x14ac:dyDescent="0.25">
      <c r="A1229" s="8" t="s">
        <v>470</v>
      </c>
      <c r="B1229" s="4" t="s">
        <v>21</v>
      </c>
      <c r="C1229" s="5">
        <v>44712</v>
      </c>
      <c r="D1229" s="4" t="s">
        <v>2506</v>
      </c>
      <c r="E1229" s="4" t="s">
        <v>2507</v>
      </c>
      <c r="F1229" s="4" t="s">
        <v>2357</v>
      </c>
      <c r="G1229" s="6">
        <v>-85.172608968299997</v>
      </c>
      <c r="H1229" s="6">
        <f t="shared" si="19"/>
        <v>-253126.67429143857</v>
      </c>
      <c r="I1229" s="4"/>
      <c r="J1229" s="4" t="s">
        <v>68</v>
      </c>
      <c r="K1229" s="7">
        <v>81.27</v>
      </c>
      <c r="L1229" s="4" t="s">
        <v>52</v>
      </c>
      <c r="M1229" s="4" t="s">
        <v>61</v>
      </c>
      <c r="N1229" s="4" t="s">
        <v>39</v>
      </c>
    </row>
    <row r="1230" spans="1:14" ht="10.5" hidden="1" x14ac:dyDescent="0.25">
      <c r="A1230" s="8" t="s">
        <v>470</v>
      </c>
      <c r="B1230" s="4" t="s">
        <v>21</v>
      </c>
      <c r="C1230" s="5">
        <v>44712</v>
      </c>
      <c r="D1230" s="4" t="s">
        <v>2506</v>
      </c>
      <c r="E1230" s="4" t="s">
        <v>2507</v>
      </c>
      <c r="F1230" s="4" t="s">
        <v>2356</v>
      </c>
      <c r="G1230" s="6">
        <v>-4.7999329281999996</v>
      </c>
      <c r="H1230" s="6">
        <f t="shared" si="19"/>
        <v>-253131.47422436677</v>
      </c>
      <c r="I1230" s="4"/>
      <c r="J1230" s="4" t="s">
        <v>68</v>
      </c>
      <c r="K1230" s="7">
        <v>4.58</v>
      </c>
      <c r="L1230" s="4" t="s">
        <v>52</v>
      </c>
      <c r="M1230" s="4" t="s">
        <v>61</v>
      </c>
      <c r="N1230" s="4" t="s">
        <v>39</v>
      </c>
    </row>
    <row r="1231" spans="1:14" ht="10.5" hidden="1" x14ac:dyDescent="0.25">
      <c r="A1231" s="8" t="s">
        <v>470</v>
      </c>
      <c r="B1231" s="4" t="s">
        <v>21</v>
      </c>
      <c r="C1231" s="5">
        <v>44712</v>
      </c>
      <c r="D1231" s="4" t="s">
        <v>2506</v>
      </c>
      <c r="E1231" s="4" t="s">
        <v>2507</v>
      </c>
      <c r="F1231" s="4" t="s">
        <v>2355</v>
      </c>
      <c r="G1231" s="6">
        <v>-21.589217974</v>
      </c>
      <c r="H1231" s="6">
        <f t="shared" si="19"/>
        <v>-253153.06344234076</v>
      </c>
      <c r="I1231" s="4"/>
      <c r="J1231" s="4" t="s">
        <v>68</v>
      </c>
      <c r="K1231" s="7">
        <v>20.6</v>
      </c>
      <c r="L1231" s="4" t="s">
        <v>52</v>
      </c>
      <c r="M1231" s="4" t="s">
        <v>61</v>
      </c>
      <c r="N1231" s="4" t="s">
        <v>39</v>
      </c>
    </row>
    <row r="1232" spans="1:14" ht="10.5" hidden="1" x14ac:dyDescent="0.25">
      <c r="A1232" s="8" t="s">
        <v>470</v>
      </c>
      <c r="B1232" s="4" t="s">
        <v>21</v>
      </c>
      <c r="C1232" s="5">
        <v>44712</v>
      </c>
      <c r="D1232" s="4" t="s">
        <v>2506</v>
      </c>
      <c r="E1232" s="4" t="s">
        <v>2507</v>
      </c>
      <c r="F1232" s="4" t="s">
        <v>2491</v>
      </c>
      <c r="G1232" s="6">
        <v>-132.65840830819999</v>
      </c>
      <c r="H1232" s="6">
        <f t="shared" si="19"/>
        <v>-253285.72185064896</v>
      </c>
      <c r="I1232" s="4"/>
      <c r="J1232" s="4" t="s">
        <v>68</v>
      </c>
      <c r="K1232" s="7">
        <v>126.58</v>
      </c>
      <c r="L1232" s="4" t="s">
        <v>52</v>
      </c>
      <c r="M1232" s="4" t="s">
        <v>61</v>
      </c>
      <c r="N1232" s="4" t="s">
        <v>39</v>
      </c>
    </row>
    <row r="1233" spans="1:14" ht="10.5" hidden="1" x14ac:dyDescent="0.25">
      <c r="A1233" s="8" t="s">
        <v>470</v>
      </c>
      <c r="B1233" s="4" t="s">
        <v>21</v>
      </c>
      <c r="C1233" s="5">
        <v>44712</v>
      </c>
      <c r="D1233" s="4" t="s">
        <v>2506</v>
      </c>
      <c r="E1233" s="4" t="s">
        <v>2507</v>
      </c>
      <c r="F1233" s="4" t="s">
        <v>2491</v>
      </c>
      <c r="G1233" s="6">
        <v>-4.3178435948000002</v>
      </c>
      <c r="H1233" s="6">
        <f t="shared" si="19"/>
        <v>-253290.03969424375</v>
      </c>
      <c r="I1233" s="4"/>
      <c r="J1233" s="4" t="s">
        <v>68</v>
      </c>
      <c r="K1233" s="7">
        <v>4.12</v>
      </c>
      <c r="L1233" s="4" t="s">
        <v>52</v>
      </c>
      <c r="M1233" s="4" t="s">
        <v>61</v>
      </c>
      <c r="N1233" s="4" t="s">
        <v>39</v>
      </c>
    </row>
    <row r="1234" spans="1:14" ht="10.5" hidden="1" x14ac:dyDescent="0.25">
      <c r="A1234" s="8" t="s">
        <v>470</v>
      </c>
      <c r="B1234" s="4" t="s">
        <v>21</v>
      </c>
      <c r="C1234" s="5">
        <v>44712</v>
      </c>
      <c r="D1234" s="4" t="s">
        <v>2506</v>
      </c>
      <c r="E1234" s="4" t="s">
        <v>2507</v>
      </c>
      <c r="F1234" s="4" t="s">
        <v>2491</v>
      </c>
      <c r="G1234" s="6">
        <v>-42.780188237799997</v>
      </c>
      <c r="H1234" s="6">
        <f t="shared" ref="H1234:H1261" si="20">H1233+G1234</f>
        <v>-253332.81988248156</v>
      </c>
      <c r="I1234" s="4"/>
      <c r="J1234" s="4" t="s">
        <v>68</v>
      </c>
      <c r="K1234" s="7">
        <v>40.82</v>
      </c>
      <c r="L1234" s="4" t="s">
        <v>52</v>
      </c>
      <c r="M1234" s="4" t="s">
        <v>61</v>
      </c>
      <c r="N1234" s="4" t="s">
        <v>39</v>
      </c>
    </row>
    <row r="1235" spans="1:14" ht="10.5" hidden="1" x14ac:dyDescent="0.25">
      <c r="A1235" s="8" t="s">
        <v>470</v>
      </c>
      <c r="B1235" s="4" t="s">
        <v>21</v>
      </c>
      <c r="C1235" s="5">
        <v>44712</v>
      </c>
      <c r="D1235" s="4" t="s">
        <v>2506</v>
      </c>
      <c r="E1235" s="4" t="s">
        <v>2507</v>
      </c>
      <c r="F1235" s="4" t="s">
        <v>2491</v>
      </c>
      <c r="G1235" s="6">
        <v>-1335.3036118948</v>
      </c>
      <c r="H1235" s="6">
        <f t="shared" si="20"/>
        <v>-254668.12349437637</v>
      </c>
      <c r="I1235" s="4"/>
      <c r="J1235" s="4" t="s">
        <v>68</v>
      </c>
      <c r="K1235" s="7">
        <v>1274.1199999999999</v>
      </c>
      <c r="L1235" s="4" t="s">
        <v>52</v>
      </c>
      <c r="M1235" s="4" t="s">
        <v>61</v>
      </c>
      <c r="N1235" s="4" t="s">
        <v>39</v>
      </c>
    </row>
    <row r="1236" spans="1:14" ht="10.5" hidden="1" x14ac:dyDescent="0.25">
      <c r="A1236" s="8" t="s">
        <v>470</v>
      </c>
      <c r="B1236" s="4" t="s">
        <v>21</v>
      </c>
      <c r="C1236" s="5">
        <v>44712</v>
      </c>
      <c r="D1236" s="4" t="s">
        <v>154</v>
      </c>
      <c r="E1236" s="4" t="s">
        <v>155</v>
      </c>
      <c r="F1236" s="4" t="s">
        <v>155</v>
      </c>
      <c r="G1236" s="6">
        <v>110988.49277187001</v>
      </c>
      <c r="H1236" s="6">
        <f t="shared" si="20"/>
        <v>-143679.63072250638</v>
      </c>
      <c r="I1236" s="4"/>
      <c r="J1236" s="4" t="s">
        <v>68</v>
      </c>
      <c r="K1236" s="7">
        <v>-105903</v>
      </c>
      <c r="L1236" s="4" t="s">
        <v>52</v>
      </c>
      <c r="M1236" s="4" t="s">
        <v>61</v>
      </c>
      <c r="N1236" s="4" t="s">
        <v>39</v>
      </c>
    </row>
    <row r="1237" spans="1:14" ht="10.5" hidden="1" x14ac:dyDescent="0.25">
      <c r="A1237" s="8" t="s">
        <v>470</v>
      </c>
      <c r="B1237" s="4" t="s">
        <v>21</v>
      </c>
      <c r="C1237" s="5">
        <v>44712</v>
      </c>
      <c r="D1237" s="4" t="s">
        <v>2508</v>
      </c>
      <c r="E1237" s="4" t="s">
        <v>2509</v>
      </c>
      <c r="F1237" s="4" t="s">
        <v>2509</v>
      </c>
      <c r="G1237" s="6">
        <v>-35709.195341170001</v>
      </c>
      <c r="H1237" s="6">
        <f t="shared" si="20"/>
        <v>-179388.82606367639</v>
      </c>
      <c r="I1237" s="4"/>
      <c r="J1237" s="4" t="s">
        <v>68</v>
      </c>
      <c r="K1237" s="7">
        <v>34073</v>
      </c>
      <c r="L1237" s="4" t="s">
        <v>52</v>
      </c>
      <c r="M1237" s="4" t="s">
        <v>61</v>
      </c>
      <c r="N1237" s="4" t="s">
        <v>39</v>
      </c>
    </row>
    <row r="1238" spans="1:14" ht="10.5" hidden="1" x14ac:dyDescent="0.25">
      <c r="A1238" s="8" t="s">
        <v>470</v>
      </c>
      <c r="B1238" s="4" t="s">
        <v>21</v>
      </c>
      <c r="C1238" s="5">
        <v>44712</v>
      </c>
      <c r="D1238" s="4" t="s">
        <v>156</v>
      </c>
      <c r="E1238" s="4" t="s">
        <v>157</v>
      </c>
      <c r="F1238" s="4" t="s">
        <v>157</v>
      </c>
      <c r="G1238" s="6">
        <v>-204469.56555462329</v>
      </c>
      <c r="H1238" s="6">
        <f t="shared" si="20"/>
        <v>-383858.39161829965</v>
      </c>
      <c r="I1238" s="4"/>
      <c r="J1238" s="4" t="s">
        <v>68</v>
      </c>
      <c r="K1238" s="7">
        <v>195100.77</v>
      </c>
      <c r="L1238" s="4" t="s">
        <v>52</v>
      </c>
      <c r="M1238" s="4" t="s">
        <v>61</v>
      </c>
      <c r="N1238" s="4" t="s">
        <v>39</v>
      </c>
    </row>
    <row r="1239" spans="1:14" ht="10.5" hidden="1" x14ac:dyDescent="0.25">
      <c r="A1239" s="8" t="s">
        <v>470</v>
      </c>
      <c r="B1239" s="4" t="s">
        <v>21</v>
      </c>
      <c r="C1239" s="5">
        <v>44712</v>
      </c>
      <c r="D1239" s="4" t="s">
        <v>2510</v>
      </c>
      <c r="E1239" s="4" t="s">
        <v>2511</v>
      </c>
      <c r="F1239" s="4" t="s">
        <v>2511</v>
      </c>
      <c r="G1239" s="6">
        <v>24999.47599766</v>
      </c>
      <c r="H1239" s="6">
        <f t="shared" si="20"/>
        <v>-358858.91562063963</v>
      </c>
      <c r="I1239" s="4"/>
      <c r="J1239" s="4" t="s">
        <v>68</v>
      </c>
      <c r="K1239" s="7">
        <v>-23854</v>
      </c>
      <c r="L1239" s="4" t="s">
        <v>52</v>
      </c>
      <c r="M1239" s="4" t="s">
        <v>61</v>
      </c>
      <c r="N1239" s="4" t="s">
        <v>39</v>
      </c>
    </row>
    <row r="1240" spans="1:14" ht="10.5" hidden="1" x14ac:dyDescent="0.25">
      <c r="A1240" s="8" t="s">
        <v>470</v>
      </c>
      <c r="B1240" s="4" t="s">
        <v>21</v>
      </c>
      <c r="C1240" s="5">
        <v>44713</v>
      </c>
      <c r="D1240" s="4" t="s">
        <v>161</v>
      </c>
      <c r="E1240" s="4" t="s">
        <v>157</v>
      </c>
      <c r="F1240" s="4" t="s">
        <v>157</v>
      </c>
      <c r="G1240" s="6">
        <v>204469.56555462329</v>
      </c>
      <c r="H1240" s="6">
        <f t="shared" si="20"/>
        <v>-154389.35006601634</v>
      </c>
      <c r="I1240" s="4"/>
      <c r="J1240" s="4" t="s">
        <v>68</v>
      </c>
      <c r="K1240" s="7">
        <v>-195100.77</v>
      </c>
      <c r="L1240" s="4" t="s">
        <v>160</v>
      </c>
      <c r="M1240" s="4" t="s">
        <v>61</v>
      </c>
      <c r="N1240" s="4" t="s">
        <v>39</v>
      </c>
    </row>
    <row r="1241" spans="1:14" ht="10.5" hidden="1" x14ac:dyDescent="0.25">
      <c r="A1241" s="8" t="s">
        <v>470</v>
      </c>
      <c r="B1241" s="4" t="s">
        <v>249</v>
      </c>
      <c r="C1241" s="5">
        <v>44719</v>
      </c>
      <c r="D1241" s="4" t="s">
        <v>2512</v>
      </c>
      <c r="E1241" s="4" t="s">
        <v>2513</v>
      </c>
      <c r="F1241" s="4" t="s">
        <v>2513</v>
      </c>
      <c r="G1241" s="6">
        <v>4371.2611889812997</v>
      </c>
      <c r="H1241" s="6">
        <f t="shared" si="20"/>
        <v>-150018.08887703504</v>
      </c>
      <c r="I1241" s="4" t="s">
        <v>252</v>
      </c>
      <c r="J1241" s="4" t="s">
        <v>68</v>
      </c>
      <c r="K1241" s="7">
        <v>-4170.97</v>
      </c>
      <c r="L1241" s="4" t="s">
        <v>160</v>
      </c>
      <c r="M1241" s="4" t="s">
        <v>61</v>
      </c>
      <c r="N1241" s="4"/>
    </row>
    <row r="1242" spans="1:14" ht="10.5" hidden="1" x14ac:dyDescent="0.25">
      <c r="A1242" s="8" t="s">
        <v>470</v>
      </c>
      <c r="B1242" s="4" t="s">
        <v>249</v>
      </c>
      <c r="C1242" s="5">
        <v>44739</v>
      </c>
      <c r="D1242" s="4" t="s">
        <v>2514</v>
      </c>
      <c r="E1242" s="4" t="s">
        <v>2515</v>
      </c>
      <c r="F1242" s="4" t="s">
        <v>2515</v>
      </c>
      <c r="G1242" s="6">
        <v>30909.262412970002</v>
      </c>
      <c r="H1242" s="6">
        <f t="shared" si="20"/>
        <v>-119108.82646406505</v>
      </c>
      <c r="I1242" s="4" t="s">
        <v>252</v>
      </c>
      <c r="J1242" s="4" t="s">
        <v>68</v>
      </c>
      <c r="K1242" s="7">
        <v>-29493</v>
      </c>
      <c r="L1242" s="4" t="s">
        <v>160</v>
      </c>
      <c r="M1242" s="4" t="s">
        <v>61</v>
      </c>
      <c r="N1242" s="4"/>
    </row>
    <row r="1243" spans="1:14" ht="10.5" hidden="1" x14ac:dyDescent="0.25">
      <c r="A1243" s="8" t="s">
        <v>470</v>
      </c>
      <c r="B1243" s="4" t="s">
        <v>249</v>
      </c>
      <c r="C1243" s="5">
        <v>44739</v>
      </c>
      <c r="D1243" s="4" t="s">
        <v>2516</v>
      </c>
      <c r="E1243" s="4" t="s">
        <v>2517</v>
      </c>
      <c r="F1243" s="4" t="s">
        <v>2517</v>
      </c>
      <c r="G1243" s="6">
        <v>3618.8140613700002</v>
      </c>
      <c r="H1243" s="6">
        <f t="shared" si="20"/>
        <v>-115490.01240269505</v>
      </c>
      <c r="I1243" s="4" t="s">
        <v>252</v>
      </c>
      <c r="J1243" s="4" t="s">
        <v>68</v>
      </c>
      <c r="K1243" s="7">
        <v>-3453</v>
      </c>
      <c r="L1243" s="4" t="s">
        <v>160</v>
      </c>
      <c r="M1243" s="4" t="s">
        <v>61</v>
      </c>
      <c r="N1243" s="4"/>
    </row>
    <row r="1244" spans="1:14" ht="10.5" hidden="1" x14ac:dyDescent="0.25">
      <c r="A1244" s="8" t="s">
        <v>470</v>
      </c>
      <c r="B1244" s="4" t="s">
        <v>21</v>
      </c>
      <c r="C1244" s="5">
        <v>44742</v>
      </c>
      <c r="D1244" s="4" t="s">
        <v>2518</v>
      </c>
      <c r="E1244" s="4" t="s">
        <v>2519</v>
      </c>
      <c r="F1244" s="4" t="s">
        <v>2520</v>
      </c>
      <c r="G1244" s="6">
        <v>-50.776583050500001</v>
      </c>
      <c r="H1244" s="6">
        <f t="shared" si="20"/>
        <v>-115540.78898574554</v>
      </c>
      <c r="I1244" s="4"/>
      <c r="J1244" s="4" t="s">
        <v>68</v>
      </c>
      <c r="K1244" s="7">
        <v>48.45</v>
      </c>
      <c r="L1244" s="4" t="s">
        <v>160</v>
      </c>
      <c r="M1244" s="4" t="s">
        <v>61</v>
      </c>
      <c r="N1244" s="4" t="s">
        <v>1108</v>
      </c>
    </row>
    <row r="1245" spans="1:14" ht="10.5" hidden="1" x14ac:dyDescent="0.25">
      <c r="A1245" s="8" t="s">
        <v>470</v>
      </c>
      <c r="B1245" s="4" t="s">
        <v>21</v>
      </c>
      <c r="C1245" s="5">
        <v>44742</v>
      </c>
      <c r="D1245" s="4" t="s">
        <v>2518</v>
      </c>
      <c r="E1245" s="4" t="s">
        <v>2519</v>
      </c>
      <c r="F1245" s="4" t="s">
        <v>2520</v>
      </c>
      <c r="G1245" s="6">
        <v>-1358.4753405066999</v>
      </c>
      <c r="H1245" s="6">
        <f t="shared" si="20"/>
        <v>-116899.26432625225</v>
      </c>
      <c r="I1245" s="4"/>
      <c r="J1245" s="4" t="s">
        <v>68</v>
      </c>
      <c r="K1245" s="7">
        <v>1296.23</v>
      </c>
      <c r="L1245" s="4" t="s">
        <v>160</v>
      </c>
      <c r="M1245" s="4" t="s">
        <v>61</v>
      </c>
      <c r="N1245" s="4" t="s">
        <v>1108</v>
      </c>
    </row>
    <row r="1246" spans="1:14" ht="10.5" hidden="1" x14ac:dyDescent="0.25">
      <c r="A1246" s="8" t="s">
        <v>470</v>
      </c>
      <c r="B1246" s="4" t="s">
        <v>21</v>
      </c>
      <c r="C1246" s="5">
        <v>44742</v>
      </c>
      <c r="D1246" s="4" t="s">
        <v>2518</v>
      </c>
      <c r="E1246" s="4" t="s">
        <v>2519</v>
      </c>
      <c r="F1246" s="4" t="s">
        <v>2520</v>
      </c>
      <c r="G1246" s="6">
        <v>-131.94575451099999</v>
      </c>
      <c r="H1246" s="6">
        <f t="shared" si="20"/>
        <v>-117031.21008076325</v>
      </c>
      <c r="I1246" s="4"/>
      <c r="J1246" s="4" t="s">
        <v>68</v>
      </c>
      <c r="K1246" s="7">
        <v>125.9</v>
      </c>
      <c r="L1246" s="4" t="s">
        <v>160</v>
      </c>
      <c r="M1246" s="4" t="s">
        <v>61</v>
      </c>
      <c r="N1246" s="4" t="s">
        <v>1108</v>
      </c>
    </row>
    <row r="1247" spans="1:14" ht="10.5" hidden="1" x14ac:dyDescent="0.25">
      <c r="A1247" s="8" t="s">
        <v>470</v>
      </c>
      <c r="B1247" s="4" t="s">
        <v>1977</v>
      </c>
      <c r="C1247" s="5">
        <v>44742</v>
      </c>
      <c r="D1247" s="4" t="s">
        <v>2521</v>
      </c>
      <c r="E1247" s="4" t="s">
        <v>2522</v>
      </c>
      <c r="F1247" s="4"/>
      <c r="G1247" s="6">
        <v>-186.54761162</v>
      </c>
      <c r="H1247" s="6">
        <f t="shared" si="20"/>
        <v>-117217.75769238325</v>
      </c>
      <c r="I1247" s="4"/>
      <c r="J1247" s="4" t="s">
        <v>68</v>
      </c>
      <c r="K1247" s="7">
        <v>178</v>
      </c>
      <c r="L1247" s="4" t="s">
        <v>160</v>
      </c>
      <c r="M1247" s="4" t="s">
        <v>61</v>
      </c>
      <c r="N1247" s="4"/>
    </row>
    <row r="1248" spans="1:14" ht="10.5" hidden="1" x14ac:dyDescent="0.25">
      <c r="A1248" s="8" t="s">
        <v>470</v>
      </c>
      <c r="B1248" s="4" t="s">
        <v>21</v>
      </c>
      <c r="C1248" s="5">
        <v>44742</v>
      </c>
      <c r="D1248" s="4" t="s">
        <v>2523</v>
      </c>
      <c r="E1248" s="4" t="s">
        <v>2524</v>
      </c>
      <c r="F1248" s="4" t="s">
        <v>2525</v>
      </c>
      <c r="G1248" s="6">
        <v>-11.2976587262</v>
      </c>
      <c r="H1248" s="6">
        <f t="shared" si="20"/>
        <v>-117229.05535110945</v>
      </c>
      <c r="I1248" s="4"/>
      <c r="J1248" s="4" t="s">
        <v>68</v>
      </c>
      <c r="K1248" s="7">
        <v>10.78</v>
      </c>
      <c r="L1248" s="4" t="s">
        <v>160</v>
      </c>
      <c r="M1248" s="4" t="s">
        <v>61</v>
      </c>
      <c r="N1248" s="4" t="s">
        <v>1108</v>
      </c>
    </row>
    <row r="1249" spans="1:14" ht="10.5" hidden="1" x14ac:dyDescent="0.25">
      <c r="A1249" s="8" t="s">
        <v>470</v>
      </c>
      <c r="B1249" s="4" t="s">
        <v>21</v>
      </c>
      <c r="C1249" s="5">
        <v>44742</v>
      </c>
      <c r="D1249" s="4" t="s">
        <v>2523</v>
      </c>
      <c r="E1249" s="4" t="s">
        <v>2524</v>
      </c>
      <c r="F1249" s="4" t="s">
        <v>2526</v>
      </c>
      <c r="G1249" s="6">
        <v>-56.781739312200003</v>
      </c>
      <c r="H1249" s="6">
        <f t="shared" si="20"/>
        <v>-117285.83709042164</v>
      </c>
      <c r="I1249" s="4"/>
      <c r="J1249" s="4" t="s">
        <v>68</v>
      </c>
      <c r="K1249" s="7">
        <v>54.18</v>
      </c>
      <c r="L1249" s="4" t="s">
        <v>160</v>
      </c>
      <c r="M1249" s="4" t="s">
        <v>61</v>
      </c>
      <c r="N1249" s="4" t="s">
        <v>1108</v>
      </c>
    </row>
    <row r="1250" spans="1:14" ht="10.5" hidden="1" x14ac:dyDescent="0.25">
      <c r="A1250" s="8" t="s">
        <v>470</v>
      </c>
      <c r="B1250" s="4" t="s">
        <v>21</v>
      </c>
      <c r="C1250" s="5">
        <v>44742</v>
      </c>
      <c r="D1250" s="4" t="s">
        <v>2523</v>
      </c>
      <c r="E1250" s="4" t="s">
        <v>2524</v>
      </c>
      <c r="F1250" s="4" t="s">
        <v>2526</v>
      </c>
      <c r="G1250" s="6">
        <v>-3683.2463487992</v>
      </c>
      <c r="H1250" s="6">
        <f t="shared" si="20"/>
        <v>-120969.08343922085</v>
      </c>
      <c r="I1250" s="4"/>
      <c r="J1250" s="4" t="s">
        <v>68</v>
      </c>
      <c r="K1250" s="7">
        <v>3514.48</v>
      </c>
      <c r="L1250" s="4" t="s">
        <v>160</v>
      </c>
      <c r="M1250" s="4" t="s">
        <v>61</v>
      </c>
      <c r="N1250" s="4" t="s">
        <v>1108</v>
      </c>
    </row>
    <row r="1251" spans="1:14" ht="10.5" hidden="1" x14ac:dyDescent="0.25">
      <c r="A1251" s="8" t="s">
        <v>470</v>
      </c>
      <c r="B1251" s="4" t="s">
        <v>21</v>
      </c>
      <c r="C1251" s="5">
        <v>44742</v>
      </c>
      <c r="D1251" s="4" t="s">
        <v>2523</v>
      </c>
      <c r="E1251" s="4" t="s">
        <v>2524</v>
      </c>
      <c r="F1251" s="4" t="s">
        <v>2526</v>
      </c>
      <c r="G1251" s="6">
        <v>-631.222620667</v>
      </c>
      <c r="H1251" s="6">
        <f t="shared" si="20"/>
        <v>-121600.30605988785</v>
      </c>
      <c r="I1251" s="4"/>
      <c r="J1251" s="4" t="s">
        <v>68</v>
      </c>
      <c r="K1251" s="7">
        <v>602.29999999999995</v>
      </c>
      <c r="L1251" s="4" t="s">
        <v>160</v>
      </c>
      <c r="M1251" s="4" t="s">
        <v>61</v>
      </c>
      <c r="N1251" s="4" t="s">
        <v>1108</v>
      </c>
    </row>
    <row r="1252" spans="1:14" ht="10.5" hidden="1" x14ac:dyDescent="0.25">
      <c r="A1252" s="8" t="s">
        <v>470</v>
      </c>
      <c r="B1252" s="4" t="s">
        <v>21</v>
      </c>
      <c r="C1252" s="5">
        <v>44742</v>
      </c>
      <c r="D1252" s="4" t="s">
        <v>2523</v>
      </c>
      <c r="E1252" s="4" t="s">
        <v>2524</v>
      </c>
      <c r="F1252" s="4" t="s">
        <v>2527</v>
      </c>
      <c r="G1252" s="6">
        <v>-659.6030101202</v>
      </c>
      <c r="H1252" s="6">
        <f t="shared" si="20"/>
        <v>-122259.90907000806</v>
      </c>
      <c r="I1252" s="4"/>
      <c r="J1252" s="4" t="s">
        <v>68</v>
      </c>
      <c r="K1252" s="7">
        <v>629.38</v>
      </c>
      <c r="L1252" s="4" t="s">
        <v>160</v>
      </c>
      <c r="M1252" s="4" t="s">
        <v>61</v>
      </c>
      <c r="N1252" s="4" t="s">
        <v>1108</v>
      </c>
    </row>
    <row r="1253" spans="1:14" ht="10.5" hidden="1" x14ac:dyDescent="0.25">
      <c r="A1253" s="8" t="s">
        <v>470</v>
      </c>
      <c r="B1253" s="4" t="s">
        <v>21</v>
      </c>
      <c r="C1253" s="5">
        <v>44742</v>
      </c>
      <c r="D1253" s="4" t="s">
        <v>2523</v>
      </c>
      <c r="E1253" s="4" t="s">
        <v>2524</v>
      </c>
      <c r="F1253" s="4" t="s">
        <v>2527</v>
      </c>
      <c r="G1253" s="6">
        <v>-6791.7374101566002</v>
      </c>
      <c r="H1253" s="6">
        <f t="shared" si="20"/>
        <v>-129051.64648016465</v>
      </c>
      <c r="I1253" s="4"/>
      <c r="J1253" s="4" t="s">
        <v>68</v>
      </c>
      <c r="K1253" s="7">
        <v>6480.54</v>
      </c>
      <c r="L1253" s="4" t="s">
        <v>160</v>
      </c>
      <c r="M1253" s="4" t="s">
        <v>61</v>
      </c>
      <c r="N1253" s="4" t="s">
        <v>1108</v>
      </c>
    </row>
    <row r="1254" spans="1:14" ht="10.5" hidden="1" x14ac:dyDescent="0.25">
      <c r="A1254" s="8" t="s">
        <v>470</v>
      </c>
      <c r="B1254" s="4" t="s">
        <v>21</v>
      </c>
      <c r="C1254" s="5">
        <v>44742</v>
      </c>
      <c r="D1254" s="4" t="s">
        <v>2523</v>
      </c>
      <c r="E1254" s="4" t="s">
        <v>2524</v>
      </c>
      <c r="F1254" s="4" t="s">
        <v>2527</v>
      </c>
      <c r="G1254" s="6">
        <v>-253.91435586119999</v>
      </c>
      <c r="H1254" s="6">
        <f t="shared" si="20"/>
        <v>-129305.56083602585</v>
      </c>
      <c r="I1254" s="4"/>
      <c r="J1254" s="4" t="s">
        <v>68</v>
      </c>
      <c r="K1254" s="7">
        <v>242.28</v>
      </c>
      <c r="L1254" s="4" t="s">
        <v>160</v>
      </c>
      <c r="M1254" s="4" t="s">
        <v>61</v>
      </c>
      <c r="N1254" s="4" t="s">
        <v>1108</v>
      </c>
    </row>
    <row r="1255" spans="1:14" ht="10.5" hidden="1" x14ac:dyDescent="0.25">
      <c r="A1255" s="8" t="s">
        <v>470</v>
      </c>
      <c r="B1255" s="4" t="s">
        <v>21</v>
      </c>
      <c r="C1255" s="5">
        <v>44742</v>
      </c>
      <c r="D1255" s="4" t="s">
        <v>2523</v>
      </c>
      <c r="E1255" s="4" t="s">
        <v>2524</v>
      </c>
      <c r="F1255" s="4" t="s">
        <v>2528</v>
      </c>
      <c r="G1255" s="6">
        <v>-146.56563755650001</v>
      </c>
      <c r="H1255" s="6">
        <f t="shared" si="20"/>
        <v>-129452.12647358235</v>
      </c>
      <c r="I1255" s="4"/>
      <c r="J1255" s="4" t="s">
        <v>68</v>
      </c>
      <c r="K1255" s="7">
        <v>139.85</v>
      </c>
      <c r="L1255" s="4" t="s">
        <v>160</v>
      </c>
      <c r="M1255" s="4" t="s">
        <v>61</v>
      </c>
      <c r="N1255" s="4" t="s">
        <v>1108</v>
      </c>
    </row>
    <row r="1256" spans="1:14" ht="10.5" hidden="1" x14ac:dyDescent="0.25">
      <c r="A1256" s="8" t="s">
        <v>470</v>
      </c>
      <c r="B1256" s="4" t="s">
        <v>21</v>
      </c>
      <c r="C1256" s="5">
        <v>44742</v>
      </c>
      <c r="D1256" s="4" t="s">
        <v>2523</v>
      </c>
      <c r="E1256" s="4" t="s">
        <v>2524</v>
      </c>
      <c r="F1256" s="4" t="s">
        <v>2528</v>
      </c>
      <c r="G1256" s="6">
        <v>-1509.3483414550999</v>
      </c>
      <c r="H1256" s="6">
        <f t="shared" si="20"/>
        <v>-130961.47481503745</v>
      </c>
      <c r="I1256" s="4"/>
      <c r="J1256" s="4" t="s">
        <v>68</v>
      </c>
      <c r="K1256" s="7">
        <v>1440.19</v>
      </c>
      <c r="L1256" s="4" t="s">
        <v>160</v>
      </c>
      <c r="M1256" s="4" t="s">
        <v>61</v>
      </c>
      <c r="N1256" s="4" t="s">
        <v>1108</v>
      </c>
    </row>
    <row r="1257" spans="1:14" ht="10.5" hidden="1" x14ac:dyDescent="0.25">
      <c r="A1257" s="8" t="s">
        <v>470</v>
      </c>
      <c r="B1257" s="4" t="s">
        <v>21</v>
      </c>
      <c r="C1257" s="5">
        <v>44742</v>
      </c>
      <c r="D1257" s="4" t="s">
        <v>2523</v>
      </c>
      <c r="E1257" s="4" t="s">
        <v>2524</v>
      </c>
      <c r="F1257" s="4" t="s">
        <v>2528</v>
      </c>
      <c r="G1257" s="6">
        <v>-56.4254124136</v>
      </c>
      <c r="H1257" s="6">
        <f t="shared" si="20"/>
        <v>-131017.90022745106</v>
      </c>
      <c r="I1257" s="4"/>
      <c r="J1257" s="4" t="s">
        <v>68</v>
      </c>
      <c r="K1257" s="7">
        <v>53.84</v>
      </c>
      <c r="L1257" s="4" t="s">
        <v>160</v>
      </c>
      <c r="M1257" s="4" t="s">
        <v>61</v>
      </c>
      <c r="N1257" s="4" t="s">
        <v>1108</v>
      </c>
    </row>
    <row r="1258" spans="1:14" ht="10.5" hidden="1" x14ac:dyDescent="0.25">
      <c r="A1258" s="8" t="s">
        <v>470</v>
      </c>
      <c r="B1258" s="4" t="s">
        <v>21</v>
      </c>
      <c r="C1258" s="5">
        <v>44742</v>
      </c>
      <c r="D1258" s="4" t="s">
        <v>2529</v>
      </c>
      <c r="E1258" s="4" t="s">
        <v>2530</v>
      </c>
      <c r="F1258" s="4" t="s">
        <v>2531</v>
      </c>
      <c r="G1258" s="6">
        <v>-107527.8564128697</v>
      </c>
      <c r="H1258" s="6">
        <f t="shared" si="20"/>
        <v>-238545.75664032076</v>
      </c>
      <c r="I1258" s="4"/>
      <c r="J1258" s="4" t="s">
        <v>68</v>
      </c>
      <c r="K1258" s="7">
        <v>102600.93</v>
      </c>
      <c r="L1258" s="4" t="s">
        <v>160</v>
      </c>
      <c r="M1258" s="4" t="s">
        <v>61</v>
      </c>
      <c r="N1258" s="4" t="s">
        <v>1108</v>
      </c>
    </row>
    <row r="1259" spans="1:14" ht="10.5" hidden="1" x14ac:dyDescent="0.25">
      <c r="A1259" s="8" t="s">
        <v>470</v>
      </c>
      <c r="B1259" s="4" t="s">
        <v>21</v>
      </c>
      <c r="C1259" s="5">
        <v>44742</v>
      </c>
      <c r="D1259" s="4" t="s">
        <v>2532</v>
      </c>
      <c r="E1259" s="4" t="s">
        <v>2533</v>
      </c>
      <c r="F1259" s="4" t="s">
        <v>2534</v>
      </c>
      <c r="G1259" s="6">
        <v>186.54761162</v>
      </c>
      <c r="H1259" s="6">
        <f t="shared" si="20"/>
        <v>-238359.20902870077</v>
      </c>
      <c r="I1259" s="4"/>
      <c r="J1259" s="4" t="s">
        <v>68</v>
      </c>
      <c r="K1259" s="7">
        <v>-178</v>
      </c>
      <c r="L1259" s="4" t="s">
        <v>160</v>
      </c>
      <c r="M1259" s="4" t="s">
        <v>61</v>
      </c>
      <c r="N1259" s="4" t="s">
        <v>1108</v>
      </c>
    </row>
    <row r="1260" spans="1:14" ht="10.5" hidden="1" x14ac:dyDescent="0.25">
      <c r="A1260" s="8" t="s">
        <v>470</v>
      </c>
      <c r="B1260" s="4" t="s">
        <v>21</v>
      </c>
      <c r="C1260" s="5">
        <v>44742</v>
      </c>
      <c r="D1260" s="4" t="s">
        <v>2535</v>
      </c>
      <c r="E1260" s="4" t="s">
        <v>2536</v>
      </c>
      <c r="F1260" s="4" t="s">
        <v>2536</v>
      </c>
      <c r="G1260" s="6">
        <v>35709.195341170001</v>
      </c>
      <c r="H1260" s="6">
        <f t="shared" si="20"/>
        <v>-202650.01368753077</v>
      </c>
      <c r="I1260" s="4"/>
      <c r="J1260" s="4" t="s">
        <v>68</v>
      </c>
      <c r="K1260" s="7">
        <v>-34073</v>
      </c>
      <c r="L1260" s="4" t="s">
        <v>160</v>
      </c>
      <c r="M1260" s="4" t="s">
        <v>61</v>
      </c>
      <c r="N1260" s="4" t="s">
        <v>1108</v>
      </c>
    </row>
    <row r="1261" spans="1:14" ht="10.5" hidden="1" x14ac:dyDescent="0.25">
      <c r="A1261" s="8" t="s">
        <v>470</v>
      </c>
      <c r="B1261" s="4" t="s">
        <v>21</v>
      </c>
      <c r="C1261" s="5">
        <v>44742</v>
      </c>
      <c r="D1261" s="4" t="s">
        <v>2537</v>
      </c>
      <c r="E1261" s="4" t="s">
        <v>2538</v>
      </c>
      <c r="F1261" s="4" t="s">
        <v>2538</v>
      </c>
      <c r="G1261" s="6">
        <v>138970.63451487001</v>
      </c>
      <c r="H1261" s="6">
        <f t="shared" si="20"/>
        <v>-63679.37917266076</v>
      </c>
      <c r="I1261" s="4"/>
      <c r="J1261" s="4" t="s">
        <v>68</v>
      </c>
      <c r="K1261" s="7">
        <v>-132603</v>
      </c>
      <c r="L1261" s="4" t="s">
        <v>160</v>
      </c>
      <c r="M1261" s="4" t="s">
        <v>61</v>
      </c>
      <c r="N1261" s="4" t="s">
        <v>1108</v>
      </c>
    </row>
    <row r="1262" spans="1:14" ht="10.5" hidden="1" x14ac:dyDescent="0.25">
      <c r="A1262" s="9" t="s">
        <v>2539</v>
      </c>
      <c r="B1262" s="10"/>
      <c r="C1262" s="11"/>
      <c r="D1262" s="10"/>
      <c r="E1262" s="10"/>
      <c r="F1262" s="10"/>
      <c r="G1262" s="12">
        <f>SUM(G785:G1261)</f>
        <v>-63679.37917266076</v>
      </c>
      <c r="H1262" s="12">
        <f>H1261</f>
        <v>-63679.37917266076</v>
      </c>
      <c r="I1262" s="10"/>
      <c r="J1262" s="10"/>
      <c r="K1262" s="13"/>
      <c r="L1262" s="10"/>
      <c r="M1262" s="10"/>
      <c r="N1262" s="10"/>
    </row>
    <row r="1263" spans="1:14" ht="10.5" hidden="1" x14ac:dyDescent="0.2">
      <c r="A1263" s="10" t="s">
        <v>304</v>
      </c>
      <c r="B1263" s="10"/>
      <c r="C1263" s="11"/>
      <c r="D1263" s="10"/>
      <c r="E1263" s="10"/>
      <c r="F1263" s="10"/>
      <c r="G1263" s="12">
        <f>SUM(G90,G784,G1262)</f>
        <v>-268625.25429397571</v>
      </c>
      <c r="H1263" s="12">
        <f>H90+H784+H1262</f>
        <v>-268625.25429397571</v>
      </c>
      <c r="I1263" s="10"/>
      <c r="J1263" s="10"/>
      <c r="K1263" s="13"/>
      <c r="L1263" s="10"/>
      <c r="M1263" s="10"/>
      <c r="N1263" s="10"/>
    </row>
    <row r="1264" spans="1:14" ht="10.5" hidden="1" x14ac:dyDescent="0.2">
      <c r="A1264" s="3" t="s">
        <v>553</v>
      </c>
      <c r="B1264" s="4"/>
      <c r="C1264" s="5"/>
      <c r="D1264" s="4"/>
      <c r="E1264" s="4"/>
      <c r="F1264" s="4"/>
      <c r="G1264" s="6">
        <v>0</v>
      </c>
      <c r="H1264" s="6">
        <v>0</v>
      </c>
      <c r="I1264" s="4"/>
      <c r="J1264" s="4"/>
      <c r="K1264" s="7">
        <v>0</v>
      </c>
      <c r="L1264" s="4"/>
      <c r="M1264" s="4"/>
      <c r="N1264" s="4"/>
    </row>
    <row r="1265" spans="1:14" ht="10.5" hidden="1" x14ac:dyDescent="0.25">
      <c r="A1265" s="8" t="s">
        <v>555</v>
      </c>
      <c r="B1265" s="4"/>
      <c r="C1265" s="5"/>
      <c r="D1265" s="4"/>
      <c r="E1265" s="4"/>
      <c r="F1265" s="4"/>
      <c r="G1265" s="6">
        <v>0</v>
      </c>
      <c r="H1265" s="6">
        <v>0</v>
      </c>
      <c r="I1265" s="4"/>
      <c r="J1265" s="4"/>
      <c r="K1265" s="7">
        <v>0</v>
      </c>
      <c r="L1265" s="4"/>
      <c r="M1265" s="4"/>
      <c r="N1265" s="4"/>
    </row>
    <row r="1266" spans="1:14" ht="10.5" hidden="1" x14ac:dyDescent="0.25">
      <c r="A1266" s="8" t="s">
        <v>555</v>
      </c>
      <c r="B1266" s="4" t="s">
        <v>21</v>
      </c>
      <c r="C1266" s="5">
        <v>43830</v>
      </c>
      <c r="D1266" s="4" t="s">
        <v>2540</v>
      </c>
      <c r="E1266" s="4" t="s">
        <v>2541</v>
      </c>
      <c r="F1266" s="4" t="s">
        <v>2542</v>
      </c>
      <c r="G1266" s="6">
        <v>436000.99992240925</v>
      </c>
      <c r="H1266" s="6">
        <f t="shared" ref="H1266:H1329" si="21">H1265+G1266</f>
        <v>436000.99992240925</v>
      </c>
      <c r="I1266" s="4"/>
      <c r="J1266" s="4" t="s">
        <v>68</v>
      </c>
      <c r="K1266" s="7">
        <v>436001</v>
      </c>
      <c r="L1266" s="4" t="s">
        <v>1025</v>
      </c>
      <c r="M1266" s="4" t="s">
        <v>27</v>
      </c>
      <c r="N1266" s="4" t="s">
        <v>118</v>
      </c>
    </row>
    <row r="1267" spans="1:14" ht="10.5" hidden="1" x14ac:dyDescent="0.25">
      <c r="A1267" s="8" t="s">
        <v>555</v>
      </c>
      <c r="B1267" s="4" t="s">
        <v>21</v>
      </c>
      <c r="C1267" s="5">
        <v>43830</v>
      </c>
      <c r="D1267" s="4" t="s">
        <v>2543</v>
      </c>
      <c r="E1267" s="4" t="s">
        <v>2544</v>
      </c>
      <c r="F1267" s="4" t="s">
        <v>2544</v>
      </c>
      <c r="G1267" s="6">
        <v>3768007.5203161999</v>
      </c>
      <c r="H1267" s="6">
        <f t="shared" si="21"/>
        <v>4204008.5202386091</v>
      </c>
      <c r="I1267" s="4"/>
      <c r="J1267" s="4" t="s">
        <v>2545</v>
      </c>
      <c r="K1267" s="7">
        <v>3420517.18</v>
      </c>
      <c r="L1267" s="4" t="s">
        <v>1025</v>
      </c>
      <c r="M1267" s="4" t="s">
        <v>61</v>
      </c>
      <c r="N1267" s="4" t="s">
        <v>39</v>
      </c>
    </row>
    <row r="1268" spans="1:14" ht="10.5" hidden="1" x14ac:dyDescent="0.25">
      <c r="A1268" s="8" t="s">
        <v>555</v>
      </c>
      <c r="B1268" s="4" t="s">
        <v>21</v>
      </c>
      <c r="C1268" s="5">
        <v>43861</v>
      </c>
      <c r="D1268" s="4" t="s">
        <v>2546</v>
      </c>
      <c r="E1268" s="4" t="s">
        <v>2547</v>
      </c>
      <c r="F1268" s="4" t="s">
        <v>2547</v>
      </c>
      <c r="G1268" s="6">
        <v>-172997.24300386838</v>
      </c>
      <c r="H1268" s="6">
        <f t="shared" si="21"/>
        <v>4031011.2772347406</v>
      </c>
      <c r="I1268" s="4"/>
      <c r="J1268" s="4" t="s">
        <v>2199</v>
      </c>
      <c r="K1268" s="7">
        <v>-172970</v>
      </c>
      <c r="L1268" s="4" t="s">
        <v>1237</v>
      </c>
      <c r="M1268" s="4" t="s">
        <v>27</v>
      </c>
      <c r="N1268" s="4"/>
    </row>
    <row r="1269" spans="1:14" ht="10.5" hidden="1" x14ac:dyDescent="0.25">
      <c r="A1269" s="8" t="s">
        <v>555</v>
      </c>
      <c r="B1269" s="4" t="s">
        <v>21</v>
      </c>
      <c r="C1269" s="5">
        <v>43861</v>
      </c>
      <c r="D1269" s="4" t="s">
        <v>2548</v>
      </c>
      <c r="E1269" s="4" t="s">
        <v>2549</v>
      </c>
      <c r="F1269" s="4" t="s">
        <v>2549</v>
      </c>
      <c r="G1269" s="6">
        <v>172997.24300386838</v>
      </c>
      <c r="H1269" s="6">
        <f t="shared" si="21"/>
        <v>4204008.5202386091</v>
      </c>
      <c r="I1269" s="4"/>
      <c r="J1269" s="4" t="s">
        <v>2199</v>
      </c>
      <c r="K1269" s="7">
        <v>172970</v>
      </c>
      <c r="L1269" s="4" t="s">
        <v>1237</v>
      </c>
      <c r="M1269" s="4" t="s">
        <v>27</v>
      </c>
      <c r="N1269" s="4"/>
    </row>
    <row r="1270" spans="1:14" ht="10.5" hidden="1" x14ac:dyDescent="0.25">
      <c r="A1270" s="8" t="s">
        <v>555</v>
      </c>
      <c r="B1270" s="4" t="s">
        <v>21</v>
      </c>
      <c r="C1270" s="5">
        <v>43861</v>
      </c>
      <c r="D1270" s="4" t="s">
        <v>2548</v>
      </c>
      <c r="E1270" s="4" t="s">
        <v>2549</v>
      </c>
      <c r="F1270" s="4" t="s">
        <v>2550</v>
      </c>
      <c r="G1270" s="6">
        <v>408927.39646349446</v>
      </c>
      <c r="H1270" s="6">
        <f t="shared" si="21"/>
        <v>4612935.9167021038</v>
      </c>
      <c r="I1270" s="4"/>
      <c r="J1270" s="4" t="s">
        <v>2199</v>
      </c>
      <c r="K1270" s="7">
        <v>408863</v>
      </c>
      <c r="L1270" s="4" t="s">
        <v>1237</v>
      </c>
      <c r="M1270" s="4" t="s">
        <v>27</v>
      </c>
      <c r="N1270" s="4"/>
    </row>
    <row r="1271" spans="1:14" ht="10.5" hidden="1" x14ac:dyDescent="0.25">
      <c r="A1271" s="8" t="s">
        <v>555</v>
      </c>
      <c r="B1271" s="4" t="s">
        <v>21</v>
      </c>
      <c r="C1271" s="5">
        <v>43861</v>
      </c>
      <c r="D1271" s="4" t="s">
        <v>2551</v>
      </c>
      <c r="E1271" s="4" t="s">
        <v>2552</v>
      </c>
      <c r="F1271" s="4" t="s">
        <v>2552</v>
      </c>
      <c r="G1271" s="6">
        <v>389626.67705336038</v>
      </c>
      <c r="H1271" s="6">
        <f t="shared" si="21"/>
        <v>5002562.5937554641</v>
      </c>
      <c r="I1271" s="4"/>
      <c r="J1271" s="4" t="s">
        <v>2199</v>
      </c>
      <c r="K1271" s="7">
        <v>389565.32</v>
      </c>
      <c r="L1271" s="4" t="s">
        <v>1237</v>
      </c>
      <c r="M1271" s="4" t="s">
        <v>27</v>
      </c>
      <c r="N1271" s="4"/>
    </row>
    <row r="1272" spans="1:14" ht="10.5" hidden="1" x14ac:dyDescent="0.25">
      <c r="A1272" s="8" t="s">
        <v>555</v>
      </c>
      <c r="B1272" s="4" t="s">
        <v>21</v>
      </c>
      <c r="C1272" s="5">
        <v>43890</v>
      </c>
      <c r="D1272" s="4" t="s">
        <v>2553</v>
      </c>
      <c r="E1272" s="4" t="s">
        <v>2554</v>
      </c>
      <c r="F1272" s="4" t="s">
        <v>2554</v>
      </c>
      <c r="G1272" s="6">
        <v>802350.20338770153</v>
      </c>
      <c r="H1272" s="6">
        <f t="shared" si="21"/>
        <v>5804912.797143166</v>
      </c>
      <c r="I1272" s="4"/>
      <c r="J1272" s="4" t="s">
        <v>2199</v>
      </c>
      <c r="K1272" s="7">
        <v>802350</v>
      </c>
      <c r="L1272" s="4" t="s">
        <v>1331</v>
      </c>
      <c r="M1272" s="4" t="s">
        <v>27</v>
      </c>
      <c r="N1272" s="4"/>
    </row>
    <row r="1273" spans="1:14" ht="10.5" hidden="1" x14ac:dyDescent="0.25">
      <c r="A1273" s="8" t="s">
        <v>555</v>
      </c>
      <c r="B1273" s="4" t="s">
        <v>21</v>
      </c>
      <c r="C1273" s="5">
        <v>43921</v>
      </c>
      <c r="D1273" s="4" t="s">
        <v>2555</v>
      </c>
      <c r="E1273" s="4" t="s">
        <v>2556</v>
      </c>
      <c r="F1273" s="4" t="s">
        <v>2556</v>
      </c>
      <c r="G1273" s="6">
        <v>939104.34647400002</v>
      </c>
      <c r="H1273" s="6">
        <f t="shared" si="21"/>
        <v>6744017.1436171662</v>
      </c>
      <c r="I1273" s="4"/>
      <c r="J1273" s="4" t="s">
        <v>2199</v>
      </c>
      <c r="K1273" s="7">
        <v>939342</v>
      </c>
      <c r="L1273" s="4" t="s">
        <v>1049</v>
      </c>
      <c r="M1273" s="4" t="s">
        <v>27</v>
      </c>
      <c r="N1273" s="4"/>
    </row>
    <row r="1274" spans="1:14" ht="10.5" hidden="1" x14ac:dyDescent="0.25">
      <c r="A1274" s="8" t="s">
        <v>555</v>
      </c>
      <c r="B1274" s="4" t="s">
        <v>21</v>
      </c>
      <c r="C1274" s="5">
        <v>43921</v>
      </c>
      <c r="D1274" s="4" t="s">
        <v>2557</v>
      </c>
      <c r="E1274" s="4" t="s">
        <v>2558</v>
      </c>
      <c r="F1274" s="4" t="s">
        <v>2559</v>
      </c>
      <c r="G1274" s="6">
        <v>-1302331.426767</v>
      </c>
      <c r="H1274" s="6">
        <f t="shared" si="21"/>
        <v>5441685.7168501662</v>
      </c>
      <c r="I1274" s="4"/>
      <c r="J1274" s="4" t="s">
        <v>2199</v>
      </c>
      <c r="K1274" s="7">
        <v>-1302661</v>
      </c>
      <c r="L1274" s="4" t="s">
        <v>1049</v>
      </c>
      <c r="M1274" s="4" t="s">
        <v>27</v>
      </c>
      <c r="N1274" s="4" t="s">
        <v>118</v>
      </c>
    </row>
    <row r="1275" spans="1:14" ht="10.5" hidden="1" x14ac:dyDescent="0.25">
      <c r="A1275" s="8" t="s">
        <v>555</v>
      </c>
      <c r="B1275" s="4" t="s">
        <v>21</v>
      </c>
      <c r="C1275" s="5">
        <v>43921</v>
      </c>
      <c r="D1275" s="4" t="s">
        <v>2560</v>
      </c>
      <c r="E1275" s="4" t="s">
        <v>2561</v>
      </c>
      <c r="F1275" s="4" t="s">
        <v>2561</v>
      </c>
      <c r="G1275" s="6">
        <v>174489.40057500001</v>
      </c>
      <c r="H1275" s="6">
        <f t="shared" si="21"/>
        <v>5616175.1174251661</v>
      </c>
      <c r="I1275" s="4"/>
      <c r="J1275" s="4" t="s">
        <v>2199</v>
      </c>
      <c r="K1275" s="7">
        <v>158267.03</v>
      </c>
      <c r="L1275" s="4" t="s">
        <v>1049</v>
      </c>
      <c r="M1275" s="4" t="s">
        <v>61</v>
      </c>
      <c r="N1275" s="4" t="s">
        <v>39</v>
      </c>
    </row>
    <row r="1276" spans="1:14" ht="10.5" hidden="1" x14ac:dyDescent="0.25">
      <c r="A1276" s="8" t="s">
        <v>555</v>
      </c>
      <c r="B1276" s="4" t="s">
        <v>21</v>
      </c>
      <c r="C1276" s="5">
        <v>43951</v>
      </c>
      <c r="D1276" s="4" t="s">
        <v>2562</v>
      </c>
      <c r="E1276" s="4" t="s">
        <v>2563</v>
      </c>
      <c r="F1276" s="4" t="s">
        <v>2563</v>
      </c>
      <c r="G1276" s="6">
        <v>-2149819.080079</v>
      </c>
      <c r="H1276" s="6">
        <f t="shared" si="21"/>
        <v>3466356.0373461661</v>
      </c>
      <c r="I1276" s="4"/>
      <c r="J1276" s="4" t="s">
        <v>2199</v>
      </c>
      <c r="K1276" s="7">
        <v>-2150555</v>
      </c>
      <c r="L1276" s="4" t="s">
        <v>1655</v>
      </c>
      <c r="M1276" s="4" t="s">
        <v>27</v>
      </c>
      <c r="N1276" s="4"/>
    </row>
    <row r="1277" spans="1:14" ht="10.5" hidden="1" x14ac:dyDescent="0.25">
      <c r="A1277" s="8" t="s">
        <v>555</v>
      </c>
      <c r="B1277" s="4" t="s">
        <v>21</v>
      </c>
      <c r="C1277" s="5">
        <v>43951</v>
      </c>
      <c r="D1277" s="4" t="s">
        <v>2564</v>
      </c>
      <c r="E1277" s="4" t="s">
        <v>2565</v>
      </c>
      <c r="F1277" s="4" t="s">
        <v>2565</v>
      </c>
      <c r="G1277" s="6">
        <v>2663818.1293939999</v>
      </c>
      <c r="H1277" s="6">
        <f t="shared" si="21"/>
        <v>6130174.166740166</v>
      </c>
      <c r="I1277" s="4"/>
      <c r="J1277" s="4" t="s">
        <v>2199</v>
      </c>
      <c r="K1277" s="7">
        <v>2664730</v>
      </c>
      <c r="L1277" s="4" t="s">
        <v>1655</v>
      </c>
      <c r="M1277" s="4" t="s">
        <v>27</v>
      </c>
      <c r="N1277" s="4"/>
    </row>
    <row r="1278" spans="1:14" ht="10.5" hidden="1" x14ac:dyDescent="0.25">
      <c r="A1278" s="8" t="s">
        <v>555</v>
      </c>
      <c r="B1278" s="4" t="s">
        <v>1092</v>
      </c>
      <c r="C1278" s="5">
        <v>43951</v>
      </c>
      <c r="D1278" s="4" t="s">
        <v>2566</v>
      </c>
      <c r="E1278" s="4" t="s">
        <v>2567</v>
      </c>
      <c r="F1278" s="4" t="s">
        <v>2567</v>
      </c>
      <c r="G1278" s="6">
        <v>144948.66985442481</v>
      </c>
      <c r="H1278" s="6">
        <f t="shared" si="21"/>
        <v>6275122.8365945909</v>
      </c>
      <c r="I1278" s="4" t="s">
        <v>2568</v>
      </c>
      <c r="J1278" s="4" t="s">
        <v>2199</v>
      </c>
      <c r="K1278" s="7">
        <v>139389.64000000001</v>
      </c>
      <c r="L1278" s="4" t="s">
        <v>1842</v>
      </c>
      <c r="M1278" s="4" t="s">
        <v>61</v>
      </c>
      <c r="N1278" s="4"/>
    </row>
    <row r="1279" spans="1:14" ht="10.5" hidden="1" x14ac:dyDescent="0.25">
      <c r="A1279" s="8" t="s">
        <v>555</v>
      </c>
      <c r="B1279" s="4" t="s">
        <v>21</v>
      </c>
      <c r="C1279" s="5">
        <v>43951</v>
      </c>
      <c r="D1279" s="4" t="s">
        <v>2569</v>
      </c>
      <c r="E1279" s="4" t="s">
        <v>2570</v>
      </c>
      <c r="F1279" s="4" t="s">
        <v>2570</v>
      </c>
      <c r="G1279" s="6">
        <v>389522.979607296</v>
      </c>
      <c r="H1279" s="6">
        <f t="shared" si="21"/>
        <v>6664645.8162018871</v>
      </c>
      <c r="I1279" s="4"/>
      <c r="J1279" s="4" t="s">
        <v>2199</v>
      </c>
      <c r="K1279" s="7">
        <v>389656.32000000001</v>
      </c>
      <c r="L1279" s="4" t="s">
        <v>1655</v>
      </c>
      <c r="M1279" s="4" t="s">
        <v>27</v>
      </c>
      <c r="N1279" s="4"/>
    </row>
    <row r="1280" spans="1:14" ht="10.5" hidden="1" x14ac:dyDescent="0.25">
      <c r="A1280" s="8" t="s">
        <v>555</v>
      </c>
      <c r="B1280" s="4" t="s">
        <v>21</v>
      </c>
      <c r="C1280" s="5">
        <v>43982</v>
      </c>
      <c r="D1280" s="4" t="s">
        <v>2571</v>
      </c>
      <c r="E1280" s="4" t="s">
        <v>2572</v>
      </c>
      <c r="F1280" s="4" t="s">
        <v>2572</v>
      </c>
      <c r="G1280" s="6">
        <v>-821833.39155828289</v>
      </c>
      <c r="H1280" s="6">
        <f t="shared" si="21"/>
        <v>5842812.4246436041</v>
      </c>
      <c r="I1280" s="4"/>
      <c r="J1280" s="4" t="s">
        <v>2199</v>
      </c>
      <c r="K1280" s="7">
        <v>-821836</v>
      </c>
      <c r="L1280" s="4" t="s">
        <v>1749</v>
      </c>
      <c r="M1280" s="4" t="s">
        <v>27</v>
      </c>
      <c r="N1280" s="4"/>
    </row>
    <row r="1281" spans="1:14" ht="10.5" hidden="1" x14ac:dyDescent="0.25">
      <c r="A1281" s="8" t="s">
        <v>555</v>
      </c>
      <c r="B1281" s="4" t="s">
        <v>21</v>
      </c>
      <c r="C1281" s="5">
        <v>43982</v>
      </c>
      <c r="D1281" s="4" t="s">
        <v>2571</v>
      </c>
      <c r="E1281" s="4" t="s">
        <v>2572</v>
      </c>
      <c r="F1281" s="4" t="s">
        <v>2572</v>
      </c>
      <c r="G1281" s="6">
        <v>1515415.1901781536</v>
      </c>
      <c r="H1281" s="6">
        <f t="shared" si="21"/>
        <v>7358227.6148217581</v>
      </c>
      <c r="I1281" s="4"/>
      <c r="J1281" s="4" t="s">
        <v>2199</v>
      </c>
      <c r="K1281" s="7">
        <v>1515420</v>
      </c>
      <c r="L1281" s="4" t="s">
        <v>1749</v>
      </c>
      <c r="M1281" s="4" t="s">
        <v>27</v>
      </c>
      <c r="N1281" s="4"/>
    </row>
    <row r="1282" spans="1:14" ht="10.5" hidden="1" x14ac:dyDescent="0.25">
      <c r="A1282" s="8" t="s">
        <v>555</v>
      </c>
      <c r="B1282" s="4" t="s">
        <v>1092</v>
      </c>
      <c r="C1282" s="5">
        <v>43982</v>
      </c>
      <c r="D1282" s="4" t="s">
        <v>2573</v>
      </c>
      <c r="E1282" s="4" t="s">
        <v>2574</v>
      </c>
      <c r="F1282" s="4" t="s">
        <v>2574</v>
      </c>
      <c r="G1282" s="6">
        <v>1138.7408085</v>
      </c>
      <c r="H1282" s="6">
        <f t="shared" si="21"/>
        <v>7359366.3556302581</v>
      </c>
      <c r="I1282" s="4" t="s">
        <v>2575</v>
      </c>
      <c r="J1282" s="4" t="s">
        <v>2199</v>
      </c>
      <c r="K1282" s="7">
        <v>1012.5</v>
      </c>
      <c r="L1282" s="4" t="s">
        <v>1842</v>
      </c>
      <c r="M1282" s="4" t="s">
        <v>61</v>
      </c>
      <c r="N1282" s="4"/>
    </row>
    <row r="1283" spans="1:14" ht="10.5" hidden="1" x14ac:dyDescent="0.25">
      <c r="A1283" s="8" t="s">
        <v>555</v>
      </c>
      <c r="B1283" s="4" t="s">
        <v>1092</v>
      </c>
      <c r="C1283" s="5">
        <v>44012</v>
      </c>
      <c r="D1283" s="4" t="s">
        <v>2576</v>
      </c>
      <c r="E1283" s="4" t="s">
        <v>2577</v>
      </c>
      <c r="F1283" s="4" t="s">
        <v>2577</v>
      </c>
      <c r="G1283" s="6">
        <v>467587.58114053961</v>
      </c>
      <c r="H1283" s="6">
        <f t="shared" si="21"/>
        <v>7826953.9367707977</v>
      </c>
      <c r="I1283" s="4" t="s">
        <v>2578</v>
      </c>
      <c r="J1283" s="4" t="s">
        <v>2199</v>
      </c>
      <c r="K1283" s="7">
        <v>467587.58</v>
      </c>
      <c r="L1283" s="4" t="s">
        <v>1842</v>
      </c>
      <c r="M1283" s="4" t="s">
        <v>27</v>
      </c>
      <c r="N1283" s="4"/>
    </row>
    <row r="1284" spans="1:14" ht="10.5" hidden="1" x14ac:dyDescent="0.25">
      <c r="A1284" s="8" t="s">
        <v>555</v>
      </c>
      <c r="B1284" s="4" t="s">
        <v>21</v>
      </c>
      <c r="C1284" s="5">
        <v>44012</v>
      </c>
      <c r="D1284" s="4" t="s">
        <v>2579</v>
      </c>
      <c r="E1284" s="4" t="s">
        <v>2580</v>
      </c>
      <c r="F1284" s="4" t="s">
        <v>2581</v>
      </c>
      <c r="G1284" s="6">
        <v>659149.743998394</v>
      </c>
      <c r="H1284" s="6">
        <f t="shared" si="21"/>
        <v>8486103.6807691921</v>
      </c>
      <c r="I1284" s="4"/>
      <c r="J1284" s="4" t="s">
        <v>2199</v>
      </c>
      <c r="K1284" s="7">
        <v>659145</v>
      </c>
      <c r="L1284" s="4" t="s">
        <v>1831</v>
      </c>
      <c r="M1284" s="4" t="s">
        <v>27</v>
      </c>
      <c r="N1284" s="4"/>
    </row>
    <row r="1285" spans="1:14" ht="10.5" hidden="1" x14ac:dyDescent="0.25">
      <c r="A1285" s="8" t="s">
        <v>555</v>
      </c>
      <c r="B1285" s="4" t="s">
        <v>1092</v>
      </c>
      <c r="C1285" s="5">
        <v>44012</v>
      </c>
      <c r="D1285" s="4" t="s">
        <v>2582</v>
      </c>
      <c r="E1285" s="4" t="s">
        <v>2583</v>
      </c>
      <c r="F1285" s="4" t="s">
        <v>2583</v>
      </c>
      <c r="G1285" s="6">
        <v>137087.5231092</v>
      </c>
      <c r="H1285" s="6">
        <f t="shared" si="21"/>
        <v>8623191.2038783915</v>
      </c>
      <c r="I1285" s="4" t="s">
        <v>2584</v>
      </c>
      <c r="J1285" s="4" t="s">
        <v>2199</v>
      </c>
      <c r="K1285" s="7">
        <v>121890</v>
      </c>
      <c r="L1285" s="4" t="s">
        <v>1842</v>
      </c>
      <c r="M1285" s="4" t="s">
        <v>61</v>
      </c>
      <c r="N1285" s="4"/>
    </row>
    <row r="1286" spans="1:14" ht="10.5" hidden="1" x14ac:dyDescent="0.25">
      <c r="A1286" s="8" t="s">
        <v>555</v>
      </c>
      <c r="B1286" s="4" t="s">
        <v>1092</v>
      </c>
      <c r="C1286" s="5">
        <v>44012</v>
      </c>
      <c r="D1286" s="4" t="s">
        <v>2585</v>
      </c>
      <c r="E1286" s="4" t="s">
        <v>2586</v>
      </c>
      <c r="F1286" s="4" t="s">
        <v>2586</v>
      </c>
      <c r="G1286" s="6">
        <v>37856.805544800001</v>
      </c>
      <c r="H1286" s="6">
        <f t="shared" si="21"/>
        <v>8661048.0094231907</v>
      </c>
      <c r="I1286" s="4" t="s">
        <v>2584</v>
      </c>
      <c r="J1286" s="4" t="s">
        <v>2199</v>
      </c>
      <c r="K1286" s="7">
        <v>33660</v>
      </c>
      <c r="L1286" s="4" t="s">
        <v>1842</v>
      </c>
      <c r="M1286" s="4" t="s">
        <v>61</v>
      </c>
      <c r="N1286" s="4"/>
    </row>
    <row r="1287" spans="1:14" ht="10.5" hidden="1" x14ac:dyDescent="0.25">
      <c r="A1287" s="8" t="s">
        <v>555</v>
      </c>
      <c r="B1287" s="4" t="s">
        <v>21</v>
      </c>
      <c r="C1287" s="5">
        <v>44012</v>
      </c>
      <c r="D1287" s="4" t="s">
        <v>2587</v>
      </c>
      <c r="E1287" s="4" t="s">
        <v>2588</v>
      </c>
      <c r="F1287" s="4" t="s">
        <v>2589</v>
      </c>
      <c r="G1287" s="6">
        <v>84075.605104589995</v>
      </c>
      <c r="H1287" s="6">
        <f t="shared" si="21"/>
        <v>8745123.6145277806</v>
      </c>
      <c r="I1287" s="4"/>
      <c r="J1287" s="4" t="s">
        <v>2199</v>
      </c>
      <c r="K1287" s="7">
        <v>84075</v>
      </c>
      <c r="L1287" s="4" t="s">
        <v>1831</v>
      </c>
      <c r="M1287" s="4" t="s">
        <v>27</v>
      </c>
      <c r="N1287" s="4"/>
    </row>
    <row r="1288" spans="1:14" ht="10.5" hidden="1" x14ac:dyDescent="0.25">
      <c r="A1288" s="8" t="s">
        <v>555</v>
      </c>
      <c r="B1288" s="4" t="s">
        <v>21</v>
      </c>
      <c r="C1288" s="5">
        <v>44012</v>
      </c>
      <c r="D1288" s="4" t="s">
        <v>2587</v>
      </c>
      <c r="E1288" s="4" t="s">
        <v>2588</v>
      </c>
      <c r="F1288" s="4" t="s">
        <v>2590</v>
      </c>
      <c r="G1288" s="6">
        <v>289978.08701526723</v>
      </c>
      <c r="H1288" s="6">
        <f t="shared" si="21"/>
        <v>9035101.701543048</v>
      </c>
      <c r="I1288" s="4"/>
      <c r="J1288" s="4" t="s">
        <v>2199</v>
      </c>
      <c r="K1288" s="7">
        <v>289976</v>
      </c>
      <c r="L1288" s="4" t="s">
        <v>1831</v>
      </c>
      <c r="M1288" s="4" t="s">
        <v>27</v>
      </c>
      <c r="N1288" s="4"/>
    </row>
    <row r="1289" spans="1:14" ht="10.5" hidden="1" x14ac:dyDescent="0.25">
      <c r="A1289" s="8" t="s">
        <v>555</v>
      </c>
      <c r="B1289" s="4" t="s">
        <v>21</v>
      </c>
      <c r="C1289" s="5">
        <v>44012</v>
      </c>
      <c r="D1289" s="4" t="s">
        <v>2591</v>
      </c>
      <c r="E1289" s="4" t="s">
        <v>2592</v>
      </c>
      <c r="F1289" s="4" t="s">
        <v>2593</v>
      </c>
      <c r="G1289" s="6">
        <v>872320.2782183208</v>
      </c>
      <c r="H1289" s="6">
        <f t="shared" si="21"/>
        <v>9907421.9797613695</v>
      </c>
      <c r="I1289" s="4"/>
      <c r="J1289" s="4" t="s">
        <v>2199</v>
      </c>
      <c r="K1289" s="7">
        <v>872314</v>
      </c>
      <c r="L1289" s="4" t="s">
        <v>1831</v>
      </c>
      <c r="M1289" s="4" t="s">
        <v>27</v>
      </c>
      <c r="N1289" s="4" t="s">
        <v>118</v>
      </c>
    </row>
    <row r="1290" spans="1:14" ht="10.5" hidden="1" x14ac:dyDescent="0.25">
      <c r="A1290" s="8" t="s">
        <v>555</v>
      </c>
      <c r="B1290" s="4" t="s">
        <v>21</v>
      </c>
      <c r="C1290" s="5">
        <v>44012</v>
      </c>
      <c r="D1290" s="4" t="s">
        <v>2594</v>
      </c>
      <c r="E1290" s="4" t="s">
        <v>2595</v>
      </c>
      <c r="F1290" s="4" t="s">
        <v>2595</v>
      </c>
      <c r="G1290" s="6">
        <v>82308.548559600007</v>
      </c>
      <c r="H1290" s="6">
        <f t="shared" si="21"/>
        <v>9989730.52832097</v>
      </c>
      <c r="I1290" s="4"/>
      <c r="J1290" s="4" t="s">
        <v>2199</v>
      </c>
      <c r="K1290" s="7">
        <v>74143.83</v>
      </c>
      <c r="L1290" s="4" t="s">
        <v>1831</v>
      </c>
      <c r="M1290" s="4" t="s">
        <v>61</v>
      </c>
      <c r="N1290" s="4" t="s">
        <v>39</v>
      </c>
    </row>
    <row r="1291" spans="1:14" ht="10.5" hidden="1" x14ac:dyDescent="0.25">
      <c r="A1291" s="8" t="s">
        <v>555</v>
      </c>
      <c r="B1291" s="4" t="s">
        <v>224</v>
      </c>
      <c r="C1291" s="5">
        <v>44033</v>
      </c>
      <c r="D1291" s="4" t="s">
        <v>2596</v>
      </c>
      <c r="E1291" s="4" t="s">
        <v>2597</v>
      </c>
      <c r="F1291" s="4" t="s">
        <v>2598</v>
      </c>
      <c r="G1291" s="6">
        <v>-39578.126928346523</v>
      </c>
      <c r="H1291" s="6">
        <f t="shared" si="21"/>
        <v>9950152.4013926238</v>
      </c>
      <c r="I1291" s="4" t="s">
        <v>2584</v>
      </c>
      <c r="J1291" s="4" t="s">
        <v>2199</v>
      </c>
      <c r="K1291" s="7">
        <v>-33660</v>
      </c>
      <c r="L1291" s="4" t="s">
        <v>1999</v>
      </c>
      <c r="M1291" s="4" t="s">
        <v>61</v>
      </c>
      <c r="N1291" s="4"/>
    </row>
    <row r="1292" spans="1:14" ht="10.5" hidden="1" x14ac:dyDescent="0.25">
      <c r="A1292" s="8" t="s">
        <v>555</v>
      </c>
      <c r="B1292" s="4" t="s">
        <v>1092</v>
      </c>
      <c r="C1292" s="5">
        <v>44033</v>
      </c>
      <c r="D1292" s="4" t="s">
        <v>2599</v>
      </c>
      <c r="E1292" s="4" t="s">
        <v>2586</v>
      </c>
      <c r="F1292" s="4" t="s">
        <v>2586</v>
      </c>
      <c r="G1292" s="6">
        <v>39578.126928346523</v>
      </c>
      <c r="H1292" s="6">
        <f t="shared" si="21"/>
        <v>9989730.52832097</v>
      </c>
      <c r="I1292" s="4" t="s">
        <v>2584</v>
      </c>
      <c r="J1292" s="4" t="s">
        <v>2199</v>
      </c>
      <c r="K1292" s="7">
        <v>33660</v>
      </c>
      <c r="L1292" s="4" t="s">
        <v>1999</v>
      </c>
      <c r="M1292" s="4" t="s">
        <v>61</v>
      </c>
      <c r="N1292" s="4"/>
    </row>
    <row r="1293" spans="1:14" ht="10.5" hidden="1" x14ac:dyDescent="0.25">
      <c r="A1293" s="8" t="s">
        <v>555</v>
      </c>
      <c r="B1293" s="4" t="s">
        <v>1092</v>
      </c>
      <c r="C1293" s="5">
        <v>44039</v>
      </c>
      <c r="D1293" s="4" t="s">
        <v>2600</v>
      </c>
      <c r="E1293" s="4" t="s">
        <v>2601</v>
      </c>
      <c r="F1293" s="4" t="s">
        <v>2601</v>
      </c>
      <c r="G1293" s="6">
        <v>2277.4816169999999</v>
      </c>
      <c r="H1293" s="6">
        <f t="shared" si="21"/>
        <v>9992008.00993797</v>
      </c>
      <c r="I1293" s="4" t="s">
        <v>2602</v>
      </c>
      <c r="J1293" s="4" t="s">
        <v>2199</v>
      </c>
      <c r="K1293" s="7">
        <v>2025</v>
      </c>
      <c r="L1293" s="4" t="s">
        <v>1842</v>
      </c>
      <c r="M1293" s="4" t="s">
        <v>61</v>
      </c>
      <c r="N1293" s="4"/>
    </row>
    <row r="1294" spans="1:14" ht="10.5" hidden="1" x14ac:dyDescent="0.25">
      <c r="A1294" s="8" t="s">
        <v>555</v>
      </c>
      <c r="B1294" s="4" t="s">
        <v>21</v>
      </c>
      <c r="C1294" s="5">
        <v>44043</v>
      </c>
      <c r="D1294" s="4" t="s">
        <v>2603</v>
      </c>
      <c r="E1294" s="4" t="s">
        <v>2604</v>
      </c>
      <c r="F1294" s="4" t="s">
        <v>2605</v>
      </c>
      <c r="G1294" s="6">
        <v>51572.000125794424</v>
      </c>
      <c r="H1294" s="6">
        <f t="shared" si="21"/>
        <v>10043580.010063764</v>
      </c>
      <c r="I1294" s="4"/>
      <c r="J1294" s="4" t="s">
        <v>2199</v>
      </c>
      <c r="K1294" s="7">
        <v>51572</v>
      </c>
      <c r="L1294" s="4" t="s">
        <v>1842</v>
      </c>
      <c r="M1294" s="4" t="s">
        <v>27</v>
      </c>
      <c r="N1294" s="4"/>
    </row>
    <row r="1295" spans="1:14" ht="10.5" hidden="1" x14ac:dyDescent="0.25">
      <c r="A1295" s="8" t="s">
        <v>555</v>
      </c>
      <c r="B1295" s="4" t="s">
        <v>21</v>
      </c>
      <c r="C1295" s="5">
        <v>44043</v>
      </c>
      <c r="D1295" s="4" t="s">
        <v>2606</v>
      </c>
      <c r="E1295" s="4" t="s">
        <v>2607</v>
      </c>
      <c r="F1295" s="4" t="s">
        <v>2608</v>
      </c>
      <c r="G1295" s="6">
        <v>-363030.00088550278</v>
      </c>
      <c r="H1295" s="6">
        <f t="shared" si="21"/>
        <v>9680550.0091782603</v>
      </c>
      <c r="I1295" s="4"/>
      <c r="J1295" s="4" t="s">
        <v>2199</v>
      </c>
      <c r="K1295" s="7">
        <v>-363030</v>
      </c>
      <c r="L1295" s="4" t="s">
        <v>1842</v>
      </c>
      <c r="M1295" s="4" t="s">
        <v>27</v>
      </c>
      <c r="N1295" s="4"/>
    </row>
    <row r="1296" spans="1:14" ht="10.5" hidden="1" x14ac:dyDescent="0.25">
      <c r="A1296" s="8" t="s">
        <v>555</v>
      </c>
      <c r="B1296" s="4" t="s">
        <v>21</v>
      </c>
      <c r="C1296" s="5">
        <v>44043</v>
      </c>
      <c r="D1296" s="4" t="s">
        <v>2606</v>
      </c>
      <c r="E1296" s="4" t="s">
        <v>2607</v>
      </c>
      <c r="F1296" s="4" t="s">
        <v>2609</v>
      </c>
      <c r="G1296" s="6">
        <v>115663.00028212518</v>
      </c>
      <c r="H1296" s="6">
        <f t="shared" si="21"/>
        <v>9796213.0094603859</v>
      </c>
      <c r="I1296" s="4"/>
      <c r="J1296" s="4" t="s">
        <v>2199</v>
      </c>
      <c r="K1296" s="7">
        <v>115663</v>
      </c>
      <c r="L1296" s="4" t="s">
        <v>1842</v>
      </c>
      <c r="M1296" s="4" t="s">
        <v>27</v>
      </c>
      <c r="N1296" s="4"/>
    </row>
    <row r="1297" spans="1:14" ht="10.5" hidden="1" x14ac:dyDescent="0.25">
      <c r="A1297" s="8" t="s">
        <v>555</v>
      </c>
      <c r="B1297" s="4" t="s">
        <v>21</v>
      </c>
      <c r="C1297" s="5">
        <v>44043</v>
      </c>
      <c r="D1297" s="4" t="s">
        <v>2610</v>
      </c>
      <c r="E1297" s="4" t="s">
        <v>2611</v>
      </c>
      <c r="F1297" s="4" t="s">
        <v>2611</v>
      </c>
      <c r="G1297" s="6">
        <v>32884.585184919997</v>
      </c>
      <c r="H1297" s="6">
        <f t="shared" si="21"/>
        <v>9829097.5946453065</v>
      </c>
      <c r="I1297" s="4"/>
      <c r="J1297" s="4" t="s">
        <v>2199</v>
      </c>
      <c r="K1297" s="7">
        <v>29239</v>
      </c>
      <c r="L1297" s="4" t="s">
        <v>1842</v>
      </c>
      <c r="M1297" s="4" t="s">
        <v>61</v>
      </c>
      <c r="N1297" s="4"/>
    </row>
    <row r="1298" spans="1:14" ht="10.5" hidden="1" x14ac:dyDescent="0.25">
      <c r="A1298" s="8" t="s">
        <v>555</v>
      </c>
      <c r="B1298" s="4" t="s">
        <v>21</v>
      </c>
      <c r="C1298" s="5">
        <v>44043</v>
      </c>
      <c r="D1298" s="4" t="s">
        <v>2612</v>
      </c>
      <c r="E1298" s="4" t="s">
        <v>2613</v>
      </c>
      <c r="F1298" s="4" t="s">
        <v>2614</v>
      </c>
      <c r="G1298" s="6">
        <v>-144949.05224640001</v>
      </c>
      <c r="H1298" s="6">
        <f t="shared" si="21"/>
        <v>9684148.5423989072</v>
      </c>
      <c r="I1298" s="4"/>
      <c r="J1298" s="4" t="s">
        <v>2199</v>
      </c>
      <c r="K1298" s="7">
        <v>-128880</v>
      </c>
      <c r="L1298" s="4" t="s">
        <v>1842</v>
      </c>
      <c r="M1298" s="4" t="s">
        <v>61</v>
      </c>
      <c r="N1298" s="4"/>
    </row>
    <row r="1299" spans="1:14" ht="10.5" hidden="1" x14ac:dyDescent="0.25">
      <c r="A1299" s="8" t="s">
        <v>555</v>
      </c>
      <c r="B1299" s="4" t="s">
        <v>21</v>
      </c>
      <c r="C1299" s="5">
        <v>44043</v>
      </c>
      <c r="D1299" s="4" t="s">
        <v>2612</v>
      </c>
      <c r="E1299" s="4" t="s">
        <v>2613</v>
      </c>
      <c r="F1299" s="4" t="s">
        <v>2615</v>
      </c>
      <c r="G1299" s="6">
        <v>-137087.5231092</v>
      </c>
      <c r="H1299" s="6">
        <f t="shared" si="21"/>
        <v>9547061.0192897078</v>
      </c>
      <c r="I1299" s="4"/>
      <c r="J1299" s="4" t="s">
        <v>2199</v>
      </c>
      <c r="K1299" s="7">
        <v>-121890</v>
      </c>
      <c r="L1299" s="4" t="s">
        <v>1842</v>
      </c>
      <c r="M1299" s="4" t="s">
        <v>61</v>
      </c>
      <c r="N1299" s="4"/>
    </row>
    <row r="1300" spans="1:14" ht="10.5" hidden="1" x14ac:dyDescent="0.25">
      <c r="A1300" s="8" t="s">
        <v>555</v>
      </c>
      <c r="B1300" s="4" t="s">
        <v>1092</v>
      </c>
      <c r="C1300" s="5">
        <v>44067</v>
      </c>
      <c r="D1300" s="4" t="s">
        <v>2616</v>
      </c>
      <c r="E1300" s="4" t="s">
        <v>2617</v>
      </c>
      <c r="F1300" s="4" t="s">
        <v>2618</v>
      </c>
      <c r="G1300" s="6">
        <v>10568.517389625</v>
      </c>
      <c r="H1300" s="6">
        <f t="shared" si="21"/>
        <v>9557629.5366793331</v>
      </c>
      <c r="I1300" s="4" t="s">
        <v>2602</v>
      </c>
      <c r="J1300" s="4" t="s">
        <v>2199</v>
      </c>
      <c r="K1300" s="7">
        <v>9018.75</v>
      </c>
      <c r="L1300" s="4" t="s">
        <v>1861</v>
      </c>
      <c r="M1300" s="4" t="s">
        <v>61</v>
      </c>
      <c r="N1300" s="4"/>
    </row>
    <row r="1301" spans="1:14" ht="10.5" hidden="1" x14ac:dyDescent="0.25">
      <c r="A1301" s="8" t="s">
        <v>555</v>
      </c>
      <c r="B1301" s="4" t="s">
        <v>21</v>
      </c>
      <c r="C1301" s="5">
        <v>44074</v>
      </c>
      <c r="D1301" s="4" t="s">
        <v>2619</v>
      </c>
      <c r="E1301" s="4" t="s">
        <v>2620</v>
      </c>
      <c r="F1301" s="4" t="s">
        <v>2621</v>
      </c>
      <c r="G1301" s="6">
        <v>408380.99998235796</v>
      </c>
      <c r="H1301" s="6">
        <f t="shared" si="21"/>
        <v>9966010.536661692</v>
      </c>
      <c r="I1301" s="4"/>
      <c r="J1301" s="4" t="s">
        <v>2199</v>
      </c>
      <c r="K1301" s="7">
        <v>408381</v>
      </c>
      <c r="L1301" s="4" t="s">
        <v>1861</v>
      </c>
      <c r="M1301" s="4" t="s">
        <v>27</v>
      </c>
      <c r="N1301" s="4"/>
    </row>
    <row r="1302" spans="1:14" ht="10.5" hidden="1" x14ac:dyDescent="0.25">
      <c r="A1302" s="8" t="s">
        <v>555</v>
      </c>
      <c r="B1302" s="4" t="s">
        <v>21</v>
      </c>
      <c r="C1302" s="5">
        <v>44074</v>
      </c>
      <c r="D1302" s="4" t="s">
        <v>2622</v>
      </c>
      <c r="E1302" s="4" t="s">
        <v>2623</v>
      </c>
      <c r="F1302" s="4" t="s">
        <v>2624</v>
      </c>
      <c r="G1302" s="6">
        <v>-86163.999996277722</v>
      </c>
      <c r="H1302" s="6">
        <f t="shared" si="21"/>
        <v>9879846.5366654135</v>
      </c>
      <c r="I1302" s="4"/>
      <c r="J1302" s="4" t="s">
        <v>2199</v>
      </c>
      <c r="K1302" s="7">
        <v>-86164</v>
      </c>
      <c r="L1302" s="4" t="s">
        <v>1861</v>
      </c>
      <c r="M1302" s="4" t="s">
        <v>27</v>
      </c>
      <c r="N1302" s="4"/>
    </row>
    <row r="1303" spans="1:14" ht="10.5" hidden="1" x14ac:dyDescent="0.25">
      <c r="A1303" s="8" t="s">
        <v>555</v>
      </c>
      <c r="B1303" s="4" t="s">
        <v>21</v>
      </c>
      <c r="C1303" s="5">
        <v>44074</v>
      </c>
      <c r="D1303" s="4" t="s">
        <v>2622</v>
      </c>
      <c r="E1303" s="4" t="s">
        <v>2623</v>
      </c>
      <c r="F1303" s="4" t="s">
        <v>2625</v>
      </c>
      <c r="G1303" s="6">
        <v>201032.99999131539</v>
      </c>
      <c r="H1303" s="6">
        <f t="shared" si="21"/>
        <v>10080879.536656728</v>
      </c>
      <c r="I1303" s="4"/>
      <c r="J1303" s="4" t="s">
        <v>2199</v>
      </c>
      <c r="K1303" s="7">
        <v>201033</v>
      </c>
      <c r="L1303" s="4" t="s">
        <v>1861</v>
      </c>
      <c r="M1303" s="4" t="s">
        <v>27</v>
      </c>
      <c r="N1303" s="4"/>
    </row>
    <row r="1304" spans="1:14" ht="10.5" hidden="1" x14ac:dyDescent="0.25">
      <c r="A1304" s="8" t="s">
        <v>555</v>
      </c>
      <c r="B1304" s="4" t="s">
        <v>21</v>
      </c>
      <c r="C1304" s="5">
        <v>44074</v>
      </c>
      <c r="D1304" s="4" t="s">
        <v>2626</v>
      </c>
      <c r="E1304" s="4" t="s">
        <v>2627</v>
      </c>
      <c r="F1304" s="4" t="s">
        <v>2627</v>
      </c>
      <c r="G1304" s="6">
        <v>30089.29408326</v>
      </c>
      <c r="H1304" s="6">
        <f t="shared" si="21"/>
        <v>10110968.830739988</v>
      </c>
      <c r="I1304" s="4"/>
      <c r="J1304" s="4" t="s">
        <v>2199</v>
      </c>
      <c r="K1304" s="7">
        <v>25677</v>
      </c>
      <c r="L1304" s="4" t="s">
        <v>1861</v>
      </c>
      <c r="M1304" s="4" t="s">
        <v>61</v>
      </c>
      <c r="N1304" s="4"/>
    </row>
    <row r="1305" spans="1:14" ht="10.5" hidden="1" x14ac:dyDescent="0.25">
      <c r="A1305" s="8" t="s">
        <v>555</v>
      </c>
      <c r="B1305" s="4" t="s">
        <v>1092</v>
      </c>
      <c r="C1305" s="5">
        <v>44096</v>
      </c>
      <c r="D1305" s="4" t="s">
        <v>2628</v>
      </c>
      <c r="E1305" s="4" t="s">
        <v>2629</v>
      </c>
      <c r="F1305" s="4" t="s">
        <v>2629</v>
      </c>
      <c r="G1305" s="6">
        <v>9771.1106311151998</v>
      </c>
      <c r="H1305" s="6">
        <f t="shared" si="21"/>
        <v>10120739.941371104</v>
      </c>
      <c r="I1305" s="4" t="s">
        <v>2602</v>
      </c>
      <c r="J1305" s="4" t="s">
        <v>2199</v>
      </c>
      <c r="K1305" s="7">
        <v>8184.38</v>
      </c>
      <c r="L1305" s="4" t="s">
        <v>1052</v>
      </c>
      <c r="M1305" s="4" t="s">
        <v>61</v>
      </c>
      <c r="N1305" s="4"/>
    </row>
    <row r="1306" spans="1:14" ht="10.5" hidden="1" x14ac:dyDescent="0.25">
      <c r="A1306" s="8" t="s">
        <v>555</v>
      </c>
      <c r="B1306" s="4" t="s">
        <v>21</v>
      </c>
      <c r="C1306" s="5">
        <v>44104</v>
      </c>
      <c r="D1306" s="4" t="s">
        <v>2630</v>
      </c>
      <c r="E1306" s="4" t="s">
        <v>2631</v>
      </c>
      <c r="F1306" s="4" t="s">
        <v>2632</v>
      </c>
      <c r="G1306" s="6">
        <v>319149.99905352877</v>
      </c>
      <c r="H1306" s="6">
        <f t="shared" si="21"/>
        <v>10439889.940424632</v>
      </c>
      <c r="I1306" s="4"/>
      <c r="J1306" s="4" t="s">
        <v>2199</v>
      </c>
      <c r="K1306" s="7">
        <v>319150</v>
      </c>
      <c r="L1306" s="4" t="s">
        <v>1052</v>
      </c>
      <c r="M1306" s="4" t="s">
        <v>27</v>
      </c>
      <c r="N1306" s="4"/>
    </row>
    <row r="1307" spans="1:14" ht="10.5" hidden="1" x14ac:dyDescent="0.25">
      <c r="A1307" s="8" t="s">
        <v>555</v>
      </c>
      <c r="B1307" s="4" t="s">
        <v>21</v>
      </c>
      <c r="C1307" s="5">
        <v>44104</v>
      </c>
      <c r="D1307" s="4" t="s">
        <v>2630</v>
      </c>
      <c r="E1307" s="4" t="s">
        <v>2631</v>
      </c>
      <c r="F1307" s="4" t="s">
        <v>2633</v>
      </c>
      <c r="G1307" s="6">
        <v>454388.99865246395</v>
      </c>
      <c r="H1307" s="6">
        <f t="shared" si="21"/>
        <v>10894278.939077096</v>
      </c>
      <c r="I1307" s="4"/>
      <c r="J1307" s="4" t="s">
        <v>2199</v>
      </c>
      <c r="K1307" s="7">
        <v>454389</v>
      </c>
      <c r="L1307" s="4" t="s">
        <v>1052</v>
      </c>
      <c r="M1307" s="4" t="s">
        <v>27</v>
      </c>
      <c r="N1307" s="4"/>
    </row>
    <row r="1308" spans="1:14" ht="10.5" hidden="1" x14ac:dyDescent="0.25">
      <c r="A1308" s="8" t="s">
        <v>555</v>
      </c>
      <c r="B1308" s="4" t="s">
        <v>21</v>
      </c>
      <c r="C1308" s="5">
        <v>44104</v>
      </c>
      <c r="D1308" s="4" t="s">
        <v>2634</v>
      </c>
      <c r="E1308" s="4" t="s">
        <v>2635</v>
      </c>
      <c r="F1308" s="4" t="s">
        <v>2635</v>
      </c>
      <c r="G1308" s="6">
        <v>24885.089645759999</v>
      </c>
      <c r="H1308" s="6">
        <f t="shared" si="21"/>
        <v>10919164.028722856</v>
      </c>
      <c r="I1308" s="4"/>
      <c r="J1308" s="4" t="s">
        <v>2199</v>
      </c>
      <c r="K1308" s="7">
        <v>20844</v>
      </c>
      <c r="L1308" s="4" t="s">
        <v>1052</v>
      </c>
      <c r="M1308" s="4" t="s">
        <v>61</v>
      </c>
      <c r="N1308" s="4"/>
    </row>
    <row r="1309" spans="1:14" ht="10.5" hidden="1" x14ac:dyDescent="0.25">
      <c r="A1309" s="8" t="s">
        <v>555</v>
      </c>
      <c r="B1309" s="4" t="s">
        <v>21</v>
      </c>
      <c r="C1309" s="5">
        <v>44104</v>
      </c>
      <c r="D1309" s="4" t="s">
        <v>2636</v>
      </c>
      <c r="E1309" s="4" t="s">
        <v>2637</v>
      </c>
      <c r="F1309" s="4" t="s">
        <v>2638</v>
      </c>
      <c r="G1309" s="6">
        <v>208498.99938167536</v>
      </c>
      <c r="H1309" s="6">
        <f t="shared" si="21"/>
        <v>11127663.028104531</v>
      </c>
      <c r="I1309" s="4"/>
      <c r="J1309" s="4" t="s">
        <v>2199</v>
      </c>
      <c r="K1309" s="7">
        <v>208499</v>
      </c>
      <c r="L1309" s="4" t="s">
        <v>1052</v>
      </c>
      <c r="M1309" s="4" t="s">
        <v>27</v>
      </c>
      <c r="N1309" s="4" t="s">
        <v>118</v>
      </c>
    </row>
    <row r="1310" spans="1:14" ht="10.5" hidden="1" x14ac:dyDescent="0.25">
      <c r="A1310" s="8" t="s">
        <v>555</v>
      </c>
      <c r="B1310" s="4" t="s">
        <v>21</v>
      </c>
      <c r="C1310" s="5">
        <v>44104</v>
      </c>
      <c r="D1310" s="4" t="s">
        <v>2639</v>
      </c>
      <c r="E1310" s="4" t="s">
        <v>2640</v>
      </c>
      <c r="F1310" s="4" t="s">
        <v>2640</v>
      </c>
      <c r="G1310" s="6">
        <v>-36442.234344715202</v>
      </c>
      <c r="H1310" s="6">
        <f t="shared" si="21"/>
        <v>11091220.793759815</v>
      </c>
      <c r="I1310" s="4"/>
      <c r="J1310" s="4" t="s">
        <v>2199</v>
      </c>
      <c r="K1310" s="7">
        <v>-30524.38</v>
      </c>
      <c r="L1310" s="4" t="s">
        <v>1052</v>
      </c>
      <c r="M1310" s="4" t="s">
        <v>61</v>
      </c>
      <c r="N1310" s="4" t="s">
        <v>39</v>
      </c>
    </row>
    <row r="1311" spans="1:14" ht="10.5" hidden="1" x14ac:dyDescent="0.25">
      <c r="A1311" s="8" t="s">
        <v>555</v>
      </c>
      <c r="B1311" s="4" t="s">
        <v>1092</v>
      </c>
      <c r="C1311" s="5">
        <v>44134</v>
      </c>
      <c r="D1311" s="4" t="s">
        <v>2641</v>
      </c>
      <c r="E1311" s="4" t="s">
        <v>2642</v>
      </c>
      <c r="F1311" s="4" t="s">
        <v>2642</v>
      </c>
      <c r="G1311" s="6">
        <v>528000.00123889919</v>
      </c>
      <c r="H1311" s="6">
        <f t="shared" si="21"/>
        <v>11619220.794998715</v>
      </c>
      <c r="I1311" s="4" t="s">
        <v>2578</v>
      </c>
      <c r="J1311" s="4" t="s">
        <v>2199</v>
      </c>
      <c r="K1311" s="7">
        <v>528000</v>
      </c>
      <c r="L1311" s="4" t="s">
        <v>1056</v>
      </c>
      <c r="M1311" s="4" t="s">
        <v>27</v>
      </c>
      <c r="N1311" s="4"/>
    </row>
    <row r="1312" spans="1:14" ht="10.5" hidden="1" x14ac:dyDescent="0.25">
      <c r="A1312" s="8" t="s">
        <v>555</v>
      </c>
      <c r="B1312" s="4" t="s">
        <v>1092</v>
      </c>
      <c r="C1312" s="5">
        <v>44134</v>
      </c>
      <c r="D1312" s="4" t="s">
        <v>2643</v>
      </c>
      <c r="E1312" s="4" t="s">
        <v>2644</v>
      </c>
      <c r="F1312" s="4" t="s">
        <v>2644</v>
      </c>
      <c r="G1312" s="6">
        <v>528000.00123889919</v>
      </c>
      <c r="H1312" s="6">
        <f t="shared" si="21"/>
        <v>12147220.796237614</v>
      </c>
      <c r="I1312" s="4" t="s">
        <v>2578</v>
      </c>
      <c r="J1312" s="4" t="s">
        <v>2199</v>
      </c>
      <c r="K1312" s="7">
        <v>528000</v>
      </c>
      <c r="L1312" s="4" t="s">
        <v>1056</v>
      </c>
      <c r="M1312" s="4" t="s">
        <v>27</v>
      </c>
      <c r="N1312" s="4"/>
    </row>
    <row r="1313" spans="1:14" ht="10.5" hidden="1" x14ac:dyDescent="0.25">
      <c r="A1313" s="8" t="s">
        <v>555</v>
      </c>
      <c r="B1313" s="4" t="s">
        <v>1092</v>
      </c>
      <c r="C1313" s="5">
        <v>44134</v>
      </c>
      <c r="D1313" s="4" t="s">
        <v>2645</v>
      </c>
      <c r="E1313" s="4" t="s">
        <v>2646</v>
      </c>
      <c r="F1313" s="4" t="s">
        <v>2646</v>
      </c>
      <c r="G1313" s="6">
        <v>240000.00056313601</v>
      </c>
      <c r="H1313" s="6">
        <f t="shared" si="21"/>
        <v>12387220.796800749</v>
      </c>
      <c r="I1313" s="4" t="s">
        <v>2578</v>
      </c>
      <c r="J1313" s="4" t="s">
        <v>2199</v>
      </c>
      <c r="K1313" s="7">
        <v>240000</v>
      </c>
      <c r="L1313" s="4" t="s">
        <v>1056</v>
      </c>
      <c r="M1313" s="4" t="s">
        <v>27</v>
      </c>
      <c r="N1313" s="4"/>
    </row>
    <row r="1314" spans="1:14" ht="10.5" hidden="1" x14ac:dyDescent="0.25">
      <c r="A1314" s="8" t="s">
        <v>555</v>
      </c>
      <c r="B1314" s="4" t="s">
        <v>1092</v>
      </c>
      <c r="C1314" s="5">
        <v>44134</v>
      </c>
      <c r="D1314" s="4" t="s">
        <v>2647</v>
      </c>
      <c r="E1314" s="4" t="s">
        <v>2646</v>
      </c>
      <c r="F1314" s="4" t="s">
        <v>2646</v>
      </c>
      <c r="G1314" s="6">
        <v>240000.00056313601</v>
      </c>
      <c r="H1314" s="6">
        <f t="shared" si="21"/>
        <v>12627220.797363885</v>
      </c>
      <c r="I1314" s="4" t="s">
        <v>2578</v>
      </c>
      <c r="J1314" s="4" t="s">
        <v>2199</v>
      </c>
      <c r="K1314" s="7">
        <v>240000</v>
      </c>
      <c r="L1314" s="4" t="s">
        <v>1056</v>
      </c>
      <c r="M1314" s="4" t="s">
        <v>27</v>
      </c>
      <c r="N1314" s="4"/>
    </row>
    <row r="1315" spans="1:14" ht="10.5" hidden="1" x14ac:dyDescent="0.25">
      <c r="A1315" s="8" t="s">
        <v>555</v>
      </c>
      <c r="B1315" s="4" t="s">
        <v>1092</v>
      </c>
      <c r="C1315" s="5">
        <v>44134</v>
      </c>
      <c r="D1315" s="4" t="s">
        <v>2648</v>
      </c>
      <c r="E1315" s="4" t="s">
        <v>2646</v>
      </c>
      <c r="F1315" s="4" t="s">
        <v>2646</v>
      </c>
      <c r="G1315" s="6">
        <v>528000.00123889919</v>
      </c>
      <c r="H1315" s="6">
        <f t="shared" si="21"/>
        <v>13155220.798602784</v>
      </c>
      <c r="I1315" s="4" t="s">
        <v>2578</v>
      </c>
      <c r="J1315" s="4" t="s">
        <v>2199</v>
      </c>
      <c r="K1315" s="7">
        <v>528000</v>
      </c>
      <c r="L1315" s="4" t="s">
        <v>1056</v>
      </c>
      <c r="M1315" s="4" t="s">
        <v>27</v>
      </c>
      <c r="N1315" s="4"/>
    </row>
    <row r="1316" spans="1:14" ht="10.5" hidden="1" x14ac:dyDescent="0.25">
      <c r="A1316" s="8" t="s">
        <v>555</v>
      </c>
      <c r="B1316" s="4" t="s">
        <v>1092</v>
      </c>
      <c r="C1316" s="5">
        <v>44134</v>
      </c>
      <c r="D1316" s="4" t="s">
        <v>2649</v>
      </c>
      <c r="E1316" s="4" t="s">
        <v>2646</v>
      </c>
      <c r="F1316" s="4" t="s">
        <v>2646</v>
      </c>
      <c r="G1316" s="6">
        <v>576000.00135152636</v>
      </c>
      <c r="H1316" s="6">
        <f t="shared" si="21"/>
        <v>13731220.79995431</v>
      </c>
      <c r="I1316" s="4" t="s">
        <v>2578</v>
      </c>
      <c r="J1316" s="4" t="s">
        <v>2199</v>
      </c>
      <c r="K1316" s="7">
        <v>576000</v>
      </c>
      <c r="L1316" s="4" t="s">
        <v>1056</v>
      </c>
      <c r="M1316" s="4" t="s">
        <v>27</v>
      </c>
      <c r="N1316" s="4"/>
    </row>
    <row r="1317" spans="1:14" ht="10.5" hidden="1" x14ac:dyDescent="0.25">
      <c r="A1317" s="8" t="s">
        <v>555</v>
      </c>
      <c r="B1317" s="4" t="s">
        <v>1092</v>
      </c>
      <c r="C1317" s="5">
        <v>44134</v>
      </c>
      <c r="D1317" s="4" t="s">
        <v>2650</v>
      </c>
      <c r="E1317" s="4" t="s">
        <v>2646</v>
      </c>
      <c r="F1317" s="4" t="s">
        <v>2646</v>
      </c>
      <c r="G1317" s="6">
        <v>576000.00135152636</v>
      </c>
      <c r="H1317" s="6">
        <f t="shared" si="21"/>
        <v>14307220.801305836</v>
      </c>
      <c r="I1317" s="4" t="s">
        <v>2578</v>
      </c>
      <c r="J1317" s="4" t="s">
        <v>2199</v>
      </c>
      <c r="K1317" s="7">
        <v>576000</v>
      </c>
      <c r="L1317" s="4" t="s">
        <v>1056</v>
      </c>
      <c r="M1317" s="4" t="s">
        <v>27</v>
      </c>
      <c r="N1317" s="4"/>
    </row>
    <row r="1318" spans="1:14" ht="10.5" hidden="1" x14ac:dyDescent="0.25">
      <c r="A1318" s="8" t="s">
        <v>555</v>
      </c>
      <c r="B1318" s="4" t="s">
        <v>1092</v>
      </c>
      <c r="C1318" s="5">
        <v>44134</v>
      </c>
      <c r="D1318" s="4" t="s">
        <v>2651</v>
      </c>
      <c r="E1318" s="4" t="s">
        <v>2652</v>
      </c>
      <c r="F1318" s="4" t="s">
        <v>2652</v>
      </c>
      <c r="G1318" s="6">
        <v>576000.00135152636</v>
      </c>
      <c r="H1318" s="6">
        <f t="shared" si="21"/>
        <v>14883220.802657362</v>
      </c>
      <c r="I1318" s="4" t="s">
        <v>2578</v>
      </c>
      <c r="J1318" s="4" t="s">
        <v>2199</v>
      </c>
      <c r="K1318" s="7">
        <v>576000</v>
      </c>
      <c r="L1318" s="4" t="s">
        <v>1056</v>
      </c>
      <c r="M1318" s="4" t="s">
        <v>27</v>
      </c>
      <c r="N1318" s="4"/>
    </row>
    <row r="1319" spans="1:14" ht="10.5" hidden="1" x14ac:dyDescent="0.25">
      <c r="A1319" s="8" t="s">
        <v>555</v>
      </c>
      <c r="B1319" s="4" t="s">
        <v>21</v>
      </c>
      <c r="C1319" s="5">
        <v>44135</v>
      </c>
      <c r="D1319" s="4" t="s">
        <v>2653</v>
      </c>
      <c r="E1319" s="4" t="s">
        <v>2654</v>
      </c>
      <c r="F1319" s="4" t="s">
        <v>2655</v>
      </c>
      <c r="G1319" s="6">
        <v>36908.000133267407</v>
      </c>
      <c r="H1319" s="6">
        <f t="shared" si="21"/>
        <v>14920128.802790629</v>
      </c>
      <c r="I1319" s="4"/>
      <c r="J1319" s="4" t="s">
        <v>2199</v>
      </c>
      <c r="K1319" s="7">
        <v>36908</v>
      </c>
      <c r="L1319" s="4" t="s">
        <v>1888</v>
      </c>
      <c r="M1319" s="4" t="s">
        <v>27</v>
      </c>
      <c r="N1319" s="4"/>
    </row>
    <row r="1320" spans="1:14" ht="10.5" hidden="1" x14ac:dyDescent="0.25">
      <c r="A1320" s="8" t="s">
        <v>555</v>
      </c>
      <c r="B1320" s="4" t="s">
        <v>21</v>
      </c>
      <c r="C1320" s="5">
        <v>44135</v>
      </c>
      <c r="D1320" s="4" t="s">
        <v>2653</v>
      </c>
      <c r="E1320" s="4" t="s">
        <v>2654</v>
      </c>
      <c r="F1320" s="4" t="s">
        <v>2656</v>
      </c>
      <c r="G1320" s="6">
        <v>334888.00120921357</v>
      </c>
      <c r="H1320" s="6">
        <f t="shared" si="21"/>
        <v>15255016.803999843</v>
      </c>
      <c r="I1320" s="4"/>
      <c r="J1320" s="4" t="s">
        <v>2199</v>
      </c>
      <c r="K1320" s="7">
        <v>334888</v>
      </c>
      <c r="L1320" s="4" t="s">
        <v>1888</v>
      </c>
      <c r="M1320" s="4" t="s">
        <v>27</v>
      </c>
      <c r="N1320" s="4"/>
    </row>
    <row r="1321" spans="1:14" ht="10.5" hidden="1" x14ac:dyDescent="0.25">
      <c r="A1321" s="8" t="s">
        <v>555</v>
      </c>
      <c r="B1321" s="4" t="s">
        <v>21</v>
      </c>
      <c r="C1321" s="5">
        <v>44135</v>
      </c>
      <c r="D1321" s="4" t="s">
        <v>2657</v>
      </c>
      <c r="E1321" s="4" t="s">
        <v>2658</v>
      </c>
      <c r="F1321" s="4" t="s">
        <v>2659</v>
      </c>
      <c r="G1321" s="6">
        <v>726.02038703999995</v>
      </c>
      <c r="H1321" s="6">
        <f t="shared" si="21"/>
        <v>15255742.824386884</v>
      </c>
      <c r="I1321" s="4"/>
      <c r="J1321" s="4" t="s">
        <v>2199</v>
      </c>
      <c r="K1321" s="7">
        <v>624</v>
      </c>
      <c r="L1321" s="4" t="s">
        <v>1888</v>
      </c>
      <c r="M1321" s="4" t="s">
        <v>61</v>
      </c>
      <c r="N1321" s="4"/>
    </row>
    <row r="1322" spans="1:14" ht="10.5" hidden="1" x14ac:dyDescent="0.25">
      <c r="A1322" s="8" t="s">
        <v>555</v>
      </c>
      <c r="B1322" s="4" t="s">
        <v>21</v>
      </c>
      <c r="C1322" s="5">
        <v>44135</v>
      </c>
      <c r="D1322" s="4" t="s">
        <v>2657</v>
      </c>
      <c r="E1322" s="4" t="s">
        <v>2658</v>
      </c>
      <c r="F1322" s="4" t="s">
        <v>2660</v>
      </c>
      <c r="G1322" s="6">
        <v>382.78959508999998</v>
      </c>
      <c r="H1322" s="6">
        <f t="shared" si="21"/>
        <v>15256125.613981973</v>
      </c>
      <c r="I1322" s="4"/>
      <c r="J1322" s="4" t="s">
        <v>2199</v>
      </c>
      <c r="K1322" s="7">
        <v>329</v>
      </c>
      <c r="L1322" s="4" t="s">
        <v>1888</v>
      </c>
      <c r="M1322" s="4" t="s">
        <v>61</v>
      </c>
      <c r="N1322" s="4"/>
    </row>
    <row r="1323" spans="1:14" ht="10.5" hidden="1" x14ac:dyDescent="0.25">
      <c r="A1323" s="8" t="s">
        <v>555</v>
      </c>
      <c r="B1323" s="4" t="s">
        <v>21</v>
      </c>
      <c r="C1323" s="5">
        <v>44135</v>
      </c>
      <c r="D1323" s="4" t="s">
        <v>2657</v>
      </c>
      <c r="E1323" s="4" t="s">
        <v>2658</v>
      </c>
      <c r="F1323" s="4" t="s">
        <v>2661</v>
      </c>
      <c r="G1323" s="6">
        <v>8043.2354737300002</v>
      </c>
      <c r="H1323" s="6">
        <f t="shared" si="21"/>
        <v>15264168.849455703</v>
      </c>
      <c r="I1323" s="4"/>
      <c r="J1323" s="4" t="s">
        <v>2199</v>
      </c>
      <c r="K1323" s="7">
        <v>6913</v>
      </c>
      <c r="L1323" s="4" t="s">
        <v>1888</v>
      </c>
      <c r="M1323" s="4" t="s">
        <v>61</v>
      </c>
      <c r="N1323" s="4"/>
    </row>
    <row r="1324" spans="1:14" ht="10.5" hidden="1" x14ac:dyDescent="0.25">
      <c r="A1324" s="8" t="s">
        <v>555</v>
      </c>
      <c r="B1324" s="4" t="s">
        <v>21</v>
      </c>
      <c r="C1324" s="5">
        <v>44135</v>
      </c>
      <c r="D1324" s="4" t="s">
        <v>2657</v>
      </c>
      <c r="E1324" s="4" t="s">
        <v>2658</v>
      </c>
      <c r="F1324" s="4" t="s">
        <v>2662</v>
      </c>
      <c r="G1324" s="6">
        <v>2356.0757752499999</v>
      </c>
      <c r="H1324" s="6">
        <f t="shared" si="21"/>
        <v>15266524.925230954</v>
      </c>
      <c r="I1324" s="4"/>
      <c r="J1324" s="4" t="s">
        <v>2199</v>
      </c>
      <c r="K1324" s="7">
        <v>2025</v>
      </c>
      <c r="L1324" s="4" t="s">
        <v>1888</v>
      </c>
      <c r="M1324" s="4" t="s">
        <v>61</v>
      </c>
      <c r="N1324" s="4"/>
    </row>
    <row r="1325" spans="1:14" ht="10.5" hidden="1" x14ac:dyDescent="0.25">
      <c r="A1325" s="8" t="s">
        <v>555</v>
      </c>
      <c r="B1325" s="4" t="s">
        <v>21</v>
      </c>
      <c r="C1325" s="5">
        <v>44135</v>
      </c>
      <c r="D1325" s="4" t="s">
        <v>2657</v>
      </c>
      <c r="E1325" s="4" t="s">
        <v>2658</v>
      </c>
      <c r="F1325" s="4" t="s">
        <v>2663</v>
      </c>
      <c r="G1325" s="6">
        <v>29344.48747041</v>
      </c>
      <c r="H1325" s="6">
        <f t="shared" si="21"/>
        <v>15295869.412701365</v>
      </c>
      <c r="I1325" s="4"/>
      <c r="J1325" s="4" t="s">
        <v>2199</v>
      </c>
      <c r="K1325" s="7">
        <v>25221</v>
      </c>
      <c r="L1325" s="4" t="s">
        <v>1888</v>
      </c>
      <c r="M1325" s="4" t="s">
        <v>61</v>
      </c>
      <c r="N1325" s="4"/>
    </row>
    <row r="1326" spans="1:14" ht="10.5" hidden="1" x14ac:dyDescent="0.25">
      <c r="A1326" s="8" t="s">
        <v>555</v>
      </c>
      <c r="B1326" s="4" t="s">
        <v>21</v>
      </c>
      <c r="C1326" s="5">
        <v>44135</v>
      </c>
      <c r="D1326" s="4" t="s">
        <v>2657</v>
      </c>
      <c r="E1326" s="4" t="s">
        <v>2658</v>
      </c>
      <c r="F1326" s="4" t="s">
        <v>2664</v>
      </c>
      <c r="G1326" s="6">
        <v>9075.2548380000007</v>
      </c>
      <c r="H1326" s="6">
        <f t="shared" si="21"/>
        <v>15304944.667539364</v>
      </c>
      <c r="I1326" s="4"/>
      <c r="J1326" s="4" t="s">
        <v>2199</v>
      </c>
      <c r="K1326" s="7">
        <v>7800</v>
      </c>
      <c r="L1326" s="4" t="s">
        <v>1888</v>
      </c>
      <c r="M1326" s="4" t="s">
        <v>61</v>
      </c>
      <c r="N1326" s="4"/>
    </row>
    <row r="1327" spans="1:14" ht="10.5" hidden="1" x14ac:dyDescent="0.25">
      <c r="A1327" s="8" t="s">
        <v>555</v>
      </c>
      <c r="B1327" s="4" t="s">
        <v>21</v>
      </c>
      <c r="C1327" s="5">
        <v>44135</v>
      </c>
      <c r="D1327" s="4" t="s">
        <v>2657</v>
      </c>
      <c r="E1327" s="4" t="s">
        <v>2658</v>
      </c>
      <c r="F1327" s="4" t="s">
        <v>2665</v>
      </c>
      <c r="G1327" s="6">
        <v>9494.1127536000004</v>
      </c>
      <c r="H1327" s="6">
        <f t="shared" si="21"/>
        <v>15314438.780292964</v>
      </c>
      <c r="I1327" s="4"/>
      <c r="J1327" s="4" t="s">
        <v>2199</v>
      </c>
      <c r="K1327" s="7">
        <v>8160</v>
      </c>
      <c r="L1327" s="4" t="s">
        <v>1888</v>
      </c>
      <c r="M1327" s="4" t="s">
        <v>61</v>
      </c>
      <c r="N1327" s="4"/>
    </row>
    <row r="1328" spans="1:14" ht="10.5" hidden="1" x14ac:dyDescent="0.25">
      <c r="A1328" s="8" t="s">
        <v>555</v>
      </c>
      <c r="B1328" s="4" t="s">
        <v>1092</v>
      </c>
      <c r="C1328" s="5">
        <v>44138</v>
      </c>
      <c r="D1328" s="4" t="s">
        <v>2666</v>
      </c>
      <c r="E1328" s="4" t="s">
        <v>2667</v>
      </c>
      <c r="F1328" s="4" t="s">
        <v>2667</v>
      </c>
      <c r="G1328" s="6">
        <v>30162.002944</v>
      </c>
      <c r="H1328" s="6">
        <f t="shared" si="21"/>
        <v>15344600.783236964</v>
      </c>
      <c r="I1328" s="4" t="s">
        <v>2668</v>
      </c>
      <c r="J1328" s="4" t="s">
        <v>2199</v>
      </c>
      <c r="K1328" s="7">
        <v>25600</v>
      </c>
      <c r="L1328" s="4" t="s">
        <v>1896</v>
      </c>
      <c r="M1328" s="4" t="s">
        <v>61</v>
      </c>
      <c r="N1328" s="4"/>
    </row>
    <row r="1329" spans="1:14" ht="10.5" hidden="1" x14ac:dyDescent="0.25">
      <c r="A1329" s="8" t="s">
        <v>555</v>
      </c>
      <c r="B1329" s="4" t="s">
        <v>1092</v>
      </c>
      <c r="C1329" s="5">
        <v>44139</v>
      </c>
      <c r="D1329" s="4" t="s">
        <v>2669</v>
      </c>
      <c r="E1329" s="4" t="s">
        <v>2670</v>
      </c>
      <c r="F1329" s="4" t="s">
        <v>2670</v>
      </c>
      <c r="G1329" s="6">
        <v>23835.0515452</v>
      </c>
      <c r="H1329" s="6">
        <f t="shared" si="21"/>
        <v>15368435.834782165</v>
      </c>
      <c r="I1329" s="4" t="s">
        <v>2584</v>
      </c>
      <c r="J1329" s="4" t="s">
        <v>2199</v>
      </c>
      <c r="K1329" s="7">
        <v>20230</v>
      </c>
      <c r="L1329" s="4" t="s">
        <v>1896</v>
      </c>
      <c r="M1329" s="4" t="s">
        <v>61</v>
      </c>
      <c r="N1329" s="4"/>
    </row>
    <row r="1330" spans="1:14" ht="10.5" hidden="1" x14ac:dyDescent="0.25">
      <c r="A1330" s="8" t="s">
        <v>555</v>
      </c>
      <c r="B1330" s="4" t="s">
        <v>1092</v>
      </c>
      <c r="C1330" s="5">
        <v>44141</v>
      </c>
      <c r="D1330" s="4" t="s">
        <v>2671</v>
      </c>
      <c r="E1330" s="4" t="s">
        <v>2672</v>
      </c>
      <c r="F1330" s="4" t="s">
        <v>2672</v>
      </c>
      <c r="G1330" s="6">
        <v>9642.8630333912006</v>
      </c>
      <c r="H1330" s="6">
        <f t="shared" ref="H1330:H1393" si="22">H1329+G1330</f>
        <v>15378078.697815556</v>
      </c>
      <c r="I1330" s="4" t="s">
        <v>2602</v>
      </c>
      <c r="J1330" s="4" t="s">
        <v>2199</v>
      </c>
      <c r="K1330" s="7">
        <v>8184.38</v>
      </c>
      <c r="L1330" s="4" t="s">
        <v>1896</v>
      </c>
      <c r="M1330" s="4" t="s">
        <v>61</v>
      </c>
      <c r="N1330" s="4"/>
    </row>
    <row r="1331" spans="1:14" ht="10.5" hidden="1" x14ac:dyDescent="0.25">
      <c r="A1331" s="8" t="s">
        <v>555</v>
      </c>
      <c r="B1331" s="4" t="s">
        <v>1092</v>
      </c>
      <c r="C1331" s="5">
        <v>44151</v>
      </c>
      <c r="D1331" s="4" t="s">
        <v>2673</v>
      </c>
      <c r="E1331" s="4" t="s">
        <v>2674</v>
      </c>
      <c r="F1331" s="4" t="s">
        <v>2675</v>
      </c>
      <c r="G1331" s="6">
        <v>20800.000048805119</v>
      </c>
      <c r="H1331" s="6">
        <f t="shared" si="22"/>
        <v>15398878.697864361</v>
      </c>
      <c r="I1331" s="4" t="s">
        <v>2676</v>
      </c>
      <c r="J1331" s="4" t="s">
        <v>2199</v>
      </c>
      <c r="K1331" s="7">
        <v>20800</v>
      </c>
      <c r="L1331" s="4" t="s">
        <v>1056</v>
      </c>
      <c r="M1331" s="4" t="s">
        <v>27</v>
      </c>
      <c r="N1331" s="4"/>
    </row>
    <row r="1332" spans="1:14" ht="10.5" hidden="1" x14ac:dyDescent="0.25">
      <c r="A1332" s="8" t="s">
        <v>555</v>
      </c>
      <c r="B1332" s="4" t="s">
        <v>21</v>
      </c>
      <c r="C1332" s="5">
        <v>44151</v>
      </c>
      <c r="D1332" s="4" t="s">
        <v>2677</v>
      </c>
      <c r="E1332" s="4" t="s">
        <v>2678</v>
      </c>
      <c r="F1332" s="4" t="s">
        <v>2678</v>
      </c>
      <c r="G1332" s="6">
        <v>-20799.99999896</v>
      </c>
      <c r="H1332" s="6">
        <f t="shared" si="22"/>
        <v>15378078.6978654</v>
      </c>
      <c r="I1332" s="4"/>
      <c r="J1332" s="4" t="s">
        <v>2199</v>
      </c>
      <c r="K1332" s="7">
        <v>-20800</v>
      </c>
      <c r="L1332" s="4" t="s">
        <v>1896</v>
      </c>
      <c r="M1332" s="4" t="s">
        <v>27</v>
      </c>
      <c r="N1332" s="4"/>
    </row>
    <row r="1333" spans="1:14" ht="10.5" hidden="1" x14ac:dyDescent="0.25">
      <c r="A1333" s="8" t="s">
        <v>555</v>
      </c>
      <c r="B1333" s="4" t="s">
        <v>1092</v>
      </c>
      <c r="C1333" s="5">
        <v>44152</v>
      </c>
      <c r="D1333" s="4" t="s">
        <v>2679</v>
      </c>
      <c r="E1333" s="4" t="s">
        <v>2680</v>
      </c>
      <c r="F1333" s="4" t="s">
        <v>2680</v>
      </c>
      <c r="G1333" s="6">
        <v>9278.3505150000001</v>
      </c>
      <c r="H1333" s="6">
        <f t="shared" si="22"/>
        <v>15387357.048380401</v>
      </c>
      <c r="I1333" s="4" t="s">
        <v>2602</v>
      </c>
      <c r="J1333" s="4" t="s">
        <v>2199</v>
      </c>
      <c r="K1333" s="7">
        <v>7875</v>
      </c>
      <c r="L1333" s="4" t="s">
        <v>1896</v>
      </c>
      <c r="M1333" s="4" t="s">
        <v>61</v>
      </c>
      <c r="N1333" s="4"/>
    </row>
    <row r="1334" spans="1:14" ht="10.5" hidden="1" x14ac:dyDescent="0.25">
      <c r="A1334" s="8" t="s">
        <v>555</v>
      </c>
      <c r="B1334" s="4" t="s">
        <v>1092</v>
      </c>
      <c r="C1334" s="5">
        <v>44158</v>
      </c>
      <c r="D1334" s="4" t="s">
        <v>2681</v>
      </c>
      <c r="E1334" s="4" t="s">
        <v>2682</v>
      </c>
      <c r="F1334" s="4" t="s">
        <v>2682</v>
      </c>
      <c r="G1334" s="6">
        <v>97109.736921999996</v>
      </c>
      <c r="H1334" s="6">
        <f t="shared" si="22"/>
        <v>15484466.785302401</v>
      </c>
      <c r="I1334" s="4" t="s">
        <v>2584</v>
      </c>
      <c r="J1334" s="4" t="s">
        <v>2199</v>
      </c>
      <c r="K1334" s="7">
        <v>81175</v>
      </c>
      <c r="L1334" s="4" t="s">
        <v>1056</v>
      </c>
      <c r="M1334" s="4" t="s">
        <v>61</v>
      </c>
      <c r="N1334" s="4"/>
    </row>
    <row r="1335" spans="1:14" ht="10.5" hidden="1" x14ac:dyDescent="0.25">
      <c r="A1335" s="8" t="s">
        <v>555</v>
      </c>
      <c r="B1335" s="4" t="s">
        <v>21</v>
      </c>
      <c r="C1335" s="5">
        <v>44165</v>
      </c>
      <c r="D1335" s="4" t="s">
        <v>2683</v>
      </c>
      <c r="E1335" s="4" t="s">
        <v>2684</v>
      </c>
      <c r="F1335" s="4" t="s">
        <v>2676</v>
      </c>
      <c r="G1335" s="6">
        <v>20799.99999896</v>
      </c>
      <c r="H1335" s="6">
        <f t="shared" si="22"/>
        <v>15505266.785301361</v>
      </c>
      <c r="I1335" s="4"/>
      <c r="J1335" s="4" t="s">
        <v>2199</v>
      </c>
      <c r="K1335" s="7">
        <v>20800</v>
      </c>
      <c r="L1335" s="4" t="s">
        <v>1896</v>
      </c>
      <c r="M1335" s="4" t="s">
        <v>27</v>
      </c>
      <c r="N1335" s="4"/>
    </row>
    <row r="1336" spans="1:14" ht="10.5" hidden="1" x14ac:dyDescent="0.25">
      <c r="A1336" s="8" t="s">
        <v>555</v>
      </c>
      <c r="B1336" s="4" t="s">
        <v>1092</v>
      </c>
      <c r="C1336" s="5">
        <v>44165</v>
      </c>
      <c r="D1336" s="4" t="s">
        <v>2685</v>
      </c>
      <c r="E1336" s="4" t="s">
        <v>2686</v>
      </c>
      <c r="F1336" s="4" t="s">
        <v>2686</v>
      </c>
      <c r="G1336" s="6">
        <v>46656.848303999999</v>
      </c>
      <c r="H1336" s="6">
        <f t="shared" si="22"/>
        <v>15551923.633605361</v>
      </c>
      <c r="I1336" s="4" t="s">
        <v>2602</v>
      </c>
      <c r="J1336" s="4" t="s">
        <v>2199</v>
      </c>
      <c r="K1336" s="7">
        <v>39600</v>
      </c>
      <c r="L1336" s="4" t="s">
        <v>1896</v>
      </c>
      <c r="M1336" s="4" t="s">
        <v>61</v>
      </c>
      <c r="N1336" s="4"/>
    </row>
    <row r="1337" spans="1:14" ht="10.5" hidden="1" x14ac:dyDescent="0.25">
      <c r="A1337" s="8" t="s">
        <v>555</v>
      </c>
      <c r="B1337" s="4" t="s">
        <v>21</v>
      </c>
      <c r="C1337" s="5">
        <v>44165</v>
      </c>
      <c r="D1337" s="4" t="s">
        <v>2687</v>
      </c>
      <c r="E1337" s="4" t="s">
        <v>2688</v>
      </c>
      <c r="F1337" s="4" t="s">
        <v>2689</v>
      </c>
      <c r="G1337" s="6">
        <v>118659.99999406699</v>
      </c>
      <c r="H1337" s="6">
        <f t="shared" si="22"/>
        <v>15670583.633599428</v>
      </c>
      <c r="I1337" s="4"/>
      <c r="J1337" s="4" t="s">
        <v>2199</v>
      </c>
      <c r="K1337" s="7">
        <v>118660</v>
      </c>
      <c r="L1337" s="4" t="s">
        <v>1896</v>
      </c>
      <c r="M1337" s="4" t="s">
        <v>27</v>
      </c>
      <c r="N1337" s="4"/>
    </row>
    <row r="1338" spans="1:14" ht="10.5" hidden="1" x14ac:dyDescent="0.25">
      <c r="A1338" s="8" t="s">
        <v>555</v>
      </c>
      <c r="B1338" s="4" t="s">
        <v>21</v>
      </c>
      <c r="C1338" s="5">
        <v>44165</v>
      </c>
      <c r="D1338" s="4" t="s">
        <v>2687</v>
      </c>
      <c r="E1338" s="4" t="s">
        <v>2688</v>
      </c>
      <c r="F1338" s="4" t="s">
        <v>2690</v>
      </c>
      <c r="G1338" s="6">
        <v>447543.99997762282</v>
      </c>
      <c r="H1338" s="6">
        <f t="shared" si="22"/>
        <v>16118127.633577051</v>
      </c>
      <c r="I1338" s="4"/>
      <c r="J1338" s="4" t="s">
        <v>2199</v>
      </c>
      <c r="K1338" s="7">
        <v>447544</v>
      </c>
      <c r="L1338" s="4" t="s">
        <v>1896</v>
      </c>
      <c r="M1338" s="4" t="s">
        <v>27</v>
      </c>
      <c r="N1338" s="4"/>
    </row>
    <row r="1339" spans="1:14" ht="10.5" hidden="1" x14ac:dyDescent="0.25">
      <c r="A1339" s="8" t="s">
        <v>555</v>
      </c>
      <c r="B1339" s="4" t="s">
        <v>1092</v>
      </c>
      <c r="C1339" s="5">
        <v>44165</v>
      </c>
      <c r="D1339" s="4" t="s">
        <v>2691</v>
      </c>
      <c r="E1339" s="4" t="s">
        <v>2692</v>
      </c>
      <c r="F1339" s="4" t="s">
        <v>2692</v>
      </c>
      <c r="G1339" s="6">
        <v>13219.126491999999</v>
      </c>
      <c r="H1339" s="6">
        <f t="shared" si="22"/>
        <v>16131346.76006905</v>
      </c>
      <c r="I1339" s="4" t="s">
        <v>2602</v>
      </c>
      <c r="J1339" s="4" t="s">
        <v>2199</v>
      </c>
      <c r="K1339" s="7">
        <v>11050</v>
      </c>
      <c r="L1339" s="4" t="s">
        <v>1056</v>
      </c>
      <c r="M1339" s="4" t="s">
        <v>61</v>
      </c>
      <c r="N1339" s="4"/>
    </row>
    <row r="1340" spans="1:14" ht="10.5" hidden="1" x14ac:dyDescent="0.25">
      <c r="A1340" s="8" t="s">
        <v>555</v>
      </c>
      <c r="B1340" s="4" t="s">
        <v>1092</v>
      </c>
      <c r="C1340" s="5">
        <v>44165</v>
      </c>
      <c r="D1340" s="4" t="s">
        <v>2693</v>
      </c>
      <c r="E1340" s="4" t="s">
        <v>2694</v>
      </c>
      <c r="F1340" s="4" t="s">
        <v>2694</v>
      </c>
      <c r="G1340" s="6">
        <v>34858.032825000002</v>
      </c>
      <c r="H1340" s="6">
        <f t="shared" si="22"/>
        <v>16166204.79289405</v>
      </c>
      <c r="I1340" s="4" t="s">
        <v>2602</v>
      </c>
      <c r="J1340" s="4" t="s">
        <v>2199</v>
      </c>
      <c r="K1340" s="7">
        <v>28875</v>
      </c>
      <c r="L1340" s="4" t="s">
        <v>1029</v>
      </c>
      <c r="M1340" s="4" t="s">
        <v>61</v>
      </c>
      <c r="N1340" s="4"/>
    </row>
    <row r="1341" spans="1:14" ht="10.5" hidden="1" x14ac:dyDescent="0.25">
      <c r="A1341" s="8" t="s">
        <v>555</v>
      </c>
      <c r="B1341" s="4" t="s">
        <v>1092</v>
      </c>
      <c r="C1341" s="5">
        <v>44173</v>
      </c>
      <c r="D1341" s="4" t="s">
        <v>2695</v>
      </c>
      <c r="E1341" s="4" t="s">
        <v>2696</v>
      </c>
      <c r="F1341" s="4" t="s">
        <v>2696</v>
      </c>
      <c r="G1341" s="6">
        <v>9630.2233720000004</v>
      </c>
      <c r="H1341" s="6">
        <f t="shared" si="22"/>
        <v>16175835.01626605</v>
      </c>
      <c r="I1341" s="4" t="s">
        <v>2697</v>
      </c>
      <c r="J1341" s="4" t="s">
        <v>2199</v>
      </c>
      <c r="K1341" s="7">
        <v>8050</v>
      </c>
      <c r="L1341" s="4" t="s">
        <v>1056</v>
      </c>
      <c r="M1341" s="4" t="s">
        <v>61</v>
      </c>
      <c r="N1341" s="4"/>
    </row>
    <row r="1342" spans="1:14" ht="10.5" hidden="1" x14ac:dyDescent="0.25">
      <c r="A1342" s="8" t="s">
        <v>555</v>
      </c>
      <c r="B1342" s="4" t="s">
        <v>1092</v>
      </c>
      <c r="C1342" s="5">
        <v>44175</v>
      </c>
      <c r="D1342" s="4" t="s">
        <v>2698</v>
      </c>
      <c r="E1342" s="4" t="s">
        <v>2699</v>
      </c>
      <c r="F1342" s="4" t="s">
        <v>2699</v>
      </c>
      <c r="G1342" s="6">
        <v>389656.32091428956</v>
      </c>
      <c r="H1342" s="6">
        <f t="shared" si="22"/>
        <v>16565491.337180339</v>
      </c>
      <c r="I1342" s="4" t="s">
        <v>2578</v>
      </c>
      <c r="J1342" s="4" t="s">
        <v>2199</v>
      </c>
      <c r="K1342" s="7">
        <v>389656.32000000001</v>
      </c>
      <c r="L1342" s="4" t="s">
        <v>1056</v>
      </c>
      <c r="M1342" s="4" t="s">
        <v>27</v>
      </c>
      <c r="N1342" s="4"/>
    </row>
    <row r="1343" spans="1:14" ht="10.5" hidden="1" x14ac:dyDescent="0.25">
      <c r="A1343" s="8" t="s">
        <v>555</v>
      </c>
      <c r="B1343" s="4" t="s">
        <v>1092</v>
      </c>
      <c r="C1343" s="5">
        <v>44176</v>
      </c>
      <c r="D1343" s="4" t="s">
        <v>2700</v>
      </c>
      <c r="E1343" s="4" t="s">
        <v>2701</v>
      </c>
      <c r="F1343" s="4" t="s">
        <v>2701</v>
      </c>
      <c r="G1343" s="6">
        <v>8075.0320199999996</v>
      </c>
      <c r="H1343" s="6">
        <f t="shared" si="22"/>
        <v>16573566.36920034</v>
      </c>
      <c r="I1343" s="4" t="s">
        <v>2602</v>
      </c>
      <c r="J1343" s="4" t="s">
        <v>2199</v>
      </c>
      <c r="K1343" s="7">
        <v>6750</v>
      </c>
      <c r="L1343" s="4" t="s">
        <v>1056</v>
      </c>
      <c r="M1343" s="4" t="s">
        <v>61</v>
      </c>
      <c r="N1343" s="4"/>
    </row>
    <row r="1344" spans="1:14" ht="10.5" hidden="1" x14ac:dyDescent="0.25">
      <c r="A1344" s="8" t="s">
        <v>555</v>
      </c>
      <c r="B1344" s="4" t="s">
        <v>1092</v>
      </c>
      <c r="C1344" s="5">
        <v>44176</v>
      </c>
      <c r="D1344" s="4" t="s">
        <v>2702</v>
      </c>
      <c r="E1344" s="4" t="s">
        <v>2703</v>
      </c>
      <c r="F1344" s="4" t="s">
        <v>2703</v>
      </c>
      <c r="G1344" s="6">
        <v>120159.39096629999</v>
      </c>
      <c r="H1344" s="6">
        <f t="shared" si="22"/>
        <v>16693725.760166639</v>
      </c>
      <c r="I1344" s="4" t="s">
        <v>2584</v>
      </c>
      <c r="J1344" s="4" t="s">
        <v>2199</v>
      </c>
      <c r="K1344" s="7">
        <v>98455</v>
      </c>
      <c r="L1344" s="4" t="s">
        <v>1958</v>
      </c>
      <c r="M1344" s="4" t="s">
        <v>61</v>
      </c>
      <c r="N1344" s="4"/>
    </row>
    <row r="1345" spans="1:14" ht="10.5" hidden="1" x14ac:dyDescent="0.25">
      <c r="A1345" s="8" t="s">
        <v>555</v>
      </c>
      <c r="B1345" s="4" t="s">
        <v>21</v>
      </c>
      <c r="C1345" s="5">
        <v>44196</v>
      </c>
      <c r="D1345" s="4" t="s">
        <v>2704</v>
      </c>
      <c r="E1345" s="4" t="s">
        <v>2684</v>
      </c>
      <c r="F1345" s="4" t="s">
        <v>2676</v>
      </c>
      <c r="G1345" s="6">
        <v>-20800.000048805119</v>
      </c>
      <c r="H1345" s="6">
        <f t="shared" si="22"/>
        <v>16672925.760117834</v>
      </c>
      <c r="I1345" s="4"/>
      <c r="J1345" s="4" t="s">
        <v>2199</v>
      </c>
      <c r="K1345" s="7">
        <v>-20800</v>
      </c>
      <c r="L1345" s="4" t="s">
        <v>1056</v>
      </c>
      <c r="M1345" s="4" t="s">
        <v>27</v>
      </c>
      <c r="N1345" s="4"/>
    </row>
    <row r="1346" spans="1:14" ht="10.5" hidden="1" x14ac:dyDescent="0.25">
      <c r="A1346" s="8" t="s">
        <v>555</v>
      </c>
      <c r="B1346" s="4" t="s">
        <v>1092</v>
      </c>
      <c r="C1346" s="5">
        <v>44196</v>
      </c>
      <c r="D1346" s="4" t="s">
        <v>2705</v>
      </c>
      <c r="E1346" s="4" t="s">
        <v>2696</v>
      </c>
      <c r="F1346" s="4" t="s">
        <v>2696</v>
      </c>
      <c r="G1346" s="6">
        <v>10467.634099999999</v>
      </c>
      <c r="H1346" s="6">
        <f t="shared" si="22"/>
        <v>16683393.394217834</v>
      </c>
      <c r="I1346" s="4" t="s">
        <v>2697</v>
      </c>
      <c r="J1346" s="4" t="s">
        <v>2199</v>
      </c>
      <c r="K1346" s="7">
        <v>8750</v>
      </c>
      <c r="L1346" s="4" t="s">
        <v>1056</v>
      </c>
      <c r="M1346" s="4" t="s">
        <v>61</v>
      </c>
      <c r="N1346" s="4"/>
    </row>
    <row r="1347" spans="1:14" ht="10.5" hidden="1" x14ac:dyDescent="0.25">
      <c r="A1347" s="8" t="s">
        <v>555</v>
      </c>
      <c r="B1347" s="4" t="s">
        <v>21</v>
      </c>
      <c r="C1347" s="5">
        <v>44196</v>
      </c>
      <c r="D1347" s="4" t="s">
        <v>2706</v>
      </c>
      <c r="E1347" s="4" t="s">
        <v>2707</v>
      </c>
      <c r="F1347" s="4" t="s">
        <v>2707</v>
      </c>
      <c r="G1347" s="6">
        <v>-3755561.0088120485</v>
      </c>
      <c r="H1347" s="6">
        <f t="shared" si="22"/>
        <v>12927832.385405786</v>
      </c>
      <c r="I1347" s="4"/>
      <c r="J1347" s="4" t="s">
        <v>2199</v>
      </c>
      <c r="K1347" s="7">
        <v>-3755561</v>
      </c>
      <c r="L1347" s="4" t="s">
        <v>1056</v>
      </c>
      <c r="M1347" s="4" t="s">
        <v>27</v>
      </c>
      <c r="N1347" s="4"/>
    </row>
    <row r="1348" spans="1:14" ht="10.5" hidden="1" x14ac:dyDescent="0.25">
      <c r="A1348" s="8" t="s">
        <v>555</v>
      </c>
      <c r="B1348" s="4" t="s">
        <v>21</v>
      </c>
      <c r="C1348" s="5">
        <v>44196</v>
      </c>
      <c r="D1348" s="4" t="s">
        <v>2708</v>
      </c>
      <c r="E1348" s="4" t="s">
        <v>2709</v>
      </c>
      <c r="F1348" s="4" t="s">
        <v>2709</v>
      </c>
      <c r="G1348" s="6">
        <v>463002.0010863879</v>
      </c>
      <c r="H1348" s="6">
        <f t="shared" si="22"/>
        <v>13390834.386492174</v>
      </c>
      <c r="I1348" s="4"/>
      <c r="J1348" s="4" t="s">
        <v>2199</v>
      </c>
      <c r="K1348" s="7">
        <v>463002</v>
      </c>
      <c r="L1348" s="4" t="s">
        <v>1056</v>
      </c>
      <c r="M1348" s="4" t="s">
        <v>27</v>
      </c>
      <c r="N1348" s="4"/>
    </row>
    <row r="1349" spans="1:14" ht="10.5" hidden="1" x14ac:dyDescent="0.25">
      <c r="A1349" s="8" t="s">
        <v>555</v>
      </c>
      <c r="B1349" s="4" t="s">
        <v>21</v>
      </c>
      <c r="C1349" s="5">
        <v>44196</v>
      </c>
      <c r="D1349" s="4" t="s">
        <v>2710</v>
      </c>
      <c r="E1349" s="4" t="s">
        <v>2711</v>
      </c>
      <c r="F1349" s="4" t="s">
        <v>2712</v>
      </c>
      <c r="G1349" s="6">
        <v>-158493.13958543999</v>
      </c>
      <c r="H1349" s="6">
        <f t="shared" si="22"/>
        <v>13232341.246906735</v>
      </c>
      <c r="I1349" s="4"/>
      <c r="J1349" s="4" t="s">
        <v>2199</v>
      </c>
      <c r="K1349" s="7">
        <v>-132486</v>
      </c>
      <c r="L1349" s="4" t="s">
        <v>1056</v>
      </c>
      <c r="M1349" s="4" t="s">
        <v>61</v>
      </c>
      <c r="N1349" s="4"/>
    </row>
    <row r="1350" spans="1:14" ht="10.5" hidden="1" x14ac:dyDescent="0.25">
      <c r="A1350" s="8" t="s">
        <v>555</v>
      </c>
      <c r="B1350" s="4" t="s">
        <v>21</v>
      </c>
      <c r="C1350" s="5">
        <v>44196</v>
      </c>
      <c r="D1350" s="4" t="s">
        <v>2710</v>
      </c>
      <c r="E1350" s="4" t="s">
        <v>2711</v>
      </c>
      <c r="F1350" s="4" t="s">
        <v>2713</v>
      </c>
      <c r="G1350" s="6">
        <v>286345.56418948481</v>
      </c>
      <c r="H1350" s="6">
        <f t="shared" si="22"/>
        <v>13518686.811096219</v>
      </c>
      <c r="I1350" s="4"/>
      <c r="J1350" s="4" t="s">
        <v>2199</v>
      </c>
      <c r="K1350" s="7">
        <v>239359.12</v>
      </c>
      <c r="L1350" s="4" t="s">
        <v>1056</v>
      </c>
      <c r="M1350" s="4" t="s">
        <v>61</v>
      </c>
      <c r="N1350" s="4"/>
    </row>
    <row r="1351" spans="1:14" ht="10.5" hidden="1" x14ac:dyDescent="0.25">
      <c r="A1351" s="8" t="s">
        <v>555</v>
      </c>
      <c r="B1351" s="4" t="s">
        <v>21</v>
      </c>
      <c r="C1351" s="5">
        <v>44196</v>
      </c>
      <c r="D1351" s="4" t="s">
        <v>2710</v>
      </c>
      <c r="E1351" s="4" t="s">
        <v>2711</v>
      </c>
      <c r="F1351" s="4" t="s">
        <v>2714</v>
      </c>
      <c r="G1351" s="6">
        <v>-887930.52091920003</v>
      </c>
      <c r="H1351" s="6">
        <f t="shared" si="22"/>
        <v>12630756.290177019</v>
      </c>
      <c r="I1351" s="4"/>
      <c r="J1351" s="4" t="s">
        <v>2199</v>
      </c>
      <c r="K1351" s="7">
        <v>-742230</v>
      </c>
      <c r="L1351" s="4" t="s">
        <v>1056</v>
      </c>
      <c r="M1351" s="4" t="s">
        <v>61</v>
      </c>
      <c r="N1351" s="4"/>
    </row>
    <row r="1352" spans="1:14" ht="10.5" hidden="1" x14ac:dyDescent="0.25">
      <c r="A1352" s="8" t="s">
        <v>555</v>
      </c>
      <c r="B1352" s="4" t="s">
        <v>21</v>
      </c>
      <c r="C1352" s="5">
        <v>44196</v>
      </c>
      <c r="D1352" s="4" t="s">
        <v>2710</v>
      </c>
      <c r="E1352" s="4" t="s">
        <v>2711</v>
      </c>
      <c r="F1352" s="4" t="s">
        <v>2715</v>
      </c>
      <c r="G1352" s="6">
        <v>382136.83380928001</v>
      </c>
      <c r="H1352" s="6">
        <f t="shared" si="22"/>
        <v>13012893.1239863</v>
      </c>
      <c r="I1352" s="4"/>
      <c r="J1352" s="4" t="s">
        <v>2199</v>
      </c>
      <c r="K1352" s="7">
        <v>319432</v>
      </c>
      <c r="L1352" s="4" t="s">
        <v>1056</v>
      </c>
      <c r="M1352" s="4" t="s">
        <v>61</v>
      </c>
      <c r="N1352" s="4"/>
    </row>
    <row r="1353" spans="1:14" ht="10.5" hidden="1" x14ac:dyDescent="0.25">
      <c r="A1353" s="8" t="s">
        <v>555</v>
      </c>
      <c r="B1353" s="4" t="s">
        <v>21</v>
      </c>
      <c r="C1353" s="5">
        <v>44196</v>
      </c>
      <c r="D1353" s="4" t="s">
        <v>2710</v>
      </c>
      <c r="E1353" s="4" t="s">
        <v>2711</v>
      </c>
      <c r="F1353" s="4" t="s">
        <v>2715</v>
      </c>
      <c r="G1353" s="6">
        <v>8411.19261224</v>
      </c>
      <c r="H1353" s="6">
        <f t="shared" si="22"/>
        <v>13021304.31659854</v>
      </c>
      <c r="I1353" s="4"/>
      <c r="J1353" s="4" t="s">
        <v>2199</v>
      </c>
      <c r="K1353" s="7">
        <v>7031</v>
      </c>
      <c r="L1353" s="4" t="s">
        <v>1056</v>
      </c>
      <c r="M1353" s="4" t="s">
        <v>61</v>
      </c>
      <c r="N1353" s="4"/>
    </row>
    <row r="1354" spans="1:14" ht="10.5" hidden="1" x14ac:dyDescent="0.25">
      <c r="A1354" s="8" t="s">
        <v>555</v>
      </c>
      <c r="B1354" s="4" t="s">
        <v>21</v>
      </c>
      <c r="C1354" s="5">
        <v>44196</v>
      </c>
      <c r="D1354" s="4" t="s">
        <v>2716</v>
      </c>
      <c r="E1354" s="4" t="s">
        <v>2717</v>
      </c>
      <c r="F1354" s="4" t="s">
        <v>2717</v>
      </c>
      <c r="G1354" s="6">
        <v>-597497.0014019669</v>
      </c>
      <c r="H1354" s="6">
        <f t="shared" si="22"/>
        <v>12423807.315196574</v>
      </c>
      <c r="I1354" s="4"/>
      <c r="J1354" s="4" t="s">
        <v>2199</v>
      </c>
      <c r="K1354" s="7">
        <v>-597497</v>
      </c>
      <c r="L1354" s="4" t="s">
        <v>1056</v>
      </c>
      <c r="M1354" s="4" t="s">
        <v>27</v>
      </c>
      <c r="N1354" s="4"/>
    </row>
    <row r="1355" spans="1:14" ht="10.5" hidden="1" x14ac:dyDescent="0.25">
      <c r="A1355" s="8" t="s">
        <v>555</v>
      </c>
      <c r="B1355" s="4" t="s">
        <v>21</v>
      </c>
      <c r="C1355" s="5">
        <v>44196</v>
      </c>
      <c r="D1355" s="4" t="s">
        <v>2718</v>
      </c>
      <c r="E1355" s="4" t="s">
        <v>2719</v>
      </c>
      <c r="F1355" s="4" t="s">
        <v>2719</v>
      </c>
      <c r="G1355" s="6">
        <v>-60531.636322960003</v>
      </c>
      <c r="H1355" s="6">
        <f t="shared" si="22"/>
        <v>12363275.678873613</v>
      </c>
      <c r="I1355" s="4"/>
      <c r="J1355" s="4" t="s">
        <v>2199</v>
      </c>
      <c r="K1355" s="7">
        <v>-50599</v>
      </c>
      <c r="L1355" s="4" t="s">
        <v>1056</v>
      </c>
      <c r="M1355" s="4" t="s">
        <v>61</v>
      </c>
      <c r="N1355" s="4"/>
    </row>
    <row r="1356" spans="1:14" ht="10.5" hidden="1" x14ac:dyDescent="0.25">
      <c r="A1356" s="8" t="s">
        <v>555</v>
      </c>
      <c r="B1356" s="4" t="s">
        <v>21</v>
      </c>
      <c r="C1356" s="5">
        <v>44196</v>
      </c>
      <c r="D1356" s="4" t="s">
        <v>2718</v>
      </c>
      <c r="E1356" s="4" t="s">
        <v>2719</v>
      </c>
      <c r="F1356" s="4" t="s">
        <v>2719</v>
      </c>
      <c r="G1356" s="6">
        <v>-20405.306839280001</v>
      </c>
      <c r="H1356" s="6">
        <f t="shared" si="22"/>
        <v>12342870.372034334</v>
      </c>
      <c r="I1356" s="4"/>
      <c r="J1356" s="4" t="s">
        <v>2199</v>
      </c>
      <c r="K1356" s="7">
        <v>-17057</v>
      </c>
      <c r="L1356" s="4" t="s">
        <v>1056</v>
      </c>
      <c r="M1356" s="4" t="s">
        <v>61</v>
      </c>
      <c r="N1356" s="4"/>
    </row>
    <row r="1357" spans="1:14" ht="10.5" hidden="1" x14ac:dyDescent="0.25">
      <c r="A1357" s="8" t="s">
        <v>555</v>
      </c>
      <c r="B1357" s="4" t="s">
        <v>21</v>
      </c>
      <c r="C1357" s="5">
        <v>44196</v>
      </c>
      <c r="D1357" s="4" t="s">
        <v>2718</v>
      </c>
      <c r="E1357" s="4" t="s">
        <v>2719</v>
      </c>
      <c r="F1357" s="4" t="s">
        <v>2719</v>
      </c>
      <c r="G1357" s="6">
        <v>-20803.6750856</v>
      </c>
      <c r="H1357" s="6">
        <f t="shared" si="22"/>
        <v>12322066.696948733</v>
      </c>
      <c r="I1357" s="4"/>
      <c r="J1357" s="4" t="s">
        <v>2199</v>
      </c>
      <c r="K1357" s="7">
        <v>-17390</v>
      </c>
      <c r="L1357" s="4" t="s">
        <v>1056</v>
      </c>
      <c r="M1357" s="4" t="s">
        <v>61</v>
      </c>
      <c r="N1357" s="4"/>
    </row>
    <row r="1358" spans="1:14" ht="10.5" hidden="1" x14ac:dyDescent="0.25">
      <c r="A1358" s="8" t="s">
        <v>555</v>
      </c>
      <c r="B1358" s="4" t="s">
        <v>21</v>
      </c>
      <c r="C1358" s="5">
        <v>44196</v>
      </c>
      <c r="D1358" s="4" t="s">
        <v>2720</v>
      </c>
      <c r="E1358" s="4" t="s">
        <v>2541</v>
      </c>
      <c r="F1358" s="4" t="s">
        <v>2721</v>
      </c>
      <c r="G1358" s="6">
        <v>-229151.00053767991</v>
      </c>
      <c r="H1358" s="6">
        <f t="shared" si="22"/>
        <v>12092915.696411053</v>
      </c>
      <c r="I1358" s="4"/>
      <c r="J1358" s="4" t="s">
        <v>2199</v>
      </c>
      <c r="K1358" s="7">
        <v>-229151</v>
      </c>
      <c r="L1358" s="4" t="s">
        <v>1056</v>
      </c>
      <c r="M1358" s="4" t="s">
        <v>27</v>
      </c>
      <c r="N1358" s="4" t="s">
        <v>118</v>
      </c>
    </row>
    <row r="1359" spans="1:14" ht="10.5" hidden="1" x14ac:dyDescent="0.25">
      <c r="A1359" s="8" t="s">
        <v>555</v>
      </c>
      <c r="B1359" s="4" t="s">
        <v>21</v>
      </c>
      <c r="C1359" s="5">
        <v>44196</v>
      </c>
      <c r="D1359" s="4" t="s">
        <v>2722</v>
      </c>
      <c r="E1359" s="4" t="s">
        <v>2723</v>
      </c>
      <c r="F1359" s="4" t="s">
        <v>2723</v>
      </c>
      <c r="G1359" s="6">
        <v>301619.75642304879</v>
      </c>
      <c r="H1359" s="6">
        <f t="shared" si="22"/>
        <v>12394535.452834101</v>
      </c>
      <c r="I1359" s="4"/>
      <c r="J1359" s="4" t="s">
        <v>2199</v>
      </c>
      <c r="K1359" s="7">
        <v>252126.97</v>
      </c>
      <c r="L1359" s="4" t="s">
        <v>1056</v>
      </c>
      <c r="M1359" s="4" t="s">
        <v>61</v>
      </c>
      <c r="N1359" s="4" t="s">
        <v>39</v>
      </c>
    </row>
    <row r="1360" spans="1:14" ht="10.5" hidden="1" x14ac:dyDescent="0.25">
      <c r="A1360" s="8" t="s">
        <v>555</v>
      </c>
      <c r="B1360" s="4" t="s">
        <v>21</v>
      </c>
      <c r="C1360" s="5">
        <v>44197</v>
      </c>
      <c r="D1360" s="4" t="s">
        <v>2724</v>
      </c>
      <c r="E1360" s="4" t="s">
        <v>2725</v>
      </c>
      <c r="F1360" s="4" t="s">
        <v>2726</v>
      </c>
      <c r="G1360" s="6">
        <v>161692.52015195999</v>
      </c>
      <c r="H1360" s="6">
        <f t="shared" si="22"/>
        <v>12556227.972986061</v>
      </c>
      <c r="I1360" s="4"/>
      <c r="J1360" s="4" t="s">
        <v>2199</v>
      </c>
      <c r="K1360" s="7">
        <v>132486</v>
      </c>
      <c r="L1360" s="4" t="s">
        <v>1958</v>
      </c>
      <c r="M1360" s="4" t="s">
        <v>61</v>
      </c>
      <c r="N1360" s="4"/>
    </row>
    <row r="1361" spans="1:14" ht="10.5" hidden="1" x14ac:dyDescent="0.25">
      <c r="A1361" s="8" t="s">
        <v>555</v>
      </c>
      <c r="B1361" s="4" t="s">
        <v>21</v>
      </c>
      <c r="C1361" s="5">
        <v>44197</v>
      </c>
      <c r="D1361" s="4" t="s">
        <v>2724</v>
      </c>
      <c r="E1361" s="4" t="s">
        <v>2725</v>
      </c>
      <c r="F1361" s="4" t="s">
        <v>2727</v>
      </c>
      <c r="G1361" s="6">
        <v>-389850.73967952002</v>
      </c>
      <c r="H1361" s="6">
        <f t="shared" si="22"/>
        <v>12166377.233306542</v>
      </c>
      <c r="I1361" s="4"/>
      <c r="J1361" s="4" t="s">
        <v>2199</v>
      </c>
      <c r="K1361" s="7">
        <v>-319432</v>
      </c>
      <c r="L1361" s="4" t="s">
        <v>1958</v>
      </c>
      <c r="M1361" s="4" t="s">
        <v>61</v>
      </c>
      <c r="N1361" s="4"/>
    </row>
    <row r="1362" spans="1:14" ht="10.5" hidden="1" x14ac:dyDescent="0.25">
      <c r="A1362" s="8" t="s">
        <v>555</v>
      </c>
      <c r="B1362" s="4" t="s">
        <v>21</v>
      </c>
      <c r="C1362" s="5">
        <v>44197</v>
      </c>
      <c r="D1362" s="4" t="s">
        <v>2724</v>
      </c>
      <c r="E1362" s="4" t="s">
        <v>2725</v>
      </c>
      <c r="F1362" s="4" t="s">
        <v>2727</v>
      </c>
      <c r="G1362" s="6">
        <v>-8580.9829656599995</v>
      </c>
      <c r="H1362" s="6">
        <f t="shared" si="22"/>
        <v>12157796.250340883</v>
      </c>
      <c r="I1362" s="4"/>
      <c r="J1362" s="4" t="s">
        <v>2199</v>
      </c>
      <c r="K1362" s="7">
        <v>-7031</v>
      </c>
      <c r="L1362" s="4" t="s">
        <v>1958</v>
      </c>
      <c r="M1362" s="4" t="s">
        <v>61</v>
      </c>
      <c r="N1362" s="4"/>
    </row>
    <row r="1363" spans="1:14" ht="10.5" hidden="1" x14ac:dyDescent="0.25">
      <c r="A1363" s="8" t="s">
        <v>555</v>
      </c>
      <c r="B1363" s="4" t="s">
        <v>1092</v>
      </c>
      <c r="C1363" s="5">
        <v>44225</v>
      </c>
      <c r="D1363" s="4" t="s">
        <v>2728</v>
      </c>
      <c r="E1363" s="4" t="s">
        <v>2729</v>
      </c>
      <c r="F1363" s="4" t="s">
        <v>2729</v>
      </c>
      <c r="G1363" s="6">
        <v>240000.00049872001</v>
      </c>
      <c r="H1363" s="6">
        <f t="shared" si="22"/>
        <v>12397796.250839602</v>
      </c>
      <c r="I1363" s="4" t="s">
        <v>2578</v>
      </c>
      <c r="J1363" s="4" t="s">
        <v>2199</v>
      </c>
      <c r="K1363" s="7">
        <v>240000</v>
      </c>
      <c r="L1363" s="4" t="s">
        <v>1971</v>
      </c>
      <c r="M1363" s="4" t="s">
        <v>27</v>
      </c>
      <c r="N1363" s="4"/>
    </row>
    <row r="1364" spans="1:14" ht="10.5" hidden="1" x14ac:dyDescent="0.25">
      <c r="A1364" s="8" t="s">
        <v>555</v>
      </c>
      <c r="B1364" s="4" t="s">
        <v>21</v>
      </c>
      <c r="C1364" s="5">
        <v>44227</v>
      </c>
      <c r="D1364" s="4" t="s">
        <v>2730</v>
      </c>
      <c r="E1364" s="4" t="s">
        <v>2731</v>
      </c>
      <c r="F1364" s="4" t="s">
        <v>2731</v>
      </c>
      <c r="G1364" s="6">
        <v>-240000.00042916799</v>
      </c>
      <c r="H1364" s="6">
        <f t="shared" si="22"/>
        <v>12157796.250410434</v>
      </c>
      <c r="I1364" s="4"/>
      <c r="J1364" s="4" t="s">
        <v>2199</v>
      </c>
      <c r="K1364" s="7">
        <v>-240000</v>
      </c>
      <c r="L1364" s="4" t="s">
        <v>1958</v>
      </c>
      <c r="M1364" s="4" t="s">
        <v>27</v>
      </c>
      <c r="N1364" s="4"/>
    </row>
    <row r="1365" spans="1:14" ht="10.5" hidden="1" x14ac:dyDescent="0.25">
      <c r="A1365" s="8" t="s">
        <v>555</v>
      </c>
      <c r="B1365" s="4" t="s">
        <v>21</v>
      </c>
      <c r="C1365" s="5">
        <v>44227</v>
      </c>
      <c r="D1365" s="4" t="s">
        <v>2730</v>
      </c>
      <c r="E1365" s="4" t="s">
        <v>2731</v>
      </c>
      <c r="F1365" s="4" t="s">
        <v>2731</v>
      </c>
      <c r="G1365" s="6">
        <v>446266.00079801289</v>
      </c>
      <c r="H1365" s="6">
        <f t="shared" si="22"/>
        <v>12604062.251208447</v>
      </c>
      <c r="I1365" s="4"/>
      <c r="J1365" s="4" t="s">
        <v>2199</v>
      </c>
      <c r="K1365" s="7">
        <v>446266</v>
      </c>
      <c r="L1365" s="4" t="s">
        <v>1958</v>
      </c>
      <c r="M1365" s="4" t="s">
        <v>27</v>
      </c>
      <c r="N1365" s="4"/>
    </row>
    <row r="1366" spans="1:14" ht="10.5" hidden="1" x14ac:dyDescent="0.25">
      <c r="A1366" s="8" t="s">
        <v>555</v>
      </c>
      <c r="B1366" s="4" t="s">
        <v>21</v>
      </c>
      <c r="C1366" s="5">
        <v>44227</v>
      </c>
      <c r="D1366" s="4" t="s">
        <v>2732</v>
      </c>
      <c r="E1366" s="4" t="s">
        <v>2733</v>
      </c>
      <c r="F1366" s="4" t="s">
        <v>2734</v>
      </c>
      <c r="G1366" s="6">
        <v>-24636.000873960002</v>
      </c>
      <c r="H1366" s="6">
        <f t="shared" si="22"/>
        <v>12579426.250334486</v>
      </c>
      <c r="I1366" s="4"/>
      <c r="J1366" s="4" t="s">
        <v>2199</v>
      </c>
      <c r="K1366" s="7">
        <v>-20186</v>
      </c>
      <c r="L1366" s="4" t="s">
        <v>1958</v>
      </c>
      <c r="M1366" s="4" t="s">
        <v>61</v>
      </c>
      <c r="N1366" s="4"/>
    </row>
    <row r="1367" spans="1:14" ht="10.5" hidden="1" x14ac:dyDescent="0.25">
      <c r="A1367" s="8" t="s">
        <v>555</v>
      </c>
      <c r="B1367" s="4" t="s">
        <v>21</v>
      </c>
      <c r="C1367" s="5">
        <v>44227</v>
      </c>
      <c r="D1367" s="4" t="s">
        <v>2732</v>
      </c>
      <c r="E1367" s="4" t="s">
        <v>2733</v>
      </c>
      <c r="F1367" s="4" t="s">
        <v>2735</v>
      </c>
      <c r="G1367" s="6">
        <v>475396.95216635999</v>
      </c>
      <c r="H1367" s="6">
        <f t="shared" si="22"/>
        <v>13054823.202500846</v>
      </c>
      <c r="I1367" s="4"/>
      <c r="J1367" s="4" t="s">
        <v>2199</v>
      </c>
      <c r="K1367" s="7">
        <v>389526</v>
      </c>
      <c r="L1367" s="4" t="s">
        <v>1958</v>
      </c>
      <c r="M1367" s="4" t="s">
        <v>61</v>
      </c>
      <c r="N1367" s="4"/>
    </row>
    <row r="1368" spans="1:14" ht="10.5" hidden="1" x14ac:dyDescent="0.25">
      <c r="A1368" s="8" t="s">
        <v>555</v>
      </c>
      <c r="B1368" s="4" t="s">
        <v>21</v>
      </c>
      <c r="C1368" s="5">
        <v>44228</v>
      </c>
      <c r="D1368" s="4" t="s">
        <v>2736</v>
      </c>
      <c r="E1368" s="4" t="s">
        <v>2733</v>
      </c>
      <c r="F1368" s="4" t="s">
        <v>2734</v>
      </c>
      <c r="G1368" s="6">
        <v>24432.340888340001</v>
      </c>
      <c r="H1368" s="6">
        <f t="shared" si="22"/>
        <v>13079255.543389186</v>
      </c>
      <c r="I1368" s="4"/>
      <c r="J1368" s="4" t="s">
        <v>2199</v>
      </c>
      <c r="K1368" s="7">
        <v>20186</v>
      </c>
      <c r="L1368" s="4" t="s">
        <v>1971</v>
      </c>
      <c r="M1368" s="4" t="s">
        <v>61</v>
      </c>
      <c r="N1368" s="4"/>
    </row>
    <row r="1369" spans="1:14" ht="10.5" hidden="1" x14ac:dyDescent="0.25">
      <c r="A1369" s="8" t="s">
        <v>555</v>
      </c>
      <c r="B1369" s="4" t="s">
        <v>21</v>
      </c>
      <c r="C1369" s="5">
        <v>44228</v>
      </c>
      <c r="D1369" s="4" t="s">
        <v>2736</v>
      </c>
      <c r="E1369" s="4" t="s">
        <v>2733</v>
      </c>
      <c r="F1369" s="4" t="s">
        <v>2735</v>
      </c>
      <c r="G1369" s="6">
        <v>-471466.95813294</v>
      </c>
      <c r="H1369" s="6">
        <f t="shared" si="22"/>
        <v>12607788.585256247</v>
      </c>
      <c r="I1369" s="4"/>
      <c r="J1369" s="4" t="s">
        <v>2199</v>
      </c>
      <c r="K1369" s="7">
        <v>-389526</v>
      </c>
      <c r="L1369" s="4" t="s">
        <v>1971</v>
      </c>
      <c r="M1369" s="4" t="s">
        <v>61</v>
      </c>
      <c r="N1369" s="4"/>
    </row>
    <row r="1370" spans="1:14" ht="10.5" hidden="1" x14ac:dyDescent="0.25">
      <c r="A1370" s="8" t="s">
        <v>555</v>
      </c>
      <c r="B1370" s="4" t="s">
        <v>1092</v>
      </c>
      <c r="C1370" s="5">
        <v>44242</v>
      </c>
      <c r="D1370" s="4" t="s">
        <v>2737</v>
      </c>
      <c r="E1370" s="4" t="s">
        <v>2738</v>
      </c>
      <c r="F1370" s="4" t="s">
        <v>2738</v>
      </c>
      <c r="G1370" s="6">
        <v>143790.849972</v>
      </c>
      <c r="H1370" s="6">
        <f t="shared" si="22"/>
        <v>12751579.435228247</v>
      </c>
      <c r="I1370" s="4" t="s">
        <v>2739</v>
      </c>
      <c r="J1370" s="4" t="s">
        <v>2199</v>
      </c>
      <c r="K1370" s="7">
        <v>118800</v>
      </c>
      <c r="L1370" s="4" t="s">
        <v>1971</v>
      </c>
      <c r="M1370" s="4" t="s">
        <v>61</v>
      </c>
      <c r="N1370" s="4"/>
    </row>
    <row r="1371" spans="1:14" ht="10.5" hidden="1" x14ac:dyDescent="0.25">
      <c r="A1371" s="8" t="s">
        <v>555</v>
      </c>
      <c r="B1371" s="4" t="s">
        <v>1092</v>
      </c>
      <c r="C1371" s="5">
        <v>44242</v>
      </c>
      <c r="D1371" s="4" t="s">
        <v>2740</v>
      </c>
      <c r="E1371" s="4" t="s">
        <v>2741</v>
      </c>
      <c r="F1371" s="4" t="s">
        <v>2741</v>
      </c>
      <c r="G1371" s="6">
        <v>72432.275999999998</v>
      </c>
      <c r="H1371" s="6">
        <f t="shared" si="22"/>
        <v>12824011.711228248</v>
      </c>
      <c r="I1371" s="4" t="s">
        <v>2739</v>
      </c>
      <c r="J1371" s="4" t="s">
        <v>2199</v>
      </c>
      <c r="K1371" s="7">
        <v>60000</v>
      </c>
      <c r="L1371" s="4" t="s">
        <v>1029</v>
      </c>
      <c r="M1371" s="4" t="s">
        <v>61</v>
      </c>
      <c r="N1371" s="4"/>
    </row>
    <row r="1372" spans="1:14" ht="10.5" hidden="1" x14ac:dyDescent="0.25">
      <c r="A1372" s="8" t="s">
        <v>555</v>
      </c>
      <c r="B1372" s="4" t="s">
        <v>1092</v>
      </c>
      <c r="C1372" s="5">
        <v>44252</v>
      </c>
      <c r="D1372" s="4" t="s">
        <v>2742</v>
      </c>
      <c r="E1372" s="4" t="s">
        <v>2743</v>
      </c>
      <c r="F1372" s="4" t="s">
        <v>2743</v>
      </c>
      <c r="G1372" s="6">
        <v>30985.233663999999</v>
      </c>
      <c r="H1372" s="6">
        <f t="shared" si="22"/>
        <v>12854996.944892248</v>
      </c>
      <c r="I1372" s="4" t="s">
        <v>2668</v>
      </c>
      <c r="J1372" s="4" t="s">
        <v>2199</v>
      </c>
      <c r="K1372" s="7">
        <v>25600</v>
      </c>
      <c r="L1372" s="4" t="s">
        <v>1971</v>
      </c>
      <c r="M1372" s="4" t="s">
        <v>61</v>
      </c>
      <c r="N1372" s="4"/>
    </row>
    <row r="1373" spans="1:14" ht="10.5" hidden="1" x14ac:dyDescent="0.25">
      <c r="A1373" s="8" t="s">
        <v>555</v>
      </c>
      <c r="B1373" s="4" t="s">
        <v>21</v>
      </c>
      <c r="C1373" s="5">
        <v>44255</v>
      </c>
      <c r="D1373" s="4" t="s">
        <v>2744</v>
      </c>
      <c r="E1373" s="4" t="s">
        <v>2745</v>
      </c>
      <c r="F1373" s="4" t="s">
        <v>2745</v>
      </c>
      <c r="G1373" s="6">
        <v>-144360.00029998008</v>
      </c>
      <c r="H1373" s="6">
        <f t="shared" si="22"/>
        <v>12710636.944592267</v>
      </c>
      <c r="I1373" s="4"/>
      <c r="J1373" s="4" t="s">
        <v>2199</v>
      </c>
      <c r="K1373" s="7">
        <v>-144360</v>
      </c>
      <c r="L1373" s="4" t="s">
        <v>1971</v>
      </c>
      <c r="M1373" s="4" t="s">
        <v>27</v>
      </c>
      <c r="N1373" s="4"/>
    </row>
    <row r="1374" spans="1:14" ht="10.5" hidden="1" x14ac:dyDescent="0.25">
      <c r="A1374" s="8" t="s">
        <v>555</v>
      </c>
      <c r="B1374" s="4" t="s">
        <v>21</v>
      </c>
      <c r="C1374" s="5">
        <v>44255</v>
      </c>
      <c r="D1374" s="4" t="s">
        <v>2746</v>
      </c>
      <c r="E1374" s="4" t="s">
        <v>2747</v>
      </c>
      <c r="F1374" s="4" t="s">
        <v>2748</v>
      </c>
      <c r="G1374" s="6">
        <v>-24432.340888340001</v>
      </c>
      <c r="H1374" s="6">
        <f t="shared" si="22"/>
        <v>12686204.603703927</v>
      </c>
      <c r="I1374" s="4"/>
      <c r="J1374" s="4" t="s">
        <v>2199</v>
      </c>
      <c r="K1374" s="7">
        <v>-20186</v>
      </c>
      <c r="L1374" s="4" t="s">
        <v>1971</v>
      </c>
      <c r="M1374" s="4" t="s">
        <v>61</v>
      </c>
      <c r="N1374" s="4"/>
    </row>
    <row r="1375" spans="1:14" ht="10.5" hidden="1" x14ac:dyDescent="0.25">
      <c r="A1375" s="8" t="s">
        <v>555</v>
      </c>
      <c r="B1375" s="4" t="s">
        <v>21</v>
      </c>
      <c r="C1375" s="5">
        <v>44255</v>
      </c>
      <c r="D1375" s="4" t="s">
        <v>2746</v>
      </c>
      <c r="E1375" s="4" t="s">
        <v>2747</v>
      </c>
      <c r="F1375" s="4" t="s">
        <v>2749</v>
      </c>
      <c r="G1375" s="6">
        <v>455181.55504899001</v>
      </c>
      <c r="H1375" s="6">
        <f t="shared" si="22"/>
        <v>13141386.158752916</v>
      </c>
      <c r="I1375" s="4"/>
      <c r="J1375" s="4" t="s">
        <v>2199</v>
      </c>
      <c r="K1375" s="7">
        <v>376071</v>
      </c>
      <c r="L1375" s="4" t="s">
        <v>1971</v>
      </c>
      <c r="M1375" s="4" t="s">
        <v>61</v>
      </c>
      <c r="N1375" s="4"/>
    </row>
    <row r="1376" spans="1:14" ht="10.5" hidden="1" x14ac:dyDescent="0.25">
      <c r="A1376" s="8" t="s">
        <v>555</v>
      </c>
      <c r="B1376" s="4" t="s">
        <v>21</v>
      </c>
      <c r="C1376" s="5">
        <v>44256</v>
      </c>
      <c r="D1376" s="4" t="s">
        <v>2750</v>
      </c>
      <c r="E1376" s="4" t="s">
        <v>2747</v>
      </c>
      <c r="F1376" s="4" t="s">
        <v>2748</v>
      </c>
      <c r="G1376" s="6">
        <v>24368.632055599999</v>
      </c>
      <c r="H1376" s="6">
        <f t="shared" si="22"/>
        <v>13165754.790808516</v>
      </c>
      <c r="I1376" s="4"/>
      <c r="J1376" s="4" t="s">
        <v>2199</v>
      </c>
      <c r="K1376" s="7">
        <v>20186</v>
      </c>
      <c r="L1376" s="4" t="s">
        <v>1029</v>
      </c>
      <c r="M1376" s="4" t="s">
        <v>61</v>
      </c>
      <c r="N1376" s="4"/>
    </row>
    <row r="1377" spans="1:14" ht="10.5" hidden="1" x14ac:dyDescent="0.25">
      <c r="A1377" s="8" t="s">
        <v>555</v>
      </c>
      <c r="B1377" s="4" t="s">
        <v>21</v>
      </c>
      <c r="C1377" s="5">
        <v>44256</v>
      </c>
      <c r="D1377" s="4" t="s">
        <v>2750</v>
      </c>
      <c r="E1377" s="4" t="s">
        <v>2747</v>
      </c>
      <c r="F1377" s="4" t="s">
        <v>2749</v>
      </c>
      <c r="G1377" s="6">
        <v>-453994.64112659998</v>
      </c>
      <c r="H1377" s="6">
        <f t="shared" si="22"/>
        <v>12711760.149681916</v>
      </c>
      <c r="I1377" s="4"/>
      <c r="J1377" s="4" t="s">
        <v>2199</v>
      </c>
      <c r="K1377" s="7">
        <v>-376071</v>
      </c>
      <c r="L1377" s="4" t="s">
        <v>1029</v>
      </c>
      <c r="M1377" s="4" t="s">
        <v>61</v>
      </c>
      <c r="N1377" s="4"/>
    </row>
    <row r="1378" spans="1:14" ht="10.5" hidden="1" x14ac:dyDescent="0.25">
      <c r="A1378" s="8" t="s">
        <v>555</v>
      </c>
      <c r="B1378" s="4" t="s">
        <v>1092</v>
      </c>
      <c r="C1378" s="5">
        <v>44270</v>
      </c>
      <c r="D1378" s="4" t="s">
        <v>2751</v>
      </c>
      <c r="E1378" s="4" t="s">
        <v>2752</v>
      </c>
      <c r="F1378" s="4" t="s">
        <v>2752</v>
      </c>
      <c r="G1378" s="6">
        <v>5335.8443319999997</v>
      </c>
      <c r="H1378" s="6">
        <f t="shared" si="22"/>
        <v>12717095.994013917</v>
      </c>
      <c r="I1378" s="4" t="s">
        <v>2602</v>
      </c>
      <c r="J1378" s="4" t="s">
        <v>2199</v>
      </c>
      <c r="K1378" s="7">
        <v>4420</v>
      </c>
      <c r="L1378" s="4" t="s">
        <v>1029</v>
      </c>
      <c r="M1378" s="4" t="s">
        <v>61</v>
      </c>
      <c r="N1378" s="4"/>
    </row>
    <row r="1379" spans="1:14" ht="10.5" hidden="1" x14ac:dyDescent="0.25">
      <c r="A1379" s="8" t="s">
        <v>555</v>
      </c>
      <c r="B1379" s="4" t="s">
        <v>1092</v>
      </c>
      <c r="C1379" s="5">
        <v>44270</v>
      </c>
      <c r="D1379" s="4" t="s">
        <v>2753</v>
      </c>
      <c r="E1379" s="4" t="s">
        <v>2754</v>
      </c>
      <c r="F1379" s="4" t="s">
        <v>2754</v>
      </c>
      <c r="G1379" s="6">
        <v>23323.192872</v>
      </c>
      <c r="H1379" s="6">
        <f t="shared" si="22"/>
        <v>12740419.186885918</v>
      </c>
      <c r="I1379" s="4" t="s">
        <v>2697</v>
      </c>
      <c r="J1379" s="4" t="s">
        <v>2199</v>
      </c>
      <c r="K1379" s="7">
        <v>19320</v>
      </c>
      <c r="L1379" s="4" t="s">
        <v>1029</v>
      </c>
      <c r="M1379" s="4" t="s">
        <v>61</v>
      </c>
      <c r="N1379" s="4"/>
    </row>
    <row r="1380" spans="1:14" ht="10.5" hidden="1" x14ac:dyDescent="0.25">
      <c r="A1380" s="8" t="s">
        <v>555</v>
      </c>
      <c r="B1380" s="4" t="s">
        <v>1092</v>
      </c>
      <c r="C1380" s="5">
        <v>44286</v>
      </c>
      <c r="D1380" s="4" t="s">
        <v>2755</v>
      </c>
      <c r="E1380" s="4" t="s">
        <v>2756</v>
      </c>
      <c r="F1380" s="4" t="s">
        <v>2756</v>
      </c>
      <c r="G1380" s="6">
        <v>240000.00058943999</v>
      </c>
      <c r="H1380" s="6">
        <f t="shared" si="22"/>
        <v>12980419.187475357</v>
      </c>
      <c r="I1380" s="4" t="s">
        <v>2578</v>
      </c>
      <c r="J1380" s="4" t="s">
        <v>2199</v>
      </c>
      <c r="K1380" s="7">
        <v>240000</v>
      </c>
      <c r="L1380" s="4" t="s">
        <v>1029</v>
      </c>
      <c r="M1380" s="4" t="s">
        <v>27</v>
      </c>
      <c r="N1380" s="4"/>
    </row>
    <row r="1381" spans="1:14" ht="10.5" hidden="1" x14ac:dyDescent="0.25">
      <c r="A1381" s="8" t="s">
        <v>555</v>
      </c>
      <c r="B1381" s="4" t="s">
        <v>21</v>
      </c>
      <c r="C1381" s="5">
        <v>44286</v>
      </c>
      <c r="D1381" s="4" t="s">
        <v>2757</v>
      </c>
      <c r="E1381" s="4" t="s">
        <v>2758</v>
      </c>
      <c r="F1381" s="4" t="s">
        <v>2758</v>
      </c>
      <c r="G1381" s="6">
        <v>-240000.00058943999</v>
      </c>
      <c r="H1381" s="6">
        <f t="shared" si="22"/>
        <v>12740419.186885918</v>
      </c>
      <c r="I1381" s="4"/>
      <c r="J1381" s="4" t="s">
        <v>2199</v>
      </c>
      <c r="K1381" s="7">
        <v>-240000</v>
      </c>
      <c r="L1381" s="4" t="s">
        <v>1029</v>
      </c>
      <c r="M1381" s="4" t="s">
        <v>27</v>
      </c>
      <c r="N1381" s="4"/>
    </row>
    <row r="1382" spans="1:14" ht="10.5" hidden="1" x14ac:dyDescent="0.25">
      <c r="A1382" s="8" t="s">
        <v>555</v>
      </c>
      <c r="B1382" s="4" t="s">
        <v>21</v>
      </c>
      <c r="C1382" s="5">
        <v>44286</v>
      </c>
      <c r="D1382" s="4" t="s">
        <v>2757</v>
      </c>
      <c r="E1382" s="4" t="s">
        <v>2758</v>
      </c>
      <c r="F1382" s="4" t="s">
        <v>2758</v>
      </c>
      <c r="G1382" s="6">
        <v>196455.00048249349</v>
      </c>
      <c r="H1382" s="6">
        <f t="shared" si="22"/>
        <v>12936874.187368412</v>
      </c>
      <c r="I1382" s="4"/>
      <c r="J1382" s="4" t="s">
        <v>2199</v>
      </c>
      <c r="K1382" s="7">
        <v>196455</v>
      </c>
      <c r="L1382" s="4" t="s">
        <v>1029</v>
      </c>
      <c r="M1382" s="4" t="s">
        <v>27</v>
      </c>
      <c r="N1382" s="4"/>
    </row>
    <row r="1383" spans="1:14" ht="10.5" hidden="1" x14ac:dyDescent="0.25">
      <c r="A1383" s="8" t="s">
        <v>555</v>
      </c>
      <c r="B1383" s="4" t="s">
        <v>21</v>
      </c>
      <c r="C1383" s="5">
        <v>44286</v>
      </c>
      <c r="D1383" s="4" t="s">
        <v>2759</v>
      </c>
      <c r="E1383" s="4" t="s">
        <v>2760</v>
      </c>
      <c r="F1383" s="4" t="s">
        <v>2761</v>
      </c>
      <c r="G1383" s="6">
        <v>-6954.7057005999995</v>
      </c>
      <c r="H1383" s="6">
        <f t="shared" si="22"/>
        <v>12929919.481667811</v>
      </c>
      <c r="I1383" s="4"/>
      <c r="J1383" s="4" t="s">
        <v>2199</v>
      </c>
      <c r="K1383" s="7">
        <v>-5761</v>
      </c>
      <c r="L1383" s="4" t="s">
        <v>1029</v>
      </c>
      <c r="M1383" s="4" t="s">
        <v>61</v>
      </c>
      <c r="N1383" s="4"/>
    </row>
    <row r="1384" spans="1:14" ht="10.5" hidden="1" x14ac:dyDescent="0.25">
      <c r="A1384" s="8" t="s">
        <v>555</v>
      </c>
      <c r="B1384" s="4" t="s">
        <v>21</v>
      </c>
      <c r="C1384" s="5">
        <v>44286</v>
      </c>
      <c r="D1384" s="4" t="s">
        <v>2759</v>
      </c>
      <c r="E1384" s="4" t="s">
        <v>2760</v>
      </c>
      <c r="F1384" s="4" t="s">
        <v>2762</v>
      </c>
      <c r="G1384" s="6">
        <v>100342.84635199999</v>
      </c>
      <c r="H1384" s="6">
        <f t="shared" si="22"/>
        <v>13030262.328019811</v>
      </c>
      <c r="I1384" s="4"/>
      <c r="J1384" s="4" t="s">
        <v>2199</v>
      </c>
      <c r="K1384" s="7">
        <v>83120</v>
      </c>
      <c r="L1384" s="4" t="s">
        <v>1029</v>
      </c>
      <c r="M1384" s="4" t="s">
        <v>61</v>
      </c>
      <c r="N1384" s="4"/>
    </row>
    <row r="1385" spans="1:14" ht="10.5" hidden="1" x14ac:dyDescent="0.25">
      <c r="A1385" s="8" t="s">
        <v>555</v>
      </c>
      <c r="B1385" s="4" t="s">
        <v>21</v>
      </c>
      <c r="C1385" s="5">
        <v>44286</v>
      </c>
      <c r="D1385" s="4" t="s">
        <v>2763</v>
      </c>
      <c r="E1385" s="4" t="s">
        <v>2764</v>
      </c>
      <c r="F1385" s="4" t="s">
        <v>2764</v>
      </c>
      <c r="G1385" s="6">
        <v>-20546.622292</v>
      </c>
      <c r="H1385" s="6">
        <f t="shared" si="22"/>
        <v>13009715.70572781</v>
      </c>
      <c r="I1385" s="4"/>
      <c r="J1385" s="4" t="s">
        <v>2199</v>
      </c>
      <c r="K1385" s="7">
        <v>-17020</v>
      </c>
      <c r="L1385" s="4" t="s">
        <v>1029</v>
      </c>
      <c r="M1385" s="4" t="s">
        <v>61</v>
      </c>
      <c r="N1385" s="4"/>
    </row>
    <row r="1386" spans="1:14" ht="10.5" hidden="1" x14ac:dyDescent="0.25">
      <c r="A1386" s="8" t="s">
        <v>555</v>
      </c>
      <c r="B1386" s="4" t="s">
        <v>21</v>
      </c>
      <c r="C1386" s="5">
        <v>44286</v>
      </c>
      <c r="D1386" s="4" t="s">
        <v>2763</v>
      </c>
      <c r="E1386" s="4" t="s">
        <v>2764</v>
      </c>
      <c r="F1386" s="4" t="s">
        <v>2764</v>
      </c>
      <c r="G1386" s="6">
        <v>208119.6586308</v>
      </c>
      <c r="H1386" s="6">
        <f t="shared" si="22"/>
        <v>13217835.36435861</v>
      </c>
      <c r="I1386" s="4"/>
      <c r="J1386" s="4" t="s">
        <v>2199</v>
      </c>
      <c r="K1386" s="7">
        <v>172398</v>
      </c>
      <c r="L1386" s="4" t="s">
        <v>1029</v>
      </c>
      <c r="M1386" s="4" t="s">
        <v>61</v>
      </c>
      <c r="N1386" s="4"/>
    </row>
    <row r="1387" spans="1:14" ht="10.5" hidden="1" x14ac:dyDescent="0.25">
      <c r="A1387" s="8" t="s">
        <v>555</v>
      </c>
      <c r="B1387" s="4" t="s">
        <v>21</v>
      </c>
      <c r="C1387" s="5">
        <v>44286</v>
      </c>
      <c r="D1387" s="4" t="s">
        <v>2765</v>
      </c>
      <c r="E1387" s="4" t="s">
        <v>2766</v>
      </c>
      <c r="F1387" s="4" t="s">
        <v>2766</v>
      </c>
      <c r="G1387" s="6">
        <v>105648.31760941674</v>
      </c>
      <c r="H1387" s="6">
        <f t="shared" si="22"/>
        <v>13323483.681968026</v>
      </c>
      <c r="I1387" s="4"/>
      <c r="J1387" s="4" t="s">
        <v>2199</v>
      </c>
      <c r="K1387" s="7">
        <v>388058</v>
      </c>
      <c r="L1387" s="4" t="s">
        <v>1029</v>
      </c>
      <c r="M1387" s="4" t="s">
        <v>308</v>
      </c>
      <c r="N1387" s="4"/>
    </row>
    <row r="1388" spans="1:14" ht="10.5" hidden="1" x14ac:dyDescent="0.25">
      <c r="A1388" s="8" t="s">
        <v>555</v>
      </c>
      <c r="B1388" s="4" t="s">
        <v>21</v>
      </c>
      <c r="C1388" s="5">
        <v>44286</v>
      </c>
      <c r="D1388" s="4" t="s">
        <v>2767</v>
      </c>
      <c r="E1388" s="4" t="s">
        <v>2768</v>
      </c>
      <c r="F1388" s="4" t="s">
        <v>2769</v>
      </c>
      <c r="G1388" s="6">
        <v>597497.00146745262</v>
      </c>
      <c r="H1388" s="6">
        <f t="shared" si="22"/>
        <v>13920980.683435479</v>
      </c>
      <c r="I1388" s="4"/>
      <c r="J1388" s="4" t="s">
        <v>2199</v>
      </c>
      <c r="K1388" s="7">
        <v>597497</v>
      </c>
      <c r="L1388" s="4" t="s">
        <v>1029</v>
      </c>
      <c r="M1388" s="4" t="s">
        <v>27</v>
      </c>
      <c r="N1388" s="4"/>
    </row>
    <row r="1389" spans="1:14" ht="10.5" hidden="1" x14ac:dyDescent="0.25">
      <c r="A1389" s="8" t="s">
        <v>555</v>
      </c>
      <c r="B1389" s="4" t="s">
        <v>21</v>
      </c>
      <c r="C1389" s="5">
        <v>44286</v>
      </c>
      <c r="D1389" s="4" t="s">
        <v>2770</v>
      </c>
      <c r="E1389" s="4" t="s">
        <v>2768</v>
      </c>
      <c r="F1389" s="4" t="s">
        <v>2768</v>
      </c>
      <c r="G1389" s="6">
        <v>61083.345555400003</v>
      </c>
      <c r="H1389" s="6">
        <f t="shared" si="22"/>
        <v>13982064.02899088</v>
      </c>
      <c r="I1389" s="4"/>
      <c r="J1389" s="4" t="s">
        <v>2199</v>
      </c>
      <c r="K1389" s="7">
        <v>50599</v>
      </c>
      <c r="L1389" s="4" t="s">
        <v>1029</v>
      </c>
      <c r="M1389" s="4" t="s">
        <v>61</v>
      </c>
      <c r="N1389" s="4"/>
    </row>
    <row r="1390" spans="1:14" ht="10.5" hidden="1" x14ac:dyDescent="0.25">
      <c r="A1390" s="8" t="s">
        <v>555</v>
      </c>
      <c r="B1390" s="4" t="s">
        <v>21</v>
      </c>
      <c r="C1390" s="5">
        <v>44286</v>
      </c>
      <c r="D1390" s="4" t="s">
        <v>2770</v>
      </c>
      <c r="E1390" s="4" t="s">
        <v>2768</v>
      </c>
      <c r="F1390" s="4" t="s">
        <v>2768</v>
      </c>
      <c r="G1390" s="6">
        <v>20591.288862199999</v>
      </c>
      <c r="H1390" s="6">
        <f t="shared" si="22"/>
        <v>14002655.31785308</v>
      </c>
      <c r="I1390" s="4"/>
      <c r="J1390" s="4" t="s">
        <v>2199</v>
      </c>
      <c r="K1390" s="7">
        <v>17057</v>
      </c>
      <c r="L1390" s="4" t="s">
        <v>1029</v>
      </c>
      <c r="M1390" s="4" t="s">
        <v>61</v>
      </c>
      <c r="N1390" s="4"/>
    </row>
    <row r="1391" spans="1:14" ht="10.5" hidden="1" x14ac:dyDescent="0.25">
      <c r="A1391" s="8" t="s">
        <v>555</v>
      </c>
      <c r="B1391" s="4" t="s">
        <v>21</v>
      </c>
      <c r="C1391" s="5">
        <v>44286</v>
      </c>
      <c r="D1391" s="4" t="s">
        <v>2770</v>
      </c>
      <c r="E1391" s="4" t="s">
        <v>2768</v>
      </c>
      <c r="F1391" s="4" t="s">
        <v>2768</v>
      </c>
      <c r="G1391" s="6">
        <v>20993.287993999998</v>
      </c>
      <c r="H1391" s="6">
        <f t="shared" si="22"/>
        <v>14023648.605847079</v>
      </c>
      <c r="I1391" s="4"/>
      <c r="J1391" s="4" t="s">
        <v>2199</v>
      </c>
      <c r="K1391" s="7">
        <v>17390</v>
      </c>
      <c r="L1391" s="4" t="s">
        <v>1029</v>
      </c>
      <c r="M1391" s="4" t="s">
        <v>61</v>
      </c>
      <c r="N1391" s="4"/>
    </row>
    <row r="1392" spans="1:14" ht="10.5" hidden="1" x14ac:dyDescent="0.25">
      <c r="A1392" s="8" t="s">
        <v>555</v>
      </c>
      <c r="B1392" s="4" t="s">
        <v>21</v>
      </c>
      <c r="C1392" s="5">
        <v>44286</v>
      </c>
      <c r="D1392" s="4" t="s">
        <v>2771</v>
      </c>
      <c r="E1392" s="4" t="s">
        <v>2772</v>
      </c>
      <c r="F1392" s="4" t="s">
        <v>2772</v>
      </c>
      <c r="G1392" s="6">
        <v>-256931.02096034799</v>
      </c>
      <c r="H1392" s="6">
        <f t="shared" si="22"/>
        <v>13766717.584886732</v>
      </c>
      <c r="I1392" s="4"/>
      <c r="J1392" s="4" t="s">
        <v>2199</v>
      </c>
      <c r="K1392" s="7">
        <v>-212831.38</v>
      </c>
      <c r="L1392" s="4" t="s">
        <v>1029</v>
      </c>
      <c r="M1392" s="4" t="s">
        <v>61</v>
      </c>
      <c r="N1392" s="4" t="s">
        <v>39</v>
      </c>
    </row>
    <row r="1393" spans="1:14" ht="10.5" hidden="1" x14ac:dyDescent="0.25">
      <c r="A1393" s="8" t="s">
        <v>555</v>
      </c>
      <c r="B1393" s="4" t="s">
        <v>21</v>
      </c>
      <c r="C1393" s="5">
        <v>44286</v>
      </c>
      <c r="D1393" s="4" t="s">
        <v>2773</v>
      </c>
      <c r="E1393" s="4" t="s">
        <v>2774</v>
      </c>
      <c r="F1393" s="4" t="s">
        <v>2774</v>
      </c>
      <c r="G1393" s="6">
        <v>285417.65727542201</v>
      </c>
      <c r="H1393" s="6">
        <f t="shared" si="22"/>
        <v>14052135.242162153</v>
      </c>
      <c r="I1393" s="4"/>
      <c r="J1393" s="4" t="s">
        <v>2199</v>
      </c>
      <c r="K1393" s="7">
        <v>236428.57</v>
      </c>
      <c r="L1393" s="4" t="s">
        <v>1029</v>
      </c>
      <c r="M1393" s="4" t="s">
        <v>61</v>
      </c>
      <c r="N1393" s="4" t="s">
        <v>39</v>
      </c>
    </row>
    <row r="1394" spans="1:14" ht="10.5" hidden="1" x14ac:dyDescent="0.25">
      <c r="A1394" s="8" t="s">
        <v>555</v>
      </c>
      <c r="B1394" s="4" t="s">
        <v>21</v>
      </c>
      <c r="C1394" s="5">
        <v>44287</v>
      </c>
      <c r="D1394" s="4" t="s">
        <v>2775</v>
      </c>
      <c r="E1394" s="4" t="s">
        <v>2760</v>
      </c>
      <c r="F1394" s="4" t="s">
        <v>2761</v>
      </c>
      <c r="G1394" s="6">
        <v>6773.9034234760647</v>
      </c>
      <c r="H1394" s="6">
        <f t="shared" ref="H1394:H1457" si="23">H1393+G1394</f>
        <v>14058909.14558563</v>
      </c>
      <c r="I1394" s="4"/>
      <c r="J1394" s="4" t="s">
        <v>2199</v>
      </c>
      <c r="K1394" s="7">
        <v>5761</v>
      </c>
      <c r="L1394" s="4" t="s">
        <v>1999</v>
      </c>
      <c r="M1394" s="4" t="s">
        <v>61</v>
      </c>
      <c r="N1394" s="4"/>
    </row>
    <row r="1395" spans="1:14" ht="10.5" hidden="1" x14ac:dyDescent="0.25">
      <c r="A1395" s="8" t="s">
        <v>555</v>
      </c>
      <c r="B1395" s="4" t="s">
        <v>21</v>
      </c>
      <c r="C1395" s="5">
        <v>44287</v>
      </c>
      <c r="D1395" s="4" t="s">
        <v>2775</v>
      </c>
      <c r="E1395" s="4" t="s">
        <v>2760</v>
      </c>
      <c r="F1395" s="4" t="s">
        <v>2762</v>
      </c>
      <c r="G1395" s="6">
        <v>-97734.221933575856</v>
      </c>
      <c r="H1395" s="6">
        <f t="shared" si="23"/>
        <v>13961174.923652055</v>
      </c>
      <c r="I1395" s="4"/>
      <c r="J1395" s="4" t="s">
        <v>2199</v>
      </c>
      <c r="K1395" s="7">
        <v>-83120</v>
      </c>
      <c r="L1395" s="4" t="s">
        <v>1999</v>
      </c>
      <c r="M1395" s="4" t="s">
        <v>61</v>
      </c>
      <c r="N1395" s="4"/>
    </row>
    <row r="1396" spans="1:14" ht="10.5" hidden="1" x14ac:dyDescent="0.25">
      <c r="A1396" s="8" t="s">
        <v>555</v>
      </c>
      <c r="B1396" s="4" t="s">
        <v>21</v>
      </c>
      <c r="C1396" s="5">
        <v>44287</v>
      </c>
      <c r="D1396" s="4" t="s">
        <v>2776</v>
      </c>
      <c r="E1396" s="4" t="s">
        <v>2764</v>
      </c>
      <c r="F1396" s="4" t="s">
        <v>2764</v>
      </c>
      <c r="G1396" s="6">
        <v>20012.469409401601</v>
      </c>
      <c r="H1396" s="6">
        <f t="shared" si="23"/>
        <v>13981187.393061457</v>
      </c>
      <c r="I1396" s="4"/>
      <c r="J1396" s="4" t="s">
        <v>2199</v>
      </c>
      <c r="K1396" s="7">
        <v>17020</v>
      </c>
      <c r="L1396" s="4" t="s">
        <v>1999</v>
      </c>
      <c r="M1396" s="4" t="s">
        <v>61</v>
      </c>
      <c r="N1396" s="4"/>
    </row>
    <row r="1397" spans="1:14" ht="10.5" hidden="1" x14ac:dyDescent="0.25">
      <c r="A1397" s="8" t="s">
        <v>555</v>
      </c>
      <c r="B1397" s="4" t="s">
        <v>21</v>
      </c>
      <c r="C1397" s="5">
        <v>44287</v>
      </c>
      <c r="D1397" s="4" t="s">
        <v>2776</v>
      </c>
      <c r="E1397" s="4" t="s">
        <v>2764</v>
      </c>
      <c r="F1397" s="4" t="s">
        <v>2764</v>
      </c>
      <c r="G1397" s="6">
        <v>-202709.14813407857</v>
      </c>
      <c r="H1397" s="6">
        <f t="shared" si="23"/>
        <v>13778478.244927378</v>
      </c>
      <c r="I1397" s="4"/>
      <c r="J1397" s="4" t="s">
        <v>2199</v>
      </c>
      <c r="K1397" s="7">
        <v>-172398</v>
      </c>
      <c r="L1397" s="4" t="s">
        <v>1999</v>
      </c>
      <c r="M1397" s="4" t="s">
        <v>61</v>
      </c>
      <c r="N1397" s="4"/>
    </row>
    <row r="1398" spans="1:14" ht="10.5" hidden="1" x14ac:dyDescent="0.25">
      <c r="A1398" s="8" t="s">
        <v>555</v>
      </c>
      <c r="B1398" s="4" t="s">
        <v>1092</v>
      </c>
      <c r="C1398" s="5">
        <v>44287</v>
      </c>
      <c r="D1398" s="4" t="s">
        <v>2777</v>
      </c>
      <c r="E1398" s="4" t="s">
        <v>2778</v>
      </c>
      <c r="F1398" s="4" t="s">
        <v>2778</v>
      </c>
      <c r="G1398" s="6">
        <v>14108.532918429</v>
      </c>
      <c r="H1398" s="6">
        <f t="shared" si="23"/>
        <v>13792586.777845807</v>
      </c>
      <c r="I1398" s="4" t="s">
        <v>2779</v>
      </c>
      <c r="J1398" s="4" t="s">
        <v>2199</v>
      </c>
      <c r="K1398" s="7">
        <v>11700</v>
      </c>
      <c r="L1398" s="4" t="s">
        <v>1031</v>
      </c>
      <c r="M1398" s="4" t="s">
        <v>61</v>
      </c>
      <c r="N1398" s="4"/>
    </row>
    <row r="1399" spans="1:14" ht="10.5" hidden="1" x14ac:dyDescent="0.25">
      <c r="A1399" s="8" t="s">
        <v>555</v>
      </c>
      <c r="B1399" s="4" t="s">
        <v>21</v>
      </c>
      <c r="C1399" s="5">
        <v>44287</v>
      </c>
      <c r="D1399" s="4" t="s">
        <v>2780</v>
      </c>
      <c r="E1399" s="4" t="s">
        <v>2772</v>
      </c>
      <c r="F1399" s="4" t="s">
        <v>2772</v>
      </c>
      <c r="G1399" s="6">
        <v>250251.55591132361</v>
      </c>
      <c r="H1399" s="6">
        <f t="shared" si="23"/>
        <v>14042838.33375713</v>
      </c>
      <c r="I1399" s="4"/>
      <c r="J1399" s="4" t="s">
        <v>2199</v>
      </c>
      <c r="K1399" s="7">
        <v>212831.38</v>
      </c>
      <c r="L1399" s="4" t="s">
        <v>1999</v>
      </c>
      <c r="M1399" s="4" t="s">
        <v>61</v>
      </c>
      <c r="N1399" s="4" t="s">
        <v>39</v>
      </c>
    </row>
    <row r="1400" spans="1:14" ht="10.5" hidden="1" x14ac:dyDescent="0.25">
      <c r="A1400" s="8" t="s">
        <v>555</v>
      </c>
      <c r="B1400" s="4" t="s">
        <v>21</v>
      </c>
      <c r="C1400" s="5">
        <v>44287</v>
      </c>
      <c r="D1400" s="4" t="s">
        <v>2781</v>
      </c>
      <c r="E1400" s="4" t="s">
        <v>2774</v>
      </c>
      <c r="F1400" s="4" t="s">
        <v>2774</v>
      </c>
      <c r="G1400" s="6">
        <v>-277997.62189386401</v>
      </c>
      <c r="H1400" s="6">
        <f t="shared" si="23"/>
        <v>13764840.711863266</v>
      </c>
      <c r="I1400" s="4"/>
      <c r="J1400" s="4" t="s">
        <v>2199</v>
      </c>
      <c r="K1400" s="7">
        <v>-236428.57</v>
      </c>
      <c r="L1400" s="4" t="s">
        <v>1999</v>
      </c>
      <c r="M1400" s="4" t="s">
        <v>61</v>
      </c>
      <c r="N1400" s="4" t="s">
        <v>39</v>
      </c>
    </row>
    <row r="1401" spans="1:14" ht="10.5" hidden="1" x14ac:dyDescent="0.25">
      <c r="A1401" s="8" t="s">
        <v>555</v>
      </c>
      <c r="B1401" s="4" t="s">
        <v>1092</v>
      </c>
      <c r="C1401" s="5">
        <v>44292</v>
      </c>
      <c r="D1401" s="4" t="s">
        <v>2782</v>
      </c>
      <c r="E1401" s="4" t="s">
        <v>2783</v>
      </c>
      <c r="F1401" s="4" t="s">
        <v>2783</v>
      </c>
      <c r="G1401" s="6">
        <v>29219.145994337825</v>
      </c>
      <c r="H1401" s="6">
        <f t="shared" si="23"/>
        <v>13794059.857857604</v>
      </c>
      <c r="I1401" s="4" t="s">
        <v>2697</v>
      </c>
      <c r="J1401" s="4" t="s">
        <v>2199</v>
      </c>
      <c r="K1401" s="7">
        <v>24850</v>
      </c>
      <c r="L1401" s="4" t="s">
        <v>1999</v>
      </c>
      <c r="M1401" s="4" t="s">
        <v>61</v>
      </c>
      <c r="N1401" s="4"/>
    </row>
    <row r="1402" spans="1:14" ht="10.5" hidden="1" x14ac:dyDescent="0.25">
      <c r="A1402" s="8" t="s">
        <v>555</v>
      </c>
      <c r="B1402" s="4" t="s">
        <v>1092</v>
      </c>
      <c r="C1402" s="5">
        <v>44295</v>
      </c>
      <c r="D1402" s="4" t="s">
        <v>2784</v>
      </c>
      <c r="E1402" s="4" t="s">
        <v>2785</v>
      </c>
      <c r="F1402" s="4" t="s">
        <v>2785</v>
      </c>
      <c r="G1402" s="6">
        <v>4597.459188646314</v>
      </c>
      <c r="H1402" s="6">
        <f t="shared" si="23"/>
        <v>13798657.317046249</v>
      </c>
      <c r="I1402" s="4" t="s">
        <v>2584</v>
      </c>
      <c r="J1402" s="4" t="s">
        <v>2199</v>
      </c>
      <c r="K1402" s="7">
        <v>3910</v>
      </c>
      <c r="L1402" s="4" t="s">
        <v>1999</v>
      </c>
      <c r="M1402" s="4" t="s">
        <v>61</v>
      </c>
      <c r="N1402" s="4"/>
    </row>
    <row r="1403" spans="1:14" ht="10.5" hidden="1" x14ac:dyDescent="0.25">
      <c r="A1403" s="8" t="s">
        <v>555</v>
      </c>
      <c r="B1403" s="4" t="s">
        <v>1092</v>
      </c>
      <c r="C1403" s="5">
        <v>44295</v>
      </c>
      <c r="D1403" s="4" t="s">
        <v>2786</v>
      </c>
      <c r="E1403" s="4" t="s">
        <v>2785</v>
      </c>
      <c r="F1403" s="4" t="s">
        <v>2785</v>
      </c>
      <c r="G1403" s="6">
        <v>4997.2382485286016</v>
      </c>
      <c r="H1403" s="6">
        <f t="shared" si="23"/>
        <v>13803654.555294778</v>
      </c>
      <c r="I1403" s="4" t="s">
        <v>2584</v>
      </c>
      <c r="J1403" s="4" t="s">
        <v>2199</v>
      </c>
      <c r="K1403" s="7">
        <v>4250</v>
      </c>
      <c r="L1403" s="4" t="s">
        <v>1999</v>
      </c>
      <c r="M1403" s="4" t="s">
        <v>61</v>
      </c>
      <c r="N1403" s="4"/>
    </row>
    <row r="1404" spans="1:14" ht="10.5" hidden="1" x14ac:dyDescent="0.25">
      <c r="A1404" s="8" t="s">
        <v>555</v>
      </c>
      <c r="B1404" s="4" t="s">
        <v>21</v>
      </c>
      <c r="C1404" s="5">
        <v>44316</v>
      </c>
      <c r="D1404" s="4" t="s">
        <v>2787</v>
      </c>
      <c r="E1404" s="4" t="s">
        <v>2788</v>
      </c>
      <c r="F1404" s="4" t="s">
        <v>2789</v>
      </c>
      <c r="G1404" s="6">
        <v>-9301.6241116582678</v>
      </c>
      <c r="H1404" s="6">
        <f t="shared" si="23"/>
        <v>13794352.93118312</v>
      </c>
      <c r="I1404" s="4"/>
      <c r="J1404" s="4" t="s">
        <v>2199</v>
      </c>
      <c r="K1404" s="7">
        <v>-7910.75</v>
      </c>
      <c r="L1404" s="4" t="s">
        <v>1999</v>
      </c>
      <c r="M1404" s="4" t="s">
        <v>61</v>
      </c>
      <c r="N1404" s="4"/>
    </row>
    <row r="1405" spans="1:14" ht="10.5" hidden="1" x14ac:dyDescent="0.25">
      <c r="A1405" s="8" t="s">
        <v>555</v>
      </c>
      <c r="B1405" s="4" t="s">
        <v>21</v>
      </c>
      <c r="C1405" s="5">
        <v>44316</v>
      </c>
      <c r="D1405" s="4" t="s">
        <v>2787</v>
      </c>
      <c r="E1405" s="4" t="s">
        <v>2788</v>
      </c>
      <c r="F1405" s="4" t="s">
        <v>2790</v>
      </c>
      <c r="G1405" s="6">
        <v>399309.62520032516</v>
      </c>
      <c r="H1405" s="6">
        <f t="shared" si="23"/>
        <v>14193662.556383446</v>
      </c>
      <c r="I1405" s="4"/>
      <c r="J1405" s="4" t="s">
        <v>2199</v>
      </c>
      <c r="K1405" s="7">
        <v>339600.76</v>
      </c>
      <c r="L1405" s="4" t="s">
        <v>1999</v>
      </c>
      <c r="M1405" s="4" t="s">
        <v>61</v>
      </c>
      <c r="N1405" s="4"/>
    </row>
    <row r="1406" spans="1:14" ht="10.5" hidden="1" x14ac:dyDescent="0.25">
      <c r="A1406" s="8" t="s">
        <v>555</v>
      </c>
      <c r="B1406" s="4" t="s">
        <v>21</v>
      </c>
      <c r="C1406" s="5">
        <v>44316</v>
      </c>
      <c r="D1406" s="4" t="s">
        <v>2791</v>
      </c>
      <c r="E1406" s="4" t="s">
        <v>2792</v>
      </c>
      <c r="F1406" s="4" t="s">
        <v>2792</v>
      </c>
      <c r="G1406" s="6">
        <v>350625.68045414158</v>
      </c>
      <c r="H1406" s="6">
        <f t="shared" si="23"/>
        <v>14544288.236837588</v>
      </c>
      <c r="I1406" s="4"/>
      <c r="J1406" s="4" t="s">
        <v>2199</v>
      </c>
      <c r="K1406" s="7">
        <v>355536</v>
      </c>
      <c r="L1406" s="4" t="s">
        <v>1999</v>
      </c>
      <c r="M1406" s="4" t="s">
        <v>27</v>
      </c>
      <c r="N1406" s="4"/>
    </row>
    <row r="1407" spans="1:14" ht="10.5" hidden="1" x14ac:dyDescent="0.25">
      <c r="A1407" s="8" t="s">
        <v>555</v>
      </c>
      <c r="B1407" s="4" t="s">
        <v>21</v>
      </c>
      <c r="C1407" s="5">
        <v>44316</v>
      </c>
      <c r="D1407" s="4" t="s">
        <v>2793</v>
      </c>
      <c r="E1407" s="4" t="s">
        <v>2794</v>
      </c>
      <c r="F1407" s="4" t="s">
        <v>2794</v>
      </c>
      <c r="G1407" s="6">
        <v>27909.926971448476</v>
      </c>
      <c r="H1407" s="6">
        <f t="shared" si="23"/>
        <v>14572198.163809037</v>
      </c>
      <c r="I1407" s="4"/>
      <c r="J1407" s="4" t="s">
        <v>2199</v>
      </c>
      <c r="K1407" s="7">
        <v>104393</v>
      </c>
      <c r="L1407" s="4" t="s">
        <v>1999</v>
      </c>
      <c r="M1407" s="4" t="s">
        <v>308</v>
      </c>
      <c r="N1407" s="4"/>
    </row>
    <row r="1408" spans="1:14" ht="10.5" hidden="1" x14ac:dyDescent="0.25">
      <c r="A1408" s="8" t="s">
        <v>555</v>
      </c>
      <c r="B1408" s="4" t="s">
        <v>21</v>
      </c>
      <c r="C1408" s="5">
        <v>44317</v>
      </c>
      <c r="D1408" s="4" t="s">
        <v>2795</v>
      </c>
      <c r="E1408" s="4" t="s">
        <v>2788</v>
      </c>
      <c r="F1408" s="4" t="s">
        <v>2789</v>
      </c>
      <c r="G1408" s="6">
        <v>9575.3189182549177</v>
      </c>
      <c r="H1408" s="6">
        <f t="shared" si="23"/>
        <v>14581773.482727291</v>
      </c>
      <c r="I1408" s="4"/>
      <c r="J1408" s="4" t="s">
        <v>2199</v>
      </c>
      <c r="K1408" s="7">
        <v>7910.75</v>
      </c>
      <c r="L1408" s="4" t="s">
        <v>2033</v>
      </c>
      <c r="M1408" s="4" t="s">
        <v>61</v>
      </c>
      <c r="N1408" s="4"/>
    </row>
    <row r="1409" spans="1:14" ht="10.5" hidden="1" x14ac:dyDescent="0.25">
      <c r="A1409" s="8" t="s">
        <v>555</v>
      </c>
      <c r="B1409" s="4" t="s">
        <v>21</v>
      </c>
      <c r="C1409" s="5">
        <v>44317</v>
      </c>
      <c r="D1409" s="4" t="s">
        <v>2795</v>
      </c>
      <c r="E1409" s="4" t="s">
        <v>2788</v>
      </c>
      <c r="F1409" s="4" t="s">
        <v>2790</v>
      </c>
      <c r="G1409" s="6">
        <v>-411059.07554678735</v>
      </c>
      <c r="H1409" s="6">
        <f t="shared" si="23"/>
        <v>14170714.407180503</v>
      </c>
      <c r="I1409" s="4"/>
      <c r="J1409" s="4" t="s">
        <v>2199</v>
      </c>
      <c r="K1409" s="7">
        <v>-339600.76</v>
      </c>
      <c r="L1409" s="4" t="s">
        <v>2033</v>
      </c>
      <c r="M1409" s="4" t="s">
        <v>61</v>
      </c>
      <c r="N1409" s="4"/>
    </row>
    <row r="1410" spans="1:14" ht="10.5" hidden="1" x14ac:dyDescent="0.25">
      <c r="A1410" s="8" t="s">
        <v>555</v>
      </c>
      <c r="B1410" s="4" t="s">
        <v>1092</v>
      </c>
      <c r="C1410" s="5">
        <v>44319</v>
      </c>
      <c r="D1410" s="4" t="s">
        <v>2796</v>
      </c>
      <c r="E1410" s="4" t="s">
        <v>2797</v>
      </c>
      <c r="F1410" s="4" t="s">
        <v>2797</v>
      </c>
      <c r="G1410" s="6">
        <v>21705.435259121539</v>
      </c>
      <c r="H1410" s="6">
        <f t="shared" si="23"/>
        <v>14192419.842439625</v>
      </c>
      <c r="I1410" s="4" t="s">
        <v>2779</v>
      </c>
      <c r="J1410" s="4" t="s">
        <v>2199</v>
      </c>
      <c r="K1410" s="7">
        <v>18000</v>
      </c>
      <c r="L1410" s="4" t="s">
        <v>1031</v>
      </c>
      <c r="M1410" s="4" t="s">
        <v>61</v>
      </c>
      <c r="N1410" s="4"/>
    </row>
    <row r="1411" spans="1:14" ht="10.5" hidden="1" x14ac:dyDescent="0.25">
      <c r="A1411" s="8" t="s">
        <v>555</v>
      </c>
      <c r="B1411" s="4" t="s">
        <v>1092</v>
      </c>
      <c r="C1411" s="5">
        <v>44326</v>
      </c>
      <c r="D1411" s="4" t="s">
        <v>2798</v>
      </c>
      <c r="E1411" s="4" t="s">
        <v>2799</v>
      </c>
      <c r="F1411" s="4" t="s">
        <v>2799</v>
      </c>
      <c r="G1411" s="6">
        <v>26780.511464322608</v>
      </c>
      <c r="H1411" s="6">
        <f t="shared" si="23"/>
        <v>14219200.353903947</v>
      </c>
      <c r="I1411" s="4" t="s">
        <v>2602</v>
      </c>
      <c r="J1411" s="4" t="s">
        <v>2199</v>
      </c>
      <c r="K1411" s="7">
        <v>22125</v>
      </c>
      <c r="L1411" s="4" t="s">
        <v>2033</v>
      </c>
      <c r="M1411" s="4" t="s">
        <v>61</v>
      </c>
      <c r="N1411" s="4"/>
    </row>
    <row r="1412" spans="1:14" ht="10.5" hidden="1" x14ac:dyDescent="0.25">
      <c r="A1412" s="8" t="s">
        <v>555</v>
      </c>
      <c r="B1412" s="4" t="s">
        <v>1092</v>
      </c>
      <c r="C1412" s="5">
        <v>44333</v>
      </c>
      <c r="D1412" s="4" t="s">
        <v>2800</v>
      </c>
      <c r="E1412" s="4" t="s">
        <v>2801</v>
      </c>
      <c r="F1412" s="4" t="s">
        <v>2801</v>
      </c>
      <c r="G1412" s="6">
        <v>21105.397840087408</v>
      </c>
      <c r="H1412" s="6">
        <f t="shared" si="23"/>
        <v>14240305.751744036</v>
      </c>
      <c r="I1412" s="4" t="s">
        <v>2802</v>
      </c>
      <c r="J1412" s="4" t="s">
        <v>2199</v>
      </c>
      <c r="K1412" s="7">
        <v>21000</v>
      </c>
      <c r="L1412" s="4" t="s">
        <v>1031</v>
      </c>
      <c r="M1412" s="4" t="s">
        <v>27</v>
      </c>
      <c r="N1412" s="4"/>
    </row>
    <row r="1413" spans="1:14" ht="10.5" hidden="1" x14ac:dyDescent="0.25">
      <c r="A1413" s="8" t="s">
        <v>555</v>
      </c>
      <c r="B1413" s="4" t="s">
        <v>1092</v>
      </c>
      <c r="C1413" s="5">
        <v>44337</v>
      </c>
      <c r="D1413" s="4" t="s">
        <v>2803</v>
      </c>
      <c r="E1413" s="4" t="s">
        <v>2804</v>
      </c>
      <c r="F1413" s="4" t="s">
        <v>2804</v>
      </c>
      <c r="G1413" s="6">
        <v>4539.0697397156964</v>
      </c>
      <c r="H1413" s="6">
        <f t="shared" si="23"/>
        <v>14244844.821483752</v>
      </c>
      <c r="I1413" s="4" t="s">
        <v>2602</v>
      </c>
      <c r="J1413" s="4" t="s">
        <v>2199</v>
      </c>
      <c r="K1413" s="7">
        <v>3750</v>
      </c>
      <c r="L1413" s="4" t="s">
        <v>2033</v>
      </c>
      <c r="M1413" s="4" t="s">
        <v>61</v>
      </c>
      <c r="N1413" s="4"/>
    </row>
    <row r="1414" spans="1:14" ht="10.5" hidden="1" x14ac:dyDescent="0.25">
      <c r="A1414" s="8" t="s">
        <v>555</v>
      </c>
      <c r="B1414" s="4" t="s">
        <v>1092</v>
      </c>
      <c r="C1414" s="5">
        <v>44340</v>
      </c>
      <c r="D1414" s="4" t="s">
        <v>2805</v>
      </c>
      <c r="E1414" s="4" t="s">
        <v>2806</v>
      </c>
      <c r="F1414" s="4" t="s">
        <v>2806</v>
      </c>
      <c r="G1414" s="6">
        <v>15571.820234958359</v>
      </c>
      <c r="H1414" s="6">
        <f t="shared" si="23"/>
        <v>14260416.64171871</v>
      </c>
      <c r="I1414" s="4" t="s">
        <v>2676</v>
      </c>
      <c r="J1414" s="4" t="s">
        <v>2199</v>
      </c>
      <c r="K1414" s="7">
        <v>15600</v>
      </c>
      <c r="L1414" s="4" t="s">
        <v>2033</v>
      </c>
      <c r="M1414" s="4" t="s">
        <v>27</v>
      </c>
      <c r="N1414" s="4"/>
    </row>
    <row r="1415" spans="1:14" ht="10.5" hidden="1" x14ac:dyDescent="0.25">
      <c r="A1415" s="8" t="s">
        <v>555</v>
      </c>
      <c r="B1415" s="4" t="s">
        <v>1092</v>
      </c>
      <c r="C1415" s="5">
        <v>44341</v>
      </c>
      <c r="D1415" s="4" t="s">
        <v>2807</v>
      </c>
      <c r="E1415" s="4" t="s">
        <v>2808</v>
      </c>
      <c r="F1415" s="4" t="s">
        <v>2808</v>
      </c>
      <c r="G1415" s="6">
        <v>11831.841788192249</v>
      </c>
      <c r="H1415" s="6">
        <f t="shared" si="23"/>
        <v>14272248.483506901</v>
      </c>
      <c r="I1415" s="4" t="s">
        <v>2584</v>
      </c>
      <c r="J1415" s="4" t="s">
        <v>2199</v>
      </c>
      <c r="K1415" s="7">
        <v>9775</v>
      </c>
      <c r="L1415" s="4" t="s">
        <v>2033</v>
      </c>
      <c r="M1415" s="4" t="s">
        <v>61</v>
      </c>
      <c r="N1415" s="4"/>
    </row>
    <row r="1416" spans="1:14" ht="10.5" hidden="1" x14ac:dyDescent="0.25">
      <c r="A1416" s="8" t="s">
        <v>555</v>
      </c>
      <c r="B1416" s="4" t="s">
        <v>1092</v>
      </c>
      <c r="C1416" s="5">
        <v>44341</v>
      </c>
      <c r="D1416" s="4" t="s">
        <v>2809</v>
      </c>
      <c r="E1416" s="4" t="s">
        <v>2810</v>
      </c>
      <c r="F1416" s="4" t="s">
        <v>2810</v>
      </c>
      <c r="G1416" s="6">
        <v>15124.180372732701</v>
      </c>
      <c r="H1416" s="6">
        <f t="shared" si="23"/>
        <v>14287372.663879635</v>
      </c>
      <c r="I1416" s="4" t="s">
        <v>2584</v>
      </c>
      <c r="J1416" s="4" t="s">
        <v>2199</v>
      </c>
      <c r="K1416" s="7">
        <v>12495</v>
      </c>
      <c r="L1416" s="4" t="s">
        <v>2033</v>
      </c>
      <c r="M1416" s="4" t="s">
        <v>61</v>
      </c>
      <c r="N1416" s="4"/>
    </row>
    <row r="1417" spans="1:14" ht="10.5" hidden="1" x14ac:dyDescent="0.25">
      <c r="A1417" s="8" t="s">
        <v>555</v>
      </c>
      <c r="B1417" s="4" t="s">
        <v>1092</v>
      </c>
      <c r="C1417" s="5">
        <v>44343</v>
      </c>
      <c r="D1417" s="4" t="s">
        <v>2811</v>
      </c>
      <c r="E1417" s="4" t="s">
        <v>2812</v>
      </c>
      <c r="F1417" s="4" t="s">
        <v>2812</v>
      </c>
      <c r="G1417" s="6">
        <v>75969.023406925378</v>
      </c>
      <c r="H1417" s="6">
        <f t="shared" si="23"/>
        <v>14363341.687286559</v>
      </c>
      <c r="I1417" s="4" t="s">
        <v>2602</v>
      </c>
      <c r="J1417" s="4" t="s">
        <v>2199</v>
      </c>
      <c r="K1417" s="7">
        <v>63000</v>
      </c>
      <c r="L1417" s="4" t="s">
        <v>1031</v>
      </c>
      <c r="M1417" s="4" t="s">
        <v>61</v>
      </c>
      <c r="N1417" s="4"/>
    </row>
    <row r="1418" spans="1:14" ht="10.5" hidden="1" x14ac:dyDescent="0.25">
      <c r="A1418" s="8" t="s">
        <v>555</v>
      </c>
      <c r="B1418" s="4" t="s">
        <v>21</v>
      </c>
      <c r="C1418" s="5">
        <v>44347</v>
      </c>
      <c r="D1418" s="4" t="s">
        <v>2813</v>
      </c>
      <c r="E1418" s="4" t="s">
        <v>2814</v>
      </c>
      <c r="F1418" s="4" t="s">
        <v>2815</v>
      </c>
      <c r="G1418" s="6">
        <v>-20372.482785325468</v>
      </c>
      <c r="H1418" s="6">
        <f t="shared" si="23"/>
        <v>14342969.204501234</v>
      </c>
      <c r="I1418" s="4"/>
      <c r="J1418" s="4" t="s">
        <v>2199</v>
      </c>
      <c r="K1418" s="7">
        <v>-16830.939999999999</v>
      </c>
      <c r="L1418" s="4" t="s">
        <v>2033</v>
      </c>
      <c r="M1418" s="4" t="s">
        <v>61</v>
      </c>
      <c r="N1418" s="4"/>
    </row>
    <row r="1419" spans="1:14" ht="10.5" hidden="1" x14ac:dyDescent="0.25">
      <c r="A1419" s="8" t="s">
        <v>555</v>
      </c>
      <c r="B1419" s="4" t="s">
        <v>21</v>
      </c>
      <c r="C1419" s="5">
        <v>44347</v>
      </c>
      <c r="D1419" s="4" t="s">
        <v>2813</v>
      </c>
      <c r="E1419" s="4" t="s">
        <v>2814</v>
      </c>
      <c r="F1419" s="4" t="s">
        <v>2816</v>
      </c>
      <c r="G1419" s="6">
        <v>595415.69282067521</v>
      </c>
      <c r="H1419" s="6">
        <f t="shared" si="23"/>
        <v>14938384.89732191</v>
      </c>
      <c r="I1419" s="4"/>
      <c r="J1419" s="4" t="s">
        <v>2199</v>
      </c>
      <c r="K1419" s="7">
        <v>491908.91</v>
      </c>
      <c r="L1419" s="4" t="s">
        <v>2033</v>
      </c>
      <c r="M1419" s="4" t="s">
        <v>61</v>
      </c>
      <c r="N1419" s="4"/>
    </row>
    <row r="1420" spans="1:14" ht="10.5" hidden="1" x14ac:dyDescent="0.25">
      <c r="A1420" s="8" t="s">
        <v>555</v>
      </c>
      <c r="B1420" s="4" t="s">
        <v>21</v>
      </c>
      <c r="C1420" s="5">
        <v>44347</v>
      </c>
      <c r="D1420" s="4" t="s">
        <v>2817</v>
      </c>
      <c r="E1420" s="4" t="s">
        <v>2818</v>
      </c>
      <c r="F1420" s="4" t="s">
        <v>2818</v>
      </c>
      <c r="G1420" s="6">
        <v>368922.37439988845</v>
      </c>
      <c r="H1420" s="6">
        <f t="shared" si="23"/>
        <v>15307307.271721799</v>
      </c>
      <c r="I1420" s="4"/>
      <c r="J1420" s="4" t="s">
        <v>2199</v>
      </c>
      <c r="K1420" s="7">
        <v>369590</v>
      </c>
      <c r="L1420" s="4" t="s">
        <v>2033</v>
      </c>
      <c r="M1420" s="4" t="s">
        <v>27</v>
      </c>
      <c r="N1420" s="4"/>
    </row>
    <row r="1421" spans="1:14" ht="10.5" hidden="1" x14ac:dyDescent="0.25">
      <c r="A1421" s="8" t="s">
        <v>555</v>
      </c>
      <c r="B1421" s="4" t="s">
        <v>21</v>
      </c>
      <c r="C1421" s="5">
        <v>44347</v>
      </c>
      <c r="D1421" s="4" t="s">
        <v>2819</v>
      </c>
      <c r="E1421" s="4" t="s">
        <v>2820</v>
      </c>
      <c r="F1421" s="4" t="s">
        <v>2820</v>
      </c>
      <c r="G1421" s="6">
        <v>79670.23286567886</v>
      </c>
      <c r="H1421" s="6">
        <f t="shared" si="23"/>
        <v>15386977.504587477</v>
      </c>
      <c r="I1421" s="4"/>
      <c r="J1421" s="4" t="s">
        <v>2199</v>
      </c>
      <c r="K1421" s="7">
        <v>293397</v>
      </c>
      <c r="L1421" s="4" t="s">
        <v>2033</v>
      </c>
      <c r="M1421" s="4" t="s">
        <v>308</v>
      </c>
      <c r="N1421" s="4"/>
    </row>
    <row r="1422" spans="1:14" ht="10.5" hidden="1" x14ac:dyDescent="0.25">
      <c r="A1422" s="8" t="s">
        <v>555</v>
      </c>
      <c r="B1422" s="4" t="s">
        <v>21</v>
      </c>
      <c r="C1422" s="5">
        <v>44348</v>
      </c>
      <c r="D1422" s="4" t="s">
        <v>2821</v>
      </c>
      <c r="E1422" s="4" t="s">
        <v>2814</v>
      </c>
      <c r="F1422" s="4" t="s">
        <v>2815</v>
      </c>
      <c r="G1422" s="6">
        <v>20295.71547334217</v>
      </c>
      <c r="H1422" s="6">
        <f t="shared" si="23"/>
        <v>15407273.22006082</v>
      </c>
      <c r="I1422" s="4"/>
      <c r="J1422" s="4" t="s">
        <v>2199</v>
      </c>
      <c r="K1422" s="7">
        <v>16830.939999999999</v>
      </c>
      <c r="L1422" s="4" t="s">
        <v>1031</v>
      </c>
      <c r="M1422" s="4" t="s">
        <v>61</v>
      </c>
      <c r="N1422" s="4"/>
    </row>
    <row r="1423" spans="1:14" ht="10.5" hidden="1" x14ac:dyDescent="0.25">
      <c r="A1423" s="8" t="s">
        <v>555</v>
      </c>
      <c r="B1423" s="4" t="s">
        <v>21</v>
      </c>
      <c r="C1423" s="5">
        <v>44348</v>
      </c>
      <c r="D1423" s="4" t="s">
        <v>2821</v>
      </c>
      <c r="E1423" s="4" t="s">
        <v>2814</v>
      </c>
      <c r="F1423" s="4" t="s">
        <v>2816</v>
      </c>
      <c r="G1423" s="6">
        <v>-593172.0555216691</v>
      </c>
      <c r="H1423" s="6">
        <f t="shared" si="23"/>
        <v>14814101.164539151</v>
      </c>
      <c r="I1423" s="4"/>
      <c r="J1423" s="4" t="s">
        <v>2199</v>
      </c>
      <c r="K1423" s="7">
        <v>-491908.91</v>
      </c>
      <c r="L1423" s="4" t="s">
        <v>1031</v>
      </c>
      <c r="M1423" s="4" t="s">
        <v>61</v>
      </c>
      <c r="N1423" s="4"/>
    </row>
    <row r="1424" spans="1:14" ht="10.5" hidden="1" x14ac:dyDescent="0.25">
      <c r="A1424" s="8" t="s">
        <v>555</v>
      </c>
      <c r="B1424" s="4" t="s">
        <v>1092</v>
      </c>
      <c r="C1424" s="5">
        <v>44348</v>
      </c>
      <c r="D1424" s="4" t="s">
        <v>2822</v>
      </c>
      <c r="E1424" s="4" t="s">
        <v>2823</v>
      </c>
      <c r="F1424" s="4" t="s">
        <v>2823</v>
      </c>
      <c r="G1424" s="6">
        <v>19534.891733209384</v>
      </c>
      <c r="H1424" s="6">
        <f t="shared" si="23"/>
        <v>14833636.05627236</v>
      </c>
      <c r="I1424" s="4" t="s">
        <v>2779</v>
      </c>
      <c r="J1424" s="4" t="s">
        <v>2199</v>
      </c>
      <c r="K1424" s="7">
        <v>16200</v>
      </c>
      <c r="L1424" s="4" t="s">
        <v>1031</v>
      </c>
      <c r="M1424" s="4" t="s">
        <v>61</v>
      </c>
      <c r="N1424" s="4"/>
    </row>
    <row r="1425" spans="1:14" ht="10.5" hidden="1" x14ac:dyDescent="0.25">
      <c r="A1425" s="8" t="s">
        <v>555</v>
      </c>
      <c r="B1425" s="4" t="s">
        <v>1092</v>
      </c>
      <c r="C1425" s="5">
        <v>44349</v>
      </c>
      <c r="D1425" s="4" t="s">
        <v>2824</v>
      </c>
      <c r="E1425" s="4" t="s">
        <v>2825</v>
      </c>
      <c r="F1425" s="4" t="s">
        <v>2825</v>
      </c>
      <c r="G1425" s="6">
        <v>21922.84276679765</v>
      </c>
      <c r="H1425" s="6">
        <f t="shared" si="23"/>
        <v>14855558.899039157</v>
      </c>
      <c r="I1425" s="4" t="s">
        <v>2826</v>
      </c>
      <c r="J1425" s="4" t="s">
        <v>2199</v>
      </c>
      <c r="K1425" s="7">
        <v>80410</v>
      </c>
      <c r="L1425" s="4" t="s">
        <v>1031</v>
      </c>
      <c r="M1425" s="4" t="s">
        <v>308</v>
      </c>
      <c r="N1425" s="4"/>
    </row>
    <row r="1426" spans="1:14" ht="10.5" hidden="1" x14ac:dyDescent="0.25">
      <c r="A1426" s="8" t="s">
        <v>555</v>
      </c>
      <c r="B1426" s="4" t="s">
        <v>1092</v>
      </c>
      <c r="C1426" s="5">
        <v>44349</v>
      </c>
      <c r="D1426" s="4" t="s">
        <v>2827</v>
      </c>
      <c r="E1426" s="4" t="s">
        <v>2828</v>
      </c>
      <c r="F1426" s="4" t="s">
        <v>2828</v>
      </c>
      <c r="G1426" s="6">
        <v>123134.99965202252</v>
      </c>
      <c r="H1426" s="6">
        <f t="shared" si="23"/>
        <v>14978693.898691179</v>
      </c>
      <c r="I1426" s="4" t="s">
        <v>2826</v>
      </c>
      <c r="J1426" s="4" t="s">
        <v>2199</v>
      </c>
      <c r="K1426" s="7">
        <v>451642.4</v>
      </c>
      <c r="L1426" s="4" t="s">
        <v>1031</v>
      </c>
      <c r="M1426" s="4" t="s">
        <v>308</v>
      </c>
      <c r="N1426" s="4"/>
    </row>
    <row r="1427" spans="1:14" ht="10.5" hidden="1" x14ac:dyDescent="0.25">
      <c r="A1427" s="8" t="s">
        <v>555</v>
      </c>
      <c r="B1427" s="4" t="s">
        <v>1092</v>
      </c>
      <c r="C1427" s="5">
        <v>44354</v>
      </c>
      <c r="D1427" s="4" t="s">
        <v>2829</v>
      </c>
      <c r="E1427" s="4" t="s">
        <v>2830</v>
      </c>
      <c r="F1427" s="4" t="s">
        <v>2830</v>
      </c>
      <c r="G1427" s="6">
        <v>6647.2895481059713</v>
      </c>
      <c r="H1427" s="6">
        <f t="shared" si="23"/>
        <v>14985341.188239286</v>
      </c>
      <c r="I1427" s="4" t="s">
        <v>2602</v>
      </c>
      <c r="J1427" s="4" t="s">
        <v>2199</v>
      </c>
      <c r="K1427" s="7">
        <v>5512.5</v>
      </c>
      <c r="L1427" s="4" t="s">
        <v>1031</v>
      </c>
      <c r="M1427" s="4" t="s">
        <v>61</v>
      </c>
      <c r="N1427" s="4"/>
    </row>
    <row r="1428" spans="1:14" ht="10.5" hidden="1" x14ac:dyDescent="0.25">
      <c r="A1428" s="8" t="s">
        <v>555</v>
      </c>
      <c r="B1428" s="4" t="s">
        <v>1092</v>
      </c>
      <c r="C1428" s="5">
        <v>44354</v>
      </c>
      <c r="D1428" s="4" t="s">
        <v>2831</v>
      </c>
      <c r="E1428" s="4" t="s">
        <v>2832</v>
      </c>
      <c r="F1428" s="4" t="s">
        <v>2832</v>
      </c>
      <c r="G1428" s="6">
        <v>3165.3759752885576</v>
      </c>
      <c r="H1428" s="6">
        <f t="shared" si="23"/>
        <v>14988506.564214574</v>
      </c>
      <c r="I1428" s="4" t="s">
        <v>2602</v>
      </c>
      <c r="J1428" s="4" t="s">
        <v>2199</v>
      </c>
      <c r="K1428" s="7">
        <v>2625</v>
      </c>
      <c r="L1428" s="4" t="s">
        <v>1031</v>
      </c>
      <c r="M1428" s="4" t="s">
        <v>61</v>
      </c>
      <c r="N1428" s="4"/>
    </row>
    <row r="1429" spans="1:14" ht="10.5" hidden="1" x14ac:dyDescent="0.25">
      <c r="A1429" s="8" t="s">
        <v>555</v>
      </c>
      <c r="B1429" s="4" t="s">
        <v>1092</v>
      </c>
      <c r="C1429" s="5">
        <v>44355</v>
      </c>
      <c r="D1429" s="4" t="s">
        <v>2833</v>
      </c>
      <c r="E1429" s="4" t="s">
        <v>2834</v>
      </c>
      <c r="F1429" s="4" t="s">
        <v>2834</v>
      </c>
      <c r="G1429" s="6">
        <v>18968.271241098992</v>
      </c>
      <c r="H1429" s="6">
        <f t="shared" si="23"/>
        <v>15007474.835455673</v>
      </c>
      <c r="I1429" s="4" t="s">
        <v>2668</v>
      </c>
      <c r="J1429" s="4" t="s">
        <v>2199</v>
      </c>
      <c r="K1429" s="7">
        <v>16000</v>
      </c>
      <c r="L1429" s="4" t="s">
        <v>2086</v>
      </c>
      <c r="M1429" s="4" t="s">
        <v>61</v>
      </c>
      <c r="N1429" s="4"/>
    </row>
    <row r="1430" spans="1:14" ht="10.5" hidden="1" x14ac:dyDescent="0.25">
      <c r="A1430" s="8" t="s">
        <v>555</v>
      </c>
      <c r="B1430" s="4" t="s">
        <v>1092</v>
      </c>
      <c r="C1430" s="5">
        <v>44355</v>
      </c>
      <c r="D1430" s="4" t="s">
        <v>2835</v>
      </c>
      <c r="E1430" s="4" t="s">
        <v>2834</v>
      </c>
      <c r="F1430" s="4" t="s">
        <v>2834</v>
      </c>
      <c r="G1430" s="6">
        <v>15174.616992879193</v>
      </c>
      <c r="H1430" s="6">
        <f t="shared" si="23"/>
        <v>15022649.452448552</v>
      </c>
      <c r="I1430" s="4" t="s">
        <v>2668</v>
      </c>
      <c r="J1430" s="4" t="s">
        <v>2199</v>
      </c>
      <c r="K1430" s="7">
        <v>12800</v>
      </c>
      <c r="L1430" s="4" t="s">
        <v>2086</v>
      </c>
      <c r="M1430" s="4" t="s">
        <v>61</v>
      </c>
      <c r="N1430" s="4"/>
    </row>
    <row r="1431" spans="1:14" ht="10.5" hidden="1" x14ac:dyDescent="0.25">
      <c r="A1431" s="8" t="s">
        <v>555</v>
      </c>
      <c r="B1431" s="4" t="s">
        <v>1092</v>
      </c>
      <c r="C1431" s="5">
        <v>44362</v>
      </c>
      <c r="D1431" s="4" t="s">
        <v>2836</v>
      </c>
      <c r="E1431" s="4" t="s">
        <v>2837</v>
      </c>
      <c r="F1431" s="4" t="s">
        <v>2837</v>
      </c>
      <c r="G1431" s="6">
        <v>8139.5382221705768</v>
      </c>
      <c r="H1431" s="6">
        <f t="shared" si="23"/>
        <v>15030788.990670724</v>
      </c>
      <c r="I1431" s="4" t="s">
        <v>2602</v>
      </c>
      <c r="J1431" s="4" t="s">
        <v>2199</v>
      </c>
      <c r="K1431" s="7">
        <v>6750</v>
      </c>
      <c r="L1431" s="4" t="s">
        <v>1031</v>
      </c>
      <c r="M1431" s="4" t="s">
        <v>61</v>
      </c>
      <c r="N1431" s="4"/>
    </row>
    <row r="1432" spans="1:14" ht="10.5" hidden="1" x14ac:dyDescent="0.25">
      <c r="A1432" s="8" t="s">
        <v>555</v>
      </c>
      <c r="B1432" s="4" t="s">
        <v>1092</v>
      </c>
      <c r="C1432" s="5">
        <v>44365</v>
      </c>
      <c r="D1432" s="4" t="s">
        <v>2838</v>
      </c>
      <c r="E1432" s="4" t="s">
        <v>2839</v>
      </c>
      <c r="F1432" s="4" t="s">
        <v>2839</v>
      </c>
      <c r="G1432" s="6">
        <v>9654.3967246300999</v>
      </c>
      <c r="H1432" s="6">
        <f t="shared" si="23"/>
        <v>15040443.387395354</v>
      </c>
      <c r="I1432" s="4" t="s">
        <v>2602</v>
      </c>
      <c r="J1432" s="4" t="s">
        <v>2199</v>
      </c>
      <c r="K1432" s="7">
        <v>8006.25</v>
      </c>
      <c r="L1432" s="4" t="s">
        <v>1031</v>
      </c>
      <c r="M1432" s="4" t="s">
        <v>61</v>
      </c>
      <c r="N1432" s="4"/>
    </row>
    <row r="1433" spans="1:14" ht="10.5" hidden="1" x14ac:dyDescent="0.25">
      <c r="A1433" s="8" t="s">
        <v>555</v>
      </c>
      <c r="B1433" s="4" t="s">
        <v>1092</v>
      </c>
      <c r="C1433" s="5">
        <v>44365</v>
      </c>
      <c r="D1433" s="4" t="s">
        <v>2840</v>
      </c>
      <c r="E1433" s="4" t="s">
        <v>2841</v>
      </c>
      <c r="F1433" s="4" t="s">
        <v>2841</v>
      </c>
      <c r="G1433" s="6">
        <v>5855.9455542838314</v>
      </c>
      <c r="H1433" s="6">
        <f t="shared" si="23"/>
        <v>15046299.332949638</v>
      </c>
      <c r="I1433" s="4" t="s">
        <v>2602</v>
      </c>
      <c r="J1433" s="4" t="s">
        <v>2199</v>
      </c>
      <c r="K1433" s="7">
        <v>4856.25</v>
      </c>
      <c r="L1433" s="4" t="s">
        <v>1031</v>
      </c>
      <c r="M1433" s="4" t="s">
        <v>61</v>
      </c>
      <c r="N1433" s="4"/>
    </row>
    <row r="1434" spans="1:14" ht="10.5" hidden="1" x14ac:dyDescent="0.25">
      <c r="A1434" s="8" t="s">
        <v>555</v>
      </c>
      <c r="B1434" s="4" t="s">
        <v>1092</v>
      </c>
      <c r="C1434" s="5">
        <v>44365</v>
      </c>
      <c r="D1434" s="4" t="s">
        <v>2842</v>
      </c>
      <c r="E1434" s="4" t="s">
        <v>2843</v>
      </c>
      <c r="F1434" s="4" t="s">
        <v>2843</v>
      </c>
      <c r="G1434" s="6">
        <v>9496.1279258656723</v>
      </c>
      <c r="H1434" s="6">
        <f t="shared" si="23"/>
        <v>15055795.460875504</v>
      </c>
      <c r="I1434" s="4" t="s">
        <v>2602</v>
      </c>
      <c r="J1434" s="4" t="s">
        <v>2199</v>
      </c>
      <c r="K1434" s="7">
        <v>7875</v>
      </c>
      <c r="L1434" s="4" t="s">
        <v>1031</v>
      </c>
      <c r="M1434" s="4" t="s">
        <v>61</v>
      </c>
      <c r="N1434" s="4"/>
    </row>
    <row r="1435" spans="1:14" ht="10.5" hidden="1" x14ac:dyDescent="0.25">
      <c r="A1435" s="8" t="s">
        <v>555</v>
      </c>
      <c r="B1435" s="4" t="s">
        <v>1092</v>
      </c>
      <c r="C1435" s="5">
        <v>44365</v>
      </c>
      <c r="D1435" s="4" t="s">
        <v>2844</v>
      </c>
      <c r="E1435" s="4" t="s">
        <v>2845</v>
      </c>
      <c r="F1435" s="4" t="s">
        <v>2845</v>
      </c>
      <c r="G1435" s="6">
        <v>9496.1279258656723</v>
      </c>
      <c r="H1435" s="6">
        <f t="shared" si="23"/>
        <v>15065291.588801369</v>
      </c>
      <c r="I1435" s="4" t="s">
        <v>2602</v>
      </c>
      <c r="J1435" s="4" t="s">
        <v>2199</v>
      </c>
      <c r="K1435" s="7">
        <v>7875</v>
      </c>
      <c r="L1435" s="4" t="s">
        <v>1031</v>
      </c>
      <c r="M1435" s="4" t="s">
        <v>61</v>
      </c>
      <c r="N1435" s="4"/>
    </row>
    <row r="1436" spans="1:14" ht="10.5" hidden="1" x14ac:dyDescent="0.25">
      <c r="A1436" s="8" t="s">
        <v>555</v>
      </c>
      <c r="B1436" s="4" t="s">
        <v>1092</v>
      </c>
      <c r="C1436" s="5">
        <v>44365</v>
      </c>
      <c r="D1436" s="4" t="s">
        <v>2846</v>
      </c>
      <c r="E1436" s="4" t="s">
        <v>2847</v>
      </c>
      <c r="F1436" s="4" t="s">
        <v>2847</v>
      </c>
      <c r="G1436" s="6">
        <v>5426.3588147803848</v>
      </c>
      <c r="H1436" s="6">
        <f t="shared" si="23"/>
        <v>15070717.947616149</v>
      </c>
      <c r="I1436" s="4" t="s">
        <v>2602</v>
      </c>
      <c r="J1436" s="4" t="s">
        <v>2199</v>
      </c>
      <c r="K1436" s="7">
        <v>4500</v>
      </c>
      <c r="L1436" s="4" t="s">
        <v>1031</v>
      </c>
      <c r="M1436" s="4" t="s">
        <v>61</v>
      </c>
      <c r="N1436" s="4"/>
    </row>
    <row r="1437" spans="1:14" ht="10.5" hidden="1" x14ac:dyDescent="0.25">
      <c r="A1437" s="8" t="s">
        <v>555</v>
      </c>
      <c r="B1437" s="4" t="s">
        <v>1092</v>
      </c>
      <c r="C1437" s="5">
        <v>44369</v>
      </c>
      <c r="D1437" s="4" t="s">
        <v>2848</v>
      </c>
      <c r="E1437" s="4" t="s">
        <v>2849</v>
      </c>
      <c r="F1437" s="4" t="s">
        <v>2849</v>
      </c>
      <c r="G1437" s="6">
        <v>3279.9324391561436</v>
      </c>
      <c r="H1437" s="6">
        <f t="shared" si="23"/>
        <v>15073997.880055305</v>
      </c>
      <c r="I1437" s="4" t="s">
        <v>2602</v>
      </c>
      <c r="J1437" s="4" t="s">
        <v>2199</v>
      </c>
      <c r="K1437" s="7">
        <v>2720</v>
      </c>
      <c r="L1437" s="4" t="s">
        <v>1031</v>
      </c>
      <c r="M1437" s="4" t="s">
        <v>61</v>
      </c>
      <c r="N1437" s="4"/>
    </row>
    <row r="1438" spans="1:14" ht="10.5" hidden="1" x14ac:dyDescent="0.25">
      <c r="A1438" s="8" t="s">
        <v>555</v>
      </c>
      <c r="B1438" s="4" t="s">
        <v>1092</v>
      </c>
      <c r="C1438" s="5">
        <v>44369</v>
      </c>
      <c r="D1438" s="4" t="s">
        <v>2850</v>
      </c>
      <c r="E1438" s="4" t="s">
        <v>2851</v>
      </c>
      <c r="F1438" s="4" t="s">
        <v>2851</v>
      </c>
      <c r="G1438" s="6">
        <v>289445.45609262731</v>
      </c>
      <c r="H1438" s="6">
        <f t="shared" si="23"/>
        <v>15363443.336147932</v>
      </c>
      <c r="I1438" s="4" t="s">
        <v>2578</v>
      </c>
      <c r="J1438" s="4" t="s">
        <v>2199</v>
      </c>
      <c r="K1438" s="7">
        <v>288000</v>
      </c>
      <c r="L1438" s="4" t="s">
        <v>1031</v>
      </c>
      <c r="M1438" s="4" t="s">
        <v>27</v>
      </c>
      <c r="N1438" s="4"/>
    </row>
    <row r="1439" spans="1:14" ht="10.5" hidden="1" x14ac:dyDescent="0.25">
      <c r="A1439" s="8" t="s">
        <v>555</v>
      </c>
      <c r="B1439" s="4" t="s">
        <v>1092</v>
      </c>
      <c r="C1439" s="5">
        <v>44370</v>
      </c>
      <c r="D1439" s="4" t="s">
        <v>2852</v>
      </c>
      <c r="E1439" s="4" t="s">
        <v>2853</v>
      </c>
      <c r="F1439" s="4" t="s">
        <v>2853</v>
      </c>
      <c r="G1439" s="6">
        <v>39856.969258131416</v>
      </c>
      <c r="H1439" s="6">
        <f t="shared" si="23"/>
        <v>15403300.305406064</v>
      </c>
      <c r="I1439" s="4" t="s">
        <v>2854</v>
      </c>
      <c r="J1439" s="4" t="s">
        <v>37</v>
      </c>
      <c r="K1439" s="7">
        <v>35135.22</v>
      </c>
      <c r="L1439" s="4" t="s">
        <v>1036</v>
      </c>
      <c r="M1439" s="4" t="s">
        <v>61</v>
      </c>
      <c r="N1439" s="4"/>
    </row>
    <row r="1440" spans="1:14" ht="10.5" hidden="1" x14ac:dyDescent="0.25">
      <c r="A1440" s="8" t="s">
        <v>555</v>
      </c>
      <c r="B1440" s="4" t="s">
        <v>1092</v>
      </c>
      <c r="C1440" s="5">
        <v>44372</v>
      </c>
      <c r="D1440" s="4" t="s">
        <v>2855</v>
      </c>
      <c r="E1440" s="4" t="s">
        <v>2856</v>
      </c>
      <c r="F1440" s="4" t="s">
        <v>2856</v>
      </c>
      <c r="G1440" s="6">
        <v>8863.0527308079618</v>
      </c>
      <c r="H1440" s="6">
        <f t="shared" si="23"/>
        <v>15412163.358136872</v>
      </c>
      <c r="I1440" s="4" t="s">
        <v>2697</v>
      </c>
      <c r="J1440" s="4" t="s">
        <v>2199</v>
      </c>
      <c r="K1440" s="7">
        <v>7350</v>
      </c>
      <c r="L1440" s="4" t="s">
        <v>1031</v>
      </c>
      <c r="M1440" s="4" t="s">
        <v>61</v>
      </c>
      <c r="N1440" s="4"/>
    </row>
    <row r="1441" spans="1:14" ht="10.5" hidden="1" x14ac:dyDescent="0.25">
      <c r="A1441" s="8" t="s">
        <v>555</v>
      </c>
      <c r="B1441" s="4" t="s">
        <v>1092</v>
      </c>
      <c r="C1441" s="5">
        <v>44372</v>
      </c>
      <c r="D1441" s="4" t="s">
        <v>2857</v>
      </c>
      <c r="E1441" s="4" t="s">
        <v>2858</v>
      </c>
      <c r="F1441" s="4" t="s">
        <v>2858</v>
      </c>
      <c r="G1441" s="6">
        <v>14875.273962355601</v>
      </c>
      <c r="H1441" s="6">
        <f t="shared" si="23"/>
        <v>15427038.632099228</v>
      </c>
      <c r="I1441" s="4" t="s">
        <v>2697</v>
      </c>
      <c r="J1441" s="4" t="s">
        <v>2199</v>
      </c>
      <c r="K1441" s="7">
        <v>12547.5</v>
      </c>
      <c r="L1441" s="4" t="s">
        <v>2086</v>
      </c>
      <c r="M1441" s="4" t="s">
        <v>61</v>
      </c>
      <c r="N1441" s="4"/>
    </row>
    <row r="1442" spans="1:14" ht="10.5" hidden="1" x14ac:dyDescent="0.25">
      <c r="A1442" s="8" t="s">
        <v>555</v>
      </c>
      <c r="B1442" s="4" t="s">
        <v>1092</v>
      </c>
      <c r="C1442" s="5">
        <v>44372</v>
      </c>
      <c r="D1442" s="4" t="s">
        <v>2859</v>
      </c>
      <c r="E1442" s="4" t="s">
        <v>2860</v>
      </c>
      <c r="F1442" s="4" t="s">
        <v>2860</v>
      </c>
      <c r="G1442" s="6">
        <v>1964.9943488825986</v>
      </c>
      <c r="H1442" s="6">
        <f t="shared" si="23"/>
        <v>15429003.62644811</v>
      </c>
      <c r="I1442" s="4" t="s">
        <v>2697</v>
      </c>
      <c r="J1442" s="4" t="s">
        <v>2199</v>
      </c>
      <c r="K1442" s="7">
        <v>1657.5</v>
      </c>
      <c r="L1442" s="4" t="s">
        <v>2086</v>
      </c>
      <c r="M1442" s="4" t="s">
        <v>61</v>
      </c>
      <c r="N1442" s="4"/>
    </row>
    <row r="1443" spans="1:14" ht="10.5" hidden="1" x14ac:dyDescent="0.25">
      <c r="A1443" s="8" t="s">
        <v>555</v>
      </c>
      <c r="B1443" s="4" t="s">
        <v>1092</v>
      </c>
      <c r="C1443" s="5">
        <v>44372</v>
      </c>
      <c r="D1443" s="4" t="s">
        <v>2861</v>
      </c>
      <c r="E1443" s="4" t="s">
        <v>2858</v>
      </c>
      <c r="F1443" s="4" t="s">
        <v>2858</v>
      </c>
      <c r="G1443" s="6">
        <v>9449.2932773135017</v>
      </c>
      <c r="H1443" s="6">
        <f t="shared" si="23"/>
        <v>15438452.919725424</v>
      </c>
      <c r="I1443" s="4" t="s">
        <v>2697</v>
      </c>
      <c r="J1443" s="4" t="s">
        <v>2199</v>
      </c>
      <c r="K1443" s="7">
        <v>7970.61</v>
      </c>
      <c r="L1443" s="4" t="s">
        <v>2086</v>
      </c>
      <c r="M1443" s="4" t="s">
        <v>61</v>
      </c>
      <c r="N1443" s="4"/>
    </row>
    <row r="1444" spans="1:14" ht="10.5" hidden="1" x14ac:dyDescent="0.25">
      <c r="A1444" s="8" t="s">
        <v>555</v>
      </c>
      <c r="B1444" s="4" t="s">
        <v>1092</v>
      </c>
      <c r="C1444" s="5">
        <v>44376</v>
      </c>
      <c r="D1444" s="4" t="s">
        <v>2862</v>
      </c>
      <c r="E1444" s="4" t="s">
        <v>2863</v>
      </c>
      <c r="F1444" s="4" t="s">
        <v>2863</v>
      </c>
      <c r="G1444" s="6">
        <v>42210.795680174815</v>
      </c>
      <c r="H1444" s="6">
        <f t="shared" si="23"/>
        <v>15480663.715405598</v>
      </c>
      <c r="I1444" s="4" t="s">
        <v>2802</v>
      </c>
      <c r="J1444" s="4" t="s">
        <v>2199</v>
      </c>
      <c r="K1444" s="7">
        <v>42000</v>
      </c>
      <c r="L1444" s="4" t="s">
        <v>1031</v>
      </c>
      <c r="M1444" s="4" t="s">
        <v>27</v>
      </c>
      <c r="N1444" s="4"/>
    </row>
    <row r="1445" spans="1:14" ht="10.5" hidden="1" x14ac:dyDescent="0.25">
      <c r="A1445" s="8" t="s">
        <v>555</v>
      </c>
      <c r="B1445" s="4" t="s">
        <v>1092</v>
      </c>
      <c r="C1445" s="5">
        <v>44376</v>
      </c>
      <c r="D1445" s="4" t="s">
        <v>2864</v>
      </c>
      <c r="E1445" s="4" t="s">
        <v>2865</v>
      </c>
      <c r="F1445" s="4" t="s">
        <v>2865</v>
      </c>
      <c r="G1445" s="6">
        <v>108548.91545945688</v>
      </c>
      <c r="H1445" s="6">
        <f t="shared" si="23"/>
        <v>15589212.630865056</v>
      </c>
      <c r="I1445" s="4" t="s">
        <v>2866</v>
      </c>
      <c r="J1445" s="4" t="s">
        <v>2199</v>
      </c>
      <c r="K1445" s="7">
        <v>90400</v>
      </c>
      <c r="L1445" s="4" t="s">
        <v>1033</v>
      </c>
      <c r="M1445" s="4" t="s">
        <v>308</v>
      </c>
      <c r="N1445" s="4"/>
    </row>
    <row r="1446" spans="1:14" ht="10.5" hidden="1" x14ac:dyDescent="0.25">
      <c r="A1446" s="8" t="s">
        <v>555</v>
      </c>
      <c r="B1446" s="4" t="s">
        <v>21</v>
      </c>
      <c r="C1446" s="5">
        <v>44377</v>
      </c>
      <c r="D1446" s="4" t="s">
        <v>2867</v>
      </c>
      <c r="E1446" s="4" t="s">
        <v>2868</v>
      </c>
      <c r="F1446" s="4" t="s">
        <v>2869</v>
      </c>
      <c r="G1446" s="6">
        <v>-36240.865854796881</v>
      </c>
      <c r="H1446" s="6">
        <f t="shared" si="23"/>
        <v>15552971.76501026</v>
      </c>
      <c r="I1446" s="4"/>
      <c r="J1446" s="4" t="s">
        <v>2199</v>
      </c>
      <c r="K1446" s="7">
        <v>-30054.02</v>
      </c>
      <c r="L1446" s="4" t="s">
        <v>1031</v>
      </c>
      <c r="M1446" s="4" t="s">
        <v>61</v>
      </c>
      <c r="N1446" s="4" t="s">
        <v>39</v>
      </c>
    </row>
    <row r="1447" spans="1:14" ht="10.5" hidden="1" x14ac:dyDescent="0.25">
      <c r="A1447" s="8" t="s">
        <v>555</v>
      </c>
      <c r="B1447" s="4" t="s">
        <v>21</v>
      </c>
      <c r="C1447" s="5">
        <v>44377</v>
      </c>
      <c r="D1447" s="4" t="s">
        <v>2867</v>
      </c>
      <c r="E1447" s="4" t="s">
        <v>2868</v>
      </c>
      <c r="F1447" s="4" t="s">
        <v>2870</v>
      </c>
      <c r="G1447" s="6">
        <v>430976.45411306265</v>
      </c>
      <c r="H1447" s="6">
        <f t="shared" si="23"/>
        <v>15983948.219123323</v>
      </c>
      <c r="I1447" s="4"/>
      <c r="J1447" s="4" t="s">
        <v>2199</v>
      </c>
      <c r="K1447" s="7">
        <v>357402.47</v>
      </c>
      <c r="L1447" s="4" t="s">
        <v>1031</v>
      </c>
      <c r="M1447" s="4" t="s">
        <v>61</v>
      </c>
      <c r="N1447" s="4" t="s">
        <v>39</v>
      </c>
    </row>
    <row r="1448" spans="1:14" ht="10.5" hidden="1" x14ac:dyDescent="0.25">
      <c r="A1448" s="8" t="s">
        <v>555</v>
      </c>
      <c r="B1448" s="4" t="s">
        <v>21</v>
      </c>
      <c r="C1448" s="5">
        <v>44377</v>
      </c>
      <c r="D1448" s="4" t="s">
        <v>2871</v>
      </c>
      <c r="E1448" s="4" t="s">
        <v>2872</v>
      </c>
      <c r="F1448" s="4" t="s">
        <v>2873</v>
      </c>
      <c r="G1448" s="6">
        <v>-214252.23408285537</v>
      </c>
      <c r="H1448" s="6">
        <f t="shared" si="23"/>
        <v>15769695.985040467</v>
      </c>
      <c r="I1448" s="4"/>
      <c r="J1448" s="4" t="s">
        <v>2199</v>
      </c>
      <c r="K1448" s="7">
        <v>-785848</v>
      </c>
      <c r="L1448" s="4" t="s">
        <v>1031</v>
      </c>
      <c r="M1448" s="4" t="s">
        <v>308</v>
      </c>
      <c r="N1448" s="4" t="s">
        <v>2874</v>
      </c>
    </row>
    <row r="1449" spans="1:14" ht="10.5" hidden="1" x14ac:dyDescent="0.25">
      <c r="A1449" s="8" t="s">
        <v>555</v>
      </c>
      <c r="B1449" s="4" t="s">
        <v>21</v>
      </c>
      <c r="C1449" s="5">
        <v>44377</v>
      </c>
      <c r="D1449" s="4" t="s">
        <v>2871</v>
      </c>
      <c r="E1449" s="4" t="s">
        <v>2872</v>
      </c>
      <c r="F1449" s="4" t="s">
        <v>2872</v>
      </c>
      <c r="G1449" s="6">
        <v>175080.57714696121</v>
      </c>
      <c r="H1449" s="6">
        <f t="shared" si="23"/>
        <v>15944776.562187428</v>
      </c>
      <c r="I1449" s="4"/>
      <c r="J1449" s="4" t="s">
        <v>2199</v>
      </c>
      <c r="K1449" s="7">
        <v>642171.69999999995</v>
      </c>
      <c r="L1449" s="4" t="s">
        <v>1031</v>
      </c>
      <c r="M1449" s="4" t="s">
        <v>308</v>
      </c>
      <c r="N1449" s="4" t="s">
        <v>2874</v>
      </c>
    </row>
    <row r="1450" spans="1:14" ht="10.5" hidden="1" x14ac:dyDescent="0.25">
      <c r="A1450" s="8" t="s">
        <v>555</v>
      </c>
      <c r="B1450" s="4" t="s">
        <v>21</v>
      </c>
      <c r="C1450" s="5">
        <v>44377</v>
      </c>
      <c r="D1450" s="4" t="s">
        <v>2875</v>
      </c>
      <c r="E1450" s="4" t="s">
        <v>2876</v>
      </c>
      <c r="F1450" s="4" t="s">
        <v>2876</v>
      </c>
      <c r="G1450" s="6">
        <v>-289445.45609262731</v>
      </c>
      <c r="H1450" s="6">
        <f t="shared" si="23"/>
        <v>15655331.1060948</v>
      </c>
      <c r="I1450" s="4"/>
      <c r="J1450" s="4" t="s">
        <v>2199</v>
      </c>
      <c r="K1450" s="7">
        <v>-288000</v>
      </c>
      <c r="L1450" s="4" t="s">
        <v>1031</v>
      </c>
      <c r="M1450" s="4" t="s">
        <v>27</v>
      </c>
      <c r="N1450" s="4" t="s">
        <v>118</v>
      </c>
    </row>
    <row r="1451" spans="1:14" ht="10.5" hidden="1" x14ac:dyDescent="0.25">
      <c r="A1451" s="8" t="s">
        <v>555</v>
      </c>
      <c r="B1451" s="4" t="s">
        <v>21</v>
      </c>
      <c r="C1451" s="5">
        <v>44377</v>
      </c>
      <c r="D1451" s="4" t="s">
        <v>2875</v>
      </c>
      <c r="E1451" s="4" t="s">
        <v>2876</v>
      </c>
      <c r="F1451" s="4" t="s">
        <v>2876</v>
      </c>
      <c r="G1451" s="6">
        <v>341535.58799985255</v>
      </c>
      <c r="H1451" s="6">
        <f t="shared" si="23"/>
        <v>15996866.694094652</v>
      </c>
      <c r="I1451" s="4"/>
      <c r="J1451" s="4" t="s">
        <v>2199</v>
      </c>
      <c r="K1451" s="7">
        <v>339830</v>
      </c>
      <c r="L1451" s="4" t="s">
        <v>1031</v>
      </c>
      <c r="M1451" s="4" t="s">
        <v>27</v>
      </c>
      <c r="N1451" s="4" t="s">
        <v>118</v>
      </c>
    </row>
    <row r="1452" spans="1:14" ht="10.5" hidden="1" x14ac:dyDescent="0.25">
      <c r="A1452" s="8" t="s">
        <v>555</v>
      </c>
      <c r="B1452" s="4" t="s">
        <v>21</v>
      </c>
      <c r="C1452" s="5">
        <v>44377</v>
      </c>
      <c r="D1452" s="4" t="s">
        <v>2875</v>
      </c>
      <c r="E1452" s="4" t="s">
        <v>2876</v>
      </c>
      <c r="F1452" s="4" t="s">
        <v>2876</v>
      </c>
      <c r="G1452" s="6">
        <v>-63316.193520262219</v>
      </c>
      <c r="H1452" s="6">
        <f t="shared" si="23"/>
        <v>15933550.500574389</v>
      </c>
      <c r="I1452" s="4"/>
      <c r="J1452" s="4" t="s">
        <v>2199</v>
      </c>
      <c r="K1452" s="7">
        <v>-63000</v>
      </c>
      <c r="L1452" s="4" t="s">
        <v>1031</v>
      </c>
      <c r="M1452" s="4" t="s">
        <v>27</v>
      </c>
      <c r="N1452" s="4" t="s">
        <v>118</v>
      </c>
    </row>
    <row r="1453" spans="1:14" ht="10.5" hidden="1" x14ac:dyDescent="0.25">
      <c r="A1453" s="8" t="s">
        <v>555</v>
      </c>
      <c r="B1453" s="4" t="s">
        <v>21</v>
      </c>
      <c r="C1453" s="5">
        <v>44377</v>
      </c>
      <c r="D1453" s="4" t="s">
        <v>2875</v>
      </c>
      <c r="E1453" s="4" t="s">
        <v>2876</v>
      </c>
      <c r="F1453" s="4" t="s">
        <v>2876</v>
      </c>
      <c r="G1453" s="6">
        <v>13653.18236464702</v>
      </c>
      <c r="H1453" s="6">
        <f t="shared" si="23"/>
        <v>15947203.682939036</v>
      </c>
      <c r="I1453" s="4"/>
      <c r="J1453" s="4" t="s">
        <v>2199</v>
      </c>
      <c r="K1453" s="7">
        <v>13585</v>
      </c>
      <c r="L1453" s="4" t="s">
        <v>1031</v>
      </c>
      <c r="M1453" s="4" t="s">
        <v>27</v>
      </c>
      <c r="N1453" s="4" t="s">
        <v>118</v>
      </c>
    </row>
    <row r="1454" spans="1:14" ht="10.5" hidden="1" x14ac:dyDescent="0.25">
      <c r="A1454" s="8" t="s">
        <v>555</v>
      </c>
      <c r="B1454" s="4" t="s">
        <v>21</v>
      </c>
      <c r="C1454" s="5">
        <v>44377</v>
      </c>
      <c r="D1454" s="4" t="s">
        <v>2875</v>
      </c>
      <c r="E1454" s="4" t="s">
        <v>2876</v>
      </c>
      <c r="F1454" s="4" t="s">
        <v>2876</v>
      </c>
      <c r="G1454" s="6">
        <v>10449.181968732799</v>
      </c>
      <c r="H1454" s="6">
        <f t="shared" si="23"/>
        <v>15957652.864907769</v>
      </c>
      <c r="I1454" s="4"/>
      <c r="J1454" s="4" t="s">
        <v>2199</v>
      </c>
      <c r="K1454" s="7">
        <v>10397</v>
      </c>
      <c r="L1454" s="4" t="s">
        <v>1031</v>
      </c>
      <c r="M1454" s="4" t="s">
        <v>27</v>
      </c>
      <c r="N1454" s="4" t="s">
        <v>118</v>
      </c>
    </row>
    <row r="1455" spans="1:14" ht="10.5" hidden="1" x14ac:dyDescent="0.25">
      <c r="A1455" s="8" t="s">
        <v>555</v>
      </c>
      <c r="B1455" s="4" t="s">
        <v>21</v>
      </c>
      <c r="C1455" s="5">
        <v>44377</v>
      </c>
      <c r="D1455" s="4" t="s">
        <v>2877</v>
      </c>
      <c r="E1455" s="4" t="s">
        <v>2878</v>
      </c>
      <c r="F1455" s="4" t="s">
        <v>2878</v>
      </c>
      <c r="G1455" s="6">
        <v>-366608.21410332853</v>
      </c>
      <c r="H1455" s="6">
        <f t="shared" si="23"/>
        <v>15591044.650804441</v>
      </c>
      <c r="I1455" s="4"/>
      <c r="J1455" s="4" t="s">
        <v>2199</v>
      </c>
      <c r="K1455" s="7">
        <v>-304022.83</v>
      </c>
      <c r="L1455" s="4" t="s">
        <v>1031</v>
      </c>
      <c r="M1455" s="4" t="s">
        <v>61</v>
      </c>
      <c r="N1455" s="4" t="s">
        <v>39</v>
      </c>
    </row>
    <row r="1456" spans="1:14" ht="10.5" hidden="1" x14ac:dyDescent="0.25">
      <c r="A1456" s="8" t="s">
        <v>555</v>
      </c>
      <c r="B1456" s="4" t="s">
        <v>21</v>
      </c>
      <c r="C1456" s="5">
        <v>44377</v>
      </c>
      <c r="D1456" s="4" t="s">
        <v>2879</v>
      </c>
      <c r="E1456" s="4" t="s">
        <v>2880</v>
      </c>
      <c r="F1456" s="4" t="s">
        <v>2880</v>
      </c>
      <c r="G1456" s="6">
        <v>218500.1033995249</v>
      </c>
      <c r="H1456" s="6">
        <f t="shared" si="23"/>
        <v>15809544.754203966</v>
      </c>
      <c r="I1456" s="4"/>
      <c r="J1456" s="4" t="s">
        <v>2199</v>
      </c>
      <c r="K1456" s="7">
        <v>181198.94</v>
      </c>
      <c r="L1456" s="4" t="s">
        <v>1031</v>
      </c>
      <c r="M1456" s="4" t="s">
        <v>61</v>
      </c>
      <c r="N1456" s="4" t="s">
        <v>39</v>
      </c>
    </row>
    <row r="1457" spans="1:14" ht="10.5" hidden="1" x14ac:dyDescent="0.25">
      <c r="A1457" s="8" t="s">
        <v>555</v>
      </c>
      <c r="B1457" s="4" t="s">
        <v>21</v>
      </c>
      <c r="C1457" s="5">
        <v>44378</v>
      </c>
      <c r="D1457" s="4" t="s">
        <v>2881</v>
      </c>
      <c r="E1457" s="4" t="s">
        <v>2868</v>
      </c>
      <c r="F1457" s="4" t="s">
        <v>2869</v>
      </c>
      <c r="G1457" s="6">
        <v>35629.550202838371</v>
      </c>
      <c r="H1457" s="6">
        <f t="shared" si="23"/>
        <v>15845174.304406805</v>
      </c>
      <c r="I1457" s="4"/>
      <c r="J1457" s="4" t="s">
        <v>2199</v>
      </c>
      <c r="K1457" s="7">
        <v>30054.02</v>
      </c>
      <c r="L1457" s="4" t="s">
        <v>2086</v>
      </c>
      <c r="M1457" s="4" t="s">
        <v>61</v>
      </c>
      <c r="N1457" s="4" t="s">
        <v>39</v>
      </c>
    </row>
    <row r="1458" spans="1:14" ht="10.5" hidden="1" x14ac:dyDescent="0.25">
      <c r="A1458" s="8" t="s">
        <v>555</v>
      </c>
      <c r="B1458" s="4" t="s">
        <v>21</v>
      </c>
      <c r="C1458" s="5">
        <v>44378</v>
      </c>
      <c r="D1458" s="4" t="s">
        <v>2881</v>
      </c>
      <c r="E1458" s="4" t="s">
        <v>2868</v>
      </c>
      <c r="F1458" s="4" t="s">
        <v>2870</v>
      </c>
      <c r="G1458" s="6">
        <v>-423706.68707492156</v>
      </c>
      <c r="H1458" s="6">
        <f t="shared" ref="H1458:H1521" si="24">H1457+G1458</f>
        <v>15421467.617331883</v>
      </c>
      <c r="I1458" s="4"/>
      <c r="J1458" s="4" t="s">
        <v>2199</v>
      </c>
      <c r="K1458" s="7">
        <v>-357402.47</v>
      </c>
      <c r="L1458" s="4" t="s">
        <v>2086</v>
      </c>
      <c r="M1458" s="4" t="s">
        <v>61</v>
      </c>
      <c r="N1458" s="4" t="s">
        <v>39</v>
      </c>
    </row>
    <row r="1459" spans="1:14" ht="10.5" hidden="1" x14ac:dyDescent="0.25">
      <c r="A1459" s="8" t="s">
        <v>555</v>
      </c>
      <c r="B1459" s="4" t="s">
        <v>21</v>
      </c>
      <c r="C1459" s="5">
        <v>44378</v>
      </c>
      <c r="D1459" s="4" t="s">
        <v>2882</v>
      </c>
      <c r="E1459" s="4" t="s">
        <v>2873</v>
      </c>
      <c r="F1459" s="4" t="s">
        <v>2873</v>
      </c>
      <c r="G1459" s="6">
        <v>-174691.09903796008</v>
      </c>
      <c r="H1459" s="6">
        <f t="shared" si="24"/>
        <v>15246776.518293923</v>
      </c>
      <c r="I1459" s="4"/>
      <c r="J1459" s="4" t="s">
        <v>2199</v>
      </c>
      <c r="K1459" s="7">
        <v>-642171.69999999995</v>
      </c>
      <c r="L1459" s="4" t="s">
        <v>2086</v>
      </c>
      <c r="M1459" s="4" t="s">
        <v>308</v>
      </c>
      <c r="N1459" s="4" t="s">
        <v>2874</v>
      </c>
    </row>
    <row r="1460" spans="1:14" ht="10.5" hidden="1" x14ac:dyDescent="0.25">
      <c r="A1460" s="8" t="s">
        <v>555</v>
      </c>
      <c r="B1460" s="4" t="s">
        <v>21</v>
      </c>
      <c r="C1460" s="5">
        <v>44378</v>
      </c>
      <c r="D1460" s="4" t="s">
        <v>2883</v>
      </c>
      <c r="E1460" s="4" t="s">
        <v>2878</v>
      </c>
      <c r="F1460" s="4" t="s">
        <v>2878</v>
      </c>
      <c r="G1460" s="6">
        <v>360424.21893290797</v>
      </c>
      <c r="H1460" s="6">
        <f t="shared" si="24"/>
        <v>15607200.737226831</v>
      </c>
      <c r="I1460" s="4"/>
      <c r="J1460" s="4" t="s">
        <v>2199</v>
      </c>
      <c r="K1460" s="7">
        <v>304022.83</v>
      </c>
      <c r="L1460" s="4" t="s">
        <v>2086</v>
      </c>
      <c r="M1460" s="4" t="s">
        <v>61</v>
      </c>
      <c r="N1460" s="4" t="s">
        <v>39</v>
      </c>
    </row>
    <row r="1461" spans="1:14" ht="10.5" hidden="1" x14ac:dyDescent="0.25">
      <c r="A1461" s="8" t="s">
        <v>555</v>
      </c>
      <c r="B1461" s="4" t="s">
        <v>21</v>
      </c>
      <c r="C1461" s="5">
        <v>44378</v>
      </c>
      <c r="D1461" s="4" t="s">
        <v>2884</v>
      </c>
      <c r="E1461" s="4" t="s">
        <v>2880</v>
      </c>
      <c r="F1461" s="4" t="s">
        <v>2880</v>
      </c>
      <c r="G1461" s="6">
        <v>-214814.41515747635</v>
      </c>
      <c r="H1461" s="6">
        <f t="shared" si="24"/>
        <v>15392386.322069354</v>
      </c>
      <c r="I1461" s="4"/>
      <c r="J1461" s="4" t="s">
        <v>2199</v>
      </c>
      <c r="K1461" s="7">
        <v>-181198.94</v>
      </c>
      <c r="L1461" s="4" t="s">
        <v>2086</v>
      </c>
      <c r="M1461" s="4" t="s">
        <v>61</v>
      </c>
      <c r="N1461" s="4" t="s">
        <v>39</v>
      </c>
    </row>
    <row r="1462" spans="1:14" ht="10.5" hidden="1" x14ac:dyDescent="0.25">
      <c r="A1462" s="8" t="s">
        <v>555</v>
      </c>
      <c r="B1462" s="4" t="s">
        <v>1092</v>
      </c>
      <c r="C1462" s="5">
        <v>44384</v>
      </c>
      <c r="D1462" s="4" t="s">
        <v>2885</v>
      </c>
      <c r="E1462" s="4" t="s">
        <v>2886</v>
      </c>
      <c r="F1462" s="4" t="s">
        <v>2886</v>
      </c>
      <c r="G1462" s="6">
        <v>2346.4023760198756</v>
      </c>
      <c r="H1462" s="6">
        <f t="shared" si="24"/>
        <v>15394732.724445375</v>
      </c>
      <c r="I1462" s="4" t="s">
        <v>2887</v>
      </c>
      <c r="J1462" s="4" t="s">
        <v>2199</v>
      </c>
      <c r="K1462" s="7">
        <v>175000</v>
      </c>
      <c r="L1462" s="4" t="s">
        <v>1033</v>
      </c>
      <c r="M1462" s="4" t="s">
        <v>308</v>
      </c>
      <c r="N1462" s="4"/>
    </row>
    <row r="1463" spans="1:14" ht="10.5" hidden="1" x14ac:dyDescent="0.25">
      <c r="A1463" s="8" t="s">
        <v>555</v>
      </c>
      <c r="B1463" s="4" t="s">
        <v>1092</v>
      </c>
      <c r="C1463" s="5">
        <v>44390</v>
      </c>
      <c r="D1463" s="4" t="s">
        <v>2888</v>
      </c>
      <c r="E1463" s="4" t="s">
        <v>2889</v>
      </c>
      <c r="F1463" s="4" t="s">
        <v>2889</v>
      </c>
      <c r="G1463" s="6">
        <v>10397.782098815862</v>
      </c>
      <c r="H1463" s="6">
        <f t="shared" si="24"/>
        <v>15405130.506544191</v>
      </c>
      <c r="I1463" s="4" t="s">
        <v>2676</v>
      </c>
      <c r="J1463" s="4" t="s">
        <v>2199</v>
      </c>
      <c r="K1463" s="7">
        <v>10400</v>
      </c>
      <c r="L1463" s="4" t="s">
        <v>2086</v>
      </c>
      <c r="M1463" s="4" t="s">
        <v>27</v>
      </c>
      <c r="N1463" s="4"/>
    </row>
    <row r="1464" spans="1:14" ht="10.5" hidden="1" x14ac:dyDescent="0.25">
      <c r="A1464" s="8" t="s">
        <v>555</v>
      </c>
      <c r="B1464" s="4" t="s">
        <v>1092</v>
      </c>
      <c r="C1464" s="5">
        <v>44399</v>
      </c>
      <c r="D1464" s="4" t="s">
        <v>2890</v>
      </c>
      <c r="E1464" s="4" t="s">
        <v>2891</v>
      </c>
      <c r="F1464" s="4" t="s">
        <v>2891</v>
      </c>
      <c r="G1464" s="6">
        <v>18671.892002956822</v>
      </c>
      <c r="H1464" s="6">
        <f t="shared" si="24"/>
        <v>15423802.398547148</v>
      </c>
      <c r="I1464" s="4" t="s">
        <v>2602</v>
      </c>
      <c r="J1464" s="4" t="s">
        <v>2199</v>
      </c>
      <c r="K1464" s="7">
        <v>15750</v>
      </c>
      <c r="L1464" s="4" t="s">
        <v>2086</v>
      </c>
      <c r="M1464" s="4" t="s">
        <v>61</v>
      </c>
      <c r="N1464" s="4"/>
    </row>
    <row r="1465" spans="1:14" ht="10.5" hidden="1" x14ac:dyDescent="0.25">
      <c r="A1465" s="8" t="s">
        <v>555</v>
      </c>
      <c r="B1465" s="4" t="s">
        <v>1092</v>
      </c>
      <c r="C1465" s="5">
        <v>44405</v>
      </c>
      <c r="D1465" s="4" t="s">
        <v>2892</v>
      </c>
      <c r="E1465" s="4" t="s">
        <v>2893</v>
      </c>
      <c r="F1465" s="4" t="s">
        <v>2893</v>
      </c>
      <c r="G1465" s="6">
        <v>5605.8405379863461</v>
      </c>
      <c r="H1465" s="6">
        <f t="shared" si="24"/>
        <v>15429408.239085134</v>
      </c>
      <c r="I1465" s="4" t="s">
        <v>2887</v>
      </c>
      <c r="J1465" s="4" t="s">
        <v>2199</v>
      </c>
      <c r="K1465" s="7">
        <v>417500</v>
      </c>
      <c r="L1465" s="4" t="s">
        <v>1033</v>
      </c>
      <c r="M1465" s="4" t="s">
        <v>61</v>
      </c>
      <c r="N1465" s="4"/>
    </row>
    <row r="1466" spans="1:14" ht="10.5" hidden="1" x14ac:dyDescent="0.25">
      <c r="A1466" s="8" t="s">
        <v>555</v>
      </c>
      <c r="B1466" s="4" t="s">
        <v>21</v>
      </c>
      <c r="C1466" s="5">
        <v>44408</v>
      </c>
      <c r="D1466" s="4" t="s">
        <v>2894</v>
      </c>
      <c r="E1466" s="4" t="s">
        <v>2895</v>
      </c>
      <c r="F1466" s="4" t="s">
        <v>2896</v>
      </c>
      <c r="G1466" s="6">
        <v>-51877.154879148431</v>
      </c>
      <c r="H1466" s="6">
        <f t="shared" si="24"/>
        <v>15377531.084205985</v>
      </c>
      <c r="I1466" s="4"/>
      <c r="J1466" s="4" t="s">
        <v>2199</v>
      </c>
      <c r="K1466" s="7">
        <v>-43759.1</v>
      </c>
      <c r="L1466" s="4" t="s">
        <v>2086</v>
      </c>
      <c r="M1466" s="4" t="s">
        <v>61</v>
      </c>
      <c r="N1466" s="4" t="s">
        <v>39</v>
      </c>
    </row>
    <row r="1467" spans="1:14" ht="10.5" hidden="1" x14ac:dyDescent="0.25">
      <c r="A1467" s="8" t="s">
        <v>555</v>
      </c>
      <c r="B1467" s="4" t="s">
        <v>21</v>
      </c>
      <c r="C1467" s="5">
        <v>44408</v>
      </c>
      <c r="D1467" s="4" t="s">
        <v>2894</v>
      </c>
      <c r="E1467" s="4" t="s">
        <v>2895</v>
      </c>
      <c r="F1467" s="4" t="s">
        <v>2897</v>
      </c>
      <c r="G1467" s="6">
        <v>419781.5945621705</v>
      </c>
      <c r="H1467" s="6">
        <f t="shared" si="24"/>
        <v>15797312.678768156</v>
      </c>
      <c r="I1467" s="4"/>
      <c r="J1467" s="4" t="s">
        <v>2199</v>
      </c>
      <c r="K1467" s="7">
        <v>354091.6</v>
      </c>
      <c r="L1467" s="4" t="s">
        <v>2086</v>
      </c>
      <c r="M1467" s="4" t="s">
        <v>61</v>
      </c>
      <c r="N1467" s="4" t="s">
        <v>39</v>
      </c>
    </row>
    <row r="1468" spans="1:14" ht="10.5" hidden="1" x14ac:dyDescent="0.25">
      <c r="A1468" s="8" t="s">
        <v>555</v>
      </c>
      <c r="B1468" s="4" t="s">
        <v>21</v>
      </c>
      <c r="C1468" s="5">
        <v>44408</v>
      </c>
      <c r="D1468" s="4" t="s">
        <v>2898</v>
      </c>
      <c r="E1468" s="4" t="s">
        <v>2899</v>
      </c>
      <c r="F1468" s="4" t="s">
        <v>2899</v>
      </c>
      <c r="G1468" s="6">
        <v>275307.27552139701</v>
      </c>
      <c r="H1468" s="6">
        <f t="shared" si="24"/>
        <v>16072619.954289554</v>
      </c>
      <c r="I1468" s="4"/>
      <c r="J1468" s="4" t="s">
        <v>2199</v>
      </c>
      <c r="K1468" s="7">
        <v>275366</v>
      </c>
      <c r="L1468" s="4" t="s">
        <v>2086</v>
      </c>
      <c r="M1468" s="4" t="s">
        <v>27</v>
      </c>
      <c r="N1468" s="4" t="s">
        <v>1091</v>
      </c>
    </row>
    <row r="1469" spans="1:14" ht="10.5" hidden="1" x14ac:dyDescent="0.25">
      <c r="A1469" s="8" t="s">
        <v>555</v>
      </c>
      <c r="B1469" s="4" t="s">
        <v>21</v>
      </c>
      <c r="C1469" s="5">
        <v>44408</v>
      </c>
      <c r="D1469" s="4" t="s">
        <v>2898</v>
      </c>
      <c r="E1469" s="4" t="s">
        <v>2899</v>
      </c>
      <c r="F1469" s="4" t="s">
        <v>2899</v>
      </c>
      <c r="G1469" s="6">
        <v>9369.0015430772546</v>
      </c>
      <c r="H1469" s="6">
        <f t="shared" si="24"/>
        <v>16081988.95583263</v>
      </c>
      <c r="I1469" s="4"/>
      <c r="J1469" s="4" t="s">
        <v>2199</v>
      </c>
      <c r="K1469" s="7">
        <v>9371</v>
      </c>
      <c r="L1469" s="4" t="s">
        <v>2086</v>
      </c>
      <c r="M1469" s="4" t="s">
        <v>27</v>
      </c>
      <c r="N1469" s="4" t="s">
        <v>1091</v>
      </c>
    </row>
    <row r="1470" spans="1:14" ht="10.5" hidden="1" x14ac:dyDescent="0.25">
      <c r="A1470" s="8" t="s">
        <v>555</v>
      </c>
      <c r="B1470" s="4" t="s">
        <v>21</v>
      </c>
      <c r="C1470" s="5">
        <v>44408</v>
      </c>
      <c r="D1470" s="4" t="s">
        <v>2898</v>
      </c>
      <c r="E1470" s="4" t="s">
        <v>2899</v>
      </c>
      <c r="F1470" s="4" t="s">
        <v>2899</v>
      </c>
      <c r="G1470" s="6">
        <v>8159.2595873496393</v>
      </c>
      <c r="H1470" s="6">
        <f t="shared" si="24"/>
        <v>16090148.21541998</v>
      </c>
      <c r="I1470" s="4"/>
      <c r="J1470" s="4" t="s">
        <v>2199</v>
      </c>
      <c r="K1470" s="7">
        <v>8161</v>
      </c>
      <c r="L1470" s="4" t="s">
        <v>2086</v>
      </c>
      <c r="M1470" s="4" t="s">
        <v>27</v>
      </c>
      <c r="N1470" s="4" t="s">
        <v>1091</v>
      </c>
    </row>
    <row r="1471" spans="1:14" ht="10.5" hidden="1" x14ac:dyDescent="0.25">
      <c r="A1471" s="8" t="s">
        <v>555</v>
      </c>
      <c r="B1471" s="4" t="s">
        <v>21</v>
      </c>
      <c r="C1471" s="5">
        <v>44408</v>
      </c>
      <c r="D1471" s="4" t="s">
        <v>2900</v>
      </c>
      <c r="E1471" s="4" t="s">
        <v>2901</v>
      </c>
      <c r="F1471" s="4" t="s">
        <v>2901</v>
      </c>
      <c r="G1471" s="6">
        <v>255718.01720420507</v>
      </c>
      <c r="H1471" s="6">
        <f t="shared" si="24"/>
        <v>16345866.232624184</v>
      </c>
      <c r="I1471" s="4"/>
      <c r="J1471" s="4" t="s">
        <v>2199</v>
      </c>
      <c r="K1471" s="7">
        <v>940030</v>
      </c>
      <c r="L1471" s="4" t="s">
        <v>2086</v>
      </c>
      <c r="M1471" s="4" t="s">
        <v>308</v>
      </c>
      <c r="N1471" s="4" t="s">
        <v>1091</v>
      </c>
    </row>
    <row r="1472" spans="1:14" ht="10.5" hidden="1" x14ac:dyDescent="0.25">
      <c r="A1472" s="8" t="s">
        <v>555</v>
      </c>
      <c r="B1472" s="4" t="s">
        <v>21</v>
      </c>
      <c r="C1472" s="5">
        <v>44409</v>
      </c>
      <c r="D1472" s="4" t="s">
        <v>2902</v>
      </c>
      <c r="E1472" s="4" t="s">
        <v>2895</v>
      </c>
      <c r="F1472" s="4" t="s">
        <v>2896</v>
      </c>
      <c r="G1472" s="6">
        <v>51842.97481952214</v>
      </c>
      <c r="H1472" s="6">
        <f t="shared" si="24"/>
        <v>16397709.207443707</v>
      </c>
      <c r="I1472" s="4"/>
      <c r="J1472" s="4" t="s">
        <v>2199</v>
      </c>
      <c r="K1472" s="7">
        <v>43759.1</v>
      </c>
      <c r="L1472" s="4" t="s">
        <v>2097</v>
      </c>
      <c r="M1472" s="4" t="s">
        <v>61</v>
      </c>
      <c r="N1472" s="4" t="s">
        <v>39</v>
      </c>
    </row>
    <row r="1473" spans="1:14" ht="10.5" hidden="1" x14ac:dyDescent="0.25">
      <c r="A1473" s="8" t="s">
        <v>555</v>
      </c>
      <c r="B1473" s="4" t="s">
        <v>21</v>
      </c>
      <c r="C1473" s="5">
        <v>44409</v>
      </c>
      <c r="D1473" s="4" t="s">
        <v>2902</v>
      </c>
      <c r="E1473" s="4" t="s">
        <v>2895</v>
      </c>
      <c r="F1473" s="4" t="s">
        <v>2897</v>
      </c>
      <c r="G1473" s="6">
        <v>-419505.01501640357</v>
      </c>
      <c r="H1473" s="6">
        <f t="shared" si="24"/>
        <v>15978204.192427304</v>
      </c>
      <c r="I1473" s="4"/>
      <c r="J1473" s="4" t="s">
        <v>2199</v>
      </c>
      <c r="K1473" s="7">
        <v>-354091.6</v>
      </c>
      <c r="L1473" s="4" t="s">
        <v>2097</v>
      </c>
      <c r="M1473" s="4" t="s">
        <v>61</v>
      </c>
      <c r="N1473" s="4" t="s">
        <v>39</v>
      </c>
    </row>
    <row r="1474" spans="1:14" ht="10.5" hidden="1" x14ac:dyDescent="0.25">
      <c r="A1474" s="8" t="s">
        <v>555</v>
      </c>
      <c r="B1474" s="4" t="s">
        <v>1092</v>
      </c>
      <c r="C1474" s="5">
        <v>44412</v>
      </c>
      <c r="D1474" s="4" t="s">
        <v>2903</v>
      </c>
      <c r="E1474" s="4" t="s">
        <v>2904</v>
      </c>
      <c r="F1474" s="4" t="s">
        <v>2904</v>
      </c>
      <c r="G1474" s="6">
        <v>52578.461909199978</v>
      </c>
      <c r="H1474" s="6">
        <f t="shared" si="24"/>
        <v>16030782.654336503</v>
      </c>
      <c r="I1474" s="4" t="s">
        <v>2802</v>
      </c>
      <c r="J1474" s="4" t="s">
        <v>2199</v>
      </c>
      <c r="K1474" s="7">
        <v>52500</v>
      </c>
      <c r="L1474" s="4" t="s">
        <v>2097</v>
      </c>
      <c r="M1474" s="4" t="s">
        <v>27</v>
      </c>
      <c r="N1474" s="4"/>
    </row>
    <row r="1475" spans="1:14" ht="10.5" hidden="1" x14ac:dyDescent="0.25">
      <c r="A1475" s="8" t="s">
        <v>555</v>
      </c>
      <c r="B1475" s="4" t="s">
        <v>1092</v>
      </c>
      <c r="C1475" s="5">
        <v>44424</v>
      </c>
      <c r="D1475" s="4" t="s">
        <v>2905</v>
      </c>
      <c r="E1475" s="4" t="s">
        <v>2893</v>
      </c>
      <c r="F1475" s="4" t="s">
        <v>2893</v>
      </c>
      <c r="G1475" s="6">
        <v>7867.7690626656358</v>
      </c>
      <c r="H1475" s="6">
        <f t="shared" si="24"/>
        <v>16038650.423399169</v>
      </c>
      <c r="I1475" s="4" t="s">
        <v>2887</v>
      </c>
      <c r="J1475" s="4" t="s">
        <v>2199</v>
      </c>
      <c r="K1475" s="7">
        <v>592500</v>
      </c>
      <c r="L1475" s="4" t="s">
        <v>2127</v>
      </c>
      <c r="M1475" s="4" t="s">
        <v>61</v>
      </c>
      <c r="N1475" s="4"/>
    </row>
    <row r="1476" spans="1:14" ht="10.5" hidden="1" x14ac:dyDescent="0.25">
      <c r="A1476" s="8" t="s">
        <v>555</v>
      </c>
      <c r="B1476" s="4" t="s">
        <v>1092</v>
      </c>
      <c r="C1476" s="5">
        <v>44424</v>
      </c>
      <c r="D1476" s="4" t="s">
        <v>2906</v>
      </c>
      <c r="E1476" s="4" t="s">
        <v>2907</v>
      </c>
      <c r="F1476" s="4" t="s">
        <v>2907</v>
      </c>
      <c r="G1476" s="6">
        <v>5210.7984950654363</v>
      </c>
      <c r="H1476" s="6">
        <f t="shared" si="24"/>
        <v>16043861.221894234</v>
      </c>
      <c r="I1476" s="4" t="s">
        <v>2676</v>
      </c>
      <c r="J1476" s="4" t="s">
        <v>2199</v>
      </c>
      <c r="K1476" s="7">
        <v>5200</v>
      </c>
      <c r="L1476" s="4" t="s">
        <v>1036</v>
      </c>
      <c r="M1476" s="4" t="s">
        <v>27</v>
      </c>
      <c r="N1476" s="4"/>
    </row>
    <row r="1477" spans="1:14" ht="10.5" hidden="1" x14ac:dyDescent="0.25">
      <c r="A1477" s="8" t="s">
        <v>555</v>
      </c>
      <c r="B1477" s="4" t="s">
        <v>21</v>
      </c>
      <c r="C1477" s="5">
        <v>44439</v>
      </c>
      <c r="D1477" s="4" t="s">
        <v>2908</v>
      </c>
      <c r="E1477" s="4" t="s">
        <v>2909</v>
      </c>
      <c r="F1477" s="4" t="s">
        <v>2910</v>
      </c>
      <c r="G1477" s="6">
        <v>-43983.318673710368</v>
      </c>
      <c r="H1477" s="6">
        <f t="shared" si="24"/>
        <v>15999877.903220523</v>
      </c>
      <c r="I1477" s="4"/>
      <c r="J1477" s="4" t="s">
        <v>2199</v>
      </c>
      <c r="K1477" s="7">
        <v>-37125</v>
      </c>
      <c r="L1477" s="4" t="s">
        <v>2097</v>
      </c>
      <c r="M1477" s="4" t="s">
        <v>61</v>
      </c>
      <c r="N1477" s="4" t="s">
        <v>39</v>
      </c>
    </row>
    <row r="1478" spans="1:14" ht="10.5" hidden="1" x14ac:dyDescent="0.25">
      <c r="A1478" s="8" t="s">
        <v>555</v>
      </c>
      <c r="B1478" s="4" t="s">
        <v>21</v>
      </c>
      <c r="C1478" s="5">
        <v>44439</v>
      </c>
      <c r="D1478" s="4" t="s">
        <v>2908</v>
      </c>
      <c r="E1478" s="4" t="s">
        <v>2909</v>
      </c>
      <c r="F1478" s="4" t="s">
        <v>2911</v>
      </c>
      <c r="G1478" s="6">
        <v>460822.03825555684</v>
      </c>
      <c r="H1478" s="6">
        <f t="shared" si="24"/>
        <v>16460699.941476081</v>
      </c>
      <c r="I1478" s="4"/>
      <c r="J1478" s="4" t="s">
        <v>2199</v>
      </c>
      <c r="K1478" s="7">
        <v>388966.06</v>
      </c>
      <c r="L1478" s="4" t="s">
        <v>2097</v>
      </c>
      <c r="M1478" s="4" t="s">
        <v>61</v>
      </c>
      <c r="N1478" s="4" t="s">
        <v>39</v>
      </c>
    </row>
    <row r="1479" spans="1:14" ht="10.5" hidden="1" x14ac:dyDescent="0.25">
      <c r="A1479" s="8" t="s">
        <v>555</v>
      </c>
      <c r="B1479" s="4" t="s">
        <v>21</v>
      </c>
      <c r="C1479" s="5">
        <v>44439</v>
      </c>
      <c r="D1479" s="4" t="s">
        <v>2912</v>
      </c>
      <c r="E1479" s="4" t="s">
        <v>2913</v>
      </c>
      <c r="F1479" s="4" t="s">
        <v>2913</v>
      </c>
      <c r="G1479" s="6">
        <v>233840.95672576991</v>
      </c>
      <c r="H1479" s="6">
        <f t="shared" si="24"/>
        <v>16694540.898201851</v>
      </c>
      <c r="I1479" s="4"/>
      <c r="J1479" s="4" t="s">
        <v>2199</v>
      </c>
      <c r="K1479" s="7">
        <v>233492</v>
      </c>
      <c r="L1479" s="4" t="s">
        <v>2097</v>
      </c>
      <c r="M1479" s="4" t="s">
        <v>27</v>
      </c>
      <c r="N1479" s="4" t="s">
        <v>118</v>
      </c>
    </row>
    <row r="1480" spans="1:14" ht="10.5" hidden="1" x14ac:dyDescent="0.25">
      <c r="A1480" s="8" t="s">
        <v>555</v>
      </c>
      <c r="B1480" s="4" t="s">
        <v>21</v>
      </c>
      <c r="C1480" s="5">
        <v>44439</v>
      </c>
      <c r="D1480" s="4" t="s">
        <v>2912</v>
      </c>
      <c r="E1480" s="4" t="s">
        <v>2913</v>
      </c>
      <c r="F1480" s="4" t="s">
        <v>2913</v>
      </c>
      <c r="G1480" s="6">
        <v>-42475.385266533129</v>
      </c>
      <c r="H1480" s="6">
        <f t="shared" si="24"/>
        <v>16652065.512935318</v>
      </c>
      <c r="I1480" s="4"/>
      <c r="J1480" s="4" t="s">
        <v>2199</v>
      </c>
      <c r="K1480" s="7">
        <v>-42412</v>
      </c>
      <c r="L1480" s="4" t="s">
        <v>2097</v>
      </c>
      <c r="M1480" s="4" t="s">
        <v>27</v>
      </c>
      <c r="N1480" s="4" t="s">
        <v>118</v>
      </c>
    </row>
    <row r="1481" spans="1:14" ht="10.5" hidden="1" x14ac:dyDescent="0.25">
      <c r="A1481" s="8" t="s">
        <v>555</v>
      </c>
      <c r="B1481" s="4" t="s">
        <v>21</v>
      </c>
      <c r="C1481" s="5">
        <v>44439</v>
      </c>
      <c r="D1481" s="4" t="s">
        <v>2912</v>
      </c>
      <c r="E1481" s="4" t="s">
        <v>2913</v>
      </c>
      <c r="F1481" s="4" t="s">
        <v>2913</v>
      </c>
      <c r="G1481" s="6">
        <v>-18585.735164017773</v>
      </c>
      <c r="H1481" s="6">
        <f t="shared" si="24"/>
        <v>16633479.7777713</v>
      </c>
      <c r="I1481" s="4"/>
      <c r="J1481" s="4" t="s">
        <v>2199</v>
      </c>
      <c r="K1481" s="7">
        <v>-18558</v>
      </c>
      <c r="L1481" s="4" t="s">
        <v>2097</v>
      </c>
      <c r="M1481" s="4" t="s">
        <v>27</v>
      </c>
      <c r="N1481" s="4" t="s">
        <v>118</v>
      </c>
    </row>
    <row r="1482" spans="1:14" ht="10.5" hidden="1" x14ac:dyDescent="0.25">
      <c r="A1482" s="8" t="s">
        <v>555</v>
      </c>
      <c r="B1482" s="4" t="s">
        <v>21</v>
      </c>
      <c r="C1482" s="5">
        <v>44439</v>
      </c>
      <c r="D1482" s="4" t="s">
        <v>2912</v>
      </c>
      <c r="E1482" s="4" t="s">
        <v>2913</v>
      </c>
      <c r="F1482" s="4" t="s">
        <v>2913</v>
      </c>
      <c r="G1482" s="6">
        <v>28885.785747414171</v>
      </c>
      <c r="H1482" s="6">
        <f t="shared" si="24"/>
        <v>16662365.563518714</v>
      </c>
      <c r="I1482" s="4"/>
      <c r="J1482" s="4" t="s">
        <v>2199</v>
      </c>
      <c r="K1482" s="7">
        <v>28842.68</v>
      </c>
      <c r="L1482" s="4" t="s">
        <v>2097</v>
      </c>
      <c r="M1482" s="4" t="s">
        <v>27</v>
      </c>
      <c r="N1482" s="4" t="s">
        <v>118</v>
      </c>
    </row>
    <row r="1483" spans="1:14" ht="10.5" hidden="1" x14ac:dyDescent="0.25">
      <c r="A1483" s="8" t="s">
        <v>555</v>
      </c>
      <c r="B1483" s="4" t="s">
        <v>21</v>
      </c>
      <c r="C1483" s="5">
        <v>44439</v>
      </c>
      <c r="D1483" s="4" t="s">
        <v>2914</v>
      </c>
      <c r="E1483" s="4" t="s">
        <v>2915</v>
      </c>
      <c r="F1483" s="4" t="s">
        <v>2915</v>
      </c>
      <c r="G1483" s="6">
        <v>127614.31004596577</v>
      </c>
      <c r="H1483" s="6">
        <f t="shared" si="24"/>
        <v>16789979.873564679</v>
      </c>
      <c r="I1483" s="4"/>
      <c r="J1483" s="4" t="s">
        <v>2199</v>
      </c>
      <c r="K1483" s="7">
        <v>468377</v>
      </c>
      <c r="L1483" s="4" t="s">
        <v>2097</v>
      </c>
      <c r="M1483" s="4" t="s">
        <v>308</v>
      </c>
      <c r="N1483" s="4" t="s">
        <v>118</v>
      </c>
    </row>
    <row r="1484" spans="1:14" ht="10.5" hidden="1" x14ac:dyDescent="0.25">
      <c r="A1484" s="8" t="s">
        <v>555</v>
      </c>
      <c r="B1484" s="4" t="s">
        <v>21</v>
      </c>
      <c r="C1484" s="5">
        <v>44440</v>
      </c>
      <c r="D1484" s="4" t="s">
        <v>2916</v>
      </c>
      <c r="E1484" s="4" t="s">
        <v>2909</v>
      </c>
      <c r="F1484" s="4" t="s">
        <v>2910</v>
      </c>
      <c r="G1484" s="6">
        <v>43957.973993334628</v>
      </c>
      <c r="H1484" s="6">
        <f t="shared" si="24"/>
        <v>16833937.847558014</v>
      </c>
      <c r="I1484" s="4"/>
      <c r="J1484" s="4" t="s">
        <v>2199</v>
      </c>
      <c r="K1484" s="7">
        <v>37125</v>
      </c>
      <c r="L1484" s="4" t="s">
        <v>1033</v>
      </c>
      <c r="M1484" s="4" t="s">
        <v>61</v>
      </c>
      <c r="N1484" s="4" t="s">
        <v>39</v>
      </c>
    </row>
    <row r="1485" spans="1:14" ht="10.5" hidden="1" x14ac:dyDescent="0.25">
      <c r="A1485" s="8" t="s">
        <v>555</v>
      </c>
      <c r="B1485" s="4" t="s">
        <v>21</v>
      </c>
      <c r="C1485" s="5">
        <v>44440</v>
      </c>
      <c r="D1485" s="4" t="s">
        <v>2916</v>
      </c>
      <c r="E1485" s="4" t="s">
        <v>2909</v>
      </c>
      <c r="F1485" s="4" t="s">
        <v>2911</v>
      </c>
      <c r="G1485" s="6">
        <v>-460556.49696349725</v>
      </c>
      <c r="H1485" s="6">
        <f t="shared" si="24"/>
        <v>16373381.350594517</v>
      </c>
      <c r="I1485" s="4"/>
      <c r="J1485" s="4" t="s">
        <v>2199</v>
      </c>
      <c r="K1485" s="7">
        <v>-388966.06</v>
      </c>
      <c r="L1485" s="4" t="s">
        <v>1033</v>
      </c>
      <c r="M1485" s="4" t="s">
        <v>61</v>
      </c>
      <c r="N1485" s="4" t="s">
        <v>39</v>
      </c>
    </row>
    <row r="1486" spans="1:14" ht="10.5" hidden="1" x14ac:dyDescent="0.25">
      <c r="A1486" s="8" t="s">
        <v>555</v>
      </c>
      <c r="B1486" s="4" t="s">
        <v>1092</v>
      </c>
      <c r="C1486" s="5">
        <v>44446</v>
      </c>
      <c r="D1486" s="4" t="s">
        <v>2917</v>
      </c>
      <c r="E1486" s="4" t="s">
        <v>2918</v>
      </c>
      <c r="F1486" s="4" t="s">
        <v>2918</v>
      </c>
      <c r="G1486" s="6">
        <v>10992.901869131101</v>
      </c>
      <c r="H1486" s="6">
        <f t="shared" si="24"/>
        <v>16384374.252463648</v>
      </c>
      <c r="I1486" s="4" t="s">
        <v>2584</v>
      </c>
      <c r="J1486" s="4" t="s">
        <v>2199</v>
      </c>
      <c r="K1486" s="7">
        <v>9325.52</v>
      </c>
      <c r="L1486" s="4" t="s">
        <v>2127</v>
      </c>
      <c r="M1486" s="4" t="s">
        <v>308</v>
      </c>
      <c r="N1486" s="4"/>
    </row>
    <row r="1487" spans="1:14" ht="10.5" hidden="1" x14ac:dyDescent="0.25">
      <c r="A1487" s="8" t="s">
        <v>555</v>
      </c>
      <c r="B1487" s="4" t="s">
        <v>1092</v>
      </c>
      <c r="C1487" s="5">
        <v>44447</v>
      </c>
      <c r="D1487" s="4" t="s">
        <v>2919</v>
      </c>
      <c r="E1487" s="4" t="s">
        <v>2920</v>
      </c>
      <c r="F1487" s="4" t="s">
        <v>2920</v>
      </c>
      <c r="G1487" s="6">
        <v>19805.316969921376</v>
      </c>
      <c r="H1487" s="6">
        <f t="shared" si="24"/>
        <v>16404179.56943357</v>
      </c>
      <c r="I1487" s="4" t="s">
        <v>2826</v>
      </c>
      <c r="J1487" s="4" t="s">
        <v>2199</v>
      </c>
      <c r="K1487" s="7">
        <v>72250</v>
      </c>
      <c r="L1487" s="4" t="s">
        <v>1033</v>
      </c>
      <c r="M1487" s="4" t="s">
        <v>308</v>
      </c>
      <c r="N1487" s="4"/>
    </row>
    <row r="1488" spans="1:14" ht="10.5" hidden="1" x14ac:dyDescent="0.25">
      <c r="A1488" s="8" t="s">
        <v>555</v>
      </c>
      <c r="B1488" s="4" t="s">
        <v>1092</v>
      </c>
      <c r="C1488" s="5">
        <v>44453</v>
      </c>
      <c r="D1488" s="4" t="s">
        <v>2921</v>
      </c>
      <c r="E1488" s="4" t="s">
        <v>2922</v>
      </c>
      <c r="F1488" s="4" t="s">
        <v>2922</v>
      </c>
      <c r="G1488" s="6">
        <v>7577.9402978408516</v>
      </c>
      <c r="H1488" s="6">
        <f t="shared" si="24"/>
        <v>16411757.50973141</v>
      </c>
      <c r="I1488" s="4" t="s">
        <v>2668</v>
      </c>
      <c r="J1488" s="4" t="s">
        <v>2199</v>
      </c>
      <c r="K1488" s="7">
        <v>6400</v>
      </c>
      <c r="L1488" s="4" t="s">
        <v>1033</v>
      </c>
      <c r="M1488" s="4" t="s">
        <v>61</v>
      </c>
      <c r="N1488" s="4"/>
    </row>
    <row r="1489" spans="1:14" ht="10.5" hidden="1" x14ac:dyDescent="0.25">
      <c r="A1489" s="8" t="s">
        <v>555</v>
      </c>
      <c r="B1489" s="4" t="s">
        <v>1092</v>
      </c>
      <c r="C1489" s="5">
        <v>44459</v>
      </c>
      <c r="D1489" s="4" t="s">
        <v>2923</v>
      </c>
      <c r="E1489" s="4" t="s">
        <v>2924</v>
      </c>
      <c r="F1489" s="4" t="s">
        <v>2924</v>
      </c>
      <c r="G1489" s="6">
        <v>185707.70011881008</v>
      </c>
      <c r="H1489" s="6">
        <f t="shared" si="24"/>
        <v>16597465.20985022</v>
      </c>
      <c r="I1489" s="4" t="s">
        <v>2826</v>
      </c>
      <c r="J1489" s="4" t="s">
        <v>2199</v>
      </c>
      <c r="K1489" s="7">
        <v>677463.6</v>
      </c>
      <c r="L1489" s="4" t="s">
        <v>1033</v>
      </c>
      <c r="M1489" s="4" t="s">
        <v>308</v>
      </c>
      <c r="N1489" s="4"/>
    </row>
    <row r="1490" spans="1:14" ht="10.5" hidden="1" x14ac:dyDescent="0.25">
      <c r="A1490" s="8" t="s">
        <v>555</v>
      </c>
      <c r="B1490" s="4" t="s">
        <v>1092</v>
      </c>
      <c r="C1490" s="5">
        <v>44459</v>
      </c>
      <c r="D1490" s="4" t="s">
        <v>2925</v>
      </c>
      <c r="E1490" s="4" t="s">
        <v>2926</v>
      </c>
      <c r="F1490" s="4" t="s">
        <v>2926</v>
      </c>
      <c r="G1490" s="6">
        <v>185707.70011881008</v>
      </c>
      <c r="H1490" s="6">
        <f t="shared" si="24"/>
        <v>16783172.909969032</v>
      </c>
      <c r="I1490" s="4" t="s">
        <v>2826</v>
      </c>
      <c r="J1490" s="4" t="s">
        <v>2199</v>
      </c>
      <c r="K1490" s="7">
        <v>677463.6</v>
      </c>
      <c r="L1490" s="4" t="s">
        <v>1033</v>
      </c>
      <c r="M1490" s="4" t="s">
        <v>308</v>
      </c>
      <c r="N1490" s="4"/>
    </row>
    <row r="1491" spans="1:14" ht="10.5" hidden="1" x14ac:dyDescent="0.25">
      <c r="A1491" s="8" t="s">
        <v>555</v>
      </c>
      <c r="B1491" s="4" t="s">
        <v>1092</v>
      </c>
      <c r="C1491" s="5">
        <v>44469</v>
      </c>
      <c r="D1491" s="4" t="s">
        <v>2927</v>
      </c>
      <c r="E1491" s="4" t="s">
        <v>2928</v>
      </c>
      <c r="F1491" s="4" t="s">
        <v>2928</v>
      </c>
      <c r="G1491" s="6">
        <v>241707.54880371768</v>
      </c>
      <c r="H1491" s="6">
        <f t="shared" si="24"/>
        <v>17024880.458772749</v>
      </c>
      <c r="I1491" s="4" t="s">
        <v>2578</v>
      </c>
      <c r="J1491" s="4" t="s">
        <v>2199</v>
      </c>
      <c r="K1491" s="7">
        <v>240000</v>
      </c>
      <c r="L1491" s="4" t="s">
        <v>1033</v>
      </c>
      <c r="M1491" s="4" t="s">
        <v>27</v>
      </c>
      <c r="N1491" s="4"/>
    </row>
    <row r="1492" spans="1:14" ht="10.5" hidden="1" x14ac:dyDescent="0.25">
      <c r="A1492" s="8" t="s">
        <v>555</v>
      </c>
      <c r="B1492" s="4" t="s">
        <v>1092</v>
      </c>
      <c r="C1492" s="5">
        <v>44469</v>
      </c>
      <c r="D1492" s="4" t="s">
        <v>2929</v>
      </c>
      <c r="E1492" s="4" t="s">
        <v>2930</v>
      </c>
      <c r="F1492" s="4" t="s">
        <v>2930</v>
      </c>
      <c r="G1492" s="6">
        <v>42298.821040650597</v>
      </c>
      <c r="H1492" s="6">
        <f t="shared" si="24"/>
        <v>17067179.279813398</v>
      </c>
      <c r="I1492" s="4" t="s">
        <v>2802</v>
      </c>
      <c r="J1492" s="4" t="s">
        <v>2199</v>
      </c>
      <c r="K1492" s="7">
        <v>42000</v>
      </c>
      <c r="L1492" s="4" t="s">
        <v>1033</v>
      </c>
      <c r="M1492" s="4" t="s">
        <v>27</v>
      </c>
      <c r="N1492" s="4"/>
    </row>
    <row r="1493" spans="1:14" ht="10.5" hidden="1" x14ac:dyDescent="0.25">
      <c r="A1493" s="8" t="s">
        <v>555</v>
      </c>
      <c r="B1493" s="4" t="s">
        <v>21</v>
      </c>
      <c r="C1493" s="5">
        <v>44469</v>
      </c>
      <c r="D1493" s="4" t="s">
        <v>2931</v>
      </c>
      <c r="E1493" s="4" t="s">
        <v>2932</v>
      </c>
      <c r="F1493" s="4" t="s">
        <v>2932</v>
      </c>
      <c r="G1493" s="6">
        <v>207609.66347101989</v>
      </c>
      <c r="H1493" s="6">
        <f t="shared" si="24"/>
        <v>17274788.943284418</v>
      </c>
      <c r="I1493" s="4"/>
      <c r="J1493" s="4" t="s">
        <v>2199</v>
      </c>
      <c r="K1493" s="7">
        <v>206143</v>
      </c>
      <c r="L1493" s="4" t="s">
        <v>1033</v>
      </c>
      <c r="M1493" s="4" t="s">
        <v>27</v>
      </c>
      <c r="N1493" s="4" t="s">
        <v>118</v>
      </c>
    </row>
    <row r="1494" spans="1:14" ht="10.5" hidden="1" x14ac:dyDescent="0.25">
      <c r="A1494" s="8" t="s">
        <v>555</v>
      </c>
      <c r="B1494" s="4" t="s">
        <v>21</v>
      </c>
      <c r="C1494" s="5">
        <v>44469</v>
      </c>
      <c r="D1494" s="4" t="s">
        <v>2931</v>
      </c>
      <c r="E1494" s="4" t="s">
        <v>2932</v>
      </c>
      <c r="F1494" s="4" t="s">
        <v>2932</v>
      </c>
      <c r="G1494" s="6">
        <v>-36718.398007644762</v>
      </c>
      <c r="H1494" s="6">
        <f t="shared" si="24"/>
        <v>17238070.545276772</v>
      </c>
      <c r="I1494" s="4"/>
      <c r="J1494" s="4" t="s">
        <v>2199</v>
      </c>
      <c r="K1494" s="7">
        <v>-36459</v>
      </c>
      <c r="L1494" s="4" t="s">
        <v>1033</v>
      </c>
      <c r="M1494" s="4" t="s">
        <v>27</v>
      </c>
      <c r="N1494" s="4" t="s">
        <v>118</v>
      </c>
    </row>
    <row r="1495" spans="1:14" ht="10.5" hidden="1" x14ac:dyDescent="0.25">
      <c r="A1495" s="8" t="s">
        <v>555</v>
      </c>
      <c r="B1495" s="4" t="s">
        <v>21</v>
      </c>
      <c r="C1495" s="5">
        <v>44469</v>
      </c>
      <c r="D1495" s="4" t="s">
        <v>2931</v>
      </c>
      <c r="E1495" s="4" t="s">
        <v>2932</v>
      </c>
      <c r="F1495" s="4" t="s">
        <v>2932</v>
      </c>
      <c r="G1495" s="6">
        <v>10673.724785989238</v>
      </c>
      <c r="H1495" s="6">
        <f t="shared" si="24"/>
        <v>17248744.270062763</v>
      </c>
      <c r="I1495" s="4"/>
      <c r="J1495" s="4" t="s">
        <v>2199</v>
      </c>
      <c r="K1495" s="7">
        <v>10598.32</v>
      </c>
      <c r="L1495" s="4" t="s">
        <v>1033</v>
      </c>
      <c r="M1495" s="4" t="s">
        <v>27</v>
      </c>
      <c r="N1495" s="4" t="s">
        <v>118</v>
      </c>
    </row>
    <row r="1496" spans="1:14" ht="10.5" hidden="1" x14ac:dyDescent="0.25">
      <c r="A1496" s="8" t="s">
        <v>555</v>
      </c>
      <c r="B1496" s="4" t="s">
        <v>21</v>
      </c>
      <c r="C1496" s="5">
        <v>44469</v>
      </c>
      <c r="D1496" s="4" t="s">
        <v>2933</v>
      </c>
      <c r="E1496" s="4" t="s">
        <v>2932</v>
      </c>
      <c r="F1496" s="4" t="s">
        <v>2932</v>
      </c>
      <c r="G1496" s="6">
        <v>-299723.98503254267</v>
      </c>
      <c r="H1496" s="6">
        <f t="shared" si="24"/>
        <v>16949020.28503022</v>
      </c>
      <c r="I1496" s="4"/>
      <c r="J1496" s="4" t="s">
        <v>2199</v>
      </c>
      <c r="K1496" s="7">
        <v>-1093396.18</v>
      </c>
      <c r="L1496" s="4" t="s">
        <v>1033</v>
      </c>
      <c r="M1496" s="4" t="s">
        <v>308</v>
      </c>
      <c r="N1496" s="4" t="s">
        <v>1091</v>
      </c>
    </row>
    <row r="1497" spans="1:14" ht="10.5" hidden="1" x14ac:dyDescent="0.25">
      <c r="A1497" s="8" t="s">
        <v>555</v>
      </c>
      <c r="B1497" s="4" t="s">
        <v>21</v>
      </c>
      <c r="C1497" s="5">
        <v>44469</v>
      </c>
      <c r="D1497" s="4" t="s">
        <v>2934</v>
      </c>
      <c r="E1497" s="4" t="s">
        <v>2935</v>
      </c>
      <c r="F1497" s="4" t="s">
        <v>2935</v>
      </c>
      <c r="G1497" s="6">
        <v>27618.774339081643</v>
      </c>
      <c r="H1497" s="6">
        <f t="shared" si="24"/>
        <v>16976639.0593693</v>
      </c>
      <c r="I1497" s="4"/>
      <c r="J1497" s="4" t="s">
        <v>2199</v>
      </c>
      <c r="K1497" s="7">
        <v>23325.62</v>
      </c>
      <c r="L1497" s="4" t="s">
        <v>1033</v>
      </c>
      <c r="M1497" s="4" t="s">
        <v>61</v>
      </c>
      <c r="N1497" s="4" t="s">
        <v>39</v>
      </c>
    </row>
    <row r="1498" spans="1:14" ht="10.5" hidden="1" x14ac:dyDescent="0.25">
      <c r="A1498" s="8" t="s">
        <v>555</v>
      </c>
      <c r="B1498" s="4" t="s">
        <v>21</v>
      </c>
      <c r="C1498" s="5">
        <v>44469</v>
      </c>
      <c r="D1498" s="4" t="s">
        <v>2936</v>
      </c>
      <c r="E1498" s="4" t="s">
        <v>2937</v>
      </c>
      <c r="F1498" s="4" t="s">
        <v>2938</v>
      </c>
      <c r="G1498" s="6">
        <v>-43961.455109658949</v>
      </c>
      <c r="H1498" s="6">
        <f t="shared" si="24"/>
        <v>16932677.60425964</v>
      </c>
      <c r="I1498" s="4"/>
      <c r="J1498" s="4" t="s">
        <v>2199</v>
      </c>
      <c r="K1498" s="7">
        <v>-37127.94</v>
      </c>
      <c r="L1498" s="4" t="s">
        <v>1033</v>
      </c>
      <c r="M1498" s="4" t="s">
        <v>61</v>
      </c>
      <c r="N1498" s="4" t="s">
        <v>181</v>
      </c>
    </row>
    <row r="1499" spans="1:14" ht="10.5" hidden="1" x14ac:dyDescent="0.25">
      <c r="A1499" s="8" t="s">
        <v>555</v>
      </c>
      <c r="B1499" s="4" t="s">
        <v>21</v>
      </c>
      <c r="C1499" s="5">
        <v>44469</v>
      </c>
      <c r="D1499" s="4" t="s">
        <v>2936</v>
      </c>
      <c r="E1499" s="4" t="s">
        <v>2937</v>
      </c>
      <c r="F1499" s="4" t="s">
        <v>2937</v>
      </c>
      <c r="G1499" s="6">
        <v>324053.5901525573</v>
      </c>
      <c r="H1499" s="6">
        <f t="shared" si="24"/>
        <v>17256731.194412198</v>
      </c>
      <c r="I1499" s="4"/>
      <c r="J1499" s="4" t="s">
        <v>2199</v>
      </c>
      <c r="K1499" s="7">
        <v>273681.62</v>
      </c>
      <c r="L1499" s="4" t="s">
        <v>1033</v>
      </c>
      <c r="M1499" s="4" t="s">
        <v>61</v>
      </c>
      <c r="N1499" s="4" t="s">
        <v>181</v>
      </c>
    </row>
    <row r="1500" spans="1:14" ht="10.5" hidden="1" x14ac:dyDescent="0.25">
      <c r="A1500" s="8" t="s">
        <v>555</v>
      </c>
      <c r="B1500" s="4" t="s">
        <v>1092</v>
      </c>
      <c r="C1500" s="5">
        <v>44469</v>
      </c>
      <c r="D1500" s="4" t="s">
        <v>2939</v>
      </c>
      <c r="E1500" s="4" t="s">
        <v>2940</v>
      </c>
      <c r="F1500" s="4" t="s">
        <v>2940</v>
      </c>
      <c r="G1500" s="6">
        <v>40009.65990735044</v>
      </c>
      <c r="H1500" s="6">
        <f t="shared" si="24"/>
        <v>17296740.85431955</v>
      </c>
      <c r="I1500" s="4" t="s">
        <v>2802</v>
      </c>
      <c r="J1500" s="4" t="s">
        <v>2199</v>
      </c>
      <c r="K1500" s="7">
        <v>40000</v>
      </c>
      <c r="L1500" s="4" t="s">
        <v>1133</v>
      </c>
      <c r="M1500" s="4" t="s">
        <v>27</v>
      </c>
      <c r="N1500" s="4"/>
    </row>
    <row r="1501" spans="1:14" ht="10.5" hidden="1" x14ac:dyDescent="0.25">
      <c r="A1501" s="8" t="s">
        <v>555</v>
      </c>
      <c r="B1501" s="4" t="s">
        <v>21</v>
      </c>
      <c r="C1501" s="5">
        <v>44470</v>
      </c>
      <c r="D1501" s="4" t="s">
        <v>2941</v>
      </c>
      <c r="E1501" s="4" t="s">
        <v>2937</v>
      </c>
      <c r="F1501" s="4" t="s">
        <v>2938</v>
      </c>
      <c r="G1501" s="6">
        <v>43058.44046215299</v>
      </c>
      <c r="H1501" s="6">
        <f t="shared" si="24"/>
        <v>17339799.294781704</v>
      </c>
      <c r="I1501" s="4"/>
      <c r="J1501" s="4" t="s">
        <v>2199</v>
      </c>
      <c r="K1501" s="7">
        <v>37127.94</v>
      </c>
      <c r="L1501" s="4" t="s">
        <v>2127</v>
      </c>
      <c r="M1501" s="4" t="s">
        <v>61</v>
      </c>
      <c r="N1501" s="4" t="s">
        <v>181</v>
      </c>
    </row>
    <row r="1502" spans="1:14" ht="10.5" hidden="1" x14ac:dyDescent="0.25">
      <c r="A1502" s="8" t="s">
        <v>555</v>
      </c>
      <c r="B1502" s="4" t="s">
        <v>21</v>
      </c>
      <c r="C1502" s="5">
        <v>44470</v>
      </c>
      <c r="D1502" s="4" t="s">
        <v>2941</v>
      </c>
      <c r="E1502" s="4" t="s">
        <v>2937</v>
      </c>
      <c r="F1502" s="4" t="s">
        <v>2937</v>
      </c>
      <c r="G1502" s="6">
        <v>-317397.18768010236</v>
      </c>
      <c r="H1502" s="6">
        <f t="shared" si="24"/>
        <v>17022402.107101601</v>
      </c>
      <c r="I1502" s="4"/>
      <c r="J1502" s="4" t="s">
        <v>2199</v>
      </c>
      <c r="K1502" s="7">
        <v>-273681.62</v>
      </c>
      <c r="L1502" s="4" t="s">
        <v>2127</v>
      </c>
      <c r="M1502" s="4" t="s">
        <v>61</v>
      </c>
      <c r="N1502" s="4" t="s">
        <v>181</v>
      </c>
    </row>
    <row r="1503" spans="1:14" ht="10.5" hidden="1" x14ac:dyDescent="0.25">
      <c r="A1503" s="8" t="s">
        <v>555</v>
      </c>
      <c r="B1503" s="4" t="s">
        <v>1092</v>
      </c>
      <c r="C1503" s="5">
        <v>44473</v>
      </c>
      <c r="D1503" s="4" t="s">
        <v>2942</v>
      </c>
      <c r="E1503" s="4" t="s">
        <v>2943</v>
      </c>
      <c r="F1503" s="4" t="s">
        <v>2943</v>
      </c>
      <c r="G1503" s="6">
        <v>18555.703532015184</v>
      </c>
      <c r="H1503" s="6">
        <f t="shared" si="24"/>
        <v>17040957.810633615</v>
      </c>
      <c r="I1503" s="4" t="s">
        <v>2668</v>
      </c>
      <c r="J1503" s="4" t="s">
        <v>2199</v>
      </c>
      <c r="K1503" s="7">
        <v>16000</v>
      </c>
      <c r="L1503" s="4" t="s">
        <v>2127</v>
      </c>
      <c r="M1503" s="4" t="s">
        <v>61</v>
      </c>
      <c r="N1503" s="4"/>
    </row>
    <row r="1504" spans="1:14" ht="10.5" hidden="1" x14ac:dyDescent="0.25">
      <c r="A1504" s="8" t="s">
        <v>555</v>
      </c>
      <c r="B1504" s="4" t="s">
        <v>1092</v>
      </c>
      <c r="C1504" s="5">
        <v>44477</v>
      </c>
      <c r="D1504" s="4" t="s">
        <v>2944</v>
      </c>
      <c r="E1504" s="4" t="s">
        <v>2945</v>
      </c>
      <c r="F1504" s="4" t="s">
        <v>2945</v>
      </c>
      <c r="G1504" s="6">
        <v>16560.965402323553</v>
      </c>
      <c r="H1504" s="6">
        <f t="shared" si="24"/>
        <v>17057518.776035938</v>
      </c>
      <c r="I1504" s="4" t="s">
        <v>2584</v>
      </c>
      <c r="J1504" s="4" t="s">
        <v>2199</v>
      </c>
      <c r="K1504" s="7">
        <v>14280</v>
      </c>
      <c r="L1504" s="4" t="s">
        <v>2127</v>
      </c>
      <c r="M1504" s="4" t="s">
        <v>61</v>
      </c>
      <c r="N1504" s="4"/>
    </row>
    <row r="1505" spans="1:14" ht="10.5" hidden="1" x14ac:dyDescent="0.25">
      <c r="A1505" s="8" t="s">
        <v>555</v>
      </c>
      <c r="B1505" s="4" t="s">
        <v>1092</v>
      </c>
      <c r="C1505" s="5">
        <v>44477</v>
      </c>
      <c r="D1505" s="4" t="s">
        <v>2946</v>
      </c>
      <c r="E1505" s="4" t="s">
        <v>2947</v>
      </c>
      <c r="F1505" s="4" t="s">
        <v>2947</v>
      </c>
      <c r="G1505" s="6">
        <v>18138.200202544842</v>
      </c>
      <c r="H1505" s="6">
        <f t="shared" si="24"/>
        <v>17075656.976238482</v>
      </c>
      <c r="I1505" s="4" t="s">
        <v>2584</v>
      </c>
      <c r="J1505" s="4" t="s">
        <v>2199</v>
      </c>
      <c r="K1505" s="7">
        <v>15640</v>
      </c>
      <c r="L1505" s="4" t="s">
        <v>2127</v>
      </c>
      <c r="M1505" s="4" t="s">
        <v>61</v>
      </c>
      <c r="N1505" s="4"/>
    </row>
    <row r="1506" spans="1:14" ht="10.5" hidden="1" x14ac:dyDescent="0.25">
      <c r="A1506" s="8" t="s">
        <v>555</v>
      </c>
      <c r="B1506" s="4" t="s">
        <v>1092</v>
      </c>
      <c r="C1506" s="5">
        <v>44477</v>
      </c>
      <c r="D1506" s="4" t="s">
        <v>2948</v>
      </c>
      <c r="E1506" s="4" t="s">
        <v>2949</v>
      </c>
      <c r="F1506" s="4" t="s">
        <v>2949</v>
      </c>
      <c r="G1506" s="6">
        <v>12434.052441972726</v>
      </c>
      <c r="H1506" s="6">
        <f t="shared" si="24"/>
        <v>17088091.028680455</v>
      </c>
      <c r="I1506" s="4" t="s">
        <v>2584</v>
      </c>
      <c r="J1506" s="4" t="s">
        <v>2199</v>
      </c>
      <c r="K1506" s="7">
        <v>11008.1</v>
      </c>
      <c r="L1506" s="4" t="s">
        <v>60</v>
      </c>
      <c r="M1506" s="4" t="s">
        <v>61</v>
      </c>
      <c r="N1506" s="4"/>
    </row>
    <row r="1507" spans="1:14" ht="10.5" hidden="1" x14ac:dyDescent="0.25">
      <c r="A1507" s="8" t="s">
        <v>555</v>
      </c>
      <c r="B1507" s="4" t="s">
        <v>224</v>
      </c>
      <c r="C1507" s="5">
        <v>44490</v>
      </c>
      <c r="D1507" s="4" t="s">
        <v>2950</v>
      </c>
      <c r="E1507" s="4" t="s">
        <v>2853</v>
      </c>
      <c r="F1507" s="4" t="s">
        <v>2853</v>
      </c>
      <c r="G1507" s="6">
        <v>-39856.969258131416</v>
      </c>
      <c r="H1507" s="6">
        <f t="shared" si="24"/>
        <v>17048234.059422325</v>
      </c>
      <c r="I1507" s="4" t="s">
        <v>2854</v>
      </c>
      <c r="J1507" s="4" t="s">
        <v>37</v>
      </c>
      <c r="K1507" s="7">
        <v>-35135.22</v>
      </c>
      <c r="L1507" s="4" t="s">
        <v>1036</v>
      </c>
      <c r="M1507" s="4" t="s">
        <v>61</v>
      </c>
      <c r="N1507" s="4"/>
    </row>
    <row r="1508" spans="1:14" ht="10.5" hidden="1" x14ac:dyDescent="0.25">
      <c r="A1508" s="8" t="s">
        <v>555</v>
      </c>
      <c r="B1508" s="4" t="s">
        <v>1092</v>
      </c>
      <c r="C1508" s="5">
        <v>44491</v>
      </c>
      <c r="D1508" s="4" t="s">
        <v>2951</v>
      </c>
      <c r="E1508" s="4" t="s">
        <v>2952</v>
      </c>
      <c r="F1508" s="4" t="s">
        <v>2952</v>
      </c>
      <c r="G1508" s="6">
        <v>17226.128226231423</v>
      </c>
      <c r="H1508" s="6">
        <f t="shared" si="24"/>
        <v>17065460.187648557</v>
      </c>
      <c r="I1508" s="4" t="s">
        <v>2953</v>
      </c>
      <c r="J1508" s="4" t="s">
        <v>2199</v>
      </c>
      <c r="K1508" s="7">
        <v>17212.5</v>
      </c>
      <c r="L1508" s="4" t="s">
        <v>2127</v>
      </c>
      <c r="M1508" s="4" t="s">
        <v>27</v>
      </c>
      <c r="N1508" s="4"/>
    </row>
    <row r="1509" spans="1:14" ht="10.5" hidden="1" x14ac:dyDescent="0.25">
      <c r="A1509" s="8" t="s">
        <v>555</v>
      </c>
      <c r="B1509" s="4" t="s">
        <v>1092</v>
      </c>
      <c r="C1509" s="5">
        <v>44499</v>
      </c>
      <c r="D1509" s="4" t="s">
        <v>2954</v>
      </c>
      <c r="E1509" s="4" t="s">
        <v>2955</v>
      </c>
      <c r="F1509" s="4" t="s">
        <v>2955</v>
      </c>
      <c r="G1509" s="6">
        <v>194914.30868196234</v>
      </c>
      <c r="H1509" s="6">
        <f t="shared" si="24"/>
        <v>17260374.496330518</v>
      </c>
      <c r="I1509" s="4" t="s">
        <v>2866</v>
      </c>
      <c r="J1509" s="4" t="s">
        <v>2199</v>
      </c>
      <c r="K1509" s="7">
        <v>169500</v>
      </c>
      <c r="L1509" s="4" t="s">
        <v>1133</v>
      </c>
      <c r="M1509" s="4" t="s">
        <v>308</v>
      </c>
      <c r="N1509" s="4"/>
    </row>
    <row r="1510" spans="1:14" ht="10.5" hidden="1" x14ac:dyDescent="0.25">
      <c r="A1510" s="8" t="s">
        <v>555</v>
      </c>
      <c r="B1510" s="4" t="s">
        <v>1092</v>
      </c>
      <c r="C1510" s="5">
        <v>44499</v>
      </c>
      <c r="D1510" s="4" t="s">
        <v>2956</v>
      </c>
      <c r="E1510" s="4" t="s">
        <v>2955</v>
      </c>
      <c r="F1510" s="4" t="s">
        <v>2955</v>
      </c>
      <c r="G1510" s="6">
        <v>194914.30868196234</v>
      </c>
      <c r="H1510" s="6">
        <f t="shared" si="24"/>
        <v>17455288.805012479</v>
      </c>
      <c r="I1510" s="4" t="s">
        <v>2866</v>
      </c>
      <c r="J1510" s="4" t="s">
        <v>2199</v>
      </c>
      <c r="K1510" s="7">
        <v>169500</v>
      </c>
      <c r="L1510" s="4" t="s">
        <v>1133</v>
      </c>
      <c r="M1510" s="4" t="s">
        <v>308</v>
      </c>
      <c r="N1510" s="4"/>
    </row>
    <row r="1511" spans="1:14" ht="10.5" hidden="1" x14ac:dyDescent="0.25">
      <c r="A1511" s="8" t="s">
        <v>555</v>
      </c>
      <c r="B1511" s="4" t="s">
        <v>21</v>
      </c>
      <c r="C1511" s="5">
        <v>44500</v>
      </c>
      <c r="D1511" s="4" t="s">
        <v>2957</v>
      </c>
      <c r="E1511" s="4" t="s">
        <v>2958</v>
      </c>
      <c r="F1511" s="4" t="s">
        <v>2958</v>
      </c>
      <c r="G1511" s="6">
        <v>-6403.0657017532985</v>
      </c>
      <c r="H1511" s="6">
        <f t="shared" si="24"/>
        <v>17448885.739310727</v>
      </c>
      <c r="I1511" s="4"/>
      <c r="J1511" s="4" t="s">
        <v>2199</v>
      </c>
      <c r="K1511" s="7">
        <v>-6398</v>
      </c>
      <c r="L1511" s="4" t="s">
        <v>2127</v>
      </c>
      <c r="M1511" s="4" t="s">
        <v>27</v>
      </c>
      <c r="N1511" s="4" t="s">
        <v>118</v>
      </c>
    </row>
    <row r="1512" spans="1:14" ht="10.5" hidden="1" x14ac:dyDescent="0.25">
      <c r="A1512" s="8" t="s">
        <v>555</v>
      </c>
      <c r="B1512" s="4" t="s">
        <v>21</v>
      </c>
      <c r="C1512" s="5">
        <v>44500</v>
      </c>
      <c r="D1512" s="4" t="s">
        <v>2959</v>
      </c>
      <c r="E1512" s="4" t="s">
        <v>2960</v>
      </c>
      <c r="F1512" s="4" t="s">
        <v>2961</v>
      </c>
      <c r="G1512" s="6">
        <v>-16461.135717321311</v>
      </c>
      <c r="H1512" s="6">
        <f t="shared" si="24"/>
        <v>17432424.603593405</v>
      </c>
      <c r="I1512" s="4"/>
      <c r="J1512" s="4" t="s">
        <v>2199</v>
      </c>
      <c r="K1512" s="7">
        <v>-14193.92</v>
      </c>
      <c r="L1512" s="4" t="s">
        <v>2127</v>
      </c>
      <c r="M1512" s="4" t="s">
        <v>61</v>
      </c>
      <c r="N1512" s="4" t="s">
        <v>39</v>
      </c>
    </row>
    <row r="1513" spans="1:14" ht="10.5" hidden="1" x14ac:dyDescent="0.25">
      <c r="A1513" s="8" t="s">
        <v>555</v>
      </c>
      <c r="B1513" s="4" t="s">
        <v>21</v>
      </c>
      <c r="C1513" s="5">
        <v>44500</v>
      </c>
      <c r="D1513" s="4" t="s">
        <v>2959</v>
      </c>
      <c r="E1513" s="4" t="s">
        <v>2960</v>
      </c>
      <c r="F1513" s="4" t="s">
        <v>2960</v>
      </c>
      <c r="G1513" s="6">
        <v>317523.88834328187</v>
      </c>
      <c r="H1513" s="6">
        <f t="shared" si="24"/>
        <v>17749948.491936687</v>
      </c>
      <c r="I1513" s="4"/>
      <c r="J1513" s="4" t="s">
        <v>2199</v>
      </c>
      <c r="K1513" s="7">
        <v>273790.87</v>
      </c>
      <c r="L1513" s="4" t="s">
        <v>2127</v>
      </c>
      <c r="M1513" s="4" t="s">
        <v>61</v>
      </c>
      <c r="N1513" s="4" t="s">
        <v>39</v>
      </c>
    </row>
    <row r="1514" spans="1:14" ht="10.5" hidden="1" x14ac:dyDescent="0.25">
      <c r="A1514" s="8" t="s">
        <v>555</v>
      </c>
      <c r="B1514" s="4" t="s">
        <v>21</v>
      </c>
      <c r="C1514" s="5">
        <v>44500</v>
      </c>
      <c r="D1514" s="4" t="s">
        <v>2962</v>
      </c>
      <c r="E1514" s="4" t="s">
        <v>2963</v>
      </c>
      <c r="F1514" s="4" t="s">
        <v>2963</v>
      </c>
      <c r="G1514" s="6">
        <v>116312.54292735373</v>
      </c>
      <c r="H1514" s="6">
        <f t="shared" si="24"/>
        <v>17866261.034864042</v>
      </c>
      <c r="I1514" s="4"/>
      <c r="J1514" s="4" t="s">
        <v>2199</v>
      </c>
      <c r="K1514" s="7">
        <v>429226</v>
      </c>
      <c r="L1514" s="4" t="s">
        <v>2127</v>
      </c>
      <c r="M1514" s="4" t="s">
        <v>308</v>
      </c>
      <c r="N1514" s="4" t="s">
        <v>118</v>
      </c>
    </row>
    <row r="1515" spans="1:14" ht="10.5" hidden="1" x14ac:dyDescent="0.25">
      <c r="A1515" s="8" t="s">
        <v>555</v>
      </c>
      <c r="B1515" s="4" t="s">
        <v>224</v>
      </c>
      <c r="C1515" s="5">
        <v>44500</v>
      </c>
      <c r="D1515" s="4" t="s">
        <v>2964</v>
      </c>
      <c r="E1515" s="4" t="s">
        <v>2965</v>
      </c>
      <c r="F1515" s="4" t="s">
        <v>2965</v>
      </c>
      <c r="G1515" s="6">
        <v>-13513.486057529437</v>
      </c>
      <c r="H1515" s="6">
        <f t="shared" si="24"/>
        <v>17852747.548806511</v>
      </c>
      <c r="I1515" s="4" t="s">
        <v>2866</v>
      </c>
      <c r="J1515" s="4" t="s">
        <v>2199</v>
      </c>
      <c r="K1515" s="7">
        <v>-11752</v>
      </c>
      <c r="L1515" s="4" t="s">
        <v>1133</v>
      </c>
      <c r="M1515" s="4" t="s">
        <v>308</v>
      </c>
      <c r="N1515" s="4"/>
    </row>
    <row r="1516" spans="1:14" ht="10.5" hidden="1" x14ac:dyDescent="0.25">
      <c r="A1516" s="8" t="s">
        <v>555</v>
      </c>
      <c r="B1516" s="4" t="s">
        <v>1092</v>
      </c>
      <c r="C1516" s="5">
        <v>44500</v>
      </c>
      <c r="D1516" s="4" t="s">
        <v>2966</v>
      </c>
      <c r="E1516" s="4" t="s">
        <v>2967</v>
      </c>
      <c r="F1516" s="4" t="s">
        <v>2967</v>
      </c>
      <c r="G1516" s="6">
        <v>9155.9414635506564</v>
      </c>
      <c r="H1516" s="6">
        <f t="shared" si="24"/>
        <v>17861903.490270063</v>
      </c>
      <c r="I1516" s="4" t="s">
        <v>2668</v>
      </c>
      <c r="J1516" s="4" t="s">
        <v>2199</v>
      </c>
      <c r="K1516" s="7">
        <v>8000</v>
      </c>
      <c r="L1516" s="4" t="s">
        <v>1133</v>
      </c>
      <c r="M1516" s="4" t="s">
        <v>61</v>
      </c>
      <c r="N1516" s="4"/>
    </row>
    <row r="1517" spans="1:14" ht="10.5" hidden="1" x14ac:dyDescent="0.25">
      <c r="A1517" s="8" t="s">
        <v>555</v>
      </c>
      <c r="B1517" s="4" t="s">
        <v>1092</v>
      </c>
      <c r="C1517" s="5">
        <v>44500</v>
      </c>
      <c r="D1517" s="4" t="s">
        <v>2968</v>
      </c>
      <c r="E1517" s="4" t="s">
        <v>2969</v>
      </c>
      <c r="F1517" s="4" t="s">
        <v>2969</v>
      </c>
      <c r="G1517" s="6">
        <v>52512.678628397451</v>
      </c>
      <c r="H1517" s="6">
        <f t="shared" si="24"/>
        <v>17914416.16889846</v>
      </c>
      <c r="I1517" s="4" t="s">
        <v>2802</v>
      </c>
      <c r="J1517" s="4" t="s">
        <v>2199</v>
      </c>
      <c r="K1517" s="7">
        <v>52500</v>
      </c>
      <c r="L1517" s="4" t="s">
        <v>1133</v>
      </c>
      <c r="M1517" s="4" t="s">
        <v>27</v>
      </c>
      <c r="N1517" s="4"/>
    </row>
    <row r="1518" spans="1:14" ht="10.5" hidden="1" x14ac:dyDescent="0.25">
      <c r="A1518" s="8" t="s">
        <v>555</v>
      </c>
      <c r="B1518" s="4" t="s">
        <v>21</v>
      </c>
      <c r="C1518" s="5">
        <v>44501</v>
      </c>
      <c r="D1518" s="4" t="s">
        <v>2970</v>
      </c>
      <c r="E1518" s="4" t="s">
        <v>2960</v>
      </c>
      <c r="F1518" s="4" t="s">
        <v>2961</v>
      </c>
      <c r="G1518" s="6">
        <v>16244.837582290116</v>
      </c>
      <c r="H1518" s="6">
        <f t="shared" si="24"/>
        <v>17930661.00648075</v>
      </c>
      <c r="I1518" s="4"/>
      <c r="J1518" s="4" t="s">
        <v>2199</v>
      </c>
      <c r="K1518" s="7">
        <v>14193.92</v>
      </c>
      <c r="L1518" s="4" t="s">
        <v>1133</v>
      </c>
      <c r="M1518" s="4" t="s">
        <v>61</v>
      </c>
      <c r="N1518" s="4" t="s">
        <v>39</v>
      </c>
    </row>
    <row r="1519" spans="1:14" ht="10.5" hidden="1" x14ac:dyDescent="0.25">
      <c r="A1519" s="8" t="s">
        <v>555</v>
      </c>
      <c r="B1519" s="4" t="s">
        <v>21</v>
      </c>
      <c r="C1519" s="5">
        <v>44501</v>
      </c>
      <c r="D1519" s="4" t="s">
        <v>2970</v>
      </c>
      <c r="E1519" s="4" t="s">
        <v>2960</v>
      </c>
      <c r="F1519" s="4" t="s">
        <v>2960</v>
      </c>
      <c r="G1519" s="6">
        <v>-313351.64737182594</v>
      </c>
      <c r="H1519" s="6">
        <f t="shared" si="24"/>
        <v>17617309.359108925</v>
      </c>
      <c r="I1519" s="4"/>
      <c r="J1519" s="4" t="s">
        <v>2199</v>
      </c>
      <c r="K1519" s="7">
        <v>-273790.87</v>
      </c>
      <c r="L1519" s="4" t="s">
        <v>1133</v>
      </c>
      <c r="M1519" s="4" t="s">
        <v>61</v>
      </c>
      <c r="N1519" s="4" t="s">
        <v>39</v>
      </c>
    </row>
    <row r="1520" spans="1:14" ht="10.5" hidden="1" x14ac:dyDescent="0.25">
      <c r="A1520" s="8" t="s">
        <v>555</v>
      </c>
      <c r="B1520" s="4" t="s">
        <v>1092</v>
      </c>
      <c r="C1520" s="5">
        <v>44515</v>
      </c>
      <c r="D1520" s="4" t="s">
        <v>2971</v>
      </c>
      <c r="E1520" s="4" t="s">
        <v>2972</v>
      </c>
      <c r="F1520" s="4" t="s">
        <v>2972</v>
      </c>
      <c r="G1520" s="6">
        <v>4005.7243903034118</v>
      </c>
      <c r="H1520" s="6">
        <f t="shared" si="24"/>
        <v>17621315.083499227</v>
      </c>
      <c r="I1520" s="4" t="s">
        <v>2697</v>
      </c>
      <c r="J1520" s="4" t="s">
        <v>2199</v>
      </c>
      <c r="K1520" s="7">
        <v>3500</v>
      </c>
      <c r="L1520" s="4" t="s">
        <v>1133</v>
      </c>
      <c r="M1520" s="4" t="s">
        <v>61</v>
      </c>
      <c r="N1520" s="4"/>
    </row>
    <row r="1521" spans="1:14" ht="10.5" hidden="1" x14ac:dyDescent="0.25">
      <c r="A1521" s="8" t="s">
        <v>555</v>
      </c>
      <c r="B1521" s="4" t="s">
        <v>1092</v>
      </c>
      <c r="C1521" s="5">
        <v>44522</v>
      </c>
      <c r="D1521" s="4" t="s">
        <v>2973</v>
      </c>
      <c r="E1521" s="4" t="s">
        <v>2974</v>
      </c>
      <c r="F1521" s="4" t="s">
        <v>2974</v>
      </c>
      <c r="G1521" s="6">
        <v>34433.313557763475</v>
      </c>
      <c r="H1521" s="6">
        <f t="shared" si="24"/>
        <v>17655748.397056989</v>
      </c>
      <c r="I1521" s="4" t="s">
        <v>2953</v>
      </c>
      <c r="J1521" s="4" t="s">
        <v>2199</v>
      </c>
      <c r="K1521" s="7">
        <v>34425</v>
      </c>
      <c r="L1521" s="4" t="s">
        <v>1133</v>
      </c>
      <c r="M1521" s="4" t="s">
        <v>27</v>
      </c>
      <c r="N1521" s="4"/>
    </row>
    <row r="1522" spans="1:14" ht="10.5" hidden="1" x14ac:dyDescent="0.25">
      <c r="A1522" s="8" t="s">
        <v>555</v>
      </c>
      <c r="B1522" s="4" t="s">
        <v>1092</v>
      </c>
      <c r="C1522" s="5">
        <v>44526</v>
      </c>
      <c r="D1522" s="4" t="s">
        <v>2975</v>
      </c>
      <c r="E1522" s="4" t="s">
        <v>2976</v>
      </c>
      <c r="F1522" s="4" t="s">
        <v>2976</v>
      </c>
      <c r="G1522" s="6">
        <v>15021.466463637795</v>
      </c>
      <c r="H1522" s="6">
        <f t="shared" ref="H1522:H1585" si="25">H1521+G1522</f>
        <v>17670769.863520626</v>
      </c>
      <c r="I1522" s="4" t="s">
        <v>2602</v>
      </c>
      <c r="J1522" s="4" t="s">
        <v>2199</v>
      </c>
      <c r="K1522" s="7">
        <v>13125</v>
      </c>
      <c r="L1522" s="4" t="s">
        <v>1133</v>
      </c>
      <c r="M1522" s="4" t="s">
        <v>61</v>
      </c>
      <c r="N1522" s="4"/>
    </row>
    <row r="1523" spans="1:14" ht="10.5" hidden="1" x14ac:dyDescent="0.25">
      <c r="A1523" s="8" t="s">
        <v>555</v>
      </c>
      <c r="B1523" s="4" t="s">
        <v>21</v>
      </c>
      <c r="C1523" s="5">
        <v>44530</v>
      </c>
      <c r="D1523" s="4" t="s">
        <v>2977</v>
      </c>
      <c r="E1523" s="4" t="s">
        <v>2978</v>
      </c>
      <c r="F1523" s="4" t="s">
        <v>2978</v>
      </c>
      <c r="G1523" s="6">
        <v>-14101.164576386218</v>
      </c>
      <c r="H1523" s="6">
        <f t="shared" si="25"/>
        <v>17656668.698944241</v>
      </c>
      <c r="I1523" s="4"/>
      <c r="J1523" s="4" t="s">
        <v>2199</v>
      </c>
      <c r="K1523" s="7">
        <v>-14097.76</v>
      </c>
      <c r="L1523" s="4" t="s">
        <v>1133</v>
      </c>
      <c r="M1523" s="4" t="s">
        <v>27</v>
      </c>
      <c r="N1523" s="4" t="s">
        <v>118</v>
      </c>
    </row>
    <row r="1524" spans="1:14" ht="10.5" hidden="1" x14ac:dyDescent="0.25">
      <c r="A1524" s="8" t="s">
        <v>555</v>
      </c>
      <c r="B1524" s="4" t="s">
        <v>21</v>
      </c>
      <c r="C1524" s="5">
        <v>44530</v>
      </c>
      <c r="D1524" s="4" t="s">
        <v>2977</v>
      </c>
      <c r="E1524" s="4" t="s">
        <v>2978</v>
      </c>
      <c r="F1524" s="4" t="s">
        <v>2978</v>
      </c>
      <c r="G1524" s="6">
        <v>-91419.96237873564</v>
      </c>
      <c r="H1524" s="6">
        <f t="shared" si="25"/>
        <v>17565248.736565504</v>
      </c>
      <c r="I1524" s="4"/>
      <c r="J1524" s="4" t="s">
        <v>2199</v>
      </c>
      <c r="K1524" s="7">
        <v>-91397.89</v>
      </c>
      <c r="L1524" s="4" t="s">
        <v>1133</v>
      </c>
      <c r="M1524" s="4" t="s">
        <v>27</v>
      </c>
      <c r="N1524" s="4" t="s">
        <v>118</v>
      </c>
    </row>
    <row r="1525" spans="1:14" ht="10.5" hidden="1" x14ac:dyDescent="0.25">
      <c r="A1525" s="8" t="s">
        <v>555</v>
      </c>
      <c r="B1525" s="4" t="s">
        <v>21</v>
      </c>
      <c r="C1525" s="5">
        <v>44530</v>
      </c>
      <c r="D1525" s="4" t="s">
        <v>2979</v>
      </c>
      <c r="E1525" s="4" t="s">
        <v>2980</v>
      </c>
      <c r="F1525" s="4" t="s">
        <v>2980</v>
      </c>
      <c r="G1525" s="6">
        <v>-201538.37120659143</v>
      </c>
      <c r="H1525" s="6">
        <f t="shared" si="25"/>
        <v>17363710.365358911</v>
      </c>
      <c r="I1525" s="4"/>
      <c r="J1525" s="4" t="s">
        <v>2199</v>
      </c>
      <c r="K1525" s="7">
        <v>-744237</v>
      </c>
      <c r="L1525" s="4" t="s">
        <v>1133</v>
      </c>
      <c r="M1525" s="4" t="s">
        <v>308</v>
      </c>
      <c r="N1525" s="4" t="s">
        <v>118</v>
      </c>
    </row>
    <row r="1526" spans="1:14" ht="10.5" hidden="1" x14ac:dyDescent="0.25">
      <c r="A1526" s="8" t="s">
        <v>555</v>
      </c>
      <c r="B1526" s="4" t="s">
        <v>21</v>
      </c>
      <c r="C1526" s="5">
        <v>44530</v>
      </c>
      <c r="D1526" s="4" t="s">
        <v>2979</v>
      </c>
      <c r="E1526" s="4" t="s">
        <v>2980</v>
      </c>
      <c r="F1526" s="4" t="s">
        <v>2980</v>
      </c>
      <c r="G1526" s="6">
        <v>-12273.406990241474</v>
      </c>
      <c r="H1526" s="6">
        <f t="shared" si="25"/>
        <v>17351436.95836867</v>
      </c>
      <c r="I1526" s="4"/>
      <c r="J1526" s="4" t="s">
        <v>2199</v>
      </c>
      <c r="K1526" s="7">
        <v>-45323</v>
      </c>
      <c r="L1526" s="4" t="s">
        <v>1133</v>
      </c>
      <c r="M1526" s="4" t="s">
        <v>308</v>
      </c>
      <c r="N1526" s="4" t="s">
        <v>118</v>
      </c>
    </row>
    <row r="1527" spans="1:14" ht="10.5" hidden="1" x14ac:dyDescent="0.25">
      <c r="A1527" s="8" t="s">
        <v>555</v>
      </c>
      <c r="B1527" s="4" t="s">
        <v>21</v>
      </c>
      <c r="C1527" s="5">
        <v>44530</v>
      </c>
      <c r="D1527" s="4" t="s">
        <v>2981</v>
      </c>
      <c r="E1527" s="4" t="s">
        <v>2982</v>
      </c>
      <c r="F1527" s="4" t="s">
        <v>2983</v>
      </c>
      <c r="G1527" s="6">
        <v>-3387.6983415137429</v>
      </c>
      <c r="H1527" s="6">
        <f t="shared" si="25"/>
        <v>17348049.260027155</v>
      </c>
      <c r="I1527" s="4"/>
      <c r="J1527" s="4" t="s">
        <v>2199</v>
      </c>
      <c r="K1527" s="7">
        <v>-2960</v>
      </c>
      <c r="L1527" s="4" t="s">
        <v>1133</v>
      </c>
      <c r="M1527" s="4" t="s">
        <v>61</v>
      </c>
      <c r="N1527" s="4" t="s">
        <v>39</v>
      </c>
    </row>
    <row r="1528" spans="1:14" ht="10.5" hidden="1" x14ac:dyDescent="0.25">
      <c r="A1528" s="8" t="s">
        <v>555</v>
      </c>
      <c r="B1528" s="4" t="s">
        <v>21</v>
      </c>
      <c r="C1528" s="5">
        <v>44530</v>
      </c>
      <c r="D1528" s="4" t="s">
        <v>2981</v>
      </c>
      <c r="E1528" s="4" t="s">
        <v>2982</v>
      </c>
      <c r="F1528" s="4" t="s">
        <v>2982</v>
      </c>
      <c r="G1528" s="6">
        <v>522737.22463230242</v>
      </c>
      <c r="H1528" s="6">
        <f t="shared" si="25"/>
        <v>17870786.484659459</v>
      </c>
      <c r="I1528" s="4"/>
      <c r="J1528" s="4" t="s">
        <v>2199</v>
      </c>
      <c r="K1528" s="7">
        <v>456741.43</v>
      </c>
      <c r="L1528" s="4" t="s">
        <v>1133</v>
      </c>
      <c r="M1528" s="4" t="s">
        <v>61</v>
      </c>
      <c r="N1528" s="4" t="s">
        <v>39</v>
      </c>
    </row>
    <row r="1529" spans="1:14" ht="10.5" hidden="1" x14ac:dyDescent="0.25">
      <c r="A1529" s="8" t="s">
        <v>555</v>
      </c>
      <c r="B1529" s="4" t="s">
        <v>21</v>
      </c>
      <c r="C1529" s="5">
        <v>44531</v>
      </c>
      <c r="D1529" s="4" t="s">
        <v>2984</v>
      </c>
      <c r="E1529" s="4" t="s">
        <v>2982</v>
      </c>
      <c r="F1529" s="4" t="s">
        <v>2983</v>
      </c>
      <c r="G1529" s="6">
        <v>3357.7882536118741</v>
      </c>
      <c r="H1529" s="6">
        <f t="shared" si="25"/>
        <v>17874144.272913072</v>
      </c>
      <c r="I1529" s="4"/>
      <c r="J1529" s="4" t="s">
        <v>2199</v>
      </c>
      <c r="K1529" s="7">
        <v>2960</v>
      </c>
      <c r="L1529" s="4" t="s">
        <v>1036</v>
      </c>
      <c r="M1529" s="4" t="s">
        <v>61</v>
      </c>
      <c r="N1529" s="4" t="s">
        <v>39</v>
      </c>
    </row>
    <row r="1530" spans="1:14" ht="10.5" hidden="1" x14ac:dyDescent="0.25">
      <c r="A1530" s="8" t="s">
        <v>555</v>
      </c>
      <c r="B1530" s="4" t="s">
        <v>21</v>
      </c>
      <c r="C1530" s="5">
        <v>44531</v>
      </c>
      <c r="D1530" s="4" t="s">
        <v>2984</v>
      </c>
      <c r="E1530" s="4" t="s">
        <v>2982</v>
      </c>
      <c r="F1530" s="4" t="s">
        <v>2982</v>
      </c>
      <c r="G1530" s="6">
        <v>-518121.96236212499</v>
      </c>
      <c r="H1530" s="6">
        <f t="shared" si="25"/>
        <v>17356022.310550947</v>
      </c>
      <c r="I1530" s="4"/>
      <c r="J1530" s="4" t="s">
        <v>2199</v>
      </c>
      <c r="K1530" s="7">
        <v>-456741.43</v>
      </c>
      <c r="L1530" s="4" t="s">
        <v>1036</v>
      </c>
      <c r="M1530" s="4" t="s">
        <v>61</v>
      </c>
      <c r="N1530" s="4" t="s">
        <v>39</v>
      </c>
    </row>
    <row r="1531" spans="1:14" ht="10.5" hidden="1" x14ac:dyDescent="0.25">
      <c r="A1531" s="8" t="s">
        <v>555</v>
      </c>
      <c r="B1531" s="4" t="s">
        <v>1092</v>
      </c>
      <c r="C1531" s="5">
        <v>44540</v>
      </c>
      <c r="D1531" s="4" t="s">
        <v>2985</v>
      </c>
      <c r="E1531" s="4" t="s">
        <v>2986</v>
      </c>
      <c r="F1531" s="4" t="s">
        <v>2986</v>
      </c>
      <c r="G1531" s="6">
        <v>10570.793865298057</v>
      </c>
      <c r="H1531" s="6">
        <f t="shared" si="25"/>
        <v>17366593.104416244</v>
      </c>
      <c r="I1531" s="4" t="s">
        <v>2697</v>
      </c>
      <c r="J1531" s="4" t="s">
        <v>2199</v>
      </c>
      <c r="K1531" s="7">
        <v>9318.5</v>
      </c>
      <c r="L1531" s="4" t="s">
        <v>1036</v>
      </c>
      <c r="M1531" s="4" t="s">
        <v>61</v>
      </c>
      <c r="N1531" s="4"/>
    </row>
    <row r="1532" spans="1:14" ht="10.5" hidden="1" x14ac:dyDescent="0.25">
      <c r="A1532" s="8" t="s">
        <v>555</v>
      </c>
      <c r="B1532" s="4" t="s">
        <v>1092</v>
      </c>
      <c r="C1532" s="5">
        <v>44543</v>
      </c>
      <c r="D1532" s="4" t="s">
        <v>2987</v>
      </c>
      <c r="E1532" s="4" t="s">
        <v>2808</v>
      </c>
      <c r="F1532" s="4" t="s">
        <v>2808</v>
      </c>
      <c r="G1532" s="6">
        <v>88710.270006993975</v>
      </c>
      <c r="H1532" s="6">
        <f t="shared" si="25"/>
        <v>17455303.374423239</v>
      </c>
      <c r="I1532" s="4" t="s">
        <v>2584</v>
      </c>
      <c r="J1532" s="4" t="s">
        <v>2199</v>
      </c>
      <c r="K1532" s="7">
        <v>78201</v>
      </c>
      <c r="L1532" s="4" t="s">
        <v>1036</v>
      </c>
      <c r="M1532" s="4" t="s">
        <v>61</v>
      </c>
      <c r="N1532" s="4"/>
    </row>
    <row r="1533" spans="1:14" ht="10.5" hidden="1" x14ac:dyDescent="0.25">
      <c r="A1533" s="8" t="s">
        <v>555</v>
      </c>
      <c r="B1533" s="4" t="s">
        <v>1092</v>
      </c>
      <c r="C1533" s="5">
        <v>44543</v>
      </c>
      <c r="D1533" s="4" t="s">
        <v>2988</v>
      </c>
      <c r="E1533" s="4" t="s">
        <v>2989</v>
      </c>
      <c r="F1533" s="4" t="s">
        <v>2989</v>
      </c>
      <c r="G1533" s="6">
        <v>19622.642301006148</v>
      </c>
      <c r="H1533" s="6">
        <f t="shared" si="25"/>
        <v>17474926.016724244</v>
      </c>
      <c r="I1533" s="4" t="s">
        <v>2584</v>
      </c>
      <c r="J1533" s="4" t="s">
        <v>2199</v>
      </c>
      <c r="K1533" s="7">
        <v>17298</v>
      </c>
      <c r="L1533" s="4" t="s">
        <v>1036</v>
      </c>
      <c r="M1533" s="4" t="s">
        <v>61</v>
      </c>
      <c r="N1533" s="4"/>
    </row>
    <row r="1534" spans="1:14" ht="10.5" hidden="1" x14ac:dyDescent="0.25">
      <c r="A1534" s="8" t="s">
        <v>555</v>
      </c>
      <c r="B1534" s="4" t="s">
        <v>1092</v>
      </c>
      <c r="C1534" s="5">
        <v>44543</v>
      </c>
      <c r="D1534" s="4" t="s">
        <v>2990</v>
      </c>
      <c r="E1534" s="4" t="s">
        <v>2991</v>
      </c>
      <c r="F1534" s="4" t="s">
        <v>2991</v>
      </c>
      <c r="G1534" s="6">
        <v>6074.6473304363462</v>
      </c>
      <c r="H1534" s="6">
        <f t="shared" si="25"/>
        <v>17481000.664054681</v>
      </c>
      <c r="I1534" s="4" t="s">
        <v>2584</v>
      </c>
      <c r="J1534" s="4" t="s">
        <v>2199</v>
      </c>
      <c r="K1534" s="7">
        <v>5355</v>
      </c>
      <c r="L1534" s="4" t="s">
        <v>1036</v>
      </c>
      <c r="M1534" s="4" t="s">
        <v>61</v>
      </c>
      <c r="N1534" s="4"/>
    </row>
    <row r="1535" spans="1:14" ht="10.5" hidden="1" x14ac:dyDescent="0.25">
      <c r="A1535" s="8" t="s">
        <v>555</v>
      </c>
      <c r="B1535" s="4" t="s">
        <v>1092</v>
      </c>
      <c r="C1535" s="5">
        <v>44543</v>
      </c>
      <c r="D1535" s="4" t="s">
        <v>2992</v>
      </c>
      <c r="E1535" s="4" t="s">
        <v>2993</v>
      </c>
      <c r="F1535" s="4" t="s">
        <v>2993</v>
      </c>
      <c r="G1535" s="6">
        <v>16199.059547830257</v>
      </c>
      <c r="H1535" s="6">
        <f t="shared" si="25"/>
        <v>17497199.723602511</v>
      </c>
      <c r="I1535" s="4" t="s">
        <v>2584</v>
      </c>
      <c r="J1535" s="4" t="s">
        <v>2199</v>
      </c>
      <c r="K1535" s="7">
        <v>14280</v>
      </c>
      <c r="L1535" s="4" t="s">
        <v>1036</v>
      </c>
      <c r="M1535" s="4" t="s">
        <v>61</v>
      </c>
      <c r="N1535" s="4"/>
    </row>
    <row r="1536" spans="1:14" ht="10.5" hidden="1" x14ac:dyDescent="0.25">
      <c r="A1536" s="8" t="s">
        <v>555</v>
      </c>
      <c r="B1536" s="4" t="s">
        <v>1092</v>
      </c>
      <c r="C1536" s="5">
        <v>44543</v>
      </c>
      <c r="D1536" s="4" t="s">
        <v>2994</v>
      </c>
      <c r="E1536" s="4" t="s">
        <v>2995</v>
      </c>
      <c r="F1536" s="4" t="s">
        <v>2995</v>
      </c>
      <c r="G1536" s="6">
        <v>6653.1851714302838</v>
      </c>
      <c r="H1536" s="6">
        <f t="shared" si="25"/>
        <v>17503852.90877394</v>
      </c>
      <c r="I1536" s="4" t="s">
        <v>2584</v>
      </c>
      <c r="J1536" s="4" t="s">
        <v>2199</v>
      </c>
      <c r="K1536" s="7">
        <v>5865</v>
      </c>
      <c r="L1536" s="4" t="s">
        <v>1036</v>
      </c>
      <c r="M1536" s="4" t="s">
        <v>61</v>
      </c>
      <c r="N1536" s="4"/>
    </row>
    <row r="1537" spans="1:14" ht="10.5" hidden="1" x14ac:dyDescent="0.25">
      <c r="A1537" s="8" t="s">
        <v>555</v>
      </c>
      <c r="B1537" s="4" t="s">
        <v>1092</v>
      </c>
      <c r="C1537" s="5">
        <v>44553</v>
      </c>
      <c r="D1537" s="4" t="s">
        <v>2996</v>
      </c>
      <c r="E1537" s="4" t="s">
        <v>2997</v>
      </c>
      <c r="F1537" s="4"/>
      <c r="G1537" s="6">
        <v>218775.75212210513</v>
      </c>
      <c r="H1537" s="6">
        <f t="shared" si="25"/>
        <v>17722628.660896044</v>
      </c>
      <c r="I1537" s="4" t="s">
        <v>2584</v>
      </c>
      <c r="J1537" s="4" t="s">
        <v>2199</v>
      </c>
      <c r="K1537" s="7">
        <v>218479</v>
      </c>
      <c r="L1537" s="4" t="s">
        <v>1036</v>
      </c>
      <c r="M1537" s="4" t="s">
        <v>61</v>
      </c>
      <c r="N1537" s="4"/>
    </row>
    <row r="1538" spans="1:14" ht="10.5" hidden="1" x14ac:dyDescent="0.25">
      <c r="A1538" s="8" t="s">
        <v>555</v>
      </c>
      <c r="B1538" s="4" t="s">
        <v>21</v>
      </c>
      <c r="C1538" s="5">
        <v>44559</v>
      </c>
      <c r="D1538" s="4" t="s">
        <v>2998</v>
      </c>
      <c r="E1538" s="4" t="s">
        <v>2999</v>
      </c>
      <c r="F1538" s="4" t="s">
        <v>2999</v>
      </c>
      <c r="G1538" s="6">
        <v>-3101.9382402807705</v>
      </c>
      <c r="H1538" s="6">
        <f t="shared" si="25"/>
        <v>17719526.722655762</v>
      </c>
      <c r="I1538" s="4"/>
      <c r="J1538" s="4" t="s">
        <v>2199</v>
      </c>
      <c r="K1538" s="7">
        <v>-3095.51</v>
      </c>
      <c r="L1538" s="4" t="s">
        <v>1036</v>
      </c>
      <c r="M1538" s="4" t="s">
        <v>27</v>
      </c>
      <c r="N1538" s="4" t="s">
        <v>198</v>
      </c>
    </row>
    <row r="1539" spans="1:14" ht="10.5" hidden="1" x14ac:dyDescent="0.25">
      <c r="A1539" s="8" t="s">
        <v>555</v>
      </c>
      <c r="B1539" s="4" t="s">
        <v>21</v>
      </c>
      <c r="C1539" s="5">
        <v>44559</v>
      </c>
      <c r="D1539" s="4" t="s">
        <v>2998</v>
      </c>
      <c r="E1539" s="4" t="s">
        <v>2999</v>
      </c>
      <c r="F1539" s="4" t="s">
        <v>2999</v>
      </c>
      <c r="G1539" s="6">
        <v>-10018.802266462313</v>
      </c>
      <c r="H1539" s="6">
        <f t="shared" si="25"/>
        <v>17709507.920389298</v>
      </c>
      <c r="I1539" s="4"/>
      <c r="J1539" s="4" t="s">
        <v>2199</v>
      </c>
      <c r="K1539" s="7">
        <v>-9998.0400000000009</v>
      </c>
      <c r="L1539" s="4" t="s">
        <v>1036</v>
      </c>
      <c r="M1539" s="4" t="s">
        <v>27</v>
      </c>
      <c r="N1539" s="4" t="s">
        <v>198</v>
      </c>
    </row>
    <row r="1540" spans="1:14" ht="10.5" hidden="1" x14ac:dyDescent="0.25">
      <c r="A1540" s="8" t="s">
        <v>555</v>
      </c>
      <c r="B1540" s="4" t="s">
        <v>21</v>
      </c>
      <c r="C1540" s="5">
        <v>44559</v>
      </c>
      <c r="D1540" s="4" t="s">
        <v>2998</v>
      </c>
      <c r="E1540" s="4" t="s">
        <v>2999</v>
      </c>
      <c r="F1540" s="4" t="s">
        <v>2999</v>
      </c>
      <c r="G1540" s="6">
        <v>-6892.3231694230526</v>
      </c>
      <c r="H1540" s="6">
        <f t="shared" si="25"/>
        <v>17702615.597219877</v>
      </c>
      <c r="I1540" s="4"/>
      <c r="J1540" s="4" t="s">
        <v>2199</v>
      </c>
      <c r="K1540" s="7">
        <v>-6878.04</v>
      </c>
      <c r="L1540" s="4" t="s">
        <v>1036</v>
      </c>
      <c r="M1540" s="4" t="s">
        <v>27</v>
      </c>
      <c r="N1540" s="4" t="s">
        <v>198</v>
      </c>
    </row>
    <row r="1541" spans="1:14" ht="10.5" hidden="1" x14ac:dyDescent="0.25">
      <c r="A1541" s="8" t="s">
        <v>555</v>
      </c>
      <c r="B1541" s="4" t="s">
        <v>1092</v>
      </c>
      <c r="C1541" s="5">
        <v>44559</v>
      </c>
      <c r="D1541" s="4" t="s">
        <v>3000</v>
      </c>
      <c r="E1541" s="4" t="s">
        <v>3001</v>
      </c>
      <c r="F1541" s="4" t="s">
        <v>3001</v>
      </c>
      <c r="G1541" s="6">
        <v>15881.430929245351</v>
      </c>
      <c r="H1541" s="6">
        <f t="shared" si="25"/>
        <v>17718497.028149121</v>
      </c>
      <c r="I1541" s="4" t="s">
        <v>2697</v>
      </c>
      <c r="J1541" s="4" t="s">
        <v>2199</v>
      </c>
      <c r="K1541" s="7">
        <v>14000</v>
      </c>
      <c r="L1541" s="4" t="s">
        <v>1036</v>
      </c>
      <c r="M1541" s="4" t="s">
        <v>61</v>
      </c>
      <c r="N1541" s="4"/>
    </row>
    <row r="1542" spans="1:14" ht="10.5" hidden="1" x14ac:dyDescent="0.25">
      <c r="A1542" s="8" t="s">
        <v>555</v>
      </c>
      <c r="B1542" s="4" t="s">
        <v>21</v>
      </c>
      <c r="C1542" s="5">
        <v>44561</v>
      </c>
      <c r="D1542" s="4" t="s">
        <v>3002</v>
      </c>
      <c r="E1542" s="4" t="s">
        <v>3003</v>
      </c>
      <c r="F1542" s="4" t="s">
        <v>3003</v>
      </c>
      <c r="G1542" s="6">
        <v>6316.7904756430744</v>
      </c>
      <c r="H1542" s="6">
        <f t="shared" si="25"/>
        <v>17724813.818624765</v>
      </c>
      <c r="I1542" s="4"/>
      <c r="J1542" s="4" t="s">
        <v>2199</v>
      </c>
      <c r="K1542" s="7">
        <v>6303.7</v>
      </c>
      <c r="L1542" s="4" t="s">
        <v>1036</v>
      </c>
      <c r="M1542" s="4" t="s">
        <v>27</v>
      </c>
      <c r="N1542" s="4" t="s">
        <v>118</v>
      </c>
    </row>
    <row r="1543" spans="1:14" ht="10.5" hidden="1" x14ac:dyDescent="0.25">
      <c r="A1543" s="8" t="s">
        <v>555</v>
      </c>
      <c r="B1543" s="4" t="s">
        <v>21</v>
      </c>
      <c r="C1543" s="5">
        <v>44561</v>
      </c>
      <c r="D1543" s="4" t="s">
        <v>3004</v>
      </c>
      <c r="E1543" s="4" t="s">
        <v>3005</v>
      </c>
      <c r="F1543" s="4" t="s">
        <v>3005</v>
      </c>
      <c r="G1543" s="6">
        <v>12165.740182853653</v>
      </c>
      <c r="H1543" s="6">
        <f t="shared" si="25"/>
        <v>17736979.558807619</v>
      </c>
      <c r="I1543" s="4"/>
      <c r="J1543" s="4" t="s">
        <v>2199</v>
      </c>
      <c r="K1543" s="7">
        <v>44583.8</v>
      </c>
      <c r="L1543" s="4" t="s">
        <v>1036</v>
      </c>
      <c r="M1543" s="4" t="s">
        <v>308</v>
      </c>
      <c r="N1543" s="4" t="s">
        <v>118</v>
      </c>
    </row>
    <row r="1544" spans="1:14" ht="10.5" hidden="1" x14ac:dyDescent="0.25">
      <c r="A1544" s="8" t="s">
        <v>555</v>
      </c>
      <c r="B1544" s="4" t="s">
        <v>21</v>
      </c>
      <c r="C1544" s="5">
        <v>44561</v>
      </c>
      <c r="D1544" s="4" t="s">
        <v>3004</v>
      </c>
      <c r="E1544" s="4" t="s">
        <v>3005</v>
      </c>
      <c r="F1544" s="4" t="s">
        <v>3005</v>
      </c>
      <c r="G1544" s="6">
        <v>12367.374641857059</v>
      </c>
      <c r="H1544" s="6">
        <f t="shared" si="25"/>
        <v>17749346.933449477</v>
      </c>
      <c r="I1544" s="4"/>
      <c r="J1544" s="4" t="s">
        <v>2199</v>
      </c>
      <c r="K1544" s="7">
        <v>45322.73</v>
      </c>
      <c r="L1544" s="4" t="s">
        <v>1036</v>
      </c>
      <c r="M1544" s="4" t="s">
        <v>308</v>
      </c>
      <c r="N1544" s="4" t="s">
        <v>118</v>
      </c>
    </row>
    <row r="1545" spans="1:14" ht="10.5" hidden="1" x14ac:dyDescent="0.25">
      <c r="A1545" s="8" t="s">
        <v>555</v>
      </c>
      <c r="B1545" s="4" t="s">
        <v>21</v>
      </c>
      <c r="C1545" s="5">
        <v>44561</v>
      </c>
      <c r="D1545" s="4" t="s">
        <v>3006</v>
      </c>
      <c r="E1545" s="4" t="s">
        <v>3007</v>
      </c>
      <c r="F1545" s="4" t="s">
        <v>3008</v>
      </c>
      <c r="G1545" s="6">
        <v>-104853.00719442159</v>
      </c>
      <c r="H1545" s="6">
        <f t="shared" si="25"/>
        <v>17644493.926255055</v>
      </c>
      <c r="I1545" s="4"/>
      <c r="J1545" s="4" t="s">
        <v>2199</v>
      </c>
      <c r="K1545" s="7">
        <v>-92431.35</v>
      </c>
      <c r="L1545" s="4" t="s">
        <v>1036</v>
      </c>
      <c r="M1545" s="4" t="s">
        <v>61</v>
      </c>
      <c r="N1545" s="4" t="s">
        <v>39</v>
      </c>
    </row>
    <row r="1546" spans="1:14" ht="10.5" hidden="1" x14ac:dyDescent="0.25">
      <c r="A1546" s="8" t="s">
        <v>555</v>
      </c>
      <c r="B1546" s="4" t="s">
        <v>21</v>
      </c>
      <c r="C1546" s="5">
        <v>44561</v>
      </c>
      <c r="D1546" s="4" t="s">
        <v>3006</v>
      </c>
      <c r="E1546" s="4" t="s">
        <v>3007</v>
      </c>
      <c r="F1546" s="4" t="s">
        <v>3007</v>
      </c>
      <c r="G1546" s="6">
        <v>195778.54397009828</v>
      </c>
      <c r="H1546" s="6">
        <f t="shared" si="25"/>
        <v>17840272.470225152</v>
      </c>
      <c r="I1546" s="4"/>
      <c r="J1546" s="4" t="s">
        <v>2199</v>
      </c>
      <c r="K1546" s="7">
        <v>172585.18</v>
      </c>
      <c r="L1546" s="4" t="s">
        <v>1036</v>
      </c>
      <c r="M1546" s="4" t="s">
        <v>61</v>
      </c>
      <c r="N1546" s="4" t="s">
        <v>39</v>
      </c>
    </row>
    <row r="1547" spans="1:14" ht="10.5" hidden="1" x14ac:dyDescent="0.25">
      <c r="A1547" s="8" t="s">
        <v>555</v>
      </c>
      <c r="B1547" s="4" t="s">
        <v>21</v>
      </c>
      <c r="C1547" s="5">
        <v>44561</v>
      </c>
      <c r="D1547" s="4" t="s">
        <v>3009</v>
      </c>
      <c r="E1547" s="4" t="s">
        <v>3010</v>
      </c>
      <c r="F1547" s="4" t="s">
        <v>3010</v>
      </c>
      <c r="G1547" s="6">
        <v>-51722.281246230734</v>
      </c>
      <c r="H1547" s="6">
        <f t="shared" si="25"/>
        <v>17788550.188978922</v>
      </c>
      <c r="I1547" s="4"/>
      <c r="J1547" s="4" t="s">
        <v>2199</v>
      </c>
      <c r="K1547" s="7">
        <v>-45594.879999999997</v>
      </c>
      <c r="L1547" s="4" t="s">
        <v>1036</v>
      </c>
      <c r="M1547" s="4" t="s">
        <v>61</v>
      </c>
      <c r="N1547" s="4" t="s">
        <v>39</v>
      </c>
    </row>
    <row r="1548" spans="1:14" ht="10.5" hidden="1" x14ac:dyDescent="0.25">
      <c r="A1548" s="8" t="s">
        <v>555</v>
      </c>
      <c r="B1548" s="4" t="s">
        <v>21</v>
      </c>
      <c r="C1548" s="5">
        <v>44561</v>
      </c>
      <c r="D1548" s="4" t="s">
        <v>3011</v>
      </c>
      <c r="E1548" s="4" t="s">
        <v>3003</v>
      </c>
      <c r="F1548" s="4" t="s">
        <v>3003</v>
      </c>
      <c r="G1548" s="6">
        <v>177760.59865621474</v>
      </c>
      <c r="H1548" s="6">
        <f t="shared" si="25"/>
        <v>17966310.787635136</v>
      </c>
      <c r="I1548" s="4"/>
      <c r="J1548" s="4" t="s">
        <v>2199</v>
      </c>
      <c r="K1548" s="7">
        <v>177392.22</v>
      </c>
      <c r="L1548" s="4" t="s">
        <v>1036</v>
      </c>
      <c r="M1548" s="4" t="s">
        <v>27</v>
      </c>
      <c r="N1548" s="4" t="s">
        <v>118</v>
      </c>
    </row>
    <row r="1549" spans="1:14" ht="10.5" hidden="1" x14ac:dyDescent="0.25">
      <c r="A1549" s="8" t="s">
        <v>555</v>
      </c>
      <c r="B1549" s="4" t="s">
        <v>21</v>
      </c>
      <c r="C1549" s="5">
        <v>44561</v>
      </c>
      <c r="D1549" s="4" t="s">
        <v>3012</v>
      </c>
      <c r="E1549" s="4" t="s">
        <v>3013</v>
      </c>
      <c r="F1549" s="4" t="s">
        <v>3014</v>
      </c>
      <c r="G1549" s="6">
        <v>169202.03563465431</v>
      </c>
      <c r="H1549" s="6">
        <f t="shared" si="25"/>
        <v>18135512.823269792</v>
      </c>
      <c r="I1549" s="4"/>
      <c r="J1549" s="4" t="s">
        <v>2199</v>
      </c>
      <c r="K1549" s="7">
        <v>149157.12</v>
      </c>
      <c r="L1549" s="4" t="s">
        <v>1036</v>
      </c>
      <c r="M1549" s="4" t="s">
        <v>61</v>
      </c>
      <c r="N1549" s="4" t="s">
        <v>39</v>
      </c>
    </row>
    <row r="1550" spans="1:14" ht="10.5" hidden="1" x14ac:dyDescent="0.25">
      <c r="A1550" s="8" t="s">
        <v>555</v>
      </c>
      <c r="B1550" s="4" t="s">
        <v>21</v>
      </c>
      <c r="C1550" s="5">
        <v>44562</v>
      </c>
      <c r="D1550" s="4" t="s">
        <v>3015</v>
      </c>
      <c r="E1550" s="4" t="s">
        <v>3007</v>
      </c>
      <c r="F1550" s="4" t="s">
        <v>3008</v>
      </c>
      <c r="G1550" s="6">
        <v>104404.59781273206</v>
      </c>
      <c r="H1550" s="6">
        <f t="shared" si="25"/>
        <v>18239917.421082523</v>
      </c>
      <c r="I1550" s="4"/>
      <c r="J1550" s="4" t="s">
        <v>2199</v>
      </c>
      <c r="K1550" s="7">
        <v>92431.35</v>
      </c>
      <c r="L1550" s="4" t="s">
        <v>60</v>
      </c>
      <c r="M1550" s="4" t="s">
        <v>61</v>
      </c>
      <c r="N1550" s="4" t="s">
        <v>39</v>
      </c>
    </row>
    <row r="1551" spans="1:14" ht="10.5" hidden="1" x14ac:dyDescent="0.25">
      <c r="A1551" s="8" t="s">
        <v>555</v>
      </c>
      <c r="B1551" s="4" t="s">
        <v>21</v>
      </c>
      <c r="C1551" s="5">
        <v>44562</v>
      </c>
      <c r="D1551" s="4" t="s">
        <v>3015</v>
      </c>
      <c r="E1551" s="4" t="s">
        <v>3007</v>
      </c>
      <c r="F1551" s="4" t="s">
        <v>3007</v>
      </c>
      <c r="G1551" s="6">
        <v>-194941.2867640467</v>
      </c>
      <c r="H1551" s="6">
        <f t="shared" si="25"/>
        <v>18044976.134318475</v>
      </c>
      <c r="I1551" s="4"/>
      <c r="J1551" s="4" t="s">
        <v>2199</v>
      </c>
      <c r="K1551" s="7">
        <v>-172585.18</v>
      </c>
      <c r="L1551" s="4" t="s">
        <v>60</v>
      </c>
      <c r="M1551" s="4" t="s">
        <v>61</v>
      </c>
      <c r="N1551" s="4" t="s">
        <v>39</v>
      </c>
    </row>
    <row r="1552" spans="1:14" ht="10.5" hidden="1" x14ac:dyDescent="0.25">
      <c r="A1552" s="8" t="s">
        <v>555</v>
      </c>
      <c r="B1552" s="4" t="s">
        <v>21</v>
      </c>
      <c r="C1552" s="5">
        <v>44562</v>
      </c>
      <c r="D1552" s="4" t="s">
        <v>3016</v>
      </c>
      <c r="E1552" s="4" t="s">
        <v>3010</v>
      </c>
      <c r="F1552" s="4" t="s">
        <v>3010</v>
      </c>
      <c r="G1552" s="6">
        <v>51501.088199185455</v>
      </c>
      <c r="H1552" s="6">
        <f t="shared" si="25"/>
        <v>18096477.222517662</v>
      </c>
      <c r="I1552" s="4"/>
      <c r="J1552" s="4" t="s">
        <v>2199</v>
      </c>
      <c r="K1552" s="7">
        <v>45594.879999999997</v>
      </c>
      <c r="L1552" s="4" t="s">
        <v>60</v>
      </c>
      <c r="M1552" s="4" t="s">
        <v>61</v>
      </c>
      <c r="N1552" s="4" t="s">
        <v>39</v>
      </c>
    </row>
    <row r="1553" spans="1:14" ht="10.5" hidden="1" x14ac:dyDescent="0.25">
      <c r="A1553" s="8" t="s">
        <v>555</v>
      </c>
      <c r="B1553" s="4" t="s">
        <v>21</v>
      </c>
      <c r="C1553" s="5">
        <v>44562</v>
      </c>
      <c r="D1553" s="4" t="s">
        <v>3017</v>
      </c>
      <c r="E1553" s="4" t="s">
        <v>3013</v>
      </c>
      <c r="F1553" s="4" t="s">
        <v>3014</v>
      </c>
      <c r="G1553" s="6">
        <v>-168478.43425964689</v>
      </c>
      <c r="H1553" s="6">
        <f t="shared" si="25"/>
        <v>17927998.788258016</v>
      </c>
      <c r="I1553" s="4"/>
      <c r="J1553" s="4" t="s">
        <v>2199</v>
      </c>
      <c r="K1553" s="7">
        <v>-149157.12</v>
      </c>
      <c r="L1553" s="4" t="s">
        <v>60</v>
      </c>
      <c r="M1553" s="4" t="s">
        <v>61</v>
      </c>
      <c r="N1553" s="4" t="s">
        <v>39</v>
      </c>
    </row>
    <row r="1554" spans="1:14" ht="10.5" hidden="1" x14ac:dyDescent="0.25">
      <c r="A1554" s="8" t="s">
        <v>555</v>
      </c>
      <c r="B1554" s="4" t="s">
        <v>1092</v>
      </c>
      <c r="C1554" s="5">
        <v>44581</v>
      </c>
      <c r="D1554" s="4" t="s">
        <v>3018</v>
      </c>
      <c r="E1554" s="4" t="s">
        <v>3019</v>
      </c>
      <c r="F1554" s="4" t="s">
        <v>3019</v>
      </c>
      <c r="G1554" s="6">
        <v>163614.97473209529</v>
      </c>
      <c r="H1554" s="6">
        <f t="shared" si="25"/>
        <v>18091613.76299011</v>
      </c>
      <c r="I1554" s="4" t="s">
        <v>2854</v>
      </c>
      <c r="J1554" s="4" t="s">
        <v>2199</v>
      </c>
      <c r="K1554" s="7">
        <v>147500</v>
      </c>
      <c r="L1554" s="4" t="s">
        <v>42</v>
      </c>
      <c r="M1554" s="4" t="s">
        <v>61</v>
      </c>
      <c r="N1554" s="4"/>
    </row>
    <row r="1555" spans="1:14" ht="10.5" hidden="1" x14ac:dyDescent="0.25">
      <c r="A1555" s="8" t="s">
        <v>555</v>
      </c>
      <c r="B1555" s="4" t="s">
        <v>1092</v>
      </c>
      <c r="C1555" s="5">
        <v>44592</v>
      </c>
      <c r="D1555" s="4" t="s">
        <v>3020</v>
      </c>
      <c r="E1555" s="4" t="s">
        <v>3021</v>
      </c>
      <c r="F1555" s="4" t="s">
        <v>3021</v>
      </c>
      <c r="G1555" s="6">
        <v>55266.137630704987</v>
      </c>
      <c r="H1555" s="6">
        <f t="shared" si="25"/>
        <v>18146879.900620814</v>
      </c>
      <c r="I1555" s="4" t="s">
        <v>2802</v>
      </c>
      <c r="J1555" s="4" t="s">
        <v>2199</v>
      </c>
      <c r="K1555" s="7">
        <v>55200</v>
      </c>
      <c r="L1555" s="4" t="s">
        <v>60</v>
      </c>
      <c r="M1555" s="4" t="s">
        <v>27</v>
      </c>
      <c r="N1555" s="4"/>
    </row>
    <row r="1556" spans="1:14" ht="10.5" hidden="1" x14ac:dyDescent="0.25">
      <c r="A1556" s="8" t="s">
        <v>555</v>
      </c>
      <c r="B1556" s="4" t="s">
        <v>21</v>
      </c>
      <c r="C1556" s="5">
        <v>44592</v>
      </c>
      <c r="D1556" s="4" t="s">
        <v>3022</v>
      </c>
      <c r="E1556" s="4" t="s">
        <v>3023</v>
      </c>
      <c r="F1556" s="4" t="s">
        <v>3023</v>
      </c>
      <c r="G1556" s="6">
        <v>208250.21545877296</v>
      </c>
      <c r="H1556" s="6">
        <f t="shared" si="25"/>
        <v>18355130.116079587</v>
      </c>
      <c r="I1556" s="4"/>
      <c r="J1556" s="4" t="s">
        <v>2199</v>
      </c>
      <c r="K1556" s="7">
        <v>208001</v>
      </c>
      <c r="L1556" s="4" t="s">
        <v>60</v>
      </c>
      <c r="M1556" s="4" t="s">
        <v>27</v>
      </c>
      <c r="N1556" s="4" t="s">
        <v>118</v>
      </c>
    </row>
    <row r="1557" spans="1:14" ht="10.5" hidden="1" x14ac:dyDescent="0.25">
      <c r="A1557" s="8" t="s">
        <v>555</v>
      </c>
      <c r="B1557" s="4" t="s">
        <v>21</v>
      </c>
      <c r="C1557" s="5">
        <v>44592</v>
      </c>
      <c r="D1557" s="4" t="s">
        <v>3022</v>
      </c>
      <c r="E1557" s="4" t="s">
        <v>3023</v>
      </c>
      <c r="F1557" s="4" t="s">
        <v>3023</v>
      </c>
      <c r="G1557" s="6">
        <v>23186.747851258999</v>
      </c>
      <c r="H1557" s="6">
        <f t="shared" si="25"/>
        <v>18378316.863930847</v>
      </c>
      <c r="I1557" s="4"/>
      <c r="J1557" s="4" t="s">
        <v>2199</v>
      </c>
      <c r="K1557" s="7">
        <v>23159</v>
      </c>
      <c r="L1557" s="4" t="s">
        <v>60</v>
      </c>
      <c r="M1557" s="4" t="s">
        <v>27</v>
      </c>
      <c r="N1557" s="4" t="s">
        <v>118</v>
      </c>
    </row>
    <row r="1558" spans="1:14" ht="10.5" hidden="1" x14ac:dyDescent="0.25">
      <c r="A1558" s="8" t="s">
        <v>555</v>
      </c>
      <c r="B1558" s="4" t="s">
        <v>21</v>
      </c>
      <c r="C1558" s="5">
        <v>44592</v>
      </c>
      <c r="D1558" s="4" t="s">
        <v>3022</v>
      </c>
      <c r="E1558" s="4" t="s">
        <v>3023</v>
      </c>
      <c r="F1558" s="4" t="s">
        <v>3023</v>
      </c>
      <c r="G1558" s="6">
        <v>-1378.6498463311734</v>
      </c>
      <c r="H1558" s="6">
        <f t="shared" si="25"/>
        <v>18376938.214084517</v>
      </c>
      <c r="I1558" s="4"/>
      <c r="J1558" s="4" t="s">
        <v>2199</v>
      </c>
      <c r="K1558" s="7">
        <v>-1377</v>
      </c>
      <c r="L1558" s="4" t="s">
        <v>60</v>
      </c>
      <c r="M1558" s="4" t="s">
        <v>27</v>
      </c>
      <c r="N1558" s="4" t="s">
        <v>118</v>
      </c>
    </row>
    <row r="1559" spans="1:14" ht="10.5" hidden="1" x14ac:dyDescent="0.25">
      <c r="A1559" s="8" t="s">
        <v>555</v>
      </c>
      <c r="B1559" s="4" t="s">
        <v>21</v>
      </c>
      <c r="C1559" s="5">
        <v>44592</v>
      </c>
      <c r="D1559" s="4" t="s">
        <v>3024</v>
      </c>
      <c r="E1559" s="4" t="s">
        <v>3025</v>
      </c>
      <c r="F1559" s="4" t="s">
        <v>3025</v>
      </c>
      <c r="G1559" s="6">
        <v>166305.39140892102</v>
      </c>
      <c r="H1559" s="6">
        <f t="shared" si="25"/>
        <v>18543243.605493437</v>
      </c>
      <c r="I1559" s="4"/>
      <c r="J1559" s="4" t="s">
        <v>2199</v>
      </c>
      <c r="K1559" s="7">
        <v>611396</v>
      </c>
      <c r="L1559" s="4" t="s">
        <v>60</v>
      </c>
      <c r="M1559" s="4" t="s">
        <v>308</v>
      </c>
      <c r="N1559" s="4" t="s">
        <v>118</v>
      </c>
    </row>
    <row r="1560" spans="1:14" ht="10.5" hidden="1" x14ac:dyDescent="0.25">
      <c r="A1560" s="8" t="s">
        <v>555</v>
      </c>
      <c r="B1560" s="4" t="s">
        <v>21</v>
      </c>
      <c r="C1560" s="5">
        <v>44592</v>
      </c>
      <c r="D1560" s="4" t="s">
        <v>3026</v>
      </c>
      <c r="E1560" s="4" t="s">
        <v>3027</v>
      </c>
      <c r="F1560" s="4" t="s">
        <v>3028</v>
      </c>
      <c r="G1560" s="6">
        <v>-66985.894894844081</v>
      </c>
      <c r="H1560" s="6">
        <f t="shared" si="25"/>
        <v>18476257.710598592</v>
      </c>
      <c r="I1560" s="4"/>
      <c r="J1560" s="4" t="s">
        <v>2199</v>
      </c>
      <c r="K1560" s="7">
        <v>-59303.87</v>
      </c>
      <c r="L1560" s="4" t="s">
        <v>60</v>
      </c>
      <c r="M1560" s="4" t="s">
        <v>61</v>
      </c>
      <c r="N1560" s="4" t="s">
        <v>39</v>
      </c>
    </row>
    <row r="1561" spans="1:14" ht="10.5" hidden="1" x14ac:dyDescent="0.25">
      <c r="A1561" s="8" t="s">
        <v>555</v>
      </c>
      <c r="B1561" s="4" t="s">
        <v>21</v>
      </c>
      <c r="C1561" s="5">
        <v>44592</v>
      </c>
      <c r="D1561" s="4" t="s">
        <v>3026</v>
      </c>
      <c r="E1561" s="4" t="s">
        <v>3027</v>
      </c>
      <c r="F1561" s="4" t="s">
        <v>3027</v>
      </c>
      <c r="G1561" s="6">
        <v>353767.2316600022</v>
      </c>
      <c r="H1561" s="6">
        <f t="shared" si="25"/>
        <v>18830024.942258593</v>
      </c>
      <c r="I1561" s="4"/>
      <c r="J1561" s="4" t="s">
        <v>2199</v>
      </c>
      <c r="K1561" s="7">
        <v>313196.77</v>
      </c>
      <c r="L1561" s="4" t="s">
        <v>60</v>
      </c>
      <c r="M1561" s="4" t="s">
        <v>61</v>
      </c>
      <c r="N1561" s="4" t="s">
        <v>39</v>
      </c>
    </row>
    <row r="1562" spans="1:14" ht="10.5" hidden="1" x14ac:dyDescent="0.25">
      <c r="A1562" s="8" t="s">
        <v>555</v>
      </c>
      <c r="B1562" s="4" t="s">
        <v>21</v>
      </c>
      <c r="C1562" s="5">
        <v>44593</v>
      </c>
      <c r="D1562" s="4" t="s">
        <v>3029</v>
      </c>
      <c r="E1562" s="4" t="s">
        <v>3027</v>
      </c>
      <c r="F1562" s="4" t="s">
        <v>3028</v>
      </c>
      <c r="G1562" s="6">
        <v>66875.482417778345</v>
      </c>
      <c r="H1562" s="6">
        <f t="shared" si="25"/>
        <v>18896900.42467637</v>
      </c>
      <c r="I1562" s="4"/>
      <c r="J1562" s="4" t="s">
        <v>2199</v>
      </c>
      <c r="K1562" s="7">
        <v>59303.87</v>
      </c>
      <c r="L1562" s="4" t="s">
        <v>26</v>
      </c>
      <c r="M1562" s="4" t="s">
        <v>61</v>
      </c>
      <c r="N1562" s="4" t="s">
        <v>39</v>
      </c>
    </row>
    <row r="1563" spans="1:14" ht="10.5" hidden="1" x14ac:dyDescent="0.25">
      <c r="A1563" s="8" t="s">
        <v>555</v>
      </c>
      <c r="B1563" s="4" t="s">
        <v>21</v>
      </c>
      <c r="C1563" s="5">
        <v>44593</v>
      </c>
      <c r="D1563" s="4" t="s">
        <v>3029</v>
      </c>
      <c r="E1563" s="4" t="s">
        <v>3027</v>
      </c>
      <c r="F1563" s="4" t="s">
        <v>3027</v>
      </c>
      <c r="G1563" s="6">
        <v>-353184.11910453683</v>
      </c>
      <c r="H1563" s="6">
        <f t="shared" si="25"/>
        <v>18543716.305571832</v>
      </c>
      <c r="I1563" s="4"/>
      <c r="J1563" s="4" t="s">
        <v>2199</v>
      </c>
      <c r="K1563" s="7">
        <v>-313196.77</v>
      </c>
      <c r="L1563" s="4" t="s">
        <v>26</v>
      </c>
      <c r="M1563" s="4" t="s">
        <v>61</v>
      </c>
      <c r="N1563" s="4" t="s">
        <v>39</v>
      </c>
    </row>
    <row r="1564" spans="1:14" ht="10.5" hidden="1" x14ac:dyDescent="0.25">
      <c r="A1564" s="8" t="s">
        <v>555</v>
      </c>
      <c r="B1564" s="4" t="s">
        <v>1092</v>
      </c>
      <c r="C1564" s="5">
        <v>44594</v>
      </c>
      <c r="D1564" s="4" t="s">
        <v>3030</v>
      </c>
      <c r="E1564" s="4" t="s">
        <v>3031</v>
      </c>
      <c r="F1564" s="4" t="s">
        <v>3031</v>
      </c>
      <c r="G1564" s="6">
        <v>7623.0325099938209</v>
      </c>
      <c r="H1564" s="6">
        <f t="shared" si="25"/>
        <v>18551339.338081826</v>
      </c>
      <c r="I1564" s="4" t="s">
        <v>2866</v>
      </c>
      <c r="J1564" s="4" t="s">
        <v>2200</v>
      </c>
      <c r="K1564" s="7">
        <v>6750</v>
      </c>
      <c r="L1564" s="4" t="s">
        <v>26</v>
      </c>
      <c r="M1564" s="4" t="s">
        <v>308</v>
      </c>
      <c r="N1564" s="4"/>
    </row>
    <row r="1565" spans="1:14" ht="10.5" hidden="1" x14ac:dyDescent="0.25">
      <c r="A1565" s="8" t="s">
        <v>555</v>
      </c>
      <c r="B1565" s="4" t="s">
        <v>1092</v>
      </c>
      <c r="C1565" s="5">
        <v>44602</v>
      </c>
      <c r="D1565" s="4" t="s">
        <v>3032</v>
      </c>
      <c r="E1565" s="4" t="s">
        <v>3033</v>
      </c>
      <c r="F1565" s="4" t="s">
        <v>3033</v>
      </c>
      <c r="G1565" s="6">
        <v>4397.9318960016535</v>
      </c>
      <c r="H1565" s="6">
        <f t="shared" si="25"/>
        <v>18555737.269977827</v>
      </c>
      <c r="I1565" s="4" t="s">
        <v>2602</v>
      </c>
      <c r="J1565" s="4" t="s">
        <v>2199</v>
      </c>
      <c r="K1565" s="7">
        <v>3900</v>
      </c>
      <c r="L1565" s="4" t="s">
        <v>26</v>
      </c>
      <c r="M1565" s="4" t="s">
        <v>61</v>
      </c>
      <c r="N1565" s="4"/>
    </row>
    <row r="1566" spans="1:14" ht="10.5" hidden="1" x14ac:dyDescent="0.25">
      <c r="A1566" s="8" t="s">
        <v>555</v>
      </c>
      <c r="B1566" s="4" t="s">
        <v>1092</v>
      </c>
      <c r="C1566" s="5">
        <v>44606</v>
      </c>
      <c r="D1566" s="4" t="s">
        <v>3034</v>
      </c>
      <c r="E1566" s="4" t="s">
        <v>3035</v>
      </c>
      <c r="F1566" s="4" t="s">
        <v>3035</v>
      </c>
      <c r="G1566" s="6">
        <v>19875.269145392085</v>
      </c>
      <c r="H1566" s="6">
        <f t="shared" si="25"/>
        <v>18575612.539123219</v>
      </c>
      <c r="I1566" s="4" t="s">
        <v>2602</v>
      </c>
      <c r="J1566" s="4" t="s">
        <v>2199</v>
      </c>
      <c r="K1566" s="7">
        <v>17625</v>
      </c>
      <c r="L1566" s="4" t="s">
        <v>26</v>
      </c>
      <c r="M1566" s="4" t="s">
        <v>61</v>
      </c>
      <c r="N1566" s="4"/>
    </row>
    <row r="1567" spans="1:14" ht="10.5" hidden="1" x14ac:dyDescent="0.25">
      <c r="A1567" s="8" t="s">
        <v>555</v>
      </c>
      <c r="B1567" s="4" t="s">
        <v>1092</v>
      </c>
      <c r="C1567" s="5">
        <v>44606</v>
      </c>
      <c r="D1567" s="4" t="s">
        <v>3036</v>
      </c>
      <c r="E1567" s="4" t="s">
        <v>3037</v>
      </c>
      <c r="F1567" s="4" t="s">
        <v>3037</v>
      </c>
      <c r="G1567" s="6">
        <v>6134.5511574997417</v>
      </c>
      <c r="H1567" s="6">
        <f t="shared" si="25"/>
        <v>18581747.090280719</v>
      </c>
      <c r="I1567" s="4" t="s">
        <v>2602</v>
      </c>
      <c r="J1567" s="4" t="s">
        <v>2199</v>
      </c>
      <c r="K1567" s="7">
        <v>5440</v>
      </c>
      <c r="L1567" s="4" t="s">
        <v>26</v>
      </c>
      <c r="M1567" s="4" t="s">
        <v>61</v>
      </c>
      <c r="N1567" s="4"/>
    </row>
    <row r="1568" spans="1:14" ht="10.5" hidden="1" x14ac:dyDescent="0.25">
      <c r="A1568" s="8" t="s">
        <v>555</v>
      </c>
      <c r="B1568" s="4" t="s">
        <v>224</v>
      </c>
      <c r="C1568" s="5">
        <v>44607</v>
      </c>
      <c r="D1568" s="4" t="s">
        <v>3038</v>
      </c>
      <c r="E1568" s="4" t="s">
        <v>3037</v>
      </c>
      <c r="F1568" s="4" t="s">
        <v>3037</v>
      </c>
      <c r="G1568" s="6">
        <v>-6134.5511574997417</v>
      </c>
      <c r="H1568" s="6">
        <f t="shared" si="25"/>
        <v>18575612.539123219</v>
      </c>
      <c r="I1568" s="4" t="s">
        <v>2602</v>
      </c>
      <c r="J1568" s="4" t="s">
        <v>2199</v>
      </c>
      <c r="K1568" s="7">
        <v>-5440</v>
      </c>
      <c r="L1568" s="4" t="s">
        <v>26</v>
      </c>
      <c r="M1568" s="4" t="s">
        <v>61</v>
      </c>
      <c r="N1568" s="4"/>
    </row>
    <row r="1569" spans="1:14" ht="10.5" hidden="1" x14ac:dyDescent="0.25">
      <c r="A1569" s="8" t="s">
        <v>555</v>
      </c>
      <c r="B1569" s="4" t="s">
        <v>1092</v>
      </c>
      <c r="C1569" s="5">
        <v>44616</v>
      </c>
      <c r="D1569" s="4" t="s">
        <v>3039</v>
      </c>
      <c r="E1569" s="4" t="s">
        <v>3040</v>
      </c>
      <c r="F1569" s="4" t="s">
        <v>3040</v>
      </c>
      <c r="G1569" s="6">
        <v>46014.247233090246</v>
      </c>
      <c r="H1569" s="6">
        <f t="shared" si="25"/>
        <v>18621626.786356308</v>
      </c>
      <c r="I1569" s="4" t="s">
        <v>3041</v>
      </c>
      <c r="J1569" s="4" t="s">
        <v>2199</v>
      </c>
      <c r="K1569" s="7">
        <v>46308.3</v>
      </c>
      <c r="L1569" s="4" t="s">
        <v>45</v>
      </c>
      <c r="M1569" s="4" t="s">
        <v>27</v>
      </c>
      <c r="N1569" s="4"/>
    </row>
    <row r="1570" spans="1:14" ht="10.5" hidden="1" x14ac:dyDescent="0.25">
      <c r="A1570" s="8" t="s">
        <v>555</v>
      </c>
      <c r="B1570" s="4" t="s">
        <v>21</v>
      </c>
      <c r="C1570" s="5">
        <v>44620</v>
      </c>
      <c r="D1570" s="4" t="s">
        <v>3042</v>
      </c>
      <c r="E1570" s="4" t="s">
        <v>3043</v>
      </c>
      <c r="F1570" s="4" t="s">
        <v>3044</v>
      </c>
      <c r="G1570" s="6">
        <v>-57237.189132721702</v>
      </c>
      <c r="H1570" s="6">
        <f t="shared" si="25"/>
        <v>18564389.597223587</v>
      </c>
      <c r="I1570" s="4"/>
      <c r="J1570" s="4" t="s">
        <v>2199</v>
      </c>
      <c r="K1570" s="7">
        <v>-50756.82</v>
      </c>
      <c r="L1570" s="4" t="s">
        <v>26</v>
      </c>
      <c r="M1570" s="4" t="s">
        <v>61</v>
      </c>
      <c r="N1570" s="4" t="s">
        <v>39</v>
      </c>
    </row>
    <row r="1571" spans="1:14" ht="10.5" hidden="1" x14ac:dyDescent="0.25">
      <c r="A1571" s="8" t="s">
        <v>555</v>
      </c>
      <c r="B1571" s="4" t="s">
        <v>21</v>
      </c>
      <c r="C1571" s="5">
        <v>44620</v>
      </c>
      <c r="D1571" s="4" t="s">
        <v>3042</v>
      </c>
      <c r="E1571" s="4" t="s">
        <v>3043</v>
      </c>
      <c r="F1571" s="4" t="s">
        <v>3043</v>
      </c>
      <c r="G1571" s="6">
        <v>423808.22951924021</v>
      </c>
      <c r="H1571" s="6">
        <f t="shared" si="25"/>
        <v>18988197.826742828</v>
      </c>
      <c r="I1571" s="4"/>
      <c r="J1571" s="4" t="s">
        <v>2199</v>
      </c>
      <c r="K1571" s="7">
        <v>375824.85</v>
      </c>
      <c r="L1571" s="4" t="s">
        <v>26</v>
      </c>
      <c r="M1571" s="4" t="s">
        <v>61</v>
      </c>
      <c r="N1571" s="4" t="s">
        <v>39</v>
      </c>
    </row>
    <row r="1572" spans="1:14" ht="10.5" hidden="1" x14ac:dyDescent="0.25">
      <c r="A1572" s="8" t="s">
        <v>555</v>
      </c>
      <c r="B1572" s="4" t="s">
        <v>21</v>
      </c>
      <c r="C1572" s="5">
        <v>44620</v>
      </c>
      <c r="D1572" s="4" t="s">
        <v>3045</v>
      </c>
      <c r="E1572" s="4" t="s">
        <v>3046</v>
      </c>
      <c r="F1572" s="4" t="s">
        <v>3046</v>
      </c>
      <c r="G1572" s="6">
        <v>382382.11258232279</v>
      </c>
      <c r="H1572" s="6">
        <f t="shared" si="25"/>
        <v>19370579.93932515</v>
      </c>
      <c r="I1572" s="4"/>
      <c r="J1572" s="4" t="s">
        <v>2199</v>
      </c>
      <c r="K1572" s="7">
        <v>383241</v>
      </c>
      <c r="L1572" s="4" t="s">
        <v>26</v>
      </c>
      <c r="M1572" s="4" t="s">
        <v>27</v>
      </c>
      <c r="N1572" s="4" t="s">
        <v>118</v>
      </c>
    </row>
    <row r="1573" spans="1:14" ht="10.5" hidden="1" x14ac:dyDescent="0.25">
      <c r="A1573" s="8" t="s">
        <v>555</v>
      </c>
      <c r="B1573" s="4" t="s">
        <v>21</v>
      </c>
      <c r="C1573" s="5">
        <v>44620</v>
      </c>
      <c r="D1573" s="4" t="s">
        <v>3045</v>
      </c>
      <c r="E1573" s="4" t="s">
        <v>3046</v>
      </c>
      <c r="F1573" s="4" t="s">
        <v>3046</v>
      </c>
      <c r="G1573" s="6">
        <v>33758.174091786394</v>
      </c>
      <c r="H1573" s="6">
        <f t="shared" si="25"/>
        <v>19404338.113416936</v>
      </c>
      <c r="I1573" s="4"/>
      <c r="J1573" s="4" t="s">
        <v>2199</v>
      </c>
      <c r="K1573" s="7">
        <v>33834</v>
      </c>
      <c r="L1573" s="4" t="s">
        <v>26</v>
      </c>
      <c r="M1573" s="4" t="s">
        <v>27</v>
      </c>
      <c r="N1573" s="4" t="s">
        <v>118</v>
      </c>
    </row>
    <row r="1574" spans="1:14" ht="10.5" hidden="1" x14ac:dyDescent="0.25">
      <c r="A1574" s="8" t="s">
        <v>555</v>
      </c>
      <c r="B1574" s="4" t="s">
        <v>21</v>
      </c>
      <c r="C1574" s="5">
        <v>44620</v>
      </c>
      <c r="D1574" s="4" t="s">
        <v>3045</v>
      </c>
      <c r="E1574" s="4" t="s">
        <v>3046</v>
      </c>
      <c r="F1574" s="4" t="s">
        <v>3046</v>
      </c>
      <c r="G1574" s="6">
        <v>12280.416348102704</v>
      </c>
      <c r="H1574" s="6">
        <f t="shared" si="25"/>
        <v>19416618.52976504</v>
      </c>
      <c r="I1574" s="4"/>
      <c r="J1574" s="4" t="s">
        <v>2199</v>
      </c>
      <c r="K1574" s="7">
        <v>12308</v>
      </c>
      <c r="L1574" s="4" t="s">
        <v>26</v>
      </c>
      <c r="M1574" s="4" t="s">
        <v>27</v>
      </c>
      <c r="N1574" s="4" t="s">
        <v>118</v>
      </c>
    </row>
    <row r="1575" spans="1:14" ht="10.5" hidden="1" x14ac:dyDescent="0.25">
      <c r="A1575" s="8" t="s">
        <v>555</v>
      </c>
      <c r="B1575" s="4" t="s">
        <v>21</v>
      </c>
      <c r="C1575" s="5">
        <v>44620</v>
      </c>
      <c r="D1575" s="4" t="s">
        <v>3045</v>
      </c>
      <c r="E1575" s="4" t="s">
        <v>3046</v>
      </c>
      <c r="F1575" s="4" t="s">
        <v>3046</v>
      </c>
      <c r="G1575" s="6">
        <v>109085.97658063185</v>
      </c>
      <c r="H1575" s="6">
        <f t="shared" si="25"/>
        <v>19525704.506345671</v>
      </c>
      <c r="I1575" s="4"/>
      <c r="J1575" s="4" t="s">
        <v>2199</v>
      </c>
      <c r="K1575" s="7">
        <v>109331</v>
      </c>
      <c r="L1575" s="4" t="s">
        <v>26</v>
      </c>
      <c r="M1575" s="4" t="s">
        <v>27</v>
      </c>
      <c r="N1575" s="4" t="s">
        <v>118</v>
      </c>
    </row>
    <row r="1576" spans="1:14" ht="10.5" hidden="1" x14ac:dyDescent="0.25">
      <c r="A1576" s="8" t="s">
        <v>555</v>
      </c>
      <c r="B1576" s="4" t="s">
        <v>21</v>
      </c>
      <c r="C1576" s="5">
        <v>44620</v>
      </c>
      <c r="D1576" s="4" t="s">
        <v>3047</v>
      </c>
      <c r="E1576" s="4" t="s">
        <v>3048</v>
      </c>
      <c r="F1576" s="4" t="s">
        <v>3049</v>
      </c>
      <c r="G1576" s="6">
        <v>113676.13495602863</v>
      </c>
      <c r="H1576" s="6">
        <f t="shared" si="25"/>
        <v>19639380.641301699</v>
      </c>
      <c r="I1576" s="4"/>
      <c r="J1576" s="4" t="s">
        <v>2199</v>
      </c>
      <c r="K1576" s="7">
        <v>417960</v>
      </c>
      <c r="L1576" s="4" t="s">
        <v>26</v>
      </c>
      <c r="M1576" s="4" t="s">
        <v>308</v>
      </c>
      <c r="N1576" s="4" t="s">
        <v>118</v>
      </c>
    </row>
    <row r="1577" spans="1:14" ht="10.5" hidden="1" x14ac:dyDescent="0.25">
      <c r="A1577" s="8" t="s">
        <v>555</v>
      </c>
      <c r="B1577" s="4" t="s">
        <v>1092</v>
      </c>
      <c r="C1577" s="5">
        <v>44620</v>
      </c>
      <c r="D1577" s="4" t="s">
        <v>3050</v>
      </c>
      <c r="E1577" s="4" t="s">
        <v>3051</v>
      </c>
      <c r="F1577" s="4" t="s">
        <v>3051</v>
      </c>
      <c r="G1577" s="6">
        <v>1774.8065055684913</v>
      </c>
      <c r="H1577" s="6">
        <f t="shared" si="25"/>
        <v>19641155.447807267</v>
      </c>
      <c r="I1577" s="4" t="s">
        <v>2668</v>
      </c>
      <c r="J1577" s="4" t="s">
        <v>2199</v>
      </c>
      <c r="K1577" s="7">
        <v>1600</v>
      </c>
      <c r="L1577" s="4" t="s">
        <v>42</v>
      </c>
      <c r="M1577" s="4" t="s">
        <v>61</v>
      </c>
      <c r="N1577" s="4"/>
    </row>
    <row r="1578" spans="1:14" ht="10.5" hidden="1" x14ac:dyDescent="0.25">
      <c r="A1578" s="8" t="s">
        <v>555</v>
      </c>
      <c r="B1578" s="4" t="s">
        <v>21</v>
      </c>
      <c r="C1578" s="5">
        <v>44621</v>
      </c>
      <c r="D1578" s="4" t="s">
        <v>3052</v>
      </c>
      <c r="E1578" s="4" t="s">
        <v>3043</v>
      </c>
      <c r="F1578" s="4" t="s">
        <v>3044</v>
      </c>
      <c r="G1578" s="6">
        <v>56302.208961230564</v>
      </c>
      <c r="H1578" s="6">
        <f t="shared" si="25"/>
        <v>19697457.656768497</v>
      </c>
      <c r="I1578" s="4"/>
      <c r="J1578" s="4" t="s">
        <v>2199</v>
      </c>
      <c r="K1578" s="7">
        <v>50756.82</v>
      </c>
      <c r="L1578" s="4" t="s">
        <v>42</v>
      </c>
      <c r="M1578" s="4" t="s">
        <v>61</v>
      </c>
      <c r="N1578" s="4" t="s">
        <v>39</v>
      </c>
    </row>
    <row r="1579" spans="1:14" ht="10.5" hidden="1" x14ac:dyDescent="0.25">
      <c r="A1579" s="8" t="s">
        <v>555</v>
      </c>
      <c r="B1579" s="4" t="s">
        <v>21</v>
      </c>
      <c r="C1579" s="5">
        <v>44621</v>
      </c>
      <c r="D1579" s="4" t="s">
        <v>3052</v>
      </c>
      <c r="E1579" s="4" t="s">
        <v>3043</v>
      </c>
      <c r="F1579" s="4" t="s">
        <v>3043</v>
      </c>
      <c r="G1579" s="6">
        <v>-416885.24295893899</v>
      </c>
      <c r="H1579" s="6">
        <f t="shared" si="25"/>
        <v>19280572.413809557</v>
      </c>
      <c r="I1579" s="4"/>
      <c r="J1579" s="4" t="s">
        <v>2199</v>
      </c>
      <c r="K1579" s="7">
        <v>-375824.85</v>
      </c>
      <c r="L1579" s="4" t="s">
        <v>42</v>
      </c>
      <c r="M1579" s="4" t="s">
        <v>61</v>
      </c>
      <c r="N1579" s="4" t="s">
        <v>39</v>
      </c>
    </row>
    <row r="1580" spans="1:14" ht="10.5" hidden="1" x14ac:dyDescent="0.25">
      <c r="A1580" s="8" t="s">
        <v>555</v>
      </c>
      <c r="B1580" s="4" t="s">
        <v>1092</v>
      </c>
      <c r="C1580" s="5">
        <v>44635</v>
      </c>
      <c r="D1580" s="4" t="s">
        <v>3053</v>
      </c>
      <c r="E1580" s="4" t="s">
        <v>3054</v>
      </c>
      <c r="F1580" s="4" t="s">
        <v>3054</v>
      </c>
      <c r="G1580" s="6">
        <v>186929.65117844858</v>
      </c>
      <c r="H1580" s="6">
        <f t="shared" si="25"/>
        <v>19467502.064988006</v>
      </c>
      <c r="I1580" s="4" t="s">
        <v>2866</v>
      </c>
      <c r="J1580" s="4" t="s">
        <v>2199</v>
      </c>
      <c r="K1580" s="7">
        <v>169500</v>
      </c>
      <c r="L1580" s="4" t="s">
        <v>42</v>
      </c>
      <c r="M1580" s="4" t="s">
        <v>308</v>
      </c>
      <c r="N1580" s="4"/>
    </row>
    <row r="1581" spans="1:14" ht="10.5" hidden="1" x14ac:dyDescent="0.25">
      <c r="A1581" s="8" t="s">
        <v>555</v>
      </c>
      <c r="B1581" s="4" t="s">
        <v>1092</v>
      </c>
      <c r="C1581" s="5">
        <v>44635</v>
      </c>
      <c r="D1581" s="4" t="s">
        <v>3055</v>
      </c>
      <c r="E1581" s="4" t="s">
        <v>3056</v>
      </c>
      <c r="F1581" s="4" t="s">
        <v>3056</v>
      </c>
      <c r="G1581" s="6">
        <v>62309.882813374068</v>
      </c>
      <c r="H1581" s="6">
        <f t="shared" si="25"/>
        <v>19529811.947801381</v>
      </c>
      <c r="I1581" s="4" t="s">
        <v>2866</v>
      </c>
      <c r="J1581" s="4" t="s">
        <v>2199</v>
      </c>
      <c r="K1581" s="7">
        <v>56500</v>
      </c>
      <c r="L1581" s="4" t="s">
        <v>42</v>
      </c>
      <c r="M1581" s="4" t="s">
        <v>308</v>
      </c>
      <c r="N1581" s="4"/>
    </row>
    <row r="1582" spans="1:14" ht="10.5" hidden="1" x14ac:dyDescent="0.25">
      <c r="A1582" s="8" t="s">
        <v>555</v>
      </c>
      <c r="B1582" s="4" t="s">
        <v>1092</v>
      </c>
      <c r="C1582" s="5">
        <v>44635</v>
      </c>
      <c r="D1582" s="4" t="s">
        <v>3057</v>
      </c>
      <c r="E1582" s="4" t="s">
        <v>3058</v>
      </c>
      <c r="F1582" s="4" t="s">
        <v>3058</v>
      </c>
      <c r="G1582" s="6">
        <v>62309.882813374068</v>
      </c>
      <c r="H1582" s="6">
        <f t="shared" si="25"/>
        <v>19592121.830614757</v>
      </c>
      <c r="I1582" s="4" t="s">
        <v>2866</v>
      </c>
      <c r="J1582" s="4" t="s">
        <v>2199</v>
      </c>
      <c r="K1582" s="7">
        <v>56500</v>
      </c>
      <c r="L1582" s="4" t="s">
        <v>42</v>
      </c>
      <c r="M1582" s="4" t="s">
        <v>308</v>
      </c>
      <c r="N1582" s="4"/>
    </row>
    <row r="1583" spans="1:14" ht="10.5" hidden="1" x14ac:dyDescent="0.25">
      <c r="A1583" s="8" t="s">
        <v>555</v>
      </c>
      <c r="B1583" s="4" t="s">
        <v>1092</v>
      </c>
      <c r="C1583" s="5">
        <v>44643</v>
      </c>
      <c r="D1583" s="4" t="s">
        <v>3059</v>
      </c>
      <c r="E1583" s="4" t="s">
        <v>3060</v>
      </c>
      <c r="F1583" s="4" t="s">
        <v>3060</v>
      </c>
      <c r="G1583" s="6">
        <v>69021.370849635365</v>
      </c>
      <c r="H1583" s="6">
        <f t="shared" si="25"/>
        <v>19661143.201464392</v>
      </c>
      <c r="I1583" s="4" t="s">
        <v>3041</v>
      </c>
      <c r="J1583" s="4" t="s">
        <v>2199</v>
      </c>
      <c r="K1583" s="7">
        <v>69462.45</v>
      </c>
      <c r="L1583" s="4" t="s">
        <v>45</v>
      </c>
      <c r="M1583" s="4" t="s">
        <v>27</v>
      </c>
      <c r="N1583" s="4"/>
    </row>
    <row r="1584" spans="1:14" ht="10.5" hidden="1" x14ac:dyDescent="0.25">
      <c r="A1584" s="8" t="s">
        <v>555</v>
      </c>
      <c r="B1584" s="4" t="s">
        <v>1092</v>
      </c>
      <c r="C1584" s="5">
        <v>44649</v>
      </c>
      <c r="D1584" s="4" t="s">
        <v>3061</v>
      </c>
      <c r="E1584" s="4" t="s">
        <v>3062</v>
      </c>
      <c r="F1584" s="4" t="s">
        <v>3062</v>
      </c>
      <c r="G1584" s="6">
        <v>6034.3421189328701</v>
      </c>
      <c r="H1584" s="6">
        <f t="shared" si="25"/>
        <v>19667177.543583326</v>
      </c>
      <c r="I1584" s="4" t="s">
        <v>2602</v>
      </c>
      <c r="J1584" s="4" t="s">
        <v>2199</v>
      </c>
      <c r="K1584" s="7">
        <v>5440</v>
      </c>
      <c r="L1584" s="4" t="s">
        <v>42</v>
      </c>
      <c r="M1584" s="4" t="s">
        <v>61</v>
      </c>
      <c r="N1584" s="4"/>
    </row>
    <row r="1585" spans="1:14" ht="10.5" hidden="1" x14ac:dyDescent="0.25">
      <c r="A1585" s="8" t="s">
        <v>555</v>
      </c>
      <c r="B1585" s="4" t="s">
        <v>1092</v>
      </c>
      <c r="C1585" s="5">
        <v>44649</v>
      </c>
      <c r="D1585" s="4" t="s">
        <v>3063</v>
      </c>
      <c r="E1585" s="4" t="s">
        <v>3064</v>
      </c>
      <c r="F1585" s="4" t="s">
        <v>3064</v>
      </c>
      <c r="G1585" s="6">
        <v>109287.87028312727</v>
      </c>
      <c r="H1585" s="6">
        <f t="shared" si="25"/>
        <v>19776465.413866453</v>
      </c>
      <c r="I1585" s="4" t="s">
        <v>2584</v>
      </c>
      <c r="J1585" s="4" t="s">
        <v>2199</v>
      </c>
      <c r="K1585" s="7">
        <v>109239</v>
      </c>
      <c r="L1585" s="4" t="s">
        <v>42</v>
      </c>
      <c r="M1585" s="4" t="s">
        <v>61</v>
      </c>
      <c r="N1585" s="4"/>
    </row>
    <row r="1586" spans="1:14" ht="10.5" hidden="1" x14ac:dyDescent="0.25">
      <c r="A1586" s="8" t="s">
        <v>555</v>
      </c>
      <c r="B1586" s="4" t="s">
        <v>21</v>
      </c>
      <c r="C1586" s="5">
        <v>44651</v>
      </c>
      <c r="D1586" s="4" t="s">
        <v>3065</v>
      </c>
      <c r="E1586" s="4" t="s">
        <v>3066</v>
      </c>
      <c r="F1586" s="4" t="s">
        <v>3066</v>
      </c>
      <c r="G1586" s="6">
        <v>40692.372210116206</v>
      </c>
      <c r="H1586" s="6">
        <f t="shared" ref="H1586:H1649" si="26">H1585+G1586</f>
        <v>19817157.786076568</v>
      </c>
      <c r="I1586" s="4"/>
      <c r="J1586" s="4" t="s">
        <v>2199</v>
      </c>
      <c r="K1586" s="7">
        <v>40668</v>
      </c>
      <c r="L1586" s="4" t="s">
        <v>42</v>
      </c>
      <c r="M1586" s="4" t="s">
        <v>27</v>
      </c>
      <c r="N1586" s="4" t="s">
        <v>118</v>
      </c>
    </row>
    <row r="1587" spans="1:14" ht="10.5" hidden="1" x14ac:dyDescent="0.25">
      <c r="A1587" s="8" t="s">
        <v>555</v>
      </c>
      <c r="B1587" s="4" t="s">
        <v>21</v>
      </c>
      <c r="C1587" s="5">
        <v>44651</v>
      </c>
      <c r="D1587" s="4" t="s">
        <v>3065</v>
      </c>
      <c r="E1587" s="4" t="s">
        <v>3066</v>
      </c>
      <c r="F1587" s="4" t="s">
        <v>3066</v>
      </c>
      <c r="G1587" s="6">
        <v>-40354.169647732531</v>
      </c>
      <c r="H1587" s="6">
        <f t="shared" si="26"/>
        <v>19776803.616428837</v>
      </c>
      <c r="I1587" s="4"/>
      <c r="J1587" s="4" t="s">
        <v>2199</v>
      </c>
      <c r="K1587" s="7">
        <v>-40330</v>
      </c>
      <c r="L1587" s="4" t="s">
        <v>42</v>
      </c>
      <c r="M1587" s="4" t="s">
        <v>27</v>
      </c>
      <c r="N1587" s="4" t="s">
        <v>118</v>
      </c>
    </row>
    <row r="1588" spans="1:14" ht="10.5" hidden="1" x14ac:dyDescent="0.25">
      <c r="A1588" s="8" t="s">
        <v>555</v>
      </c>
      <c r="B1588" s="4" t="s">
        <v>21</v>
      </c>
      <c r="C1588" s="5">
        <v>44651</v>
      </c>
      <c r="D1588" s="4" t="s">
        <v>3065</v>
      </c>
      <c r="E1588" s="4" t="s">
        <v>3066</v>
      </c>
      <c r="F1588" s="4" t="s">
        <v>3066</v>
      </c>
      <c r="G1588" s="6">
        <v>40550.28710994318</v>
      </c>
      <c r="H1588" s="6">
        <f t="shared" si="26"/>
        <v>19817353.903538782</v>
      </c>
      <c r="I1588" s="4"/>
      <c r="J1588" s="4" t="s">
        <v>2199</v>
      </c>
      <c r="K1588" s="7">
        <v>40526</v>
      </c>
      <c r="L1588" s="4" t="s">
        <v>42</v>
      </c>
      <c r="M1588" s="4" t="s">
        <v>27</v>
      </c>
      <c r="N1588" s="4" t="s">
        <v>118</v>
      </c>
    </row>
    <row r="1589" spans="1:14" ht="10.5" hidden="1" x14ac:dyDescent="0.25">
      <c r="A1589" s="8" t="s">
        <v>555</v>
      </c>
      <c r="B1589" s="4" t="s">
        <v>21</v>
      </c>
      <c r="C1589" s="5">
        <v>44651</v>
      </c>
      <c r="D1589" s="4" t="s">
        <v>3065</v>
      </c>
      <c r="E1589" s="4" t="s">
        <v>3066</v>
      </c>
      <c r="F1589" s="4" t="s">
        <v>3066</v>
      </c>
      <c r="G1589" s="6">
        <v>115857.39140023937</v>
      </c>
      <c r="H1589" s="6">
        <f t="shared" si="26"/>
        <v>19933211.294939023</v>
      </c>
      <c r="I1589" s="4"/>
      <c r="J1589" s="4" t="s">
        <v>2199</v>
      </c>
      <c r="K1589" s="7">
        <v>115788</v>
      </c>
      <c r="L1589" s="4" t="s">
        <v>42</v>
      </c>
      <c r="M1589" s="4" t="s">
        <v>27</v>
      </c>
      <c r="N1589" s="4" t="s">
        <v>118</v>
      </c>
    </row>
    <row r="1590" spans="1:14" ht="10.5" hidden="1" x14ac:dyDescent="0.25">
      <c r="A1590" s="8" t="s">
        <v>555</v>
      </c>
      <c r="B1590" s="4" t="s">
        <v>21</v>
      </c>
      <c r="C1590" s="5">
        <v>44651</v>
      </c>
      <c r="D1590" s="4" t="s">
        <v>3067</v>
      </c>
      <c r="E1590" s="4" t="s">
        <v>3068</v>
      </c>
      <c r="F1590" s="4" t="s">
        <v>3068</v>
      </c>
      <c r="G1590" s="6">
        <v>-184449.8310273634</v>
      </c>
      <c r="H1590" s="6">
        <f t="shared" si="26"/>
        <v>19748761.46391166</v>
      </c>
      <c r="I1590" s="4"/>
      <c r="J1590" s="4" t="s">
        <v>2199</v>
      </c>
      <c r="K1590" s="7">
        <v>-673586</v>
      </c>
      <c r="L1590" s="4" t="s">
        <v>42</v>
      </c>
      <c r="M1590" s="4" t="s">
        <v>308</v>
      </c>
      <c r="N1590" s="4" t="s">
        <v>118</v>
      </c>
    </row>
    <row r="1591" spans="1:14" ht="10.5" hidden="1" x14ac:dyDescent="0.25">
      <c r="A1591" s="8" t="s">
        <v>555</v>
      </c>
      <c r="B1591" s="4" t="s">
        <v>21</v>
      </c>
      <c r="C1591" s="5">
        <v>44651</v>
      </c>
      <c r="D1591" s="4" t="s">
        <v>3069</v>
      </c>
      <c r="E1591" s="4" t="s">
        <v>3070</v>
      </c>
      <c r="F1591" s="4" t="s">
        <v>3071</v>
      </c>
      <c r="G1591" s="6">
        <v>-65855.837085136518</v>
      </c>
      <c r="H1591" s="6">
        <f t="shared" si="26"/>
        <v>19682905.626826525</v>
      </c>
      <c r="I1591" s="4"/>
      <c r="J1591" s="4" t="s">
        <v>2199</v>
      </c>
      <c r="K1591" s="7">
        <v>-59369.48</v>
      </c>
      <c r="L1591" s="4" t="s">
        <v>42</v>
      </c>
      <c r="M1591" s="4" t="s">
        <v>61</v>
      </c>
      <c r="N1591" s="4" t="s">
        <v>39</v>
      </c>
    </row>
    <row r="1592" spans="1:14" ht="10.5" hidden="1" x14ac:dyDescent="0.25">
      <c r="A1592" s="8" t="s">
        <v>555</v>
      </c>
      <c r="B1592" s="4" t="s">
        <v>21</v>
      </c>
      <c r="C1592" s="5">
        <v>44651</v>
      </c>
      <c r="D1592" s="4" t="s">
        <v>3069</v>
      </c>
      <c r="E1592" s="4" t="s">
        <v>3070</v>
      </c>
      <c r="F1592" s="4" t="s">
        <v>3070</v>
      </c>
      <c r="G1592" s="6">
        <v>367478.56769584643</v>
      </c>
      <c r="H1592" s="6">
        <f t="shared" si="26"/>
        <v>20050384.19452237</v>
      </c>
      <c r="I1592" s="4"/>
      <c r="J1592" s="4" t="s">
        <v>2199</v>
      </c>
      <c r="K1592" s="7">
        <v>331284.40000000002</v>
      </c>
      <c r="L1592" s="4" t="s">
        <v>42</v>
      </c>
      <c r="M1592" s="4" t="s">
        <v>61</v>
      </c>
      <c r="N1592" s="4" t="s">
        <v>39</v>
      </c>
    </row>
    <row r="1593" spans="1:14" ht="10.5" hidden="1" x14ac:dyDescent="0.25">
      <c r="A1593" s="8" t="s">
        <v>555</v>
      </c>
      <c r="B1593" s="4" t="s">
        <v>21</v>
      </c>
      <c r="C1593" s="5">
        <v>44652</v>
      </c>
      <c r="D1593" s="4" t="s">
        <v>3072</v>
      </c>
      <c r="E1593" s="4" t="s">
        <v>3070</v>
      </c>
      <c r="F1593" s="4" t="s">
        <v>3071</v>
      </c>
      <c r="G1593" s="6">
        <v>63647.75530221079</v>
      </c>
      <c r="H1593" s="6">
        <f t="shared" si="26"/>
        <v>20114031.949824579</v>
      </c>
      <c r="I1593" s="4"/>
      <c r="J1593" s="4" t="s">
        <v>2199</v>
      </c>
      <c r="K1593" s="7">
        <v>59369.48</v>
      </c>
      <c r="L1593" s="4" t="s">
        <v>45</v>
      </c>
      <c r="M1593" s="4" t="s">
        <v>61</v>
      </c>
      <c r="N1593" s="4" t="s">
        <v>39</v>
      </c>
    </row>
    <row r="1594" spans="1:14" ht="10.5" hidden="1" x14ac:dyDescent="0.25">
      <c r="A1594" s="8" t="s">
        <v>555</v>
      </c>
      <c r="B1594" s="4" t="s">
        <v>21</v>
      </c>
      <c r="C1594" s="5">
        <v>44652</v>
      </c>
      <c r="D1594" s="4" t="s">
        <v>3072</v>
      </c>
      <c r="E1594" s="4" t="s">
        <v>3070</v>
      </c>
      <c r="F1594" s="4" t="s">
        <v>3070</v>
      </c>
      <c r="G1594" s="6">
        <v>-355157.37086866383</v>
      </c>
      <c r="H1594" s="6">
        <f t="shared" si="26"/>
        <v>19758874.578955915</v>
      </c>
      <c r="I1594" s="4"/>
      <c r="J1594" s="4" t="s">
        <v>2199</v>
      </c>
      <c r="K1594" s="7">
        <v>-331284.40000000002</v>
      </c>
      <c r="L1594" s="4" t="s">
        <v>45</v>
      </c>
      <c r="M1594" s="4" t="s">
        <v>61</v>
      </c>
      <c r="N1594" s="4" t="s">
        <v>39</v>
      </c>
    </row>
    <row r="1595" spans="1:14" ht="10.5" hidden="1" x14ac:dyDescent="0.25">
      <c r="A1595" s="8" t="s">
        <v>555</v>
      </c>
      <c r="B1595" s="4" t="s">
        <v>1092</v>
      </c>
      <c r="C1595" s="5">
        <v>44652</v>
      </c>
      <c r="D1595" s="4" t="s">
        <v>3073</v>
      </c>
      <c r="E1595" s="4" t="s">
        <v>3074</v>
      </c>
      <c r="F1595" s="4" t="s">
        <v>3074</v>
      </c>
      <c r="G1595" s="6">
        <v>29300.629013479389</v>
      </c>
      <c r="H1595" s="6">
        <f t="shared" si="26"/>
        <v>19788175.207969394</v>
      </c>
      <c r="I1595" s="4" t="s">
        <v>2866</v>
      </c>
      <c r="J1595" s="4" t="s">
        <v>2199</v>
      </c>
      <c r="K1595" s="7">
        <v>27000</v>
      </c>
      <c r="L1595" s="4" t="s">
        <v>45</v>
      </c>
      <c r="M1595" s="4" t="s">
        <v>308</v>
      </c>
      <c r="N1595" s="4"/>
    </row>
    <row r="1596" spans="1:14" ht="10.5" hidden="1" x14ac:dyDescent="0.25">
      <c r="A1596" s="8" t="s">
        <v>555</v>
      </c>
      <c r="B1596" s="4" t="s">
        <v>1092</v>
      </c>
      <c r="C1596" s="5">
        <v>44652</v>
      </c>
      <c r="D1596" s="4" t="s">
        <v>3075</v>
      </c>
      <c r="E1596" s="4" t="s">
        <v>3076</v>
      </c>
      <c r="F1596" s="4" t="s">
        <v>3076</v>
      </c>
      <c r="G1596" s="6">
        <v>10479.404705567751</v>
      </c>
      <c r="H1596" s="6">
        <f t="shared" si="26"/>
        <v>19798654.612674963</v>
      </c>
      <c r="I1596" s="4" t="s">
        <v>2584</v>
      </c>
      <c r="J1596" s="4" t="s">
        <v>2199</v>
      </c>
      <c r="K1596" s="7">
        <v>9775</v>
      </c>
      <c r="L1596" s="4" t="s">
        <v>45</v>
      </c>
      <c r="M1596" s="4" t="s">
        <v>61</v>
      </c>
      <c r="N1596" s="4"/>
    </row>
    <row r="1597" spans="1:14" ht="10.5" hidden="1" x14ac:dyDescent="0.25">
      <c r="A1597" s="8" t="s">
        <v>555</v>
      </c>
      <c r="B1597" s="4" t="s">
        <v>1092</v>
      </c>
      <c r="C1597" s="5">
        <v>44652</v>
      </c>
      <c r="D1597" s="4" t="s">
        <v>3077</v>
      </c>
      <c r="E1597" s="4" t="s">
        <v>3078</v>
      </c>
      <c r="F1597" s="4" t="s">
        <v>3078</v>
      </c>
      <c r="G1597" s="6">
        <v>3371.6345574435372</v>
      </c>
      <c r="H1597" s="6">
        <f t="shared" si="26"/>
        <v>19802026.247232407</v>
      </c>
      <c r="I1597" s="4" t="s">
        <v>2584</v>
      </c>
      <c r="J1597" s="4" t="s">
        <v>2199</v>
      </c>
      <c r="K1597" s="7">
        <v>3145</v>
      </c>
      <c r="L1597" s="4" t="s">
        <v>45</v>
      </c>
      <c r="M1597" s="4" t="s">
        <v>61</v>
      </c>
      <c r="N1597" s="4"/>
    </row>
    <row r="1598" spans="1:14" ht="10.5" hidden="1" x14ac:dyDescent="0.25">
      <c r="A1598" s="8" t="s">
        <v>555</v>
      </c>
      <c r="B1598" s="4" t="s">
        <v>1092</v>
      </c>
      <c r="C1598" s="5">
        <v>44652</v>
      </c>
      <c r="D1598" s="4" t="s">
        <v>3079</v>
      </c>
      <c r="E1598" s="4" t="s">
        <v>3080</v>
      </c>
      <c r="F1598" s="4" t="s">
        <v>3080</v>
      </c>
      <c r="G1598" s="6">
        <v>3827.2608489899612</v>
      </c>
      <c r="H1598" s="6">
        <f t="shared" si="26"/>
        <v>19805853.508081399</v>
      </c>
      <c r="I1598" s="4" t="s">
        <v>2584</v>
      </c>
      <c r="J1598" s="4" t="s">
        <v>2199</v>
      </c>
      <c r="K1598" s="7">
        <v>3570</v>
      </c>
      <c r="L1598" s="4" t="s">
        <v>45</v>
      </c>
      <c r="M1598" s="4" t="s">
        <v>61</v>
      </c>
      <c r="N1598" s="4"/>
    </row>
    <row r="1599" spans="1:14" ht="10.5" hidden="1" x14ac:dyDescent="0.25">
      <c r="A1599" s="8" t="s">
        <v>555</v>
      </c>
      <c r="B1599" s="4" t="s">
        <v>1092</v>
      </c>
      <c r="C1599" s="5">
        <v>44652</v>
      </c>
      <c r="D1599" s="4" t="s">
        <v>3081</v>
      </c>
      <c r="E1599" s="4" t="s">
        <v>3082</v>
      </c>
      <c r="F1599" s="4" t="s">
        <v>3082</v>
      </c>
      <c r="G1599" s="6">
        <v>4191.7618822271006</v>
      </c>
      <c r="H1599" s="6">
        <f t="shared" si="26"/>
        <v>19810045.269963626</v>
      </c>
      <c r="I1599" s="4" t="s">
        <v>2584</v>
      </c>
      <c r="J1599" s="4" t="s">
        <v>2199</v>
      </c>
      <c r="K1599" s="7">
        <v>3910</v>
      </c>
      <c r="L1599" s="4" t="s">
        <v>45</v>
      </c>
      <c r="M1599" s="4" t="s">
        <v>61</v>
      </c>
      <c r="N1599" s="4"/>
    </row>
    <row r="1600" spans="1:14" ht="10.5" hidden="1" x14ac:dyDescent="0.25">
      <c r="A1600" s="8" t="s">
        <v>555</v>
      </c>
      <c r="B1600" s="4" t="s">
        <v>1092</v>
      </c>
      <c r="C1600" s="5">
        <v>44652</v>
      </c>
      <c r="D1600" s="4" t="s">
        <v>3083</v>
      </c>
      <c r="E1600" s="4" t="s">
        <v>3084</v>
      </c>
      <c r="F1600" s="4" t="s">
        <v>3084</v>
      </c>
      <c r="G1600" s="6">
        <v>13096.153164021363</v>
      </c>
      <c r="H1600" s="6">
        <f t="shared" si="26"/>
        <v>19823141.423127647</v>
      </c>
      <c r="I1600" s="4" t="s">
        <v>2866</v>
      </c>
      <c r="J1600" s="4" t="s">
        <v>2199</v>
      </c>
      <c r="K1600" s="7">
        <v>11839.8</v>
      </c>
      <c r="L1600" s="4" t="s">
        <v>52</v>
      </c>
      <c r="M1600" s="4" t="s">
        <v>308</v>
      </c>
      <c r="N1600" s="4"/>
    </row>
    <row r="1601" spans="1:14" ht="10.5" hidden="1" x14ac:dyDescent="0.25">
      <c r="A1601" s="8" t="s">
        <v>555</v>
      </c>
      <c r="B1601" s="4" t="s">
        <v>1092</v>
      </c>
      <c r="C1601" s="5">
        <v>44655</v>
      </c>
      <c r="D1601" s="4" t="s">
        <v>3085</v>
      </c>
      <c r="E1601" s="4" t="s">
        <v>3086</v>
      </c>
      <c r="F1601" s="4" t="s">
        <v>3086</v>
      </c>
      <c r="G1601" s="6">
        <v>77016.116286527904</v>
      </c>
      <c r="H1601" s="6">
        <f t="shared" si="26"/>
        <v>19900157.539414175</v>
      </c>
      <c r="I1601" s="4" t="s">
        <v>2826</v>
      </c>
      <c r="J1601" s="4" t="s">
        <v>2199</v>
      </c>
      <c r="K1601" s="7">
        <v>288000</v>
      </c>
      <c r="L1601" s="4" t="s">
        <v>45</v>
      </c>
      <c r="M1601" s="4" t="s">
        <v>308</v>
      </c>
      <c r="N1601" s="4"/>
    </row>
    <row r="1602" spans="1:14" ht="10.5" hidden="1" x14ac:dyDescent="0.25">
      <c r="A1602" s="8" t="s">
        <v>555</v>
      </c>
      <c r="B1602" s="4" t="s">
        <v>1092</v>
      </c>
      <c r="C1602" s="5">
        <v>44655</v>
      </c>
      <c r="D1602" s="4" t="s">
        <v>3087</v>
      </c>
      <c r="E1602" s="4" t="s">
        <v>3088</v>
      </c>
      <c r="F1602" s="4" t="s">
        <v>3088</v>
      </c>
      <c r="G1602" s="6">
        <v>73711.978736340825</v>
      </c>
      <c r="H1602" s="6">
        <f t="shared" si="26"/>
        <v>19973869.518150516</v>
      </c>
      <c r="I1602" s="4" t="s">
        <v>2866</v>
      </c>
      <c r="J1602" s="4" t="s">
        <v>2199</v>
      </c>
      <c r="K1602" s="7">
        <v>67092.2</v>
      </c>
      <c r="L1602" s="4" t="s">
        <v>52</v>
      </c>
      <c r="M1602" s="4" t="s">
        <v>308</v>
      </c>
      <c r="N1602" s="4"/>
    </row>
    <row r="1603" spans="1:14" ht="10.5" hidden="1" x14ac:dyDescent="0.25">
      <c r="A1603" s="8" t="s">
        <v>555</v>
      </c>
      <c r="B1603" s="4" t="s">
        <v>1092</v>
      </c>
      <c r="C1603" s="5">
        <v>44664</v>
      </c>
      <c r="D1603" s="4" t="s">
        <v>3089</v>
      </c>
      <c r="E1603" s="4" t="s">
        <v>3090</v>
      </c>
      <c r="F1603" s="4" t="s">
        <v>3090</v>
      </c>
      <c r="G1603" s="6">
        <v>849272.74614102079</v>
      </c>
      <c r="H1603" s="6">
        <f t="shared" si="26"/>
        <v>20823142.264291536</v>
      </c>
      <c r="I1603" s="4" t="s">
        <v>2578</v>
      </c>
      <c r="J1603" s="4" t="s">
        <v>2199</v>
      </c>
      <c r="K1603" s="7">
        <v>854700</v>
      </c>
      <c r="L1603" s="4" t="s">
        <v>45</v>
      </c>
      <c r="M1603" s="4" t="s">
        <v>27</v>
      </c>
      <c r="N1603" s="4"/>
    </row>
    <row r="1604" spans="1:14" ht="10.5" hidden="1" x14ac:dyDescent="0.25">
      <c r="A1604" s="8" t="s">
        <v>555</v>
      </c>
      <c r="B1604" s="4" t="s">
        <v>1092</v>
      </c>
      <c r="C1604" s="5">
        <v>44671</v>
      </c>
      <c r="D1604" s="4" t="s">
        <v>3091</v>
      </c>
      <c r="E1604" s="4" t="s">
        <v>3092</v>
      </c>
      <c r="F1604" s="4" t="s">
        <v>3092</v>
      </c>
      <c r="G1604" s="6">
        <v>63037.237512775828</v>
      </c>
      <c r="H1604" s="6">
        <f t="shared" si="26"/>
        <v>20886179.501804311</v>
      </c>
      <c r="I1604" s="4" t="s">
        <v>2739</v>
      </c>
      <c r="J1604" s="4" t="s">
        <v>2199</v>
      </c>
      <c r="K1604" s="7">
        <v>58800</v>
      </c>
      <c r="L1604" s="4" t="s">
        <v>45</v>
      </c>
      <c r="M1604" s="4" t="s">
        <v>61</v>
      </c>
      <c r="N1604" s="4"/>
    </row>
    <row r="1605" spans="1:14" ht="10.5" hidden="1" x14ac:dyDescent="0.25">
      <c r="A1605" s="8" t="s">
        <v>555</v>
      </c>
      <c r="B1605" s="4" t="s">
        <v>1092</v>
      </c>
      <c r="C1605" s="5">
        <v>44671</v>
      </c>
      <c r="D1605" s="4" t="s">
        <v>3093</v>
      </c>
      <c r="E1605" s="4" t="s">
        <v>3092</v>
      </c>
      <c r="F1605" s="4" t="s">
        <v>3092</v>
      </c>
      <c r="G1605" s="6">
        <v>63037.237512775828</v>
      </c>
      <c r="H1605" s="6">
        <f t="shared" si="26"/>
        <v>20949216.739317086</v>
      </c>
      <c r="I1605" s="4" t="s">
        <v>2739</v>
      </c>
      <c r="J1605" s="4" t="s">
        <v>2199</v>
      </c>
      <c r="K1605" s="7">
        <v>58800</v>
      </c>
      <c r="L1605" s="4" t="s">
        <v>45</v>
      </c>
      <c r="M1605" s="4" t="s">
        <v>61</v>
      </c>
      <c r="N1605" s="4"/>
    </row>
    <row r="1606" spans="1:14" ht="10.5" hidden="1" x14ac:dyDescent="0.25">
      <c r="A1606" s="8" t="s">
        <v>555</v>
      </c>
      <c r="B1606" s="4" t="s">
        <v>1092</v>
      </c>
      <c r="C1606" s="5">
        <v>44672</v>
      </c>
      <c r="D1606" s="4" t="s">
        <v>3094</v>
      </c>
      <c r="E1606" s="4" t="s">
        <v>3095</v>
      </c>
      <c r="F1606" s="4" t="s">
        <v>3095</v>
      </c>
      <c r="G1606" s="6">
        <v>92028.494466180491</v>
      </c>
      <c r="H1606" s="6">
        <f t="shared" si="26"/>
        <v>21041245.233783267</v>
      </c>
      <c r="I1606" s="4" t="s">
        <v>3041</v>
      </c>
      <c r="J1606" s="4" t="s">
        <v>2199</v>
      </c>
      <c r="K1606" s="7">
        <v>92616.6</v>
      </c>
      <c r="L1606" s="4" t="s">
        <v>45</v>
      </c>
      <c r="M1606" s="4" t="s">
        <v>27</v>
      </c>
      <c r="N1606" s="4"/>
    </row>
    <row r="1607" spans="1:14" ht="10.5" hidden="1" x14ac:dyDescent="0.25">
      <c r="A1607" s="8" t="s">
        <v>555</v>
      </c>
      <c r="B1607" s="4" t="s">
        <v>1092</v>
      </c>
      <c r="C1607" s="5">
        <v>44673</v>
      </c>
      <c r="D1607" s="4" t="s">
        <v>3096</v>
      </c>
      <c r="E1607" s="4" t="s">
        <v>3097</v>
      </c>
      <c r="F1607" s="4" t="s">
        <v>3097</v>
      </c>
      <c r="G1607" s="6">
        <v>77016.116286527904</v>
      </c>
      <c r="H1607" s="6">
        <f t="shared" si="26"/>
        <v>21118261.350069795</v>
      </c>
      <c r="I1607" s="4" t="s">
        <v>2584</v>
      </c>
      <c r="J1607" s="4" t="s">
        <v>2199</v>
      </c>
      <c r="K1607" s="7">
        <v>288000</v>
      </c>
      <c r="L1607" s="4" t="s">
        <v>45</v>
      </c>
      <c r="M1607" s="4" t="s">
        <v>308</v>
      </c>
      <c r="N1607" s="4"/>
    </row>
    <row r="1608" spans="1:14" ht="10.5" hidden="1" x14ac:dyDescent="0.25">
      <c r="A1608" s="8" t="s">
        <v>555</v>
      </c>
      <c r="B1608" s="4" t="s">
        <v>1092</v>
      </c>
      <c r="C1608" s="5">
        <v>44673</v>
      </c>
      <c r="D1608" s="4" t="s">
        <v>3098</v>
      </c>
      <c r="E1608" s="4" t="s">
        <v>3099</v>
      </c>
      <c r="F1608" s="4" t="s">
        <v>3099</v>
      </c>
      <c r="G1608" s="6">
        <v>849272.74614102079</v>
      </c>
      <c r="H1608" s="6">
        <f t="shared" si="26"/>
        <v>21967534.096210815</v>
      </c>
      <c r="I1608" s="4" t="s">
        <v>2578</v>
      </c>
      <c r="J1608" s="4" t="s">
        <v>2199</v>
      </c>
      <c r="K1608" s="7">
        <v>854700</v>
      </c>
      <c r="L1608" s="4" t="s">
        <v>45</v>
      </c>
      <c r="M1608" s="4" t="s">
        <v>27</v>
      </c>
      <c r="N1608" s="4"/>
    </row>
    <row r="1609" spans="1:14" ht="10.5" hidden="1" x14ac:dyDescent="0.25">
      <c r="A1609" s="8" t="s">
        <v>555</v>
      </c>
      <c r="B1609" s="4" t="s">
        <v>224</v>
      </c>
      <c r="C1609" s="5">
        <v>44676</v>
      </c>
      <c r="D1609" s="4" t="s">
        <v>3100</v>
      </c>
      <c r="E1609" s="4" t="s">
        <v>3086</v>
      </c>
      <c r="F1609" s="4" t="s">
        <v>3086</v>
      </c>
      <c r="G1609" s="6">
        <v>-77908.964756400572</v>
      </c>
      <c r="H1609" s="6">
        <f t="shared" si="26"/>
        <v>21889625.131454416</v>
      </c>
      <c r="I1609" s="4" t="s">
        <v>2826</v>
      </c>
      <c r="J1609" s="4" t="s">
        <v>2199</v>
      </c>
      <c r="K1609" s="7">
        <v>-288000</v>
      </c>
      <c r="L1609" s="4" t="s">
        <v>160</v>
      </c>
      <c r="M1609" s="4" t="s">
        <v>308</v>
      </c>
      <c r="N1609" s="4"/>
    </row>
    <row r="1610" spans="1:14" ht="10.5" hidden="1" x14ac:dyDescent="0.25">
      <c r="A1610" s="8" t="s">
        <v>555</v>
      </c>
      <c r="B1610" s="4" t="s">
        <v>1092</v>
      </c>
      <c r="C1610" s="5">
        <v>44678</v>
      </c>
      <c r="D1610" s="4" t="s">
        <v>3101</v>
      </c>
      <c r="E1610" s="4" t="s">
        <v>3102</v>
      </c>
      <c r="F1610" s="4" t="s">
        <v>3102</v>
      </c>
      <c r="G1610" s="6">
        <v>184655.08255311448</v>
      </c>
      <c r="H1610" s="6">
        <f t="shared" si="26"/>
        <v>22074280.21400753</v>
      </c>
      <c r="I1610" s="4" t="s">
        <v>2826</v>
      </c>
      <c r="J1610" s="4" t="s">
        <v>2199</v>
      </c>
      <c r="K1610" s="7">
        <v>677463.6</v>
      </c>
      <c r="L1610" s="4" t="s">
        <v>52</v>
      </c>
      <c r="M1610" s="4" t="s">
        <v>308</v>
      </c>
      <c r="N1610" s="4"/>
    </row>
    <row r="1611" spans="1:14" ht="10.5" hidden="1" x14ac:dyDescent="0.25">
      <c r="A1611" s="8" t="s">
        <v>555</v>
      </c>
      <c r="B1611" s="4" t="s">
        <v>21</v>
      </c>
      <c r="C1611" s="5">
        <v>44681</v>
      </c>
      <c r="D1611" s="4" t="s">
        <v>3103</v>
      </c>
      <c r="E1611" s="4" t="s">
        <v>3104</v>
      </c>
      <c r="F1611" s="4" t="s">
        <v>3105</v>
      </c>
      <c r="G1611" s="6">
        <v>93504.641191595467</v>
      </c>
      <c r="H1611" s="6">
        <f t="shared" si="26"/>
        <v>22167784.855199125</v>
      </c>
      <c r="I1611" s="4"/>
      <c r="J1611" s="4" t="s">
        <v>2199</v>
      </c>
      <c r="K1611" s="7">
        <v>94102.18</v>
      </c>
      <c r="L1611" s="4" t="s">
        <v>45</v>
      </c>
      <c r="M1611" s="4" t="s">
        <v>27</v>
      </c>
      <c r="N1611" s="4" t="s">
        <v>3106</v>
      </c>
    </row>
    <row r="1612" spans="1:14" ht="10.5" hidden="1" x14ac:dyDescent="0.25">
      <c r="A1612" s="8" t="s">
        <v>555</v>
      </c>
      <c r="B1612" s="4" t="s">
        <v>21</v>
      </c>
      <c r="C1612" s="5">
        <v>44681</v>
      </c>
      <c r="D1612" s="4" t="s">
        <v>3103</v>
      </c>
      <c r="E1612" s="4" t="s">
        <v>3104</v>
      </c>
      <c r="F1612" s="4" t="s">
        <v>3105</v>
      </c>
      <c r="G1612" s="6">
        <v>19064.916183481026</v>
      </c>
      <c r="H1612" s="6">
        <f t="shared" si="26"/>
        <v>22186849.771382608</v>
      </c>
      <c r="I1612" s="4"/>
      <c r="J1612" s="4" t="s">
        <v>2199</v>
      </c>
      <c r="K1612" s="7">
        <v>19186.75</v>
      </c>
      <c r="L1612" s="4" t="s">
        <v>45</v>
      </c>
      <c r="M1612" s="4" t="s">
        <v>27</v>
      </c>
      <c r="N1612" s="4" t="s">
        <v>3106</v>
      </c>
    </row>
    <row r="1613" spans="1:14" ht="10.5" hidden="1" x14ac:dyDescent="0.25">
      <c r="A1613" s="8" t="s">
        <v>555</v>
      </c>
      <c r="B1613" s="4" t="s">
        <v>21</v>
      </c>
      <c r="C1613" s="5">
        <v>44681</v>
      </c>
      <c r="D1613" s="4" t="s">
        <v>3103</v>
      </c>
      <c r="E1613" s="4" t="s">
        <v>3104</v>
      </c>
      <c r="F1613" s="4" t="s">
        <v>3105</v>
      </c>
      <c r="G1613" s="6">
        <v>9821.2575269834706</v>
      </c>
      <c r="H1613" s="6">
        <f t="shared" si="26"/>
        <v>22196671.02890959</v>
      </c>
      <c r="I1613" s="4"/>
      <c r="J1613" s="4" t="s">
        <v>2199</v>
      </c>
      <c r="K1613" s="7">
        <v>9884.02</v>
      </c>
      <c r="L1613" s="4" t="s">
        <v>45</v>
      </c>
      <c r="M1613" s="4" t="s">
        <v>27</v>
      </c>
      <c r="N1613" s="4" t="s">
        <v>3106</v>
      </c>
    </row>
    <row r="1614" spans="1:14" ht="10.5" hidden="1" x14ac:dyDescent="0.25">
      <c r="A1614" s="8" t="s">
        <v>555</v>
      </c>
      <c r="B1614" s="4" t="s">
        <v>21</v>
      </c>
      <c r="C1614" s="5">
        <v>44681</v>
      </c>
      <c r="D1614" s="4" t="s">
        <v>3103</v>
      </c>
      <c r="E1614" s="4" t="s">
        <v>3104</v>
      </c>
      <c r="F1614" s="4" t="s">
        <v>3105</v>
      </c>
      <c r="G1614" s="6">
        <v>73041.490387560727</v>
      </c>
      <c r="H1614" s="6">
        <f t="shared" si="26"/>
        <v>22269712.519297149</v>
      </c>
      <c r="I1614" s="4"/>
      <c r="J1614" s="4" t="s">
        <v>2199</v>
      </c>
      <c r="K1614" s="7">
        <v>73508.259999999995</v>
      </c>
      <c r="L1614" s="4" t="s">
        <v>45</v>
      </c>
      <c r="M1614" s="4" t="s">
        <v>27</v>
      </c>
      <c r="N1614" s="4" t="s">
        <v>3106</v>
      </c>
    </row>
    <row r="1615" spans="1:14" ht="10.5" hidden="1" x14ac:dyDescent="0.25">
      <c r="A1615" s="8" t="s">
        <v>555</v>
      </c>
      <c r="B1615" s="4" t="s">
        <v>21</v>
      </c>
      <c r="C1615" s="5">
        <v>44681</v>
      </c>
      <c r="D1615" s="4" t="s">
        <v>3103</v>
      </c>
      <c r="E1615" s="4" t="s">
        <v>3104</v>
      </c>
      <c r="F1615" s="4" t="s">
        <v>3107</v>
      </c>
      <c r="G1615" s="6">
        <v>-207064.11254890612</v>
      </c>
      <c r="H1615" s="6">
        <f t="shared" si="26"/>
        <v>22062648.406748243</v>
      </c>
      <c r="I1615" s="4"/>
      <c r="J1615" s="4" t="s">
        <v>2199</v>
      </c>
      <c r="K1615" s="7">
        <v>-208387.35</v>
      </c>
      <c r="L1615" s="4" t="s">
        <v>45</v>
      </c>
      <c r="M1615" s="4" t="s">
        <v>27</v>
      </c>
      <c r="N1615" s="4" t="s">
        <v>3106</v>
      </c>
    </row>
    <row r="1616" spans="1:14" ht="10.5" hidden="1" x14ac:dyDescent="0.25">
      <c r="A1616" s="8" t="s">
        <v>555</v>
      </c>
      <c r="B1616" s="4" t="s">
        <v>21</v>
      </c>
      <c r="C1616" s="5">
        <v>44681</v>
      </c>
      <c r="D1616" s="4" t="s">
        <v>3103</v>
      </c>
      <c r="E1616" s="4" t="s">
        <v>3104</v>
      </c>
      <c r="F1616" s="4" t="s">
        <v>3108</v>
      </c>
      <c r="G1616" s="6">
        <v>-1698545.4922820416</v>
      </c>
      <c r="H1616" s="6">
        <f t="shared" si="26"/>
        <v>20364102.914466202</v>
      </c>
      <c r="I1616" s="4"/>
      <c r="J1616" s="4" t="s">
        <v>2199</v>
      </c>
      <c r="K1616" s="7">
        <v>-1709400</v>
      </c>
      <c r="L1616" s="4" t="s">
        <v>45</v>
      </c>
      <c r="M1616" s="4" t="s">
        <v>27</v>
      </c>
      <c r="N1616" s="4" t="s">
        <v>3106</v>
      </c>
    </row>
    <row r="1617" spans="1:14" ht="10.5" hidden="1" x14ac:dyDescent="0.25">
      <c r="A1617" s="8" t="s">
        <v>555</v>
      </c>
      <c r="B1617" s="4" t="s">
        <v>21</v>
      </c>
      <c r="C1617" s="5">
        <v>44681</v>
      </c>
      <c r="D1617" s="4" t="s">
        <v>3109</v>
      </c>
      <c r="E1617" s="4" t="s">
        <v>3110</v>
      </c>
      <c r="F1617" s="4" t="s">
        <v>3111</v>
      </c>
      <c r="G1617" s="6">
        <v>-23543.486237820056</v>
      </c>
      <c r="H1617" s="6">
        <f t="shared" si="26"/>
        <v>20340559.428228382</v>
      </c>
      <c r="I1617" s="4"/>
      <c r="J1617" s="4" t="s">
        <v>2199</v>
      </c>
      <c r="K1617" s="7">
        <v>-21960.94</v>
      </c>
      <c r="L1617" s="4" t="s">
        <v>45</v>
      </c>
      <c r="M1617" s="4" t="s">
        <v>61</v>
      </c>
      <c r="N1617" s="4" t="s">
        <v>39</v>
      </c>
    </row>
    <row r="1618" spans="1:14" ht="10.5" hidden="1" x14ac:dyDescent="0.25">
      <c r="A1618" s="8" t="s">
        <v>555</v>
      </c>
      <c r="B1618" s="4" t="s">
        <v>21</v>
      </c>
      <c r="C1618" s="5">
        <v>44681</v>
      </c>
      <c r="D1618" s="4" t="s">
        <v>3109</v>
      </c>
      <c r="E1618" s="4" t="s">
        <v>3110</v>
      </c>
      <c r="F1618" s="4" t="s">
        <v>3110</v>
      </c>
      <c r="G1618" s="6">
        <v>262817.21989498101</v>
      </c>
      <c r="H1618" s="6">
        <f t="shared" si="26"/>
        <v>20603376.648123361</v>
      </c>
      <c r="I1618" s="4"/>
      <c r="J1618" s="4" t="s">
        <v>2199</v>
      </c>
      <c r="K1618" s="7">
        <v>245151.17</v>
      </c>
      <c r="L1618" s="4" t="s">
        <v>45</v>
      </c>
      <c r="M1618" s="4" t="s">
        <v>61</v>
      </c>
      <c r="N1618" s="4" t="s">
        <v>39</v>
      </c>
    </row>
    <row r="1619" spans="1:14" ht="10.5" hidden="1" x14ac:dyDescent="0.25">
      <c r="A1619" s="8" t="s">
        <v>555</v>
      </c>
      <c r="B1619" s="4" t="s">
        <v>21</v>
      </c>
      <c r="C1619" s="5">
        <v>44681</v>
      </c>
      <c r="D1619" s="4" t="s">
        <v>3112</v>
      </c>
      <c r="E1619" s="4" t="s">
        <v>3113</v>
      </c>
      <c r="F1619" s="4" t="s">
        <v>3114</v>
      </c>
      <c r="G1619" s="6">
        <v>-183332.8615865352</v>
      </c>
      <c r="H1619" s="6">
        <f t="shared" si="26"/>
        <v>20420043.786536828</v>
      </c>
      <c r="I1619" s="4"/>
      <c r="J1619" s="4" t="s">
        <v>2199</v>
      </c>
      <c r="K1619" s="7">
        <v>-685569.03</v>
      </c>
      <c r="L1619" s="4" t="s">
        <v>45</v>
      </c>
      <c r="M1619" s="4" t="s">
        <v>308</v>
      </c>
      <c r="N1619" s="4" t="s">
        <v>3106</v>
      </c>
    </row>
    <row r="1620" spans="1:14" ht="10.5" hidden="1" x14ac:dyDescent="0.25">
      <c r="A1620" s="8" t="s">
        <v>555</v>
      </c>
      <c r="B1620" s="4" t="s">
        <v>21</v>
      </c>
      <c r="C1620" s="5">
        <v>44681</v>
      </c>
      <c r="D1620" s="4" t="s">
        <v>3112</v>
      </c>
      <c r="E1620" s="4" t="s">
        <v>3113</v>
      </c>
      <c r="F1620" s="4" t="s">
        <v>3115</v>
      </c>
      <c r="G1620" s="6">
        <v>112817.28792100099</v>
      </c>
      <c r="H1620" s="6">
        <f t="shared" si="26"/>
        <v>20532861.074457828</v>
      </c>
      <c r="I1620" s="4"/>
      <c r="J1620" s="4" t="s">
        <v>2199</v>
      </c>
      <c r="K1620" s="7">
        <v>421877.66</v>
      </c>
      <c r="L1620" s="4" t="s">
        <v>45</v>
      </c>
      <c r="M1620" s="4" t="s">
        <v>308</v>
      </c>
      <c r="N1620" s="4" t="s">
        <v>3106</v>
      </c>
    </row>
    <row r="1621" spans="1:14" ht="10.5" hidden="1" x14ac:dyDescent="0.25">
      <c r="A1621" s="8" t="s">
        <v>555</v>
      </c>
      <c r="B1621" s="4" t="s">
        <v>21</v>
      </c>
      <c r="C1621" s="5">
        <v>44682</v>
      </c>
      <c r="D1621" s="4" t="s">
        <v>3116</v>
      </c>
      <c r="E1621" s="4" t="s">
        <v>3110</v>
      </c>
      <c r="F1621" s="4" t="s">
        <v>3111</v>
      </c>
      <c r="G1621" s="6">
        <v>23351.313701238319</v>
      </c>
      <c r="H1621" s="6">
        <f t="shared" si="26"/>
        <v>20556212.388159066</v>
      </c>
      <c r="I1621" s="4"/>
      <c r="J1621" s="4" t="s">
        <v>2199</v>
      </c>
      <c r="K1621" s="7">
        <v>21960.94</v>
      </c>
      <c r="L1621" s="4" t="s">
        <v>52</v>
      </c>
      <c r="M1621" s="4" t="s">
        <v>61</v>
      </c>
      <c r="N1621" s="4" t="s">
        <v>39</v>
      </c>
    </row>
    <row r="1622" spans="1:14" ht="10.5" hidden="1" x14ac:dyDescent="0.25">
      <c r="A1622" s="8" t="s">
        <v>555</v>
      </c>
      <c r="B1622" s="4" t="s">
        <v>21</v>
      </c>
      <c r="C1622" s="5">
        <v>44682</v>
      </c>
      <c r="D1622" s="4" t="s">
        <v>3116</v>
      </c>
      <c r="E1622" s="4" t="s">
        <v>3110</v>
      </c>
      <c r="F1622" s="4" t="s">
        <v>3110</v>
      </c>
      <c r="G1622" s="6">
        <v>-260671.98739651419</v>
      </c>
      <c r="H1622" s="6">
        <f t="shared" si="26"/>
        <v>20295540.400762551</v>
      </c>
      <c r="I1622" s="4"/>
      <c r="J1622" s="4" t="s">
        <v>2199</v>
      </c>
      <c r="K1622" s="7">
        <v>-245151.17</v>
      </c>
      <c r="L1622" s="4" t="s">
        <v>52</v>
      </c>
      <c r="M1622" s="4" t="s">
        <v>61</v>
      </c>
      <c r="N1622" s="4" t="s">
        <v>39</v>
      </c>
    </row>
    <row r="1623" spans="1:14" ht="10.5" hidden="1" x14ac:dyDescent="0.25">
      <c r="A1623" s="8" t="s">
        <v>555</v>
      </c>
      <c r="B1623" s="4" t="s">
        <v>1092</v>
      </c>
      <c r="C1623" s="5">
        <v>44689</v>
      </c>
      <c r="D1623" s="4" t="s">
        <v>3117</v>
      </c>
      <c r="E1623" s="4" t="s">
        <v>3118</v>
      </c>
      <c r="F1623" s="4" t="s">
        <v>3118</v>
      </c>
      <c r="G1623" s="6">
        <v>124478.44417517782</v>
      </c>
      <c r="H1623" s="6">
        <f t="shared" si="26"/>
        <v>20420018.844937727</v>
      </c>
      <c r="I1623" s="4" t="s">
        <v>2854</v>
      </c>
      <c r="J1623" s="4" t="s">
        <v>2199</v>
      </c>
      <c r="K1623" s="7">
        <v>118000</v>
      </c>
      <c r="L1623" s="4" t="s">
        <v>160</v>
      </c>
      <c r="M1623" s="4" t="s">
        <v>61</v>
      </c>
      <c r="N1623" s="4"/>
    </row>
    <row r="1624" spans="1:14" ht="10.5" hidden="1" x14ac:dyDescent="0.25">
      <c r="A1624" s="8" t="s">
        <v>555</v>
      </c>
      <c r="B1624" s="4" t="s">
        <v>1092</v>
      </c>
      <c r="C1624" s="5">
        <v>44699</v>
      </c>
      <c r="D1624" s="4" t="s">
        <v>3119</v>
      </c>
      <c r="E1624" s="4" t="s">
        <v>3120</v>
      </c>
      <c r="F1624" s="4" t="s">
        <v>3120</v>
      </c>
      <c r="G1624" s="6">
        <v>46393.003567887245</v>
      </c>
      <c r="H1624" s="6">
        <f t="shared" si="26"/>
        <v>20466411.848505612</v>
      </c>
      <c r="I1624" s="4" t="s">
        <v>3041</v>
      </c>
      <c r="J1624" s="4" t="s">
        <v>2199</v>
      </c>
      <c r="K1624" s="7">
        <v>46308.3</v>
      </c>
      <c r="L1624" s="4" t="s">
        <v>160</v>
      </c>
      <c r="M1624" s="4" t="s">
        <v>27</v>
      </c>
      <c r="N1624" s="4"/>
    </row>
    <row r="1625" spans="1:14" ht="10.5" hidden="1" x14ac:dyDescent="0.25">
      <c r="A1625" s="8" t="s">
        <v>555</v>
      </c>
      <c r="B1625" s="4" t="s">
        <v>224</v>
      </c>
      <c r="C1625" s="5">
        <v>44712</v>
      </c>
      <c r="D1625" s="4" t="s">
        <v>2956</v>
      </c>
      <c r="E1625" s="4" t="s">
        <v>2955</v>
      </c>
      <c r="F1625" s="4" t="s">
        <v>2955</v>
      </c>
      <c r="G1625" s="6">
        <v>-19125.665883548325</v>
      </c>
      <c r="H1625" s="6">
        <f t="shared" si="26"/>
        <v>20447286.182622064</v>
      </c>
      <c r="I1625" s="4" t="s">
        <v>2866</v>
      </c>
      <c r="J1625" s="4" t="s">
        <v>2199</v>
      </c>
      <c r="K1625" s="7">
        <v>-17797.5</v>
      </c>
      <c r="L1625" s="4" t="s">
        <v>52</v>
      </c>
      <c r="M1625" s="4" t="s">
        <v>308</v>
      </c>
      <c r="N1625" s="4"/>
    </row>
    <row r="1626" spans="1:14" ht="10.5" hidden="1" x14ac:dyDescent="0.25">
      <c r="A1626" s="8" t="s">
        <v>555</v>
      </c>
      <c r="B1626" s="4" t="s">
        <v>21</v>
      </c>
      <c r="C1626" s="5">
        <v>44712</v>
      </c>
      <c r="D1626" s="4" t="s">
        <v>3121</v>
      </c>
      <c r="E1626" s="4" t="s">
        <v>3122</v>
      </c>
      <c r="F1626" s="4" t="s">
        <v>3122</v>
      </c>
      <c r="G1626" s="6">
        <v>78086.590844207065</v>
      </c>
      <c r="H1626" s="6">
        <f t="shared" si="26"/>
        <v>20525372.77346627</v>
      </c>
      <c r="I1626" s="4"/>
      <c r="J1626" s="4" t="s">
        <v>2199</v>
      </c>
      <c r="K1626" s="7">
        <v>78056</v>
      </c>
      <c r="L1626" s="4" t="s">
        <v>52</v>
      </c>
      <c r="M1626" s="4" t="s">
        <v>27</v>
      </c>
      <c r="N1626" s="4" t="s">
        <v>3106</v>
      </c>
    </row>
    <row r="1627" spans="1:14" ht="10.5" hidden="1" x14ac:dyDescent="0.25">
      <c r="A1627" s="8" t="s">
        <v>555</v>
      </c>
      <c r="B1627" s="4" t="s">
        <v>21</v>
      </c>
      <c r="C1627" s="5">
        <v>44712</v>
      </c>
      <c r="D1627" s="4" t="s">
        <v>3121</v>
      </c>
      <c r="E1627" s="4" t="s">
        <v>3122</v>
      </c>
      <c r="F1627" s="4" t="s">
        <v>3122</v>
      </c>
      <c r="G1627" s="6">
        <v>15319.001301595556</v>
      </c>
      <c r="H1627" s="6">
        <f t="shared" si="26"/>
        <v>20540691.774767864</v>
      </c>
      <c r="I1627" s="4"/>
      <c r="J1627" s="4" t="s">
        <v>2199</v>
      </c>
      <c r="K1627" s="7">
        <v>15313</v>
      </c>
      <c r="L1627" s="4" t="s">
        <v>52</v>
      </c>
      <c r="M1627" s="4" t="s">
        <v>27</v>
      </c>
      <c r="N1627" s="4" t="s">
        <v>3106</v>
      </c>
    </row>
    <row r="1628" spans="1:14" ht="10.5" hidden="1" x14ac:dyDescent="0.25">
      <c r="A1628" s="8" t="s">
        <v>555</v>
      </c>
      <c r="B1628" s="4" t="s">
        <v>21</v>
      </c>
      <c r="C1628" s="5">
        <v>44712</v>
      </c>
      <c r="D1628" s="4" t="s">
        <v>3121</v>
      </c>
      <c r="E1628" s="4" t="s">
        <v>3122</v>
      </c>
      <c r="F1628" s="4" t="s">
        <v>3122</v>
      </c>
      <c r="G1628" s="6">
        <v>9328.6545508638774</v>
      </c>
      <c r="H1628" s="6">
        <f t="shared" si="26"/>
        <v>20550020.42931873</v>
      </c>
      <c r="I1628" s="4"/>
      <c r="J1628" s="4" t="s">
        <v>2199</v>
      </c>
      <c r="K1628" s="7">
        <v>9325</v>
      </c>
      <c r="L1628" s="4" t="s">
        <v>52</v>
      </c>
      <c r="M1628" s="4" t="s">
        <v>27</v>
      </c>
      <c r="N1628" s="4" t="s">
        <v>3106</v>
      </c>
    </row>
    <row r="1629" spans="1:14" ht="10.5" hidden="1" x14ac:dyDescent="0.25">
      <c r="A1629" s="8" t="s">
        <v>555</v>
      </c>
      <c r="B1629" s="4" t="s">
        <v>21</v>
      </c>
      <c r="C1629" s="5">
        <v>44712</v>
      </c>
      <c r="D1629" s="4" t="s">
        <v>3121</v>
      </c>
      <c r="E1629" s="4" t="s">
        <v>3122</v>
      </c>
      <c r="F1629" s="4" t="s">
        <v>3122</v>
      </c>
      <c r="G1629" s="6">
        <v>75318.506432170558</v>
      </c>
      <c r="H1629" s="6">
        <f t="shared" si="26"/>
        <v>20625338.935750902</v>
      </c>
      <c r="I1629" s="4"/>
      <c r="J1629" s="4" t="s">
        <v>2199</v>
      </c>
      <c r="K1629" s="7">
        <v>75289</v>
      </c>
      <c r="L1629" s="4" t="s">
        <v>52</v>
      </c>
      <c r="M1629" s="4" t="s">
        <v>27</v>
      </c>
      <c r="N1629" s="4" t="s">
        <v>3106</v>
      </c>
    </row>
    <row r="1630" spans="1:14" ht="10.5" hidden="1" x14ac:dyDescent="0.25">
      <c r="A1630" s="8" t="s">
        <v>555</v>
      </c>
      <c r="B1630" s="4" t="s">
        <v>21</v>
      </c>
      <c r="C1630" s="5">
        <v>44712</v>
      </c>
      <c r="D1630" s="4" t="s">
        <v>3123</v>
      </c>
      <c r="E1630" s="4" t="s">
        <v>3124</v>
      </c>
      <c r="F1630" s="4" t="s">
        <v>3125</v>
      </c>
      <c r="G1630" s="6">
        <v>-252337.54856992833</v>
      </c>
      <c r="H1630" s="6">
        <f t="shared" si="26"/>
        <v>20373001.387180973</v>
      </c>
      <c r="I1630" s="4"/>
      <c r="J1630" s="4" t="s">
        <v>2199</v>
      </c>
      <c r="K1630" s="7">
        <v>-925777.41</v>
      </c>
      <c r="L1630" s="4" t="s">
        <v>52</v>
      </c>
      <c r="M1630" s="4" t="s">
        <v>308</v>
      </c>
      <c r="N1630" s="4" t="s">
        <v>3106</v>
      </c>
    </row>
    <row r="1631" spans="1:14" ht="10.5" hidden="1" x14ac:dyDescent="0.25">
      <c r="A1631" s="8" t="s">
        <v>555</v>
      </c>
      <c r="B1631" s="4" t="s">
        <v>21</v>
      </c>
      <c r="C1631" s="5">
        <v>44712</v>
      </c>
      <c r="D1631" s="4" t="s">
        <v>3123</v>
      </c>
      <c r="E1631" s="4" t="s">
        <v>3124</v>
      </c>
      <c r="F1631" s="4" t="s">
        <v>3126</v>
      </c>
      <c r="G1631" s="6">
        <v>86373.467277572941</v>
      </c>
      <c r="H1631" s="6">
        <f t="shared" si="26"/>
        <v>20459374.854458544</v>
      </c>
      <c r="I1631" s="4"/>
      <c r="J1631" s="4" t="s">
        <v>2199</v>
      </c>
      <c r="K1631" s="7">
        <v>316887.46000000002</v>
      </c>
      <c r="L1631" s="4" t="s">
        <v>52</v>
      </c>
      <c r="M1631" s="4" t="s">
        <v>308</v>
      </c>
      <c r="N1631" s="4" t="s">
        <v>3106</v>
      </c>
    </row>
    <row r="1632" spans="1:14" ht="10.5" hidden="1" x14ac:dyDescent="0.25">
      <c r="A1632" s="8" t="s">
        <v>555</v>
      </c>
      <c r="B1632" s="4" t="s">
        <v>21</v>
      </c>
      <c r="C1632" s="5">
        <v>44712</v>
      </c>
      <c r="D1632" s="4" t="s">
        <v>3127</v>
      </c>
      <c r="E1632" s="4" t="s">
        <v>3128</v>
      </c>
      <c r="F1632" s="4" t="s">
        <v>3129</v>
      </c>
      <c r="G1632" s="6">
        <v>-3423.8408324831889</v>
      </c>
      <c r="H1632" s="6">
        <f t="shared" si="26"/>
        <v>20455951.013626061</v>
      </c>
      <c r="I1632" s="4"/>
      <c r="J1632" s="4" t="s">
        <v>2199</v>
      </c>
      <c r="K1632" s="7">
        <v>-3219.98</v>
      </c>
      <c r="L1632" s="4" t="s">
        <v>52</v>
      </c>
      <c r="M1632" s="4" t="s">
        <v>61</v>
      </c>
      <c r="N1632" s="4" t="s">
        <v>39</v>
      </c>
    </row>
    <row r="1633" spans="1:14" ht="10.5" hidden="1" x14ac:dyDescent="0.25">
      <c r="A1633" s="8" t="s">
        <v>555</v>
      </c>
      <c r="B1633" s="4" t="s">
        <v>21</v>
      </c>
      <c r="C1633" s="5">
        <v>44712</v>
      </c>
      <c r="D1633" s="4" t="s">
        <v>3127</v>
      </c>
      <c r="E1633" s="4" t="s">
        <v>3128</v>
      </c>
      <c r="F1633" s="4" t="s">
        <v>3128</v>
      </c>
      <c r="G1633" s="6">
        <v>305953.03150885232</v>
      </c>
      <c r="H1633" s="6">
        <f t="shared" si="26"/>
        <v>20761904.045134913</v>
      </c>
      <c r="I1633" s="4"/>
      <c r="J1633" s="4" t="s">
        <v>2199</v>
      </c>
      <c r="K1633" s="7">
        <v>287736.11</v>
      </c>
      <c r="L1633" s="4" t="s">
        <v>52</v>
      </c>
      <c r="M1633" s="4" t="s">
        <v>61</v>
      </c>
      <c r="N1633" s="4" t="s">
        <v>39</v>
      </c>
    </row>
    <row r="1634" spans="1:14" ht="10.5" hidden="1" x14ac:dyDescent="0.25">
      <c r="A1634" s="8" t="s">
        <v>555</v>
      </c>
      <c r="B1634" s="4" t="s">
        <v>21</v>
      </c>
      <c r="C1634" s="5">
        <v>44713</v>
      </c>
      <c r="D1634" s="4" t="s">
        <v>3130</v>
      </c>
      <c r="E1634" s="4" t="s">
        <v>3128</v>
      </c>
      <c r="F1634" s="4" t="s">
        <v>3129</v>
      </c>
      <c r="G1634" s="6">
        <v>3396.7635650439752</v>
      </c>
      <c r="H1634" s="6">
        <f t="shared" si="26"/>
        <v>20765300.808699958</v>
      </c>
      <c r="I1634" s="4"/>
      <c r="J1634" s="4" t="s">
        <v>2199</v>
      </c>
      <c r="K1634" s="7">
        <v>3219.98</v>
      </c>
      <c r="L1634" s="4" t="s">
        <v>160</v>
      </c>
      <c r="M1634" s="4" t="s">
        <v>61</v>
      </c>
      <c r="N1634" s="4" t="s">
        <v>39</v>
      </c>
    </row>
    <row r="1635" spans="1:14" ht="10.5" hidden="1" x14ac:dyDescent="0.25">
      <c r="A1635" s="8" t="s">
        <v>555</v>
      </c>
      <c r="B1635" s="4" t="s">
        <v>21</v>
      </c>
      <c r="C1635" s="5">
        <v>44713</v>
      </c>
      <c r="D1635" s="4" t="s">
        <v>3130</v>
      </c>
      <c r="E1635" s="4" t="s">
        <v>3128</v>
      </c>
      <c r="F1635" s="4" t="s">
        <v>3128</v>
      </c>
      <c r="G1635" s="6">
        <v>-303533.41784591379</v>
      </c>
      <c r="H1635" s="6">
        <f t="shared" si="26"/>
        <v>20461767.390854046</v>
      </c>
      <c r="I1635" s="4"/>
      <c r="J1635" s="4" t="s">
        <v>2199</v>
      </c>
      <c r="K1635" s="7">
        <v>-287736.11</v>
      </c>
      <c r="L1635" s="4" t="s">
        <v>160</v>
      </c>
      <c r="M1635" s="4" t="s">
        <v>61</v>
      </c>
      <c r="N1635" s="4" t="s">
        <v>39</v>
      </c>
    </row>
    <row r="1636" spans="1:14" ht="10.5" hidden="1" x14ac:dyDescent="0.25">
      <c r="A1636" s="8" t="s">
        <v>555</v>
      </c>
      <c r="B1636" s="4" t="s">
        <v>1092</v>
      </c>
      <c r="C1636" s="5">
        <v>44713</v>
      </c>
      <c r="D1636" s="4" t="s">
        <v>3131</v>
      </c>
      <c r="E1636" s="4" t="s">
        <v>3132</v>
      </c>
      <c r="F1636" s="4" t="s">
        <v>3132</v>
      </c>
      <c r="G1636" s="6">
        <v>14290.119124239129</v>
      </c>
      <c r="H1636" s="6">
        <f t="shared" si="26"/>
        <v>20476057.509978283</v>
      </c>
      <c r="I1636" s="4" t="s">
        <v>2866</v>
      </c>
      <c r="J1636" s="4" t="s">
        <v>2199</v>
      </c>
      <c r="K1636" s="7">
        <v>13500</v>
      </c>
      <c r="L1636" s="4" t="s">
        <v>160</v>
      </c>
      <c r="M1636" s="4" t="s">
        <v>308</v>
      </c>
      <c r="N1636" s="4"/>
    </row>
    <row r="1637" spans="1:14" ht="10.5" hidden="1" x14ac:dyDescent="0.25">
      <c r="A1637" s="8" t="s">
        <v>555</v>
      </c>
      <c r="B1637" s="4" t="s">
        <v>1092</v>
      </c>
      <c r="C1637" s="5">
        <v>44714</v>
      </c>
      <c r="D1637" s="4" t="s">
        <v>3133</v>
      </c>
      <c r="E1637" s="4" t="s">
        <v>3134</v>
      </c>
      <c r="F1637" s="4" t="s">
        <v>3134</v>
      </c>
      <c r="G1637" s="6">
        <v>5649.0005810006551</v>
      </c>
      <c r="H1637" s="6">
        <f t="shared" si="26"/>
        <v>20481706.510559283</v>
      </c>
      <c r="I1637" s="4" t="s">
        <v>2584</v>
      </c>
      <c r="J1637" s="4" t="s">
        <v>2199</v>
      </c>
      <c r="K1637" s="7">
        <v>5355</v>
      </c>
      <c r="L1637" s="4" t="s">
        <v>160</v>
      </c>
      <c r="M1637" s="4" t="s">
        <v>61</v>
      </c>
      <c r="N1637" s="4"/>
    </row>
    <row r="1638" spans="1:14" ht="10.5" hidden="1" x14ac:dyDescent="0.25">
      <c r="A1638" s="8" t="s">
        <v>555</v>
      </c>
      <c r="B1638" s="4" t="s">
        <v>1092</v>
      </c>
      <c r="C1638" s="5">
        <v>44727</v>
      </c>
      <c r="D1638" s="4" t="s">
        <v>3135</v>
      </c>
      <c r="E1638" s="4" t="s">
        <v>3136</v>
      </c>
      <c r="F1638" s="4" t="s">
        <v>3136</v>
      </c>
      <c r="G1638" s="6">
        <v>46393.003567887245</v>
      </c>
      <c r="H1638" s="6">
        <f t="shared" si="26"/>
        <v>20528099.514127169</v>
      </c>
      <c r="I1638" s="4" t="s">
        <v>3041</v>
      </c>
      <c r="J1638" s="4" t="s">
        <v>2199</v>
      </c>
      <c r="K1638" s="7">
        <v>46308.3</v>
      </c>
      <c r="L1638" s="4" t="s">
        <v>160</v>
      </c>
      <c r="M1638" s="4" t="s">
        <v>27</v>
      </c>
      <c r="N1638" s="4"/>
    </row>
    <row r="1639" spans="1:14" ht="10.5" hidden="1" x14ac:dyDescent="0.25">
      <c r="A1639" s="8" t="s">
        <v>555</v>
      </c>
      <c r="B1639" s="4" t="s">
        <v>1092</v>
      </c>
      <c r="C1639" s="5">
        <v>44741</v>
      </c>
      <c r="D1639" s="4" t="s">
        <v>3137</v>
      </c>
      <c r="E1639" s="4" t="s">
        <v>3138</v>
      </c>
      <c r="F1639" s="4" t="s">
        <v>3138</v>
      </c>
      <c r="G1639" s="6">
        <v>11814.903175949081</v>
      </c>
      <c r="H1639" s="6">
        <f t="shared" si="26"/>
        <v>20539914.417303119</v>
      </c>
      <c r="I1639" s="4" t="s">
        <v>2697</v>
      </c>
      <c r="J1639" s="4" t="s">
        <v>2199</v>
      </c>
      <c r="K1639" s="7">
        <v>11200</v>
      </c>
      <c r="L1639" s="4" t="s">
        <v>160</v>
      </c>
      <c r="M1639" s="4" t="s">
        <v>61</v>
      </c>
      <c r="N1639" s="4"/>
    </row>
    <row r="1640" spans="1:14" ht="10.5" hidden="1" x14ac:dyDescent="0.25">
      <c r="A1640" s="8" t="s">
        <v>555</v>
      </c>
      <c r="B1640" s="4" t="s">
        <v>1092</v>
      </c>
      <c r="C1640" s="5">
        <v>44742</v>
      </c>
      <c r="D1640" s="4" t="s">
        <v>3139</v>
      </c>
      <c r="E1640" s="4" t="s">
        <v>3140</v>
      </c>
      <c r="F1640" s="4" t="s">
        <v>3140</v>
      </c>
      <c r="G1640" s="6">
        <v>207348.57354827586</v>
      </c>
      <c r="H1640" s="6">
        <f t="shared" si="26"/>
        <v>20747262.990851395</v>
      </c>
      <c r="I1640" s="4" t="s">
        <v>2578</v>
      </c>
      <c r="J1640" s="4" t="s">
        <v>2199</v>
      </c>
      <c r="K1640" s="7">
        <v>206970</v>
      </c>
      <c r="L1640" s="4" t="s">
        <v>160</v>
      </c>
      <c r="M1640" s="4" t="s">
        <v>27</v>
      </c>
      <c r="N1640" s="4"/>
    </row>
    <row r="1641" spans="1:14" ht="10.5" hidden="1" x14ac:dyDescent="0.25">
      <c r="A1641" s="8" t="s">
        <v>555</v>
      </c>
      <c r="B1641" s="4" t="s">
        <v>1092</v>
      </c>
      <c r="C1641" s="5">
        <v>44742</v>
      </c>
      <c r="D1641" s="4" t="s">
        <v>3141</v>
      </c>
      <c r="E1641" s="4" t="s">
        <v>3142</v>
      </c>
      <c r="F1641" s="4" t="s">
        <v>3142</v>
      </c>
      <c r="G1641" s="6">
        <v>201337.59881140746</v>
      </c>
      <c r="H1641" s="6">
        <f t="shared" si="26"/>
        <v>20948600.589662801</v>
      </c>
      <c r="I1641" s="4" t="s">
        <v>2578</v>
      </c>
      <c r="J1641" s="4" t="s">
        <v>2199</v>
      </c>
      <c r="K1641" s="7">
        <v>200970</v>
      </c>
      <c r="L1641" s="4" t="s">
        <v>160</v>
      </c>
      <c r="M1641" s="4" t="s">
        <v>27</v>
      </c>
      <c r="N1641" s="4"/>
    </row>
    <row r="1642" spans="1:14" ht="10.5" hidden="1" x14ac:dyDescent="0.25">
      <c r="A1642" s="8" t="s">
        <v>555</v>
      </c>
      <c r="B1642" s="4" t="s">
        <v>1092</v>
      </c>
      <c r="C1642" s="5">
        <v>44742</v>
      </c>
      <c r="D1642" s="4" t="s">
        <v>3143</v>
      </c>
      <c r="E1642" s="4" t="s">
        <v>3144</v>
      </c>
      <c r="F1642" s="4" t="s">
        <v>3144</v>
      </c>
      <c r="G1642" s="6">
        <v>199023.37353771311</v>
      </c>
      <c r="H1642" s="6">
        <f t="shared" si="26"/>
        <v>21147623.963200513</v>
      </c>
      <c r="I1642" s="4" t="s">
        <v>2578</v>
      </c>
      <c r="J1642" s="4" t="s">
        <v>2199</v>
      </c>
      <c r="K1642" s="7">
        <v>198660</v>
      </c>
      <c r="L1642" s="4" t="s">
        <v>160</v>
      </c>
      <c r="M1642" s="4" t="s">
        <v>27</v>
      </c>
      <c r="N1642" s="4"/>
    </row>
    <row r="1643" spans="1:14" ht="10.5" hidden="1" x14ac:dyDescent="0.25">
      <c r="A1643" s="8" t="s">
        <v>555</v>
      </c>
      <c r="B1643" s="4" t="s">
        <v>1092</v>
      </c>
      <c r="C1643" s="5">
        <v>44742</v>
      </c>
      <c r="D1643" s="4" t="s">
        <v>3145</v>
      </c>
      <c r="E1643" s="4" t="s">
        <v>3146</v>
      </c>
      <c r="F1643" s="4" t="s">
        <v>3146</v>
      </c>
      <c r="G1643" s="6">
        <v>1364394.228100294</v>
      </c>
      <c r="H1643" s="6">
        <f t="shared" si="26"/>
        <v>22512018.191300806</v>
      </c>
      <c r="I1643" s="4" t="s">
        <v>2578</v>
      </c>
      <c r="J1643" s="4" t="s">
        <v>2199</v>
      </c>
      <c r="K1643" s="7">
        <v>1361903.14</v>
      </c>
      <c r="L1643" s="4" t="s">
        <v>160</v>
      </c>
      <c r="M1643" s="4" t="s">
        <v>27</v>
      </c>
      <c r="N1643" s="4"/>
    </row>
    <row r="1644" spans="1:14" ht="10.5" hidden="1" x14ac:dyDescent="0.25">
      <c r="A1644" s="8" t="s">
        <v>555</v>
      </c>
      <c r="B1644" s="4" t="s">
        <v>21</v>
      </c>
      <c r="C1644" s="5">
        <v>44742</v>
      </c>
      <c r="D1644" s="4" t="s">
        <v>3147</v>
      </c>
      <c r="E1644" s="4" t="s">
        <v>3148</v>
      </c>
      <c r="F1644" s="4" t="s">
        <v>3149</v>
      </c>
      <c r="G1644" s="6">
        <v>-4025.6328846252509</v>
      </c>
      <c r="H1644" s="6">
        <f t="shared" si="26"/>
        <v>22507992.55841618</v>
      </c>
      <c r="I1644" s="4"/>
      <c r="J1644" s="4" t="s">
        <v>2199</v>
      </c>
      <c r="K1644" s="7">
        <v>-3816.12</v>
      </c>
      <c r="L1644" s="4" t="s">
        <v>160</v>
      </c>
      <c r="M1644" s="4" t="s">
        <v>61</v>
      </c>
      <c r="N1644" s="4" t="s">
        <v>181</v>
      </c>
    </row>
    <row r="1645" spans="1:14" ht="10.5" hidden="1" x14ac:dyDescent="0.25">
      <c r="A1645" s="8" t="s">
        <v>555</v>
      </c>
      <c r="B1645" s="4" t="s">
        <v>21</v>
      </c>
      <c r="C1645" s="5">
        <v>44742</v>
      </c>
      <c r="D1645" s="4" t="s">
        <v>3147</v>
      </c>
      <c r="E1645" s="4" t="s">
        <v>3148</v>
      </c>
      <c r="F1645" s="4" t="s">
        <v>3148</v>
      </c>
      <c r="G1645" s="6">
        <v>172272.38587510644</v>
      </c>
      <c r="H1645" s="6">
        <f t="shared" si="26"/>
        <v>22680264.944291286</v>
      </c>
      <c r="I1645" s="4"/>
      <c r="J1645" s="4" t="s">
        <v>2199</v>
      </c>
      <c r="K1645" s="7">
        <v>163306.51999999999</v>
      </c>
      <c r="L1645" s="4" t="s">
        <v>160</v>
      </c>
      <c r="M1645" s="4" t="s">
        <v>61</v>
      </c>
      <c r="N1645" s="4" t="s">
        <v>181</v>
      </c>
    </row>
    <row r="1646" spans="1:14" ht="10.5" hidden="1" x14ac:dyDescent="0.25">
      <c r="A1646" s="8" t="s">
        <v>555</v>
      </c>
      <c r="B1646" s="4" t="s">
        <v>21</v>
      </c>
      <c r="C1646" s="5">
        <v>44742</v>
      </c>
      <c r="D1646" s="4" t="s">
        <v>3150</v>
      </c>
      <c r="E1646" s="4" t="s">
        <v>3151</v>
      </c>
      <c r="F1646" s="4" t="s">
        <v>3151</v>
      </c>
      <c r="G1646" s="6">
        <v>107960.38395602886</v>
      </c>
      <c r="H1646" s="6">
        <f t="shared" si="26"/>
        <v>22788225.328247316</v>
      </c>
      <c r="I1646" s="4"/>
      <c r="J1646" s="4" t="s">
        <v>2199</v>
      </c>
      <c r="K1646" s="7">
        <v>399088.74</v>
      </c>
      <c r="L1646" s="4" t="s">
        <v>160</v>
      </c>
      <c r="M1646" s="4" t="s">
        <v>308</v>
      </c>
      <c r="N1646" s="4" t="s">
        <v>3106</v>
      </c>
    </row>
    <row r="1647" spans="1:14" ht="10.5" hidden="1" x14ac:dyDescent="0.25">
      <c r="A1647" s="8" t="s">
        <v>555</v>
      </c>
      <c r="B1647" s="4" t="s">
        <v>21</v>
      </c>
      <c r="C1647" s="5">
        <v>44742</v>
      </c>
      <c r="D1647" s="4" t="s">
        <v>3150</v>
      </c>
      <c r="E1647" s="4" t="s">
        <v>3151</v>
      </c>
      <c r="F1647" s="4" t="s">
        <v>3152</v>
      </c>
      <c r="G1647" s="6">
        <v>77908.964756400572</v>
      </c>
      <c r="H1647" s="6">
        <f t="shared" si="26"/>
        <v>22866134.293003716</v>
      </c>
      <c r="I1647" s="4"/>
      <c r="J1647" s="4" t="s">
        <v>2199</v>
      </c>
      <c r="K1647" s="7">
        <v>288000</v>
      </c>
      <c r="L1647" s="4" t="s">
        <v>160</v>
      </c>
      <c r="M1647" s="4" t="s">
        <v>308</v>
      </c>
      <c r="N1647" s="4" t="s">
        <v>3106</v>
      </c>
    </row>
    <row r="1648" spans="1:14" ht="10.5" hidden="1" x14ac:dyDescent="0.25">
      <c r="A1648" s="8" t="s">
        <v>555</v>
      </c>
      <c r="B1648" s="4" t="s">
        <v>21</v>
      </c>
      <c r="C1648" s="5">
        <v>44742</v>
      </c>
      <c r="D1648" s="4" t="s">
        <v>3150</v>
      </c>
      <c r="E1648" s="4" t="s">
        <v>3151</v>
      </c>
      <c r="F1648" s="4" t="s">
        <v>3153</v>
      </c>
      <c r="G1648" s="6">
        <v>-14290.119124239129</v>
      </c>
      <c r="H1648" s="6">
        <f t="shared" si="26"/>
        <v>22851844.173879478</v>
      </c>
      <c r="I1648" s="4"/>
      <c r="J1648" s="4" t="s">
        <v>2199</v>
      </c>
      <c r="K1648" s="7">
        <v>-52825.17</v>
      </c>
      <c r="L1648" s="4" t="s">
        <v>160</v>
      </c>
      <c r="M1648" s="4" t="s">
        <v>308</v>
      </c>
      <c r="N1648" s="4" t="s">
        <v>3106</v>
      </c>
    </row>
    <row r="1649" spans="1:14" ht="10.5" hidden="1" x14ac:dyDescent="0.25">
      <c r="A1649" s="8" t="s">
        <v>555</v>
      </c>
      <c r="B1649" s="4" t="s">
        <v>21</v>
      </c>
      <c r="C1649" s="5">
        <v>44742</v>
      </c>
      <c r="D1649" s="4" t="s">
        <v>3154</v>
      </c>
      <c r="E1649" s="4" t="s">
        <v>3155</v>
      </c>
      <c r="F1649" s="4" t="s">
        <v>3122</v>
      </c>
      <c r="G1649" s="6">
        <v>150589.94459539588</v>
      </c>
      <c r="H1649" s="6">
        <f t="shared" si="26"/>
        <v>23002434.118474875</v>
      </c>
      <c r="I1649" s="4"/>
      <c r="J1649" s="4" t="s">
        <v>2199</v>
      </c>
      <c r="K1649" s="7">
        <v>150315</v>
      </c>
      <c r="L1649" s="4" t="s">
        <v>160</v>
      </c>
      <c r="M1649" s="4" t="s">
        <v>27</v>
      </c>
      <c r="N1649" s="4" t="s">
        <v>3106</v>
      </c>
    </row>
    <row r="1650" spans="1:14" ht="10.5" hidden="1" x14ac:dyDescent="0.25">
      <c r="A1650" s="8" t="s">
        <v>555</v>
      </c>
      <c r="B1650" s="4" t="s">
        <v>21</v>
      </c>
      <c r="C1650" s="5">
        <v>44742</v>
      </c>
      <c r="D1650" s="4" t="s">
        <v>3154</v>
      </c>
      <c r="E1650" s="4" t="s">
        <v>3155</v>
      </c>
      <c r="F1650" s="4" t="s">
        <v>3122</v>
      </c>
      <c r="G1650" s="6">
        <v>14353.205842518957</v>
      </c>
      <c r="H1650" s="6">
        <f t="shared" ref="H1650:H1654" si="27">H1649+G1650</f>
        <v>23016787.324317392</v>
      </c>
      <c r="I1650" s="4"/>
      <c r="J1650" s="4" t="s">
        <v>2199</v>
      </c>
      <c r="K1650" s="7">
        <v>14327</v>
      </c>
      <c r="L1650" s="4" t="s">
        <v>160</v>
      </c>
      <c r="M1650" s="4" t="s">
        <v>27</v>
      </c>
      <c r="N1650" s="4" t="s">
        <v>3106</v>
      </c>
    </row>
    <row r="1651" spans="1:14" ht="10.5" hidden="1" x14ac:dyDescent="0.25">
      <c r="A1651" s="8" t="s">
        <v>555</v>
      </c>
      <c r="B1651" s="4" t="s">
        <v>21</v>
      </c>
      <c r="C1651" s="5">
        <v>44742</v>
      </c>
      <c r="D1651" s="4" t="s">
        <v>3154</v>
      </c>
      <c r="E1651" s="4" t="s">
        <v>3155</v>
      </c>
      <c r="F1651" s="4" t="s">
        <v>3122</v>
      </c>
      <c r="G1651" s="6">
        <v>-134.24510245672786</v>
      </c>
      <c r="H1651" s="6">
        <f t="shared" si="27"/>
        <v>23016653.079214934</v>
      </c>
      <c r="I1651" s="4"/>
      <c r="J1651" s="4" t="s">
        <v>2199</v>
      </c>
      <c r="K1651" s="7">
        <v>-134</v>
      </c>
      <c r="L1651" s="4" t="s">
        <v>160</v>
      </c>
      <c r="M1651" s="4" t="s">
        <v>27</v>
      </c>
      <c r="N1651" s="4" t="s">
        <v>3106</v>
      </c>
    </row>
    <row r="1652" spans="1:14" ht="10.5" hidden="1" x14ac:dyDescent="0.25">
      <c r="A1652" s="8" t="s">
        <v>555</v>
      </c>
      <c r="B1652" s="4" t="s">
        <v>21</v>
      </c>
      <c r="C1652" s="5">
        <v>44742</v>
      </c>
      <c r="D1652" s="4" t="s">
        <v>3154</v>
      </c>
      <c r="E1652" s="4" t="s">
        <v>3155</v>
      </c>
      <c r="F1652" s="4" t="s">
        <v>3122</v>
      </c>
      <c r="G1652" s="6">
        <v>66886.119555380443</v>
      </c>
      <c r="H1652" s="6">
        <f t="shared" si="27"/>
        <v>23083539.198770314</v>
      </c>
      <c r="I1652" s="4"/>
      <c r="J1652" s="4" t="s">
        <v>2199</v>
      </c>
      <c r="K1652" s="7">
        <v>66764</v>
      </c>
      <c r="L1652" s="4" t="s">
        <v>160</v>
      </c>
      <c r="M1652" s="4" t="s">
        <v>27</v>
      </c>
      <c r="N1652" s="4" t="s">
        <v>3106</v>
      </c>
    </row>
    <row r="1653" spans="1:14" ht="10.5" hidden="1" x14ac:dyDescent="0.25">
      <c r="A1653" s="8" t="s">
        <v>555</v>
      </c>
      <c r="B1653" s="4" t="s">
        <v>21</v>
      </c>
      <c r="C1653" s="5">
        <v>44742</v>
      </c>
      <c r="D1653" s="4" t="s">
        <v>3154</v>
      </c>
      <c r="E1653" s="4" t="s">
        <v>3155</v>
      </c>
      <c r="F1653" s="4" t="s">
        <v>3156</v>
      </c>
      <c r="G1653" s="6">
        <v>-92786.007135774489</v>
      </c>
      <c r="H1653" s="6">
        <f t="shared" si="27"/>
        <v>22990753.19163454</v>
      </c>
      <c r="I1653" s="4"/>
      <c r="J1653" s="4" t="s">
        <v>2199</v>
      </c>
      <c r="K1653" s="7">
        <v>-92616.6</v>
      </c>
      <c r="L1653" s="4" t="s">
        <v>160</v>
      </c>
      <c r="M1653" s="4" t="s">
        <v>27</v>
      </c>
      <c r="N1653" s="4" t="s">
        <v>3106</v>
      </c>
    </row>
    <row r="1654" spans="1:14" ht="10.5" hidden="1" x14ac:dyDescent="0.25">
      <c r="A1654" s="8" t="s">
        <v>555</v>
      </c>
      <c r="B1654" s="4" t="s">
        <v>21</v>
      </c>
      <c r="C1654" s="5">
        <v>44742</v>
      </c>
      <c r="D1654" s="4" t="s">
        <v>3154</v>
      </c>
      <c r="E1654" s="4" t="s">
        <v>3155</v>
      </c>
      <c r="F1654" s="4" t="s">
        <v>3157</v>
      </c>
      <c r="G1654" s="6">
        <v>-1972103.7739976905</v>
      </c>
      <c r="H1654" s="6">
        <f t="shared" si="27"/>
        <v>21018649.417636849</v>
      </c>
      <c r="I1654" s="4"/>
      <c r="J1654" s="4" t="s">
        <v>2199</v>
      </c>
      <c r="K1654" s="7">
        <v>-1968503.14</v>
      </c>
      <c r="L1654" s="4" t="s">
        <v>160</v>
      </c>
      <c r="M1654" s="4" t="s">
        <v>27</v>
      </c>
      <c r="N1654" s="4" t="s">
        <v>3106</v>
      </c>
    </row>
    <row r="1655" spans="1:14" ht="10.5" hidden="1" x14ac:dyDescent="0.25">
      <c r="A1655" s="9" t="s">
        <v>3158</v>
      </c>
      <c r="B1655" s="10"/>
      <c r="C1655" s="11"/>
      <c r="D1655" s="10"/>
      <c r="E1655" s="10"/>
      <c r="F1655" s="10"/>
      <c r="G1655" s="12">
        <f>SUM(G1265:G1654)</f>
        <v>21018649.417636849</v>
      </c>
      <c r="H1655" s="12">
        <f>H1654</f>
        <v>21018649.417636849</v>
      </c>
      <c r="I1655" s="10"/>
      <c r="J1655" s="10"/>
      <c r="K1655" s="13"/>
      <c r="L1655" s="10"/>
      <c r="M1655" s="10"/>
      <c r="N1655" s="10"/>
    </row>
    <row r="1656" spans="1:14" ht="10.5" hidden="1" x14ac:dyDescent="0.2">
      <c r="A1656" s="10" t="s">
        <v>556</v>
      </c>
      <c r="B1656" s="10"/>
      <c r="C1656" s="11"/>
      <c r="D1656" s="10"/>
      <c r="E1656" s="10"/>
      <c r="F1656" s="10"/>
      <c r="G1656" s="12">
        <f>SUM(G1264,G1655)</f>
        <v>21018649.417636849</v>
      </c>
      <c r="H1656" s="12">
        <f>H1264+H1655</f>
        <v>21018649.417636849</v>
      </c>
      <c r="I1656" s="10"/>
      <c r="J1656" s="10"/>
      <c r="K1656" s="13"/>
      <c r="L1656" s="10"/>
      <c r="M1656" s="10"/>
      <c r="N1656" s="10"/>
    </row>
    <row r="1657" spans="1:14" ht="10.5" hidden="1" x14ac:dyDescent="0.2">
      <c r="A1657" s="3" t="s">
        <v>19</v>
      </c>
      <c r="B1657" s="4"/>
      <c r="C1657" s="5"/>
      <c r="D1657" s="4"/>
      <c r="E1657" s="4"/>
      <c r="F1657" s="4"/>
      <c r="G1657" s="6">
        <v>0</v>
      </c>
      <c r="H1657" s="6">
        <v>0</v>
      </c>
      <c r="I1657" s="4"/>
      <c r="J1657" s="4"/>
      <c r="K1657" s="7">
        <v>0</v>
      </c>
      <c r="L1657" s="4"/>
      <c r="M1657" s="4"/>
      <c r="N1657" s="4"/>
    </row>
    <row r="1658" spans="1:14" ht="10.5" hidden="1" x14ac:dyDescent="0.25">
      <c r="A1658" s="8" t="s">
        <v>20</v>
      </c>
      <c r="B1658" s="4"/>
      <c r="C1658" s="5"/>
      <c r="D1658" s="4"/>
      <c r="E1658" s="4"/>
      <c r="F1658" s="4"/>
      <c r="G1658" s="6">
        <v>0</v>
      </c>
      <c r="H1658" s="6">
        <v>0</v>
      </c>
      <c r="I1658" s="4"/>
      <c r="J1658" s="4"/>
      <c r="K1658" s="7">
        <v>0</v>
      </c>
      <c r="L1658" s="4"/>
      <c r="M1658" s="4"/>
      <c r="N1658" s="4"/>
    </row>
    <row r="1659" spans="1:14" ht="10.5" hidden="1" x14ac:dyDescent="0.25">
      <c r="A1659" s="8" t="s">
        <v>20</v>
      </c>
      <c r="B1659" s="4" t="s">
        <v>21</v>
      </c>
      <c r="C1659" s="5">
        <v>43555</v>
      </c>
      <c r="D1659" s="4" t="s">
        <v>3159</v>
      </c>
      <c r="E1659" s="4" t="s">
        <v>1174</v>
      </c>
      <c r="F1659" s="4" t="s">
        <v>3160</v>
      </c>
      <c r="G1659" s="6">
        <v>2575.0000010758968</v>
      </c>
      <c r="H1659" s="6">
        <f t="shared" ref="H1659:H1722" si="28">H1658+G1659</f>
        <v>2575.0000010758968</v>
      </c>
      <c r="I1659" s="4"/>
      <c r="J1659" s="4" t="s">
        <v>3161</v>
      </c>
      <c r="K1659" s="7">
        <v>2575</v>
      </c>
      <c r="L1659" s="4" t="s">
        <v>2187</v>
      </c>
      <c r="M1659" s="4" t="s">
        <v>27</v>
      </c>
      <c r="N1659" s="4"/>
    </row>
    <row r="1660" spans="1:14" ht="10.5" hidden="1" x14ac:dyDescent="0.25">
      <c r="A1660" s="8" t="s">
        <v>20</v>
      </c>
      <c r="B1660" s="4" t="s">
        <v>21</v>
      </c>
      <c r="C1660" s="5">
        <v>43585</v>
      </c>
      <c r="D1660" s="4" t="s">
        <v>1173</v>
      </c>
      <c r="E1660" s="4" t="s">
        <v>1174</v>
      </c>
      <c r="F1660" s="4" t="s">
        <v>3162</v>
      </c>
      <c r="G1660" s="6">
        <v>5000.0000012781402</v>
      </c>
      <c r="H1660" s="6">
        <f t="shared" si="28"/>
        <v>7575.000002354037</v>
      </c>
      <c r="I1660" s="4"/>
      <c r="J1660" s="4" t="s">
        <v>1176</v>
      </c>
      <c r="K1660" s="7">
        <v>5000</v>
      </c>
      <c r="L1660" s="4" t="s">
        <v>1177</v>
      </c>
      <c r="M1660" s="4" t="s">
        <v>27</v>
      </c>
      <c r="N1660" s="4"/>
    </row>
    <row r="1661" spans="1:14" ht="10.5" hidden="1" x14ac:dyDescent="0.25">
      <c r="A1661" s="8" t="s">
        <v>20</v>
      </c>
      <c r="B1661" s="4" t="s">
        <v>21</v>
      </c>
      <c r="C1661" s="5">
        <v>43646</v>
      </c>
      <c r="D1661" s="4" t="s">
        <v>3163</v>
      </c>
      <c r="E1661" s="4" t="s">
        <v>1174</v>
      </c>
      <c r="F1661" s="4" t="s">
        <v>3164</v>
      </c>
      <c r="G1661" s="6">
        <v>250.00000009198001</v>
      </c>
      <c r="H1661" s="6">
        <f t="shared" si="28"/>
        <v>7825.0000024460169</v>
      </c>
      <c r="I1661" s="4"/>
      <c r="J1661" s="4" t="s">
        <v>1176</v>
      </c>
      <c r="K1661" s="7">
        <v>250</v>
      </c>
      <c r="L1661" s="4" t="s">
        <v>1194</v>
      </c>
      <c r="M1661" s="4" t="s">
        <v>27</v>
      </c>
      <c r="N1661" s="4"/>
    </row>
    <row r="1662" spans="1:14" ht="10.5" hidden="1" x14ac:dyDescent="0.25">
      <c r="A1662" s="8" t="s">
        <v>20</v>
      </c>
      <c r="B1662" s="4" t="s">
        <v>21</v>
      </c>
      <c r="C1662" s="5">
        <v>43677</v>
      </c>
      <c r="D1662" s="4" t="s">
        <v>1201</v>
      </c>
      <c r="E1662" s="4" t="s">
        <v>1174</v>
      </c>
      <c r="F1662" s="4" t="s">
        <v>3165</v>
      </c>
      <c r="G1662" s="6">
        <v>3517.9899999470263</v>
      </c>
      <c r="H1662" s="6">
        <f t="shared" si="28"/>
        <v>11342.990002393042</v>
      </c>
      <c r="I1662" s="4"/>
      <c r="J1662" s="4" t="s">
        <v>3161</v>
      </c>
      <c r="K1662" s="7">
        <v>3517.99</v>
      </c>
      <c r="L1662" s="4" t="s">
        <v>1197</v>
      </c>
      <c r="M1662" s="4" t="s">
        <v>27</v>
      </c>
      <c r="N1662" s="4"/>
    </row>
    <row r="1663" spans="1:14" ht="10.5" hidden="1" x14ac:dyDescent="0.25">
      <c r="A1663" s="8" t="s">
        <v>20</v>
      </c>
      <c r="B1663" s="4" t="s">
        <v>21</v>
      </c>
      <c r="C1663" s="5">
        <v>43677</v>
      </c>
      <c r="D1663" s="4" t="s">
        <v>1201</v>
      </c>
      <c r="E1663" s="4" t="s">
        <v>1174</v>
      </c>
      <c r="F1663" s="4" t="s">
        <v>3166</v>
      </c>
      <c r="G1663" s="6">
        <v>1732.9999999739046</v>
      </c>
      <c r="H1663" s="6">
        <f t="shared" si="28"/>
        <v>13075.990002366947</v>
      </c>
      <c r="I1663" s="4"/>
      <c r="J1663" s="4" t="s">
        <v>1176</v>
      </c>
      <c r="K1663" s="7">
        <v>1733</v>
      </c>
      <c r="L1663" s="4" t="s">
        <v>1197</v>
      </c>
      <c r="M1663" s="4" t="s">
        <v>27</v>
      </c>
      <c r="N1663" s="4"/>
    </row>
    <row r="1664" spans="1:14" ht="10.5" hidden="1" x14ac:dyDescent="0.25">
      <c r="A1664" s="8" t="s">
        <v>20</v>
      </c>
      <c r="B1664" s="4" t="s">
        <v>21</v>
      </c>
      <c r="C1664" s="5">
        <v>43677</v>
      </c>
      <c r="D1664" s="4" t="s">
        <v>1201</v>
      </c>
      <c r="E1664" s="4" t="s">
        <v>1174</v>
      </c>
      <c r="F1664" s="4" t="s">
        <v>3166</v>
      </c>
      <c r="G1664" s="6">
        <v>-1732.9999999739046</v>
      </c>
      <c r="H1664" s="6">
        <f t="shared" si="28"/>
        <v>11342.990002393042</v>
      </c>
      <c r="I1664" s="4"/>
      <c r="J1664" s="4" t="s">
        <v>1176</v>
      </c>
      <c r="K1664" s="7">
        <v>-1733</v>
      </c>
      <c r="L1664" s="4" t="s">
        <v>1197</v>
      </c>
      <c r="M1664" s="4" t="s">
        <v>27</v>
      </c>
      <c r="N1664" s="4"/>
    </row>
    <row r="1665" spans="1:14" ht="10.5" hidden="1" x14ac:dyDescent="0.25">
      <c r="A1665" s="8" t="s">
        <v>20</v>
      </c>
      <c r="B1665" s="4" t="s">
        <v>21</v>
      </c>
      <c r="C1665" s="5">
        <v>43738</v>
      </c>
      <c r="D1665" s="4" t="s">
        <v>3167</v>
      </c>
      <c r="E1665" s="4" t="s">
        <v>1174</v>
      </c>
      <c r="F1665" s="4" t="s">
        <v>3168</v>
      </c>
      <c r="G1665" s="6">
        <v>65917.049977841321</v>
      </c>
      <c r="H1665" s="6">
        <f t="shared" si="28"/>
        <v>77260.03998023436</v>
      </c>
      <c r="I1665" s="4"/>
      <c r="J1665" s="4" t="s">
        <v>1176</v>
      </c>
      <c r="K1665" s="7">
        <v>65917.05</v>
      </c>
      <c r="L1665" s="4" t="s">
        <v>2214</v>
      </c>
      <c r="M1665" s="4" t="s">
        <v>27</v>
      </c>
      <c r="N1665" s="4"/>
    </row>
    <row r="1666" spans="1:14" ht="10.5" hidden="1" x14ac:dyDescent="0.25">
      <c r="A1666" s="8" t="s">
        <v>20</v>
      </c>
      <c r="B1666" s="4" t="s">
        <v>21</v>
      </c>
      <c r="C1666" s="5">
        <v>43738</v>
      </c>
      <c r="D1666" s="4" t="s">
        <v>3167</v>
      </c>
      <c r="E1666" s="4" t="s">
        <v>1174</v>
      </c>
      <c r="F1666" s="4" t="s">
        <v>3169</v>
      </c>
      <c r="G1666" s="6">
        <v>6799.9999977141124</v>
      </c>
      <c r="H1666" s="6">
        <f t="shared" si="28"/>
        <v>84060.039977948472</v>
      </c>
      <c r="I1666" s="4"/>
      <c r="J1666" s="4" t="s">
        <v>1176</v>
      </c>
      <c r="K1666" s="7">
        <v>6800</v>
      </c>
      <c r="L1666" s="4" t="s">
        <v>2214</v>
      </c>
      <c r="M1666" s="4" t="s">
        <v>27</v>
      </c>
      <c r="N1666" s="4"/>
    </row>
    <row r="1667" spans="1:14" ht="10.5" hidden="1" x14ac:dyDescent="0.25">
      <c r="A1667" s="8" t="s">
        <v>20</v>
      </c>
      <c r="B1667" s="4" t="s">
        <v>21</v>
      </c>
      <c r="C1667" s="5">
        <v>43738</v>
      </c>
      <c r="D1667" s="4" t="s">
        <v>3167</v>
      </c>
      <c r="E1667" s="4" t="s">
        <v>1174</v>
      </c>
      <c r="F1667" s="4" t="s">
        <v>3170</v>
      </c>
      <c r="G1667" s="6">
        <v>24.999999991595999</v>
      </c>
      <c r="H1667" s="6">
        <f t="shared" si="28"/>
        <v>84085.039977940061</v>
      </c>
      <c r="I1667" s="4"/>
      <c r="J1667" s="4" t="s">
        <v>1176</v>
      </c>
      <c r="K1667" s="7">
        <v>25</v>
      </c>
      <c r="L1667" s="4" t="s">
        <v>2214</v>
      </c>
      <c r="M1667" s="4" t="s">
        <v>27</v>
      </c>
      <c r="N1667" s="4"/>
    </row>
    <row r="1668" spans="1:14" ht="10.5" hidden="1" x14ac:dyDescent="0.25">
      <c r="A1668" s="8" t="s">
        <v>20</v>
      </c>
      <c r="B1668" s="4" t="s">
        <v>21</v>
      </c>
      <c r="C1668" s="5">
        <v>43738</v>
      </c>
      <c r="D1668" s="4" t="s">
        <v>3171</v>
      </c>
      <c r="E1668" s="4" t="s">
        <v>3172</v>
      </c>
      <c r="F1668" s="4" t="s">
        <v>3172</v>
      </c>
      <c r="G1668" s="6">
        <v>-65917.049977841321</v>
      </c>
      <c r="H1668" s="6">
        <f t="shared" si="28"/>
        <v>18167.99000009874</v>
      </c>
      <c r="I1668" s="4"/>
      <c r="J1668" s="4" t="s">
        <v>37</v>
      </c>
      <c r="K1668" s="7">
        <v>-65917.05</v>
      </c>
      <c r="L1668" s="4" t="s">
        <v>2214</v>
      </c>
      <c r="M1668" s="4" t="s">
        <v>27</v>
      </c>
      <c r="N1668" s="4" t="s">
        <v>28</v>
      </c>
    </row>
    <row r="1669" spans="1:14" ht="10.5" hidden="1" x14ac:dyDescent="0.25">
      <c r="A1669" s="8" t="s">
        <v>20</v>
      </c>
      <c r="B1669" s="4" t="s">
        <v>21</v>
      </c>
      <c r="C1669" s="5">
        <v>43769</v>
      </c>
      <c r="D1669" s="4" t="s">
        <v>3173</v>
      </c>
      <c r="E1669" s="4" t="s">
        <v>1174</v>
      </c>
      <c r="F1669" s="4" t="s">
        <v>3174</v>
      </c>
      <c r="G1669" s="6">
        <v>1759.0000009448645</v>
      </c>
      <c r="H1669" s="6">
        <f t="shared" si="28"/>
        <v>19926.990001043603</v>
      </c>
      <c r="I1669" s="4"/>
      <c r="J1669" s="4" t="s">
        <v>1176</v>
      </c>
      <c r="K1669" s="7">
        <v>1759</v>
      </c>
      <c r="L1669" s="4" t="s">
        <v>2216</v>
      </c>
      <c r="M1669" s="4" t="s">
        <v>27</v>
      </c>
      <c r="N1669" s="4"/>
    </row>
    <row r="1670" spans="1:14" ht="10.5" hidden="1" x14ac:dyDescent="0.25">
      <c r="A1670" s="8" t="s">
        <v>20</v>
      </c>
      <c r="B1670" s="4" t="s">
        <v>21</v>
      </c>
      <c r="C1670" s="5">
        <v>43769</v>
      </c>
      <c r="D1670" s="4" t="s">
        <v>3173</v>
      </c>
      <c r="E1670" s="4" t="s">
        <v>1174</v>
      </c>
      <c r="F1670" s="4" t="s">
        <v>3175</v>
      </c>
      <c r="G1670" s="6">
        <v>1733.0000009308983</v>
      </c>
      <c r="H1670" s="6">
        <f t="shared" si="28"/>
        <v>21659.9900019745</v>
      </c>
      <c r="I1670" s="4"/>
      <c r="J1670" s="4" t="s">
        <v>1176</v>
      </c>
      <c r="K1670" s="7">
        <v>1733</v>
      </c>
      <c r="L1670" s="4" t="s">
        <v>2216</v>
      </c>
      <c r="M1670" s="4" t="s">
        <v>27</v>
      </c>
      <c r="N1670" s="4"/>
    </row>
    <row r="1671" spans="1:14" ht="10.5" hidden="1" x14ac:dyDescent="0.25">
      <c r="A1671" s="8" t="s">
        <v>20</v>
      </c>
      <c r="B1671" s="4" t="s">
        <v>21</v>
      </c>
      <c r="C1671" s="5">
        <v>43830</v>
      </c>
      <c r="D1671" s="4" t="s">
        <v>1208</v>
      </c>
      <c r="E1671" s="4" t="s">
        <v>1174</v>
      </c>
      <c r="F1671" s="4" t="s">
        <v>3176</v>
      </c>
      <c r="G1671" s="6">
        <v>1782.9999996826973</v>
      </c>
      <c r="H1671" s="6">
        <f t="shared" si="28"/>
        <v>23442.990001657199</v>
      </c>
      <c r="I1671" s="4"/>
      <c r="J1671" s="4" t="s">
        <v>1176</v>
      </c>
      <c r="K1671" s="7">
        <v>1783</v>
      </c>
      <c r="L1671" s="4" t="s">
        <v>1025</v>
      </c>
      <c r="M1671" s="4" t="s">
        <v>27</v>
      </c>
      <c r="N1671" s="4"/>
    </row>
    <row r="1672" spans="1:14" ht="10.5" hidden="1" x14ac:dyDescent="0.25">
      <c r="A1672" s="8" t="s">
        <v>20</v>
      </c>
      <c r="B1672" s="4" t="s">
        <v>21</v>
      </c>
      <c r="C1672" s="5">
        <v>43830</v>
      </c>
      <c r="D1672" s="4" t="s">
        <v>1214</v>
      </c>
      <c r="E1672" s="4" t="s">
        <v>1215</v>
      </c>
      <c r="F1672" s="4" t="s">
        <v>1216</v>
      </c>
      <c r="G1672" s="6">
        <v>17997.926023725395</v>
      </c>
      <c r="H1672" s="6">
        <f t="shared" si="28"/>
        <v>41440.916025382598</v>
      </c>
      <c r="I1672" s="4"/>
      <c r="J1672" s="4" t="s">
        <v>68</v>
      </c>
      <c r="K1672" s="7">
        <v>23889</v>
      </c>
      <c r="L1672" s="4" t="s">
        <v>1025</v>
      </c>
      <c r="M1672" s="4" t="s">
        <v>212</v>
      </c>
      <c r="N1672" s="4"/>
    </row>
    <row r="1673" spans="1:14" ht="10.5" hidden="1" x14ac:dyDescent="0.25">
      <c r="A1673" s="8" t="s">
        <v>20</v>
      </c>
      <c r="B1673" s="4" t="s">
        <v>21</v>
      </c>
      <c r="C1673" s="5">
        <v>43830</v>
      </c>
      <c r="D1673" s="4" t="s">
        <v>3177</v>
      </c>
      <c r="E1673" s="4" t="s">
        <v>3178</v>
      </c>
      <c r="F1673" s="4" t="s">
        <v>3179</v>
      </c>
      <c r="G1673" s="6">
        <v>30590.416234699998</v>
      </c>
      <c r="H1673" s="6">
        <f t="shared" si="28"/>
        <v>72031.332260082592</v>
      </c>
      <c r="I1673" s="4"/>
      <c r="J1673" s="4" t="s">
        <v>1176</v>
      </c>
      <c r="K1673" s="7">
        <v>27769.33</v>
      </c>
      <c r="L1673" s="4" t="s">
        <v>1025</v>
      </c>
      <c r="M1673" s="4" t="s">
        <v>61</v>
      </c>
      <c r="N1673" s="4"/>
    </row>
    <row r="1674" spans="1:14" ht="10.5" hidden="1" x14ac:dyDescent="0.25">
      <c r="A1674" s="8" t="s">
        <v>20</v>
      </c>
      <c r="B1674" s="4" t="s">
        <v>21</v>
      </c>
      <c r="C1674" s="5">
        <v>43830</v>
      </c>
      <c r="D1674" s="4" t="s">
        <v>1222</v>
      </c>
      <c r="E1674" s="4" t="s">
        <v>1192</v>
      </c>
      <c r="F1674" s="4" t="s">
        <v>3180</v>
      </c>
      <c r="G1674" s="6">
        <v>-30590.416234699998</v>
      </c>
      <c r="H1674" s="6">
        <f t="shared" si="28"/>
        <v>41440.916025382598</v>
      </c>
      <c r="I1674" s="4"/>
      <c r="J1674" s="4" t="s">
        <v>1176</v>
      </c>
      <c r="K1674" s="7">
        <v>-27769.33</v>
      </c>
      <c r="L1674" s="4" t="s">
        <v>1025</v>
      </c>
      <c r="M1674" s="4" t="s">
        <v>61</v>
      </c>
      <c r="N1674" s="4"/>
    </row>
    <row r="1675" spans="1:14" ht="10.5" hidden="1" x14ac:dyDescent="0.25">
      <c r="A1675" s="8" t="s">
        <v>20</v>
      </c>
      <c r="B1675" s="4" t="s">
        <v>21</v>
      </c>
      <c r="C1675" s="5">
        <v>43830</v>
      </c>
      <c r="D1675" s="4" t="s">
        <v>1225</v>
      </c>
      <c r="E1675" s="4" t="s">
        <v>1226</v>
      </c>
      <c r="F1675" s="4" t="s">
        <v>1226</v>
      </c>
      <c r="G1675" s="6">
        <v>-1072607.7399267999</v>
      </c>
      <c r="H1675" s="6">
        <f t="shared" si="28"/>
        <v>-1031166.8239014173</v>
      </c>
      <c r="I1675" s="4"/>
      <c r="J1675" s="4" t="s">
        <v>37</v>
      </c>
      <c r="K1675" s="7">
        <v>-973690.52</v>
      </c>
      <c r="L1675" s="4" t="s">
        <v>1025</v>
      </c>
      <c r="M1675" s="4" t="s">
        <v>61</v>
      </c>
      <c r="N1675" s="4"/>
    </row>
    <row r="1676" spans="1:14" ht="10.5" hidden="1" x14ac:dyDescent="0.25">
      <c r="A1676" s="8" t="s">
        <v>20</v>
      </c>
      <c r="B1676" s="4" t="s">
        <v>21</v>
      </c>
      <c r="C1676" s="5">
        <v>43830</v>
      </c>
      <c r="D1676" s="4" t="s">
        <v>1227</v>
      </c>
      <c r="E1676" s="4" t="s">
        <v>1228</v>
      </c>
      <c r="F1676" s="4" t="s">
        <v>1228</v>
      </c>
      <c r="G1676" s="6">
        <v>11023.219777034266</v>
      </c>
      <c r="H1676" s="6">
        <f t="shared" si="28"/>
        <v>-1020143.6041243831</v>
      </c>
      <c r="I1676" s="4"/>
      <c r="J1676" s="4" t="s">
        <v>37</v>
      </c>
      <c r="K1676" s="7">
        <v>8276.9699999999993</v>
      </c>
      <c r="L1676" s="4" t="s">
        <v>1056</v>
      </c>
      <c r="M1676" s="4" t="s">
        <v>186</v>
      </c>
      <c r="N1676" s="4"/>
    </row>
    <row r="1677" spans="1:14" ht="10.5" hidden="1" x14ac:dyDescent="0.25">
      <c r="A1677" s="8" t="s">
        <v>20</v>
      </c>
      <c r="B1677" s="4" t="s">
        <v>21</v>
      </c>
      <c r="C1677" s="5">
        <v>43830</v>
      </c>
      <c r="D1677" s="4" t="s">
        <v>1229</v>
      </c>
      <c r="E1677" s="4" t="s">
        <v>1230</v>
      </c>
      <c r="F1677" s="4" t="s">
        <v>1230</v>
      </c>
      <c r="G1677" s="6">
        <v>1072607.7399267999</v>
      </c>
      <c r="H1677" s="6">
        <f t="shared" si="28"/>
        <v>52464.135802416829</v>
      </c>
      <c r="I1677" s="4"/>
      <c r="J1677" s="4" t="s">
        <v>68</v>
      </c>
      <c r="K1677" s="7">
        <v>973690.52</v>
      </c>
      <c r="L1677" s="4" t="s">
        <v>1025</v>
      </c>
      <c r="M1677" s="4" t="s">
        <v>61</v>
      </c>
      <c r="N1677" s="4"/>
    </row>
    <row r="1678" spans="1:14" ht="10.5" hidden="1" x14ac:dyDescent="0.25">
      <c r="A1678" s="8" t="s">
        <v>20</v>
      </c>
      <c r="B1678" s="4" t="s">
        <v>21</v>
      </c>
      <c r="C1678" s="5">
        <v>43830</v>
      </c>
      <c r="D1678" s="4" t="s">
        <v>3181</v>
      </c>
      <c r="E1678" s="4" t="s">
        <v>3172</v>
      </c>
      <c r="F1678" s="4" t="s">
        <v>3172</v>
      </c>
      <c r="G1678" s="6">
        <v>-6799.9999987898718</v>
      </c>
      <c r="H1678" s="6">
        <f t="shared" si="28"/>
        <v>45664.135803626959</v>
      </c>
      <c r="I1678" s="4"/>
      <c r="J1678" s="4" t="s">
        <v>37</v>
      </c>
      <c r="K1678" s="7">
        <v>-6800</v>
      </c>
      <c r="L1678" s="4" t="s">
        <v>1025</v>
      </c>
      <c r="M1678" s="4" t="s">
        <v>27</v>
      </c>
      <c r="N1678" s="4" t="s">
        <v>28</v>
      </c>
    </row>
    <row r="1679" spans="1:14" ht="10.5" hidden="1" x14ac:dyDescent="0.25">
      <c r="A1679" s="8" t="s">
        <v>20</v>
      </c>
      <c r="B1679" s="4" t="s">
        <v>21</v>
      </c>
      <c r="C1679" s="5">
        <v>43861</v>
      </c>
      <c r="D1679" s="4" t="s">
        <v>3182</v>
      </c>
      <c r="E1679" s="4" t="s">
        <v>3183</v>
      </c>
      <c r="F1679" s="4" t="s">
        <v>3184</v>
      </c>
      <c r="G1679" s="6">
        <v>-1783.2808248592085</v>
      </c>
      <c r="H1679" s="6">
        <f t="shared" si="28"/>
        <v>43880.854978767748</v>
      </c>
      <c r="I1679" s="4"/>
      <c r="J1679" s="4" t="s">
        <v>37</v>
      </c>
      <c r="K1679" s="7">
        <v>-1783</v>
      </c>
      <c r="L1679" s="4" t="s">
        <v>1237</v>
      </c>
      <c r="M1679" s="4" t="s">
        <v>27</v>
      </c>
      <c r="N1679" s="4"/>
    </row>
    <row r="1680" spans="1:14" ht="10.5" hidden="1" x14ac:dyDescent="0.25">
      <c r="A1680" s="8" t="s">
        <v>20</v>
      </c>
      <c r="B1680" s="4" t="s">
        <v>21</v>
      </c>
      <c r="C1680" s="5">
        <v>43882</v>
      </c>
      <c r="D1680" s="4" t="s">
        <v>3185</v>
      </c>
      <c r="E1680" s="4" t="s">
        <v>3186</v>
      </c>
      <c r="F1680" s="4" t="s">
        <v>3187</v>
      </c>
      <c r="G1680" s="6">
        <v>3662.1709283234732</v>
      </c>
      <c r="H1680" s="6">
        <f t="shared" si="28"/>
        <v>47543.025907091222</v>
      </c>
      <c r="I1680" s="4"/>
      <c r="J1680" s="4" t="s">
        <v>1176</v>
      </c>
      <c r="K1680" s="7">
        <v>3662.17</v>
      </c>
      <c r="L1680" s="4" t="s">
        <v>1331</v>
      </c>
      <c r="M1680" s="4" t="s">
        <v>27</v>
      </c>
      <c r="N1680" s="4"/>
    </row>
    <row r="1681" spans="1:14" ht="10.5" hidden="1" x14ac:dyDescent="0.25">
      <c r="A1681" s="8" t="s">
        <v>20</v>
      </c>
      <c r="B1681" s="4" t="s">
        <v>21</v>
      </c>
      <c r="C1681" s="5">
        <v>43882</v>
      </c>
      <c r="D1681" s="4" t="s">
        <v>3185</v>
      </c>
      <c r="E1681" s="4" t="s">
        <v>3186</v>
      </c>
      <c r="F1681" s="4" t="s">
        <v>3187</v>
      </c>
      <c r="G1681" s="6">
        <v>-3662.1709283234732</v>
      </c>
      <c r="H1681" s="6">
        <f t="shared" si="28"/>
        <v>43880.854978767748</v>
      </c>
      <c r="I1681" s="4"/>
      <c r="J1681" s="4" t="s">
        <v>37</v>
      </c>
      <c r="K1681" s="7">
        <v>-3662.17</v>
      </c>
      <c r="L1681" s="4" t="s">
        <v>1331</v>
      </c>
      <c r="M1681" s="4" t="s">
        <v>27</v>
      </c>
      <c r="N1681" s="4"/>
    </row>
    <row r="1682" spans="1:14" ht="10.5" hidden="1" x14ac:dyDescent="0.25">
      <c r="A1682" s="8" t="s">
        <v>20</v>
      </c>
      <c r="B1682" s="4" t="s">
        <v>21</v>
      </c>
      <c r="C1682" s="5">
        <v>43892</v>
      </c>
      <c r="D1682" s="4" t="s">
        <v>3188</v>
      </c>
      <c r="E1682" s="4" t="s">
        <v>3189</v>
      </c>
      <c r="F1682" s="4" t="s">
        <v>3189</v>
      </c>
      <c r="G1682" s="6">
        <v>1782.5489009999999</v>
      </c>
      <c r="H1682" s="6">
        <f t="shared" si="28"/>
        <v>45663.403879767749</v>
      </c>
      <c r="I1682" s="4"/>
      <c r="J1682" s="4" t="s">
        <v>1176</v>
      </c>
      <c r="K1682" s="7">
        <v>1783</v>
      </c>
      <c r="L1682" s="4" t="s">
        <v>1049</v>
      </c>
      <c r="M1682" s="4" t="s">
        <v>27</v>
      </c>
      <c r="N1682" s="4"/>
    </row>
    <row r="1683" spans="1:14" ht="10.5" hidden="1" x14ac:dyDescent="0.25">
      <c r="A1683" s="8" t="s">
        <v>20</v>
      </c>
      <c r="B1683" s="4" t="s">
        <v>21</v>
      </c>
      <c r="C1683" s="5">
        <v>43892</v>
      </c>
      <c r="D1683" s="4" t="s">
        <v>3188</v>
      </c>
      <c r="E1683" s="4" t="s">
        <v>3189</v>
      </c>
      <c r="F1683" s="4" t="s">
        <v>3190</v>
      </c>
      <c r="G1683" s="6">
        <v>1190.6986770000001</v>
      </c>
      <c r="H1683" s="6">
        <f t="shared" si="28"/>
        <v>46854.10255676775</v>
      </c>
      <c r="I1683" s="4"/>
      <c r="J1683" s="4" t="s">
        <v>1176</v>
      </c>
      <c r="K1683" s="7">
        <v>1191</v>
      </c>
      <c r="L1683" s="4" t="s">
        <v>1049</v>
      </c>
      <c r="M1683" s="4" t="s">
        <v>27</v>
      </c>
      <c r="N1683" s="4"/>
    </row>
    <row r="1684" spans="1:14" ht="10.5" hidden="1" x14ac:dyDescent="0.25">
      <c r="A1684" s="8" t="s">
        <v>20</v>
      </c>
      <c r="B1684" s="4" t="s">
        <v>21</v>
      </c>
      <c r="C1684" s="5">
        <v>43892</v>
      </c>
      <c r="D1684" s="4" t="s">
        <v>3191</v>
      </c>
      <c r="E1684" s="4" t="s">
        <v>3192</v>
      </c>
      <c r="F1684" s="4" t="s">
        <v>3190</v>
      </c>
      <c r="G1684" s="6">
        <v>-1190.6986770000001</v>
      </c>
      <c r="H1684" s="6">
        <f t="shared" si="28"/>
        <v>45663.403879767749</v>
      </c>
      <c r="I1684" s="4"/>
      <c r="J1684" s="4" t="s">
        <v>1176</v>
      </c>
      <c r="K1684" s="7">
        <v>-1191</v>
      </c>
      <c r="L1684" s="4" t="s">
        <v>1049</v>
      </c>
      <c r="M1684" s="4" t="s">
        <v>27</v>
      </c>
      <c r="N1684" s="4"/>
    </row>
    <row r="1685" spans="1:14" ht="10.5" hidden="1" x14ac:dyDescent="0.25">
      <c r="A1685" s="8" t="s">
        <v>20</v>
      </c>
      <c r="B1685" s="4" t="s">
        <v>21</v>
      </c>
      <c r="C1685" s="5">
        <v>43892</v>
      </c>
      <c r="D1685" s="4" t="s">
        <v>3191</v>
      </c>
      <c r="E1685" s="4" t="s">
        <v>3192</v>
      </c>
      <c r="F1685" s="4" t="s">
        <v>3189</v>
      </c>
      <c r="G1685" s="6">
        <v>-1782.5489009999999</v>
      </c>
      <c r="H1685" s="6">
        <f t="shared" si="28"/>
        <v>43880.854978767748</v>
      </c>
      <c r="I1685" s="4"/>
      <c r="J1685" s="4" t="s">
        <v>1176</v>
      </c>
      <c r="K1685" s="7">
        <v>-1783</v>
      </c>
      <c r="L1685" s="4" t="s">
        <v>1049</v>
      </c>
      <c r="M1685" s="4" t="s">
        <v>27</v>
      </c>
      <c r="N1685" s="4"/>
    </row>
    <row r="1686" spans="1:14" ht="10.5" hidden="1" x14ac:dyDescent="0.25">
      <c r="A1686" s="8" t="s">
        <v>20</v>
      </c>
      <c r="B1686" s="4" t="s">
        <v>21</v>
      </c>
      <c r="C1686" s="5">
        <v>43892</v>
      </c>
      <c r="D1686" s="4" t="s">
        <v>3191</v>
      </c>
      <c r="E1686" s="4" t="s">
        <v>3192</v>
      </c>
      <c r="F1686" s="4" t="s">
        <v>3189</v>
      </c>
      <c r="G1686" s="6">
        <v>1782.5489009999999</v>
      </c>
      <c r="H1686" s="6">
        <f t="shared" si="28"/>
        <v>45663.403879767749</v>
      </c>
      <c r="I1686" s="4"/>
      <c r="J1686" s="4" t="s">
        <v>37</v>
      </c>
      <c r="K1686" s="7">
        <v>1783</v>
      </c>
      <c r="L1686" s="4" t="s">
        <v>1049</v>
      </c>
      <c r="M1686" s="4" t="s">
        <v>27</v>
      </c>
      <c r="N1686" s="4"/>
    </row>
    <row r="1687" spans="1:14" ht="10.5" hidden="1" x14ac:dyDescent="0.25">
      <c r="A1687" s="8" t="s">
        <v>20</v>
      </c>
      <c r="B1687" s="4" t="s">
        <v>21</v>
      </c>
      <c r="C1687" s="5">
        <v>43892</v>
      </c>
      <c r="D1687" s="4" t="s">
        <v>3191</v>
      </c>
      <c r="E1687" s="4" t="s">
        <v>3192</v>
      </c>
      <c r="F1687" s="4" t="s">
        <v>3190</v>
      </c>
      <c r="G1687" s="6">
        <v>1190.6986770000001</v>
      </c>
      <c r="H1687" s="6">
        <f t="shared" si="28"/>
        <v>46854.10255676775</v>
      </c>
      <c r="I1687" s="4"/>
      <c r="J1687" s="4" t="s">
        <v>37</v>
      </c>
      <c r="K1687" s="7">
        <v>1191</v>
      </c>
      <c r="L1687" s="4" t="s">
        <v>1049</v>
      </c>
      <c r="M1687" s="4" t="s">
        <v>27</v>
      </c>
      <c r="N1687" s="4"/>
    </row>
    <row r="1688" spans="1:14" ht="10.5" hidden="1" x14ac:dyDescent="0.25">
      <c r="A1688" s="8" t="s">
        <v>20</v>
      </c>
      <c r="B1688" s="4" t="s">
        <v>21</v>
      </c>
      <c r="C1688" s="5">
        <v>43908</v>
      </c>
      <c r="D1688" s="4" t="s">
        <v>3193</v>
      </c>
      <c r="E1688" s="4" t="s">
        <v>3186</v>
      </c>
      <c r="F1688" s="4" t="s">
        <v>1048</v>
      </c>
      <c r="G1688" s="6">
        <v>-9997.4699999999993</v>
      </c>
      <c r="H1688" s="6">
        <f t="shared" si="28"/>
        <v>36856.632556767749</v>
      </c>
      <c r="I1688" s="4"/>
      <c r="J1688" s="4" t="s">
        <v>1176</v>
      </c>
      <c r="K1688" s="7">
        <v>-10000</v>
      </c>
      <c r="L1688" s="4" t="s">
        <v>1049</v>
      </c>
      <c r="M1688" s="4" t="s">
        <v>27</v>
      </c>
      <c r="N1688" s="4"/>
    </row>
    <row r="1689" spans="1:14" ht="10.5" hidden="1" x14ac:dyDescent="0.25">
      <c r="A1689" s="8" t="s">
        <v>20</v>
      </c>
      <c r="B1689" s="4" t="s">
        <v>21</v>
      </c>
      <c r="C1689" s="5">
        <v>43908</v>
      </c>
      <c r="D1689" s="4" t="s">
        <v>3193</v>
      </c>
      <c r="E1689" s="4" t="s">
        <v>3186</v>
      </c>
      <c r="F1689" s="4" t="s">
        <v>1048</v>
      </c>
      <c r="G1689" s="6">
        <v>9997.4699999999993</v>
      </c>
      <c r="H1689" s="6">
        <f t="shared" si="28"/>
        <v>46854.10255676775</v>
      </c>
      <c r="I1689" s="4"/>
      <c r="J1689" s="4" t="s">
        <v>37</v>
      </c>
      <c r="K1689" s="7">
        <v>10000</v>
      </c>
      <c r="L1689" s="4" t="s">
        <v>1049</v>
      </c>
      <c r="M1689" s="4" t="s">
        <v>27</v>
      </c>
      <c r="N1689" s="4"/>
    </row>
    <row r="1690" spans="1:14" ht="10.5" hidden="1" x14ac:dyDescent="0.25">
      <c r="A1690" s="8" t="s">
        <v>20</v>
      </c>
      <c r="B1690" s="4" t="s">
        <v>21</v>
      </c>
      <c r="C1690" s="5">
        <v>43921</v>
      </c>
      <c r="D1690" s="4" t="s">
        <v>3194</v>
      </c>
      <c r="E1690" s="4" t="s">
        <v>3195</v>
      </c>
      <c r="F1690" s="4" t="s">
        <v>3195</v>
      </c>
      <c r="G1690" s="6">
        <v>6336.2265290100004</v>
      </c>
      <c r="H1690" s="6">
        <f t="shared" si="28"/>
        <v>53190.329085777747</v>
      </c>
      <c r="I1690" s="4"/>
      <c r="J1690" s="4" t="s">
        <v>1176</v>
      </c>
      <c r="K1690" s="7">
        <v>6337.83</v>
      </c>
      <c r="L1690" s="4" t="s">
        <v>1049</v>
      </c>
      <c r="M1690" s="4" t="s">
        <v>27</v>
      </c>
      <c r="N1690" s="4" t="s">
        <v>28</v>
      </c>
    </row>
    <row r="1691" spans="1:14" ht="10.5" hidden="1" x14ac:dyDescent="0.25">
      <c r="A1691" s="8" t="s">
        <v>20</v>
      </c>
      <c r="B1691" s="4" t="s">
        <v>21</v>
      </c>
      <c r="C1691" s="5">
        <v>43921</v>
      </c>
      <c r="D1691" s="4" t="s">
        <v>3194</v>
      </c>
      <c r="E1691" s="4" t="s">
        <v>3195</v>
      </c>
      <c r="F1691" s="4" t="s">
        <v>3195</v>
      </c>
      <c r="G1691" s="6">
        <v>-6336.2265290100004</v>
      </c>
      <c r="H1691" s="6">
        <f t="shared" si="28"/>
        <v>46854.102556767742</v>
      </c>
      <c r="I1691" s="4"/>
      <c r="J1691" s="4" t="s">
        <v>37</v>
      </c>
      <c r="K1691" s="7">
        <v>-6337.83</v>
      </c>
      <c r="L1691" s="4" t="s">
        <v>1049</v>
      </c>
      <c r="M1691" s="4" t="s">
        <v>27</v>
      </c>
      <c r="N1691" s="4" t="s">
        <v>28</v>
      </c>
    </row>
    <row r="1692" spans="1:14" ht="10.5" hidden="1" x14ac:dyDescent="0.25">
      <c r="A1692" s="8" t="s">
        <v>20</v>
      </c>
      <c r="B1692" s="4" t="s">
        <v>21</v>
      </c>
      <c r="C1692" s="5">
        <v>43952</v>
      </c>
      <c r="D1692" s="4" t="s">
        <v>3196</v>
      </c>
      <c r="E1692" s="4" t="s">
        <v>3197</v>
      </c>
      <c r="F1692" s="4" t="s">
        <v>3197</v>
      </c>
      <c r="G1692" s="6">
        <v>3465.9889991932801</v>
      </c>
      <c r="H1692" s="6">
        <f t="shared" si="28"/>
        <v>50320.091555961022</v>
      </c>
      <c r="I1692" s="4"/>
      <c r="J1692" s="4" t="s">
        <v>1176</v>
      </c>
      <c r="K1692" s="7">
        <v>3466</v>
      </c>
      <c r="L1692" s="4" t="s">
        <v>1749</v>
      </c>
      <c r="M1692" s="4" t="s">
        <v>27</v>
      </c>
      <c r="N1692" s="4"/>
    </row>
    <row r="1693" spans="1:14" ht="10.5" hidden="1" x14ac:dyDescent="0.25">
      <c r="A1693" s="8" t="s">
        <v>20</v>
      </c>
      <c r="B1693" s="4" t="s">
        <v>21</v>
      </c>
      <c r="C1693" s="5">
        <v>43952</v>
      </c>
      <c r="D1693" s="4" t="s">
        <v>3198</v>
      </c>
      <c r="E1693" s="4" t="s">
        <v>3199</v>
      </c>
      <c r="F1693" s="4" t="s">
        <v>3197</v>
      </c>
      <c r="G1693" s="6">
        <v>-3465.9889991932801</v>
      </c>
      <c r="H1693" s="6">
        <f t="shared" si="28"/>
        <v>46854.102556767742</v>
      </c>
      <c r="I1693" s="4"/>
      <c r="J1693" s="4" t="s">
        <v>1176</v>
      </c>
      <c r="K1693" s="7">
        <v>-3466</v>
      </c>
      <c r="L1693" s="4" t="s">
        <v>1749</v>
      </c>
      <c r="M1693" s="4" t="s">
        <v>27</v>
      </c>
      <c r="N1693" s="4"/>
    </row>
    <row r="1694" spans="1:14" ht="10.5" hidden="1" x14ac:dyDescent="0.25">
      <c r="A1694" s="8" t="s">
        <v>20</v>
      </c>
      <c r="B1694" s="4" t="s">
        <v>21</v>
      </c>
      <c r="C1694" s="5">
        <v>43952</v>
      </c>
      <c r="D1694" s="4" t="s">
        <v>3198</v>
      </c>
      <c r="E1694" s="4" t="s">
        <v>3199</v>
      </c>
      <c r="F1694" s="4" t="s">
        <v>3197</v>
      </c>
      <c r="G1694" s="6">
        <v>3465.9889991932801</v>
      </c>
      <c r="H1694" s="6">
        <f t="shared" si="28"/>
        <v>50320.091555961022</v>
      </c>
      <c r="I1694" s="4"/>
      <c r="J1694" s="4" t="s">
        <v>37</v>
      </c>
      <c r="K1694" s="7">
        <v>3466</v>
      </c>
      <c r="L1694" s="4" t="s">
        <v>1749</v>
      </c>
      <c r="M1694" s="4" t="s">
        <v>27</v>
      </c>
      <c r="N1694" s="4"/>
    </row>
    <row r="1695" spans="1:14" ht="10.5" hidden="1" x14ac:dyDescent="0.25">
      <c r="A1695" s="8" t="s">
        <v>20</v>
      </c>
      <c r="B1695" s="4" t="s">
        <v>21</v>
      </c>
      <c r="C1695" s="5">
        <v>43990</v>
      </c>
      <c r="D1695" s="4" t="s">
        <v>3200</v>
      </c>
      <c r="E1695" s="4" t="s">
        <v>3201</v>
      </c>
      <c r="F1695" s="4" t="s">
        <v>3202</v>
      </c>
      <c r="G1695" s="6">
        <v>-838.39603406050799</v>
      </c>
      <c r="H1695" s="6">
        <f t="shared" si="28"/>
        <v>49481.695521900518</v>
      </c>
      <c r="I1695" s="4"/>
      <c r="J1695" s="4" t="s">
        <v>1176</v>
      </c>
      <c r="K1695" s="7">
        <v>-838.39</v>
      </c>
      <c r="L1695" s="4" t="s">
        <v>1831</v>
      </c>
      <c r="M1695" s="4" t="s">
        <v>27</v>
      </c>
      <c r="N1695" s="4"/>
    </row>
    <row r="1696" spans="1:14" ht="10.5" hidden="1" x14ac:dyDescent="0.25">
      <c r="A1696" s="8" t="s">
        <v>20</v>
      </c>
      <c r="B1696" s="4" t="s">
        <v>21</v>
      </c>
      <c r="C1696" s="5">
        <v>43990</v>
      </c>
      <c r="D1696" s="4" t="s">
        <v>3203</v>
      </c>
      <c r="E1696" s="4" t="s">
        <v>3204</v>
      </c>
      <c r="F1696" s="4" t="s">
        <v>3202</v>
      </c>
      <c r="G1696" s="6">
        <v>838.39603406050799</v>
      </c>
      <c r="H1696" s="6">
        <f t="shared" si="28"/>
        <v>50320.091555961022</v>
      </c>
      <c r="I1696" s="4"/>
      <c r="J1696" s="4" t="s">
        <v>1176</v>
      </c>
      <c r="K1696" s="7">
        <v>838.39</v>
      </c>
      <c r="L1696" s="4" t="s">
        <v>1831</v>
      </c>
      <c r="M1696" s="4" t="s">
        <v>27</v>
      </c>
      <c r="N1696" s="4"/>
    </row>
    <row r="1697" spans="1:14" ht="10.5" hidden="1" x14ac:dyDescent="0.25">
      <c r="A1697" s="8" t="s">
        <v>20</v>
      </c>
      <c r="B1697" s="4" t="s">
        <v>21</v>
      </c>
      <c r="C1697" s="5">
        <v>43990</v>
      </c>
      <c r="D1697" s="4" t="s">
        <v>3203</v>
      </c>
      <c r="E1697" s="4" t="s">
        <v>3204</v>
      </c>
      <c r="F1697" s="4" t="s">
        <v>3202</v>
      </c>
      <c r="G1697" s="6">
        <v>-838.39603406050799</v>
      </c>
      <c r="H1697" s="6">
        <f t="shared" si="28"/>
        <v>49481.695521900518</v>
      </c>
      <c r="I1697" s="4"/>
      <c r="J1697" s="4" t="s">
        <v>37</v>
      </c>
      <c r="K1697" s="7">
        <v>-838.39</v>
      </c>
      <c r="L1697" s="4" t="s">
        <v>1831</v>
      </c>
      <c r="M1697" s="4" t="s">
        <v>27</v>
      </c>
      <c r="N1697" s="4"/>
    </row>
    <row r="1698" spans="1:14" ht="10.5" hidden="1" x14ac:dyDescent="0.25">
      <c r="A1698" s="8" t="s">
        <v>20</v>
      </c>
      <c r="B1698" s="4" t="s">
        <v>21</v>
      </c>
      <c r="C1698" s="5">
        <v>43997</v>
      </c>
      <c r="D1698" s="4" t="s">
        <v>3205</v>
      </c>
      <c r="E1698" s="4" t="s">
        <v>3206</v>
      </c>
      <c r="F1698" s="4" t="s">
        <v>3207</v>
      </c>
      <c r="G1698" s="6">
        <v>51.990374182427999</v>
      </c>
      <c r="H1698" s="6">
        <f t="shared" si="28"/>
        <v>49533.685896082949</v>
      </c>
      <c r="I1698" s="4"/>
      <c r="J1698" s="4" t="s">
        <v>1176</v>
      </c>
      <c r="K1698" s="7">
        <v>51.99</v>
      </c>
      <c r="L1698" s="4" t="s">
        <v>1831</v>
      </c>
      <c r="M1698" s="4" t="s">
        <v>27</v>
      </c>
      <c r="N1698" s="4"/>
    </row>
    <row r="1699" spans="1:14" ht="10.5" hidden="1" x14ac:dyDescent="0.25">
      <c r="A1699" s="8" t="s">
        <v>20</v>
      </c>
      <c r="B1699" s="4" t="s">
        <v>21</v>
      </c>
      <c r="C1699" s="5">
        <v>43997</v>
      </c>
      <c r="D1699" s="4" t="s">
        <v>3208</v>
      </c>
      <c r="E1699" s="4" t="s">
        <v>3209</v>
      </c>
      <c r="F1699" s="4" t="s">
        <v>3207</v>
      </c>
      <c r="G1699" s="6">
        <v>-51.990374182427999</v>
      </c>
      <c r="H1699" s="6">
        <f t="shared" si="28"/>
        <v>49481.695521900518</v>
      </c>
      <c r="I1699" s="4"/>
      <c r="J1699" s="4" t="s">
        <v>1176</v>
      </c>
      <c r="K1699" s="7">
        <v>-51.99</v>
      </c>
      <c r="L1699" s="4" t="s">
        <v>1831</v>
      </c>
      <c r="M1699" s="4" t="s">
        <v>27</v>
      </c>
      <c r="N1699" s="4"/>
    </row>
    <row r="1700" spans="1:14" ht="10.5" hidden="1" x14ac:dyDescent="0.25">
      <c r="A1700" s="8" t="s">
        <v>20</v>
      </c>
      <c r="B1700" s="4" t="s">
        <v>21</v>
      </c>
      <c r="C1700" s="5">
        <v>43997</v>
      </c>
      <c r="D1700" s="4" t="s">
        <v>3208</v>
      </c>
      <c r="E1700" s="4" t="s">
        <v>3209</v>
      </c>
      <c r="F1700" s="4" t="s">
        <v>3207</v>
      </c>
      <c r="G1700" s="6">
        <v>51.990374182427999</v>
      </c>
      <c r="H1700" s="6">
        <f t="shared" si="28"/>
        <v>49533.685896082949</v>
      </c>
      <c r="I1700" s="4"/>
      <c r="J1700" s="4" t="s">
        <v>37</v>
      </c>
      <c r="K1700" s="7">
        <v>51.99</v>
      </c>
      <c r="L1700" s="4" t="s">
        <v>1831</v>
      </c>
      <c r="M1700" s="4" t="s">
        <v>27</v>
      </c>
      <c r="N1700" s="4"/>
    </row>
    <row r="1701" spans="1:14" ht="10.5" hidden="1" x14ac:dyDescent="0.25">
      <c r="A1701" s="8" t="s">
        <v>20</v>
      </c>
      <c r="B1701" s="4" t="s">
        <v>21</v>
      </c>
      <c r="C1701" s="5">
        <v>44004</v>
      </c>
      <c r="D1701" s="4" t="s">
        <v>3210</v>
      </c>
      <c r="E1701" s="4" t="s">
        <v>3211</v>
      </c>
      <c r="F1701" s="4" t="s">
        <v>3212</v>
      </c>
      <c r="G1701" s="6">
        <v>7531.0542021131996</v>
      </c>
      <c r="H1701" s="6">
        <f t="shared" si="28"/>
        <v>57064.740098196147</v>
      </c>
      <c r="I1701" s="4"/>
      <c r="J1701" s="4" t="s">
        <v>37</v>
      </c>
      <c r="K1701" s="7">
        <v>7531</v>
      </c>
      <c r="L1701" s="4" t="s">
        <v>1831</v>
      </c>
      <c r="M1701" s="4" t="s">
        <v>27</v>
      </c>
      <c r="N1701" s="4"/>
    </row>
    <row r="1702" spans="1:14" ht="10.5" x14ac:dyDescent="0.25">
      <c r="A1702" s="8" t="s">
        <v>20</v>
      </c>
      <c r="B1702" s="4" t="s">
        <v>21</v>
      </c>
      <c r="C1702" s="5">
        <v>44012</v>
      </c>
      <c r="D1702" s="4" t="s">
        <v>1833</v>
      </c>
      <c r="E1702" s="4" t="s">
        <v>1834</v>
      </c>
      <c r="F1702" s="4" t="s">
        <v>1835</v>
      </c>
      <c r="G1702" s="6">
        <v>1942.71</v>
      </c>
      <c r="H1702" s="6">
        <f t="shared" si="28"/>
        <v>59007.450098196146</v>
      </c>
      <c r="I1702" s="4"/>
      <c r="J1702" s="4" t="s">
        <v>25</v>
      </c>
      <c r="K1702" s="7">
        <v>1750</v>
      </c>
      <c r="L1702" s="4" t="s">
        <v>1831</v>
      </c>
      <c r="M1702" s="4" t="s">
        <v>38</v>
      </c>
      <c r="N1702" s="4"/>
    </row>
    <row r="1703" spans="1:14" ht="10.5" x14ac:dyDescent="0.25">
      <c r="A1703" s="8" t="s">
        <v>20</v>
      </c>
      <c r="B1703" s="4" t="s">
        <v>21</v>
      </c>
      <c r="C1703" s="5">
        <v>44042</v>
      </c>
      <c r="D1703" s="4" t="s">
        <v>1845</v>
      </c>
      <c r="E1703" s="4" t="s">
        <v>1846</v>
      </c>
      <c r="F1703" s="4" t="s">
        <v>1846</v>
      </c>
      <c r="G1703" s="6">
        <v>-1968.19399</v>
      </c>
      <c r="H1703" s="6">
        <f t="shared" si="28"/>
        <v>57039.256108196147</v>
      </c>
      <c r="I1703" s="4"/>
      <c r="J1703" s="4" t="s">
        <v>25</v>
      </c>
      <c r="K1703" s="7">
        <v>-1750</v>
      </c>
      <c r="L1703" s="4" t="s">
        <v>1842</v>
      </c>
      <c r="M1703" s="4" t="s">
        <v>38</v>
      </c>
      <c r="N1703" s="4"/>
    </row>
    <row r="1704" spans="1:14" ht="10.5" x14ac:dyDescent="0.25">
      <c r="A1704" s="8" t="s">
        <v>20</v>
      </c>
      <c r="B1704" s="4" t="s">
        <v>21</v>
      </c>
      <c r="C1704" s="5">
        <v>44042</v>
      </c>
      <c r="D1704" s="4" t="s">
        <v>1847</v>
      </c>
      <c r="E1704" s="4" t="s">
        <v>1846</v>
      </c>
      <c r="F1704" s="4" t="s">
        <v>1846</v>
      </c>
      <c r="G1704" s="6">
        <v>1968.19399</v>
      </c>
      <c r="H1704" s="6">
        <f t="shared" si="28"/>
        <v>59007.450098196146</v>
      </c>
      <c r="I1704" s="4"/>
      <c r="J1704" s="4" t="s">
        <v>25</v>
      </c>
      <c r="K1704" s="7">
        <v>1750</v>
      </c>
      <c r="L1704" s="4" t="s">
        <v>1842</v>
      </c>
      <c r="M1704" s="4" t="s">
        <v>38</v>
      </c>
      <c r="N1704" s="4"/>
    </row>
    <row r="1705" spans="1:14" ht="10.5" x14ac:dyDescent="0.25">
      <c r="A1705" s="8" t="s">
        <v>20</v>
      </c>
      <c r="B1705" s="4" t="s">
        <v>21</v>
      </c>
      <c r="C1705" s="5">
        <v>44043</v>
      </c>
      <c r="D1705" s="4" t="s">
        <v>1851</v>
      </c>
      <c r="E1705" s="4" t="s">
        <v>1852</v>
      </c>
      <c r="F1705" s="4" t="s">
        <v>1852</v>
      </c>
      <c r="G1705" s="6">
        <v>2142.5197434000002</v>
      </c>
      <c r="H1705" s="6">
        <f t="shared" si="28"/>
        <v>61149.969841596147</v>
      </c>
      <c r="I1705" s="4"/>
      <c r="J1705" s="4" t="s">
        <v>25</v>
      </c>
      <c r="K1705" s="7">
        <v>1905</v>
      </c>
      <c r="L1705" s="4" t="s">
        <v>1842</v>
      </c>
      <c r="M1705" s="4" t="s">
        <v>38</v>
      </c>
      <c r="N1705" s="4"/>
    </row>
    <row r="1706" spans="1:14" ht="10.5" hidden="1" x14ac:dyDescent="0.25">
      <c r="A1706" s="8" t="s">
        <v>20</v>
      </c>
      <c r="B1706" s="4" t="s">
        <v>21</v>
      </c>
      <c r="C1706" s="5">
        <v>44046</v>
      </c>
      <c r="D1706" s="4" t="s">
        <v>3213</v>
      </c>
      <c r="E1706" s="4" t="s">
        <v>3214</v>
      </c>
      <c r="F1706" s="4" t="s">
        <v>3214</v>
      </c>
      <c r="G1706" s="6">
        <v>3465.999999850269</v>
      </c>
      <c r="H1706" s="6">
        <f t="shared" si="28"/>
        <v>64615.969841446415</v>
      </c>
      <c r="I1706" s="4"/>
      <c r="J1706" s="4" t="s">
        <v>68</v>
      </c>
      <c r="K1706" s="7">
        <v>3466</v>
      </c>
      <c r="L1706" s="4" t="s">
        <v>1861</v>
      </c>
      <c r="M1706" s="4" t="s">
        <v>27</v>
      </c>
      <c r="N1706" s="4"/>
    </row>
    <row r="1707" spans="1:14" ht="10.5" x14ac:dyDescent="0.25">
      <c r="A1707" s="8" t="s">
        <v>20</v>
      </c>
      <c r="B1707" s="4" t="s">
        <v>21</v>
      </c>
      <c r="C1707" s="5">
        <v>44074</v>
      </c>
      <c r="D1707" s="4" t="s">
        <v>1867</v>
      </c>
      <c r="E1707" s="4" t="s">
        <v>1865</v>
      </c>
      <c r="F1707" s="4" t="s">
        <v>1868</v>
      </c>
      <c r="G1707" s="6">
        <v>108.98096934</v>
      </c>
      <c r="H1707" s="6">
        <f t="shared" si="28"/>
        <v>64724.950810786417</v>
      </c>
      <c r="I1707" s="4"/>
      <c r="J1707" s="4" t="s">
        <v>25</v>
      </c>
      <c r="K1707" s="7">
        <v>93</v>
      </c>
      <c r="L1707" s="4" t="s">
        <v>1861</v>
      </c>
      <c r="M1707" s="4" t="s">
        <v>38</v>
      </c>
      <c r="N1707" s="4"/>
    </row>
    <row r="1708" spans="1:14" ht="10.5" x14ac:dyDescent="0.25">
      <c r="A1708" s="8" t="s">
        <v>20</v>
      </c>
      <c r="B1708" s="4" t="s">
        <v>21</v>
      </c>
      <c r="C1708" s="5">
        <v>44104</v>
      </c>
      <c r="D1708" s="4" t="s">
        <v>1882</v>
      </c>
      <c r="E1708" s="4" t="s">
        <v>1880</v>
      </c>
      <c r="F1708" s="4" t="s">
        <v>1883</v>
      </c>
      <c r="G1708" s="6">
        <v>77.601747599999996</v>
      </c>
      <c r="H1708" s="6">
        <f t="shared" si="28"/>
        <v>64802.552558386415</v>
      </c>
      <c r="I1708" s="4"/>
      <c r="J1708" s="4" t="s">
        <v>25</v>
      </c>
      <c r="K1708" s="7">
        <v>65</v>
      </c>
      <c r="L1708" s="4" t="s">
        <v>1052</v>
      </c>
      <c r="M1708" s="4" t="s">
        <v>38</v>
      </c>
      <c r="N1708" s="4"/>
    </row>
    <row r="1709" spans="1:14" ht="10.5" x14ac:dyDescent="0.25">
      <c r="A1709" s="8" t="s">
        <v>20</v>
      </c>
      <c r="B1709" s="4" t="s">
        <v>21</v>
      </c>
      <c r="C1709" s="5">
        <v>44135</v>
      </c>
      <c r="D1709" s="4" t="s">
        <v>1892</v>
      </c>
      <c r="E1709" s="4" t="s">
        <v>1890</v>
      </c>
      <c r="F1709" s="4" t="s">
        <v>1893</v>
      </c>
      <c r="G1709" s="6">
        <v>90.752548379999993</v>
      </c>
      <c r="H1709" s="6">
        <f t="shared" si="28"/>
        <v>64893.305106766413</v>
      </c>
      <c r="I1709" s="4"/>
      <c r="J1709" s="4" t="s">
        <v>68</v>
      </c>
      <c r="K1709" s="7">
        <v>78</v>
      </c>
      <c r="L1709" s="4" t="s">
        <v>1888</v>
      </c>
      <c r="M1709" s="4" t="s">
        <v>38</v>
      </c>
      <c r="N1709" s="4"/>
    </row>
    <row r="1710" spans="1:14" ht="10.5" x14ac:dyDescent="0.25">
      <c r="A1710" s="8" t="s">
        <v>20</v>
      </c>
      <c r="B1710" s="4" t="s">
        <v>21</v>
      </c>
      <c r="C1710" s="5">
        <v>44165</v>
      </c>
      <c r="D1710" s="4" t="s">
        <v>1901</v>
      </c>
      <c r="E1710" s="4" t="s">
        <v>1902</v>
      </c>
      <c r="F1710" s="4" t="s">
        <v>1902</v>
      </c>
      <c r="G1710" s="6">
        <v>107.21649484</v>
      </c>
      <c r="H1710" s="6">
        <f t="shared" si="28"/>
        <v>65000.521601606415</v>
      </c>
      <c r="I1710" s="4"/>
      <c r="J1710" s="4" t="s">
        <v>68</v>
      </c>
      <c r="K1710" s="7">
        <v>91</v>
      </c>
      <c r="L1710" s="4" t="s">
        <v>1896</v>
      </c>
      <c r="M1710" s="4" t="s">
        <v>38</v>
      </c>
      <c r="N1710" s="4"/>
    </row>
    <row r="1711" spans="1:14" ht="10.5" hidden="1" x14ac:dyDescent="0.25">
      <c r="A1711" s="8" t="s">
        <v>20</v>
      </c>
      <c r="B1711" s="4" t="s">
        <v>21</v>
      </c>
      <c r="C1711" s="5">
        <v>44176</v>
      </c>
      <c r="D1711" s="4" t="s">
        <v>3215</v>
      </c>
      <c r="E1711" s="4" t="s">
        <v>3216</v>
      </c>
      <c r="F1711" s="4" t="s">
        <v>3217</v>
      </c>
      <c r="G1711" s="6">
        <v>-122.64000028776249</v>
      </c>
      <c r="H1711" s="6">
        <f t="shared" si="28"/>
        <v>64877.881601318652</v>
      </c>
      <c r="I1711" s="4"/>
      <c r="J1711" s="4" t="s">
        <v>68</v>
      </c>
      <c r="K1711" s="7">
        <v>-122.64</v>
      </c>
      <c r="L1711" s="4" t="s">
        <v>1056</v>
      </c>
      <c r="M1711" s="4" t="s">
        <v>27</v>
      </c>
      <c r="N1711" s="4"/>
    </row>
    <row r="1712" spans="1:14" ht="10.5" hidden="1" x14ac:dyDescent="0.25">
      <c r="A1712" s="8" t="s">
        <v>20</v>
      </c>
      <c r="B1712" s="4" t="s">
        <v>21</v>
      </c>
      <c r="C1712" s="5">
        <v>44177</v>
      </c>
      <c r="D1712" s="4" t="s">
        <v>3218</v>
      </c>
      <c r="E1712" s="4" t="s">
        <v>3219</v>
      </c>
      <c r="F1712" s="4" t="s">
        <v>3219</v>
      </c>
      <c r="G1712" s="6">
        <v>1003.0800023536269</v>
      </c>
      <c r="H1712" s="6">
        <f t="shared" si="28"/>
        <v>65880.961603672273</v>
      </c>
      <c r="I1712" s="4"/>
      <c r="J1712" s="4" t="s">
        <v>37</v>
      </c>
      <c r="K1712" s="7">
        <v>1003.08</v>
      </c>
      <c r="L1712" s="4" t="s">
        <v>1056</v>
      </c>
      <c r="M1712" s="4" t="s">
        <v>27</v>
      </c>
      <c r="N1712" s="4"/>
    </row>
    <row r="1713" spans="1:14" ht="10.5" x14ac:dyDescent="0.25">
      <c r="A1713" s="8" t="s">
        <v>20</v>
      </c>
      <c r="B1713" s="4" t="s">
        <v>21</v>
      </c>
      <c r="C1713" s="5">
        <v>44195</v>
      </c>
      <c r="D1713" s="4" t="s">
        <v>1914</v>
      </c>
      <c r="E1713" s="4" t="s">
        <v>1915</v>
      </c>
      <c r="F1713" s="4" t="s">
        <v>1915</v>
      </c>
      <c r="G1713" s="6">
        <v>80.15216968</v>
      </c>
      <c r="H1713" s="6">
        <f t="shared" si="28"/>
        <v>65961.113773352277</v>
      </c>
      <c r="I1713" s="4"/>
      <c r="J1713" s="4" t="s">
        <v>68</v>
      </c>
      <c r="K1713" s="7">
        <v>67</v>
      </c>
      <c r="L1713" s="4" t="s">
        <v>1056</v>
      </c>
      <c r="M1713" s="4" t="s">
        <v>38</v>
      </c>
      <c r="N1713" s="4"/>
    </row>
    <row r="1714" spans="1:14" ht="10.5" hidden="1" x14ac:dyDescent="0.25">
      <c r="A1714" s="8" t="s">
        <v>20</v>
      </c>
      <c r="B1714" s="4" t="s">
        <v>21</v>
      </c>
      <c r="C1714" s="5">
        <v>44195</v>
      </c>
      <c r="D1714" s="4" t="s">
        <v>1053</v>
      </c>
      <c r="E1714" s="4" t="s">
        <v>1054</v>
      </c>
      <c r="F1714" s="4" t="s">
        <v>1055</v>
      </c>
      <c r="G1714" s="6">
        <v>-13271.000031139074</v>
      </c>
      <c r="H1714" s="6">
        <f t="shared" si="28"/>
        <v>52690.113742213201</v>
      </c>
      <c r="I1714" s="4"/>
      <c r="J1714" s="4" t="s">
        <v>68</v>
      </c>
      <c r="K1714" s="7">
        <v>-13271</v>
      </c>
      <c r="L1714" s="4" t="s">
        <v>1056</v>
      </c>
      <c r="M1714" s="4" t="s">
        <v>27</v>
      </c>
      <c r="N1714" s="4"/>
    </row>
    <row r="1715" spans="1:14" ht="10.5" hidden="1" x14ac:dyDescent="0.25">
      <c r="A1715" s="8" t="s">
        <v>20</v>
      </c>
      <c r="B1715" s="4" t="s">
        <v>21</v>
      </c>
      <c r="C1715" s="5">
        <v>44195</v>
      </c>
      <c r="D1715" s="4" t="s">
        <v>1053</v>
      </c>
      <c r="E1715" s="4" t="s">
        <v>1054</v>
      </c>
      <c r="F1715" s="4" t="s">
        <v>1057</v>
      </c>
      <c r="G1715" s="6">
        <v>-9165.0000215047567</v>
      </c>
      <c r="H1715" s="6">
        <f t="shared" si="28"/>
        <v>43525.113720708447</v>
      </c>
      <c r="I1715" s="4"/>
      <c r="J1715" s="4" t="s">
        <v>68</v>
      </c>
      <c r="K1715" s="7">
        <v>-9165</v>
      </c>
      <c r="L1715" s="4" t="s">
        <v>1056</v>
      </c>
      <c r="M1715" s="4" t="s">
        <v>27</v>
      </c>
      <c r="N1715" s="4"/>
    </row>
    <row r="1716" spans="1:14" ht="10.5" hidden="1" x14ac:dyDescent="0.25">
      <c r="A1716" s="8" t="s">
        <v>20</v>
      </c>
      <c r="B1716" s="4" t="s">
        <v>21</v>
      </c>
      <c r="C1716" s="5">
        <v>44195</v>
      </c>
      <c r="D1716" s="4" t="s">
        <v>1053</v>
      </c>
      <c r="E1716" s="4" t="s">
        <v>1054</v>
      </c>
      <c r="F1716" s="4" t="s">
        <v>1058</v>
      </c>
      <c r="G1716" s="6">
        <v>-700.00000164248002</v>
      </c>
      <c r="H1716" s="6">
        <f t="shared" si="28"/>
        <v>42825.113719065965</v>
      </c>
      <c r="I1716" s="4"/>
      <c r="J1716" s="4" t="s">
        <v>68</v>
      </c>
      <c r="K1716" s="7">
        <v>-700</v>
      </c>
      <c r="L1716" s="4" t="s">
        <v>1056</v>
      </c>
      <c r="M1716" s="4" t="s">
        <v>27</v>
      </c>
      <c r="N1716" s="4"/>
    </row>
    <row r="1717" spans="1:14" ht="10.5" hidden="1" x14ac:dyDescent="0.25">
      <c r="A1717" s="8" t="s">
        <v>20</v>
      </c>
      <c r="B1717" s="4" t="s">
        <v>21</v>
      </c>
      <c r="C1717" s="5">
        <v>44195</v>
      </c>
      <c r="D1717" s="4" t="s">
        <v>1053</v>
      </c>
      <c r="E1717" s="4" t="s">
        <v>1054</v>
      </c>
      <c r="F1717" s="4" t="s">
        <v>1059</v>
      </c>
      <c r="G1717" s="6">
        <v>-8062.0000189166767</v>
      </c>
      <c r="H1717" s="6">
        <f t="shared" si="28"/>
        <v>34763.11370014929</v>
      </c>
      <c r="I1717" s="4"/>
      <c r="J1717" s="4" t="s">
        <v>68</v>
      </c>
      <c r="K1717" s="7">
        <v>-8062</v>
      </c>
      <c r="L1717" s="4" t="s">
        <v>1056</v>
      </c>
      <c r="M1717" s="4" t="s">
        <v>27</v>
      </c>
      <c r="N1717" s="4"/>
    </row>
    <row r="1718" spans="1:14" ht="10.5" hidden="1" x14ac:dyDescent="0.25">
      <c r="A1718" s="8" t="s">
        <v>20</v>
      </c>
      <c r="B1718" s="4" t="s">
        <v>21</v>
      </c>
      <c r="C1718" s="5">
        <v>44195</v>
      </c>
      <c r="D1718" s="4" t="s">
        <v>1053</v>
      </c>
      <c r="E1718" s="4" t="s">
        <v>1054</v>
      </c>
      <c r="F1718" s="4" t="s">
        <v>1060</v>
      </c>
      <c r="G1718" s="6">
        <v>-250.00000058660001</v>
      </c>
      <c r="H1718" s="6">
        <f t="shared" si="28"/>
        <v>34513.113699562688</v>
      </c>
      <c r="I1718" s="4"/>
      <c r="J1718" s="4" t="s">
        <v>68</v>
      </c>
      <c r="K1718" s="7">
        <v>-250</v>
      </c>
      <c r="L1718" s="4" t="s">
        <v>1056</v>
      </c>
      <c r="M1718" s="4" t="s">
        <v>27</v>
      </c>
      <c r="N1718" s="4"/>
    </row>
    <row r="1719" spans="1:14" ht="10.5" hidden="1" x14ac:dyDescent="0.25">
      <c r="A1719" s="8" t="s">
        <v>20</v>
      </c>
      <c r="B1719" s="4" t="s">
        <v>21</v>
      </c>
      <c r="C1719" s="5">
        <v>44195</v>
      </c>
      <c r="D1719" s="4" t="s">
        <v>1053</v>
      </c>
      <c r="E1719" s="4" t="s">
        <v>1054</v>
      </c>
      <c r="F1719" s="4" t="s">
        <v>1061</v>
      </c>
      <c r="G1719" s="6">
        <v>-7363.0000172765431</v>
      </c>
      <c r="H1719" s="6">
        <f t="shared" si="28"/>
        <v>27150.113682286144</v>
      </c>
      <c r="I1719" s="4"/>
      <c r="J1719" s="4" t="s">
        <v>68</v>
      </c>
      <c r="K1719" s="7">
        <v>-7363</v>
      </c>
      <c r="L1719" s="4" t="s">
        <v>1056</v>
      </c>
      <c r="M1719" s="4" t="s">
        <v>27</v>
      </c>
      <c r="N1719" s="4"/>
    </row>
    <row r="1720" spans="1:14" ht="10.5" hidden="1" x14ac:dyDescent="0.25">
      <c r="A1720" s="8" t="s">
        <v>20</v>
      </c>
      <c r="B1720" s="4" t="s">
        <v>21</v>
      </c>
      <c r="C1720" s="5">
        <v>44195</v>
      </c>
      <c r="D1720" s="4" t="s">
        <v>1053</v>
      </c>
      <c r="E1720" s="4" t="s">
        <v>1054</v>
      </c>
      <c r="F1720" s="4" t="s">
        <v>1062</v>
      </c>
      <c r="G1720" s="6">
        <v>-150.00000035196001</v>
      </c>
      <c r="H1720" s="6">
        <f t="shared" si="28"/>
        <v>27000.113681934185</v>
      </c>
      <c r="I1720" s="4"/>
      <c r="J1720" s="4" t="s">
        <v>68</v>
      </c>
      <c r="K1720" s="7">
        <v>-150</v>
      </c>
      <c r="L1720" s="4" t="s">
        <v>1056</v>
      </c>
      <c r="M1720" s="4" t="s">
        <v>27</v>
      </c>
      <c r="N1720" s="4"/>
    </row>
    <row r="1721" spans="1:14" ht="10.5" hidden="1" x14ac:dyDescent="0.25">
      <c r="A1721" s="8" t="s">
        <v>20</v>
      </c>
      <c r="B1721" s="4" t="s">
        <v>21</v>
      </c>
      <c r="C1721" s="5">
        <v>44195</v>
      </c>
      <c r="D1721" s="4" t="s">
        <v>1053</v>
      </c>
      <c r="E1721" s="4" t="s">
        <v>1054</v>
      </c>
      <c r="F1721" s="4" t="s">
        <v>1063</v>
      </c>
      <c r="G1721" s="6">
        <v>-1219.0000028602617</v>
      </c>
      <c r="H1721" s="6">
        <f t="shared" si="28"/>
        <v>25781.113679073922</v>
      </c>
      <c r="I1721" s="4"/>
      <c r="J1721" s="4" t="s">
        <v>68</v>
      </c>
      <c r="K1721" s="7">
        <v>-1219</v>
      </c>
      <c r="L1721" s="4" t="s">
        <v>1056</v>
      </c>
      <c r="M1721" s="4" t="s">
        <v>27</v>
      </c>
      <c r="N1721" s="4"/>
    </row>
    <row r="1722" spans="1:14" ht="10.5" hidden="1" x14ac:dyDescent="0.25">
      <c r="A1722" s="8" t="s">
        <v>20</v>
      </c>
      <c r="B1722" s="4" t="s">
        <v>21</v>
      </c>
      <c r="C1722" s="5">
        <v>44195</v>
      </c>
      <c r="D1722" s="4" t="s">
        <v>1053</v>
      </c>
      <c r="E1722" s="4" t="s">
        <v>1054</v>
      </c>
      <c r="F1722" s="4" t="s">
        <v>1064</v>
      </c>
      <c r="G1722" s="6">
        <v>-1100.00000258104</v>
      </c>
      <c r="H1722" s="6">
        <f t="shared" si="28"/>
        <v>24681.113676492881</v>
      </c>
      <c r="I1722" s="4"/>
      <c r="J1722" s="4" t="s">
        <v>68</v>
      </c>
      <c r="K1722" s="7">
        <v>-1100</v>
      </c>
      <c r="L1722" s="4" t="s">
        <v>1056</v>
      </c>
      <c r="M1722" s="4" t="s">
        <v>27</v>
      </c>
      <c r="N1722" s="4"/>
    </row>
    <row r="1723" spans="1:14" ht="10.5" hidden="1" x14ac:dyDescent="0.25">
      <c r="A1723" s="8" t="s">
        <v>20</v>
      </c>
      <c r="B1723" s="4" t="s">
        <v>21</v>
      </c>
      <c r="C1723" s="5">
        <v>44195</v>
      </c>
      <c r="D1723" s="4" t="s">
        <v>1053</v>
      </c>
      <c r="E1723" s="4" t="s">
        <v>1054</v>
      </c>
      <c r="F1723" s="4" t="s">
        <v>1065</v>
      </c>
      <c r="G1723" s="6">
        <v>-37715.000088494475</v>
      </c>
      <c r="H1723" s="6">
        <f t="shared" ref="H1723:H1786" si="29">H1722+G1723</f>
        <v>-13033.886412001593</v>
      </c>
      <c r="I1723" s="4"/>
      <c r="J1723" s="4" t="s">
        <v>68</v>
      </c>
      <c r="K1723" s="7">
        <v>-37715</v>
      </c>
      <c r="L1723" s="4" t="s">
        <v>1056</v>
      </c>
      <c r="M1723" s="4" t="s">
        <v>27</v>
      </c>
      <c r="N1723" s="4"/>
    </row>
    <row r="1724" spans="1:14" ht="10.5" hidden="1" x14ac:dyDescent="0.25">
      <c r="A1724" s="8" t="s">
        <v>20</v>
      </c>
      <c r="B1724" s="4" t="s">
        <v>21</v>
      </c>
      <c r="C1724" s="5">
        <v>44195</v>
      </c>
      <c r="D1724" s="4" t="s">
        <v>1922</v>
      </c>
      <c r="E1724" s="4" t="s">
        <v>1923</v>
      </c>
      <c r="F1724" s="4" t="s">
        <v>1925</v>
      </c>
      <c r="G1724" s="6">
        <v>-5000.0000117319996</v>
      </c>
      <c r="H1724" s="6">
        <f t="shared" si="29"/>
        <v>-18033.886423733595</v>
      </c>
      <c r="I1724" s="4"/>
      <c r="J1724" s="4" t="s">
        <v>68</v>
      </c>
      <c r="K1724" s="7">
        <v>-5000</v>
      </c>
      <c r="L1724" s="4" t="s">
        <v>1056</v>
      </c>
      <c r="M1724" s="4" t="s">
        <v>27</v>
      </c>
      <c r="N1724" s="4"/>
    </row>
    <row r="1725" spans="1:14" ht="10.5" hidden="1" x14ac:dyDescent="0.25">
      <c r="A1725" s="8" t="s">
        <v>20</v>
      </c>
      <c r="B1725" s="4" t="s">
        <v>21</v>
      </c>
      <c r="C1725" s="5">
        <v>44195</v>
      </c>
      <c r="D1725" s="4" t="s">
        <v>1922</v>
      </c>
      <c r="E1725" s="4" t="s">
        <v>1923</v>
      </c>
      <c r="F1725" s="4" t="s">
        <v>1926</v>
      </c>
      <c r="G1725" s="6">
        <v>-5000.0000117319996</v>
      </c>
      <c r="H1725" s="6">
        <f t="shared" si="29"/>
        <v>-23033.886435465596</v>
      </c>
      <c r="I1725" s="4"/>
      <c r="J1725" s="4" t="s">
        <v>68</v>
      </c>
      <c r="K1725" s="7">
        <v>-5000</v>
      </c>
      <c r="L1725" s="4" t="s">
        <v>1056</v>
      </c>
      <c r="M1725" s="4" t="s">
        <v>27</v>
      </c>
      <c r="N1725" s="4"/>
    </row>
    <row r="1726" spans="1:14" ht="10.5" hidden="1" x14ac:dyDescent="0.25">
      <c r="A1726" s="8" t="s">
        <v>20</v>
      </c>
      <c r="B1726" s="4" t="s">
        <v>21</v>
      </c>
      <c r="C1726" s="5">
        <v>44195</v>
      </c>
      <c r="D1726" s="4" t="s">
        <v>1922</v>
      </c>
      <c r="E1726" s="4" t="s">
        <v>1923</v>
      </c>
      <c r="F1726" s="4" t="s">
        <v>1189</v>
      </c>
      <c r="G1726" s="6">
        <v>150.00000035196001</v>
      </c>
      <c r="H1726" s="6">
        <f t="shared" si="29"/>
        <v>-22883.886435113636</v>
      </c>
      <c r="I1726" s="4"/>
      <c r="J1726" s="4" t="s">
        <v>68</v>
      </c>
      <c r="K1726" s="7">
        <v>150</v>
      </c>
      <c r="L1726" s="4" t="s">
        <v>1056</v>
      </c>
      <c r="M1726" s="4" t="s">
        <v>27</v>
      </c>
      <c r="N1726" s="4"/>
    </row>
    <row r="1727" spans="1:14" ht="10.5" hidden="1" x14ac:dyDescent="0.25">
      <c r="A1727" s="8" t="s">
        <v>20</v>
      </c>
      <c r="B1727" s="4" t="s">
        <v>21</v>
      </c>
      <c r="C1727" s="5">
        <v>44195</v>
      </c>
      <c r="D1727" s="4" t="s">
        <v>1922</v>
      </c>
      <c r="E1727" s="4" t="s">
        <v>1923</v>
      </c>
      <c r="F1727" s="4" t="s">
        <v>1186</v>
      </c>
      <c r="G1727" s="6">
        <v>1000.0000023464</v>
      </c>
      <c r="H1727" s="6">
        <f t="shared" si="29"/>
        <v>-21883.886432767235</v>
      </c>
      <c r="I1727" s="4"/>
      <c r="J1727" s="4" t="s">
        <v>68</v>
      </c>
      <c r="K1727" s="7">
        <v>1000</v>
      </c>
      <c r="L1727" s="4" t="s">
        <v>1056</v>
      </c>
      <c r="M1727" s="4" t="s">
        <v>27</v>
      </c>
      <c r="N1727" s="4"/>
    </row>
    <row r="1728" spans="1:14" ht="10.5" hidden="1" x14ac:dyDescent="0.25">
      <c r="A1728" s="8" t="s">
        <v>20</v>
      </c>
      <c r="B1728" s="4" t="s">
        <v>21</v>
      </c>
      <c r="C1728" s="5">
        <v>44195</v>
      </c>
      <c r="D1728" s="4" t="s">
        <v>1922</v>
      </c>
      <c r="E1728" s="4" t="s">
        <v>1923</v>
      </c>
      <c r="F1728" s="4" t="s">
        <v>1204</v>
      </c>
      <c r="G1728" s="6">
        <v>-41000.440096203434</v>
      </c>
      <c r="H1728" s="6">
        <f t="shared" si="29"/>
        <v>-62884.326528970669</v>
      </c>
      <c r="I1728" s="4"/>
      <c r="J1728" s="4" t="s">
        <v>68</v>
      </c>
      <c r="K1728" s="7">
        <v>-41000.44</v>
      </c>
      <c r="L1728" s="4" t="s">
        <v>1056</v>
      </c>
      <c r="M1728" s="4" t="s">
        <v>27</v>
      </c>
      <c r="N1728" s="4"/>
    </row>
    <row r="1729" spans="1:14" ht="10.5" hidden="1" x14ac:dyDescent="0.25">
      <c r="A1729" s="8" t="s">
        <v>20</v>
      </c>
      <c r="B1729" s="4" t="s">
        <v>21</v>
      </c>
      <c r="C1729" s="5">
        <v>44195</v>
      </c>
      <c r="D1729" s="4" t="s">
        <v>1922</v>
      </c>
      <c r="E1729" s="4" t="s">
        <v>1923</v>
      </c>
      <c r="F1729" s="4" t="s">
        <v>1909</v>
      </c>
      <c r="G1729" s="6">
        <v>-1938.0000045473232</v>
      </c>
      <c r="H1729" s="6">
        <f t="shared" si="29"/>
        <v>-64822.326533517989</v>
      </c>
      <c r="I1729" s="4"/>
      <c r="J1729" s="4" t="s">
        <v>68</v>
      </c>
      <c r="K1729" s="7">
        <v>-1938</v>
      </c>
      <c r="L1729" s="4" t="s">
        <v>1056</v>
      </c>
      <c r="M1729" s="4" t="s">
        <v>27</v>
      </c>
      <c r="N1729" s="4"/>
    </row>
    <row r="1730" spans="1:14" ht="10.5" hidden="1" x14ac:dyDescent="0.25">
      <c r="A1730" s="8" t="s">
        <v>20</v>
      </c>
      <c r="B1730" s="4" t="s">
        <v>21</v>
      </c>
      <c r="C1730" s="5">
        <v>44195</v>
      </c>
      <c r="D1730" s="4" t="s">
        <v>3220</v>
      </c>
      <c r="E1730" s="4" t="s">
        <v>3221</v>
      </c>
      <c r="F1730" s="4" t="s">
        <v>3221</v>
      </c>
      <c r="G1730" s="6">
        <v>-51.990000121989333</v>
      </c>
      <c r="H1730" s="6">
        <f t="shared" si="29"/>
        <v>-64874.316533639976</v>
      </c>
      <c r="I1730" s="4"/>
      <c r="J1730" s="4" t="s">
        <v>68</v>
      </c>
      <c r="K1730" s="7">
        <v>-51.99</v>
      </c>
      <c r="L1730" s="4" t="s">
        <v>1056</v>
      </c>
      <c r="M1730" s="4" t="s">
        <v>27</v>
      </c>
      <c r="N1730" s="4"/>
    </row>
    <row r="1731" spans="1:14" ht="10.5" hidden="1" x14ac:dyDescent="0.25">
      <c r="A1731" s="8" t="s">
        <v>20</v>
      </c>
      <c r="B1731" s="4" t="s">
        <v>21</v>
      </c>
      <c r="C1731" s="5">
        <v>44195</v>
      </c>
      <c r="D1731" s="4" t="s">
        <v>1066</v>
      </c>
      <c r="E1731" s="4" t="s">
        <v>1067</v>
      </c>
      <c r="F1731" s="4" t="s">
        <v>1068</v>
      </c>
      <c r="G1731" s="6">
        <v>800.00000187711998</v>
      </c>
      <c r="H1731" s="6">
        <f t="shared" si="29"/>
        <v>-64074.316531762859</v>
      </c>
      <c r="I1731" s="4"/>
      <c r="J1731" s="4" t="s">
        <v>68</v>
      </c>
      <c r="K1731" s="7">
        <v>800</v>
      </c>
      <c r="L1731" s="4" t="s">
        <v>1056</v>
      </c>
      <c r="M1731" s="4" t="s">
        <v>27</v>
      </c>
      <c r="N1731" s="4"/>
    </row>
    <row r="1732" spans="1:14" ht="10.5" hidden="1" x14ac:dyDescent="0.25">
      <c r="A1732" s="8" t="s">
        <v>20</v>
      </c>
      <c r="B1732" s="4" t="s">
        <v>21</v>
      </c>
      <c r="C1732" s="5">
        <v>44195</v>
      </c>
      <c r="D1732" s="4" t="s">
        <v>1066</v>
      </c>
      <c r="E1732" s="4" t="s">
        <v>1067</v>
      </c>
      <c r="F1732" s="4" t="s">
        <v>1069</v>
      </c>
      <c r="G1732" s="6">
        <v>3500.0000082124002</v>
      </c>
      <c r="H1732" s="6">
        <f t="shared" si="29"/>
        <v>-60574.316523550457</v>
      </c>
      <c r="I1732" s="4"/>
      <c r="J1732" s="4" t="s">
        <v>68</v>
      </c>
      <c r="K1732" s="7">
        <v>3500</v>
      </c>
      <c r="L1732" s="4" t="s">
        <v>1056</v>
      </c>
      <c r="M1732" s="4" t="s">
        <v>27</v>
      </c>
      <c r="N1732" s="4"/>
    </row>
    <row r="1733" spans="1:14" ht="10.5" hidden="1" x14ac:dyDescent="0.25">
      <c r="A1733" s="8" t="s">
        <v>20</v>
      </c>
      <c r="B1733" s="4" t="s">
        <v>21</v>
      </c>
      <c r="C1733" s="5">
        <v>44195</v>
      </c>
      <c r="D1733" s="4" t="s">
        <v>1066</v>
      </c>
      <c r="E1733" s="4" t="s">
        <v>1067</v>
      </c>
      <c r="F1733" s="4" t="s">
        <v>1070</v>
      </c>
      <c r="G1733" s="6">
        <v>100.00000023464</v>
      </c>
      <c r="H1733" s="6">
        <f t="shared" si="29"/>
        <v>-60474.316523315814</v>
      </c>
      <c r="I1733" s="4"/>
      <c r="J1733" s="4" t="s">
        <v>68</v>
      </c>
      <c r="K1733" s="7">
        <v>100</v>
      </c>
      <c r="L1733" s="4" t="s">
        <v>1056</v>
      </c>
      <c r="M1733" s="4" t="s">
        <v>27</v>
      </c>
      <c r="N1733" s="4"/>
    </row>
    <row r="1734" spans="1:14" ht="10.5" hidden="1" x14ac:dyDescent="0.25">
      <c r="A1734" s="8" t="s">
        <v>20</v>
      </c>
      <c r="B1734" s="4" t="s">
        <v>21</v>
      </c>
      <c r="C1734" s="5">
        <v>44195</v>
      </c>
      <c r="D1734" s="4" t="s">
        <v>1066</v>
      </c>
      <c r="E1734" s="4" t="s">
        <v>1067</v>
      </c>
      <c r="F1734" s="4" t="s">
        <v>1928</v>
      </c>
      <c r="G1734" s="6">
        <v>10171.000023865234</v>
      </c>
      <c r="H1734" s="6">
        <f t="shared" si="29"/>
        <v>-50303.316499450579</v>
      </c>
      <c r="I1734" s="4"/>
      <c r="J1734" s="4" t="s">
        <v>68</v>
      </c>
      <c r="K1734" s="7">
        <v>10171</v>
      </c>
      <c r="L1734" s="4" t="s">
        <v>1056</v>
      </c>
      <c r="M1734" s="4" t="s">
        <v>27</v>
      </c>
      <c r="N1734" s="4"/>
    </row>
    <row r="1735" spans="1:14" ht="10.5" hidden="1" x14ac:dyDescent="0.25">
      <c r="A1735" s="8" t="s">
        <v>20</v>
      </c>
      <c r="B1735" s="4" t="s">
        <v>21</v>
      </c>
      <c r="C1735" s="5">
        <v>44195</v>
      </c>
      <c r="D1735" s="4" t="s">
        <v>1066</v>
      </c>
      <c r="E1735" s="4" t="s">
        <v>1067</v>
      </c>
      <c r="F1735" s="4" t="s">
        <v>1929</v>
      </c>
      <c r="G1735" s="6">
        <v>75.000000175980006</v>
      </c>
      <c r="H1735" s="6">
        <f t="shared" si="29"/>
        <v>-50228.316499274595</v>
      </c>
      <c r="I1735" s="4"/>
      <c r="J1735" s="4" t="s">
        <v>68</v>
      </c>
      <c r="K1735" s="7">
        <v>75</v>
      </c>
      <c r="L1735" s="4" t="s">
        <v>1056</v>
      </c>
      <c r="M1735" s="4" t="s">
        <v>27</v>
      </c>
      <c r="N1735" s="4"/>
    </row>
    <row r="1736" spans="1:14" ht="10.5" hidden="1" x14ac:dyDescent="0.25">
      <c r="A1736" s="8" t="s">
        <v>20</v>
      </c>
      <c r="B1736" s="4" t="s">
        <v>21</v>
      </c>
      <c r="C1736" s="5">
        <v>44195</v>
      </c>
      <c r="D1736" s="4" t="s">
        <v>1066</v>
      </c>
      <c r="E1736" s="4" t="s">
        <v>1067</v>
      </c>
      <c r="F1736" s="4" t="s">
        <v>1071</v>
      </c>
      <c r="G1736" s="6">
        <v>250.00000058660001</v>
      </c>
      <c r="H1736" s="6">
        <f t="shared" si="29"/>
        <v>-49978.316498687993</v>
      </c>
      <c r="I1736" s="4"/>
      <c r="J1736" s="4" t="s">
        <v>68</v>
      </c>
      <c r="K1736" s="7">
        <v>250</v>
      </c>
      <c r="L1736" s="4" t="s">
        <v>1056</v>
      </c>
      <c r="M1736" s="4" t="s">
        <v>27</v>
      </c>
      <c r="N1736" s="4"/>
    </row>
    <row r="1737" spans="1:14" ht="10.5" hidden="1" x14ac:dyDescent="0.25">
      <c r="A1737" s="8" t="s">
        <v>20</v>
      </c>
      <c r="B1737" s="4" t="s">
        <v>21</v>
      </c>
      <c r="C1737" s="5">
        <v>44195</v>
      </c>
      <c r="D1737" s="4" t="s">
        <v>1066</v>
      </c>
      <c r="E1737" s="4" t="s">
        <v>1067</v>
      </c>
      <c r="F1737" s="4" t="s">
        <v>1072</v>
      </c>
      <c r="G1737" s="6">
        <v>456.00000106995839</v>
      </c>
      <c r="H1737" s="6">
        <f t="shared" si="29"/>
        <v>-49522.316497618034</v>
      </c>
      <c r="I1737" s="4"/>
      <c r="J1737" s="4" t="s">
        <v>68</v>
      </c>
      <c r="K1737" s="7">
        <v>456</v>
      </c>
      <c r="L1737" s="4" t="s">
        <v>1056</v>
      </c>
      <c r="M1737" s="4" t="s">
        <v>27</v>
      </c>
      <c r="N1737" s="4"/>
    </row>
    <row r="1738" spans="1:14" ht="10.5" hidden="1" x14ac:dyDescent="0.25">
      <c r="A1738" s="8" t="s">
        <v>20</v>
      </c>
      <c r="B1738" s="4" t="s">
        <v>21</v>
      </c>
      <c r="C1738" s="5">
        <v>44195</v>
      </c>
      <c r="D1738" s="4" t="s">
        <v>1066</v>
      </c>
      <c r="E1738" s="4" t="s">
        <v>1067</v>
      </c>
      <c r="F1738" s="4" t="s">
        <v>1073</v>
      </c>
      <c r="G1738" s="6">
        <v>500.00000117320002</v>
      </c>
      <c r="H1738" s="6">
        <f t="shared" si="29"/>
        <v>-49022.316496444837</v>
      </c>
      <c r="I1738" s="4"/>
      <c r="J1738" s="4" t="s">
        <v>68</v>
      </c>
      <c r="K1738" s="7">
        <v>500</v>
      </c>
      <c r="L1738" s="4" t="s">
        <v>1056</v>
      </c>
      <c r="M1738" s="4" t="s">
        <v>27</v>
      </c>
      <c r="N1738" s="4"/>
    </row>
    <row r="1739" spans="1:14" ht="10.5" hidden="1" x14ac:dyDescent="0.25">
      <c r="A1739" s="8" t="s">
        <v>20</v>
      </c>
      <c r="B1739" s="4" t="s">
        <v>21</v>
      </c>
      <c r="C1739" s="5">
        <v>44195</v>
      </c>
      <c r="D1739" s="4" t="s">
        <v>1066</v>
      </c>
      <c r="E1739" s="4" t="s">
        <v>1067</v>
      </c>
      <c r="F1739" s="4" t="s">
        <v>1074</v>
      </c>
      <c r="G1739" s="6">
        <v>400.00000093855999</v>
      </c>
      <c r="H1739" s="6">
        <f t="shared" si="29"/>
        <v>-48622.316495506275</v>
      </c>
      <c r="I1739" s="4"/>
      <c r="J1739" s="4" t="s">
        <v>68</v>
      </c>
      <c r="K1739" s="7">
        <v>400</v>
      </c>
      <c r="L1739" s="4" t="s">
        <v>1056</v>
      </c>
      <c r="M1739" s="4" t="s">
        <v>27</v>
      </c>
      <c r="N1739" s="4"/>
    </row>
    <row r="1740" spans="1:14" ht="10.5" hidden="1" x14ac:dyDescent="0.25">
      <c r="A1740" s="8" t="s">
        <v>20</v>
      </c>
      <c r="B1740" s="4" t="s">
        <v>21</v>
      </c>
      <c r="C1740" s="5">
        <v>44195</v>
      </c>
      <c r="D1740" s="4" t="s">
        <v>1066</v>
      </c>
      <c r="E1740" s="4" t="s">
        <v>1067</v>
      </c>
      <c r="F1740" s="4" t="s">
        <v>1075</v>
      </c>
      <c r="G1740" s="6">
        <v>4511.0000105846102</v>
      </c>
      <c r="H1740" s="6">
        <f t="shared" si="29"/>
        <v>-44111.316484921663</v>
      </c>
      <c r="I1740" s="4"/>
      <c r="J1740" s="4" t="s">
        <v>68</v>
      </c>
      <c r="K1740" s="7">
        <v>4511</v>
      </c>
      <c r="L1740" s="4" t="s">
        <v>1056</v>
      </c>
      <c r="M1740" s="4" t="s">
        <v>27</v>
      </c>
      <c r="N1740" s="4"/>
    </row>
    <row r="1741" spans="1:14" ht="10.5" hidden="1" x14ac:dyDescent="0.25">
      <c r="A1741" s="8" t="s">
        <v>20</v>
      </c>
      <c r="B1741" s="4" t="s">
        <v>21</v>
      </c>
      <c r="C1741" s="5">
        <v>44195</v>
      </c>
      <c r="D1741" s="4" t="s">
        <v>1066</v>
      </c>
      <c r="E1741" s="4" t="s">
        <v>1067</v>
      </c>
      <c r="F1741" s="4" t="s">
        <v>1930</v>
      </c>
      <c r="G1741" s="6">
        <v>1783.0000041836313</v>
      </c>
      <c r="H1741" s="6">
        <f t="shared" si="29"/>
        <v>-42328.316480738031</v>
      </c>
      <c r="I1741" s="4"/>
      <c r="J1741" s="4" t="s">
        <v>68</v>
      </c>
      <c r="K1741" s="7">
        <v>1783</v>
      </c>
      <c r="L1741" s="4" t="s">
        <v>1056</v>
      </c>
      <c r="M1741" s="4" t="s">
        <v>27</v>
      </c>
      <c r="N1741" s="4"/>
    </row>
    <row r="1742" spans="1:14" ht="10.5" x14ac:dyDescent="0.25">
      <c r="A1742" s="8" t="s">
        <v>20</v>
      </c>
      <c r="B1742" s="4" t="s">
        <v>21</v>
      </c>
      <c r="C1742" s="5">
        <v>44196</v>
      </c>
      <c r="D1742" s="4" t="s">
        <v>1936</v>
      </c>
      <c r="E1742" s="4" t="s">
        <v>1937</v>
      </c>
      <c r="F1742" s="4" t="s">
        <v>1937</v>
      </c>
      <c r="G1742" s="6">
        <v>-1089.83024744</v>
      </c>
      <c r="H1742" s="6">
        <f t="shared" si="29"/>
        <v>-43418.146728178028</v>
      </c>
      <c r="I1742" s="4"/>
      <c r="J1742" s="4" t="s">
        <v>68</v>
      </c>
      <c r="K1742" s="7">
        <v>-911</v>
      </c>
      <c r="L1742" s="4" t="s">
        <v>1056</v>
      </c>
      <c r="M1742" s="4" t="s">
        <v>38</v>
      </c>
      <c r="N1742" s="4"/>
    </row>
    <row r="1743" spans="1:14" ht="10.5" x14ac:dyDescent="0.25">
      <c r="A1743" s="8" t="s">
        <v>20</v>
      </c>
      <c r="B1743" s="4" t="s">
        <v>21</v>
      </c>
      <c r="C1743" s="5">
        <v>44196</v>
      </c>
      <c r="D1743" s="4" t="s">
        <v>1940</v>
      </c>
      <c r="E1743" s="4" t="s">
        <v>1941</v>
      </c>
      <c r="F1743" s="4" t="s">
        <v>1941</v>
      </c>
      <c r="G1743" s="6">
        <v>1256.3194631767999</v>
      </c>
      <c r="H1743" s="6">
        <f t="shared" si="29"/>
        <v>-42161.82726500123</v>
      </c>
      <c r="I1743" s="4"/>
      <c r="J1743" s="4" t="s">
        <v>68</v>
      </c>
      <c r="K1743" s="7">
        <v>1050.17</v>
      </c>
      <c r="L1743" s="4" t="s">
        <v>1056</v>
      </c>
      <c r="M1743" s="4" t="s">
        <v>38</v>
      </c>
      <c r="N1743" s="4"/>
    </row>
    <row r="1744" spans="1:14" ht="10.5" hidden="1" x14ac:dyDescent="0.25">
      <c r="A1744" s="8" t="s">
        <v>20</v>
      </c>
      <c r="B1744" s="4" t="s">
        <v>21</v>
      </c>
      <c r="C1744" s="5">
        <v>44196</v>
      </c>
      <c r="D1744" s="4" t="s">
        <v>1946</v>
      </c>
      <c r="E1744" s="4" t="s">
        <v>1947</v>
      </c>
      <c r="F1744" s="4" t="s">
        <v>1947</v>
      </c>
      <c r="G1744" s="6">
        <v>85718.156843829856</v>
      </c>
      <c r="H1744" s="6">
        <f t="shared" si="29"/>
        <v>43556.329578828627</v>
      </c>
      <c r="I1744" s="4"/>
      <c r="J1744" s="4" t="s">
        <v>37</v>
      </c>
      <c r="K1744" s="7">
        <v>64362.92</v>
      </c>
      <c r="L1744" s="4" t="s">
        <v>1056</v>
      </c>
      <c r="M1744" s="4" t="s">
        <v>186</v>
      </c>
      <c r="N1744" s="4"/>
    </row>
    <row r="1745" spans="1:16" ht="10.5" hidden="1" x14ac:dyDescent="0.25">
      <c r="A1745" s="8" t="s">
        <v>20</v>
      </c>
      <c r="B1745" s="4" t="s">
        <v>21</v>
      </c>
      <c r="C1745" s="5">
        <v>44196</v>
      </c>
      <c r="D1745" s="4" t="s">
        <v>1953</v>
      </c>
      <c r="E1745" s="4" t="s">
        <v>1954</v>
      </c>
      <c r="F1745" s="4" t="s">
        <v>1955</v>
      </c>
      <c r="G1745" s="6">
        <v>11470.4812988216</v>
      </c>
      <c r="H1745" s="6">
        <f t="shared" si="29"/>
        <v>55026.810877650227</v>
      </c>
      <c r="I1745" s="4"/>
      <c r="J1745" s="4" t="s">
        <v>25</v>
      </c>
      <c r="K1745" s="7">
        <v>15549</v>
      </c>
      <c r="L1745" s="4" t="s">
        <v>1056</v>
      </c>
      <c r="M1745" s="4" t="s">
        <v>201</v>
      </c>
      <c r="N1745" s="4" t="s">
        <v>198</v>
      </c>
    </row>
    <row r="1746" spans="1:16" ht="10.5" hidden="1" x14ac:dyDescent="0.25">
      <c r="A1746" s="8" t="s">
        <v>20</v>
      </c>
      <c r="B1746" s="4" t="s">
        <v>21</v>
      </c>
      <c r="C1746" s="5">
        <v>44196</v>
      </c>
      <c r="D1746" s="4" t="s">
        <v>3222</v>
      </c>
      <c r="E1746" s="4" t="s">
        <v>3223</v>
      </c>
      <c r="F1746" s="4" t="s">
        <v>3224</v>
      </c>
      <c r="G1746" s="6">
        <v>-11023.219777034266</v>
      </c>
      <c r="H1746" s="6">
        <f t="shared" si="29"/>
        <v>44003.591100615959</v>
      </c>
      <c r="I1746" s="4"/>
      <c r="J1746" s="4" t="s">
        <v>37</v>
      </c>
      <c r="K1746" s="7">
        <v>-8276.9699999999993</v>
      </c>
      <c r="L1746" s="4" t="s">
        <v>1056</v>
      </c>
      <c r="M1746" s="4" t="s">
        <v>186</v>
      </c>
      <c r="N1746" s="4" t="s">
        <v>39</v>
      </c>
    </row>
    <row r="1747" spans="1:16" ht="10.5" hidden="1" x14ac:dyDescent="0.25">
      <c r="A1747" s="8" t="s">
        <v>20</v>
      </c>
      <c r="B1747" s="4" t="s">
        <v>21</v>
      </c>
      <c r="C1747" s="5">
        <v>44196</v>
      </c>
      <c r="D1747" s="4" t="s">
        <v>3222</v>
      </c>
      <c r="E1747" s="4" t="s">
        <v>3223</v>
      </c>
      <c r="F1747" s="4" t="s">
        <v>3225</v>
      </c>
      <c r="G1747" s="6">
        <v>-85718.156843829856</v>
      </c>
      <c r="H1747" s="6">
        <f t="shared" si="29"/>
        <v>-41714.565743213898</v>
      </c>
      <c r="I1747" s="4"/>
      <c r="J1747" s="4" t="s">
        <v>37</v>
      </c>
      <c r="K1747" s="7">
        <v>-64362.92</v>
      </c>
      <c r="L1747" s="4" t="s">
        <v>1056</v>
      </c>
      <c r="M1747" s="4" t="s">
        <v>186</v>
      </c>
      <c r="N1747" s="4" t="s">
        <v>39</v>
      </c>
    </row>
    <row r="1748" spans="1:16" ht="10.5" x14ac:dyDescent="0.25">
      <c r="A1748" s="8" t="s">
        <v>20</v>
      </c>
      <c r="B1748" s="4" t="s">
        <v>21</v>
      </c>
      <c r="C1748" s="5">
        <v>44227</v>
      </c>
      <c r="D1748" s="4" t="s">
        <v>1964</v>
      </c>
      <c r="E1748" s="4" t="s">
        <v>1965</v>
      </c>
      <c r="F1748" s="4" t="s">
        <v>1965</v>
      </c>
      <c r="G1748" s="6">
        <v>146.45398320000001</v>
      </c>
      <c r="H1748" s="6">
        <f t="shared" si="29"/>
        <v>-41568.111760013897</v>
      </c>
      <c r="I1748" s="4"/>
      <c r="J1748" s="4" t="s">
        <v>748</v>
      </c>
      <c r="K1748" s="7">
        <v>120</v>
      </c>
      <c r="L1748" s="4" t="s">
        <v>1958</v>
      </c>
      <c r="M1748" s="4" t="s">
        <v>38</v>
      </c>
      <c r="N1748" s="4"/>
      <c r="P1748" t="s">
        <v>3826</v>
      </c>
    </row>
    <row r="1749" spans="1:16" ht="10.5" x14ac:dyDescent="0.25">
      <c r="A1749" s="8" t="s">
        <v>20</v>
      </c>
      <c r="B1749" s="4" t="s">
        <v>21</v>
      </c>
      <c r="C1749" s="5">
        <v>44255</v>
      </c>
      <c r="D1749" s="4" t="s">
        <v>1982</v>
      </c>
      <c r="E1749" s="4" t="s">
        <v>1983</v>
      </c>
      <c r="F1749" s="4" t="s">
        <v>1983</v>
      </c>
      <c r="G1749" s="6">
        <v>76.252723470000007</v>
      </c>
      <c r="H1749" s="6">
        <f t="shared" si="29"/>
        <v>-41491.859036543894</v>
      </c>
      <c r="I1749" s="4"/>
      <c r="J1749" s="4" t="s">
        <v>748</v>
      </c>
      <c r="K1749" s="7">
        <v>63</v>
      </c>
      <c r="L1749" s="4" t="s">
        <v>1971</v>
      </c>
      <c r="M1749" s="4" t="s">
        <v>38</v>
      </c>
      <c r="N1749" s="4"/>
      <c r="P1749" t="s">
        <v>3826</v>
      </c>
    </row>
    <row r="1750" spans="1:16" ht="10.5" hidden="1" x14ac:dyDescent="0.25">
      <c r="A1750" s="8" t="s">
        <v>20</v>
      </c>
      <c r="B1750" s="4" t="s">
        <v>21</v>
      </c>
      <c r="C1750" s="5">
        <v>44256</v>
      </c>
      <c r="D1750" s="4" t="s">
        <v>3226</v>
      </c>
      <c r="E1750" s="4" t="s">
        <v>3227</v>
      </c>
      <c r="F1750" s="4" t="s">
        <v>3227</v>
      </c>
      <c r="G1750" s="6">
        <v>1783.0000043790481</v>
      </c>
      <c r="H1750" s="6">
        <f t="shared" si="29"/>
        <v>-39708.859032164844</v>
      </c>
      <c r="I1750" s="4"/>
      <c r="J1750" s="4" t="s">
        <v>68</v>
      </c>
      <c r="K1750" s="7">
        <v>1783</v>
      </c>
      <c r="L1750" s="4" t="s">
        <v>1029</v>
      </c>
      <c r="M1750" s="4" t="s">
        <v>27</v>
      </c>
      <c r="N1750" s="4"/>
    </row>
    <row r="1751" spans="1:16" ht="10.5" x14ac:dyDescent="0.25">
      <c r="A1751" s="8" t="s">
        <v>20</v>
      </c>
      <c r="B1751" s="4" t="s">
        <v>21</v>
      </c>
      <c r="C1751" s="5">
        <v>44286</v>
      </c>
      <c r="D1751" s="4" t="s">
        <v>1994</v>
      </c>
      <c r="E1751" s="4" t="s">
        <v>1995</v>
      </c>
      <c r="F1751" s="4" t="s">
        <v>1995</v>
      </c>
      <c r="G1751" s="6">
        <v>76.053889799999993</v>
      </c>
      <c r="H1751" s="6">
        <f t="shared" si="29"/>
        <v>-39632.805142364843</v>
      </c>
      <c r="I1751" s="4"/>
      <c r="J1751" s="4" t="s">
        <v>748</v>
      </c>
      <c r="K1751" s="7">
        <v>63</v>
      </c>
      <c r="L1751" s="4" t="s">
        <v>1029</v>
      </c>
      <c r="M1751" s="4" t="s">
        <v>38</v>
      </c>
      <c r="N1751" s="4"/>
      <c r="P1751" t="s">
        <v>3826</v>
      </c>
    </row>
    <row r="1752" spans="1:16" ht="10.5" x14ac:dyDescent="0.25">
      <c r="A1752" s="8" t="s">
        <v>20</v>
      </c>
      <c r="B1752" s="4" t="s">
        <v>21</v>
      </c>
      <c r="C1752" s="5">
        <v>44286</v>
      </c>
      <c r="D1752" s="4" t="s">
        <v>2000</v>
      </c>
      <c r="E1752" s="4" t="s">
        <v>2001</v>
      </c>
      <c r="F1752" s="4" t="s">
        <v>2001</v>
      </c>
      <c r="G1752" s="6">
        <v>229.28504905013585</v>
      </c>
      <c r="H1752" s="6">
        <f t="shared" si="29"/>
        <v>-39403.520093314706</v>
      </c>
      <c r="I1752" s="4"/>
      <c r="J1752" s="4" t="s">
        <v>748</v>
      </c>
      <c r="K1752" s="7">
        <v>195</v>
      </c>
      <c r="L1752" s="4" t="s">
        <v>1999</v>
      </c>
      <c r="M1752" s="4" t="s">
        <v>38</v>
      </c>
      <c r="N1752" s="4"/>
      <c r="P1752" t="s">
        <v>3826</v>
      </c>
    </row>
    <row r="1753" spans="1:16" ht="10.5" x14ac:dyDescent="0.25">
      <c r="A1753" s="8" t="s">
        <v>20</v>
      </c>
      <c r="B1753" s="4" t="s">
        <v>21</v>
      </c>
      <c r="C1753" s="5">
        <v>44286</v>
      </c>
      <c r="D1753" s="4" t="s">
        <v>3228</v>
      </c>
      <c r="E1753" s="4" t="s">
        <v>3229</v>
      </c>
      <c r="F1753" s="4" t="s">
        <v>3229</v>
      </c>
      <c r="G1753" s="6">
        <v>4766.7773787141059</v>
      </c>
      <c r="H1753" s="6">
        <f t="shared" si="29"/>
        <v>-34636.742714600601</v>
      </c>
      <c r="I1753" s="4"/>
      <c r="J1753" s="4" t="s">
        <v>748</v>
      </c>
      <c r="K1753" s="7">
        <v>4054</v>
      </c>
      <c r="L1753" s="4" t="s">
        <v>1999</v>
      </c>
      <c r="M1753" s="4" t="s">
        <v>38</v>
      </c>
      <c r="N1753" s="4"/>
      <c r="P1753" t="s">
        <v>3826</v>
      </c>
    </row>
    <row r="1754" spans="1:16" ht="10.5" hidden="1" x14ac:dyDescent="0.25">
      <c r="A1754" s="8" t="s">
        <v>20</v>
      </c>
      <c r="B1754" s="4" t="s">
        <v>21</v>
      </c>
      <c r="C1754" s="5">
        <v>44286</v>
      </c>
      <c r="D1754" s="4" t="s">
        <v>1027</v>
      </c>
      <c r="E1754" s="4" t="s">
        <v>1028</v>
      </c>
      <c r="F1754" s="93" t="s">
        <v>1028</v>
      </c>
      <c r="G1754" s="6">
        <v>21111.199230467097</v>
      </c>
      <c r="H1754" s="6">
        <f t="shared" si="29"/>
        <v>-13525.543484133505</v>
      </c>
      <c r="I1754" s="4"/>
      <c r="J1754" s="4" t="s">
        <v>25</v>
      </c>
      <c r="K1754" s="115">
        <v>26899.56</v>
      </c>
      <c r="L1754" s="4" t="s">
        <v>1029</v>
      </c>
      <c r="M1754" s="4" t="s">
        <v>212</v>
      </c>
      <c r="N1754" s="4" t="s">
        <v>118</v>
      </c>
    </row>
    <row r="1755" spans="1:16" ht="10.5" hidden="1" x14ac:dyDescent="0.25">
      <c r="A1755" s="8" t="s">
        <v>20</v>
      </c>
      <c r="B1755" s="4" t="s">
        <v>21</v>
      </c>
      <c r="C1755" s="5">
        <v>44286</v>
      </c>
      <c r="D1755" s="4" t="s">
        <v>2013</v>
      </c>
      <c r="E1755" s="4" t="s">
        <v>2014</v>
      </c>
      <c r="F1755" s="4" t="s">
        <v>2014</v>
      </c>
      <c r="G1755" s="6">
        <v>861.95653067942601</v>
      </c>
      <c r="H1755" s="6">
        <f t="shared" si="29"/>
        <v>-12663.586953454078</v>
      </c>
      <c r="I1755" s="4"/>
      <c r="J1755" s="4" t="s">
        <v>25</v>
      </c>
      <c r="K1755" s="7">
        <v>619</v>
      </c>
      <c r="L1755" s="4" t="s">
        <v>1029</v>
      </c>
      <c r="M1755" s="4" t="s">
        <v>186</v>
      </c>
      <c r="N1755" s="4" t="s">
        <v>118</v>
      </c>
    </row>
    <row r="1756" spans="1:16" ht="10.5" hidden="1" x14ac:dyDescent="0.25">
      <c r="A1756" s="8" t="s">
        <v>20</v>
      </c>
      <c r="B1756" s="4" t="s">
        <v>21</v>
      </c>
      <c r="C1756" s="5">
        <v>44286</v>
      </c>
      <c r="D1756" s="4" t="s">
        <v>1112</v>
      </c>
      <c r="E1756" s="4" t="s">
        <v>1113</v>
      </c>
      <c r="F1756" s="4" t="s">
        <v>1113</v>
      </c>
      <c r="G1756" s="6">
        <v>13037.700032020592</v>
      </c>
      <c r="H1756" s="6">
        <f t="shared" si="29"/>
        <v>374.11307856651365</v>
      </c>
      <c r="I1756" s="4"/>
      <c r="J1756" s="4" t="s">
        <v>25</v>
      </c>
      <c r="K1756" s="7">
        <v>13037.7</v>
      </c>
      <c r="L1756" s="4" t="s">
        <v>1029</v>
      </c>
      <c r="M1756" s="4" t="s">
        <v>27</v>
      </c>
      <c r="N1756" s="4" t="s">
        <v>118</v>
      </c>
    </row>
    <row r="1757" spans="1:16" ht="10.5" x14ac:dyDescent="0.25">
      <c r="A1757" s="8" t="s">
        <v>20</v>
      </c>
      <c r="B1757" s="4" t="s">
        <v>21</v>
      </c>
      <c r="C1757" s="5">
        <v>44287</v>
      </c>
      <c r="D1757" s="4" t="s">
        <v>2017</v>
      </c>
      <c r="E1757" s="4" t="s">
        <v>1995</v>
      </c>
      <c r="F1757" s="4" t="s">
        <v>1995</v>
      </c>
      <c r="G1757" s="6">
        <v>-74.076708154659272</v>
      </c>
      <c r="H1757" s="6">
        <f t="shared" si="29"/>
        <v>300.03637041185436</v>
      </c>
      <c r="I1757" s="4"/>
      <c r="J1757" s="4" t="s">
        <v>748</v>
      </c>
      <c r="K1757" s="7">
        <v>-63</v>
      </c>
      <c r="L1757" s="4" t="s">
        <v>1999</v>
      </c>
      <c r="M1757" s="4" t="s">
        <v>38</v>
      </c>
      <c r="N1757" s="4"/>
      <c r="P1757" t="s">
        <v>3826</v>
      </c>
    </row>
    <row r="1758" spans="1:16" ht="10.5" x14ac:dyDescent="0.25">
      <c r="A1758" s="8" t="s">
        <v>20</v>
      </c>
      <c r="B1758" s="4" t="s">
        <v>21</v>
      </c>
      <c r="C1758" s="5">
        <v>44316</v>
      </c>
      <c r="D1758" s="4" t="s">
        <v>2030</v>
      </c>
      <c r="E1758" s="4" t="s">
        <v>2031</v>
      </c>
      <c r="F1758" s="4" t="s">
        <v>2034</v>
      </c>
      <c r="G1758" s="6">
        <v>117.41060393397935</v>
      </c>
      <c r="H1758" s="6">
        <f t="shared" si="29"/>
        <v>417.44697434583372</v>
      </c>
      <c r="I1758" s="4"/>
      <c r="J1758" s="4" t="s">
        <v>748</v>
      </c>
      <c r="K1758" s="7">
        <v>97</v>
      </c>
      <c r="L1758" s="4" t="s">
        <v>2033</v>
      </c>
      <c r="M1758" s="4" t="s">
        <v>38</v>
      </c>
      <c r="N1758" s="4"/>
      <c r="P1758" t="s">
        <v>3826</v>
      </c>
    </row>
    <row r="1759" spans="1:16" ht="10.5" x14ac:dyDescent="0.25">
      <c r="A1759" s="8" t="s">
        <v>20</v>
      </c>
      <c r="B1759" s="4" t="s">
        <v>21</v>
      </c>
      <c r="C1759" s="5">
        <v>44316</v>
      </c>
      <c r="D1759" s="4" t="s">
        <v>2030</v>
      </c>
      <c r="E1759" s="4" t="s">
        <v>2031</v>
      </c>
      <c r="F1759" s="4" t="s">
        <v>3230</v>
      </c>
      <c r="G1759" s="6">
        <v>-4907.0369932819822</v>
      </c>
      <c r="H1759" s="6">
        <f t="shared" si="29"/>
        <v>-4489.5900189361482</v>
      </c>
      <c r="I1759" s="4"/>
      <c r="J1759" s="4" t="s">
        <v>748</v>
      </c>
      <c r="K1759" s="7">
        <v>-4054</v>
      </c>
      <c r="L1759" s="4" t="s">
        <v>2033</v>
      </c>
      <c r="M1759" s="4" t="s">
        <v>38</v>
      </c>
      <c r="N1759" s="4"/>
      <c r="P1759" t="s">
        <v>3826</v>
      </c>
    </row>
    <row r="1760" spans="1:16" ht="10.5" x14ac:dyDescent="0.25">
      <c r="A1760" s="8" t="s">
        <v>20</v>
      </c>
      <c r="B1760" s="4" t="s">
        <v>21</v>
      </c>
      <c r="C1760" s="5">
        <v>44347</v>
      </c>
      <c r="D1760" s="4" t="s">
        <v>2046</v>
      </c>
      <c r="E1760" s="4" t="s">
        <v>2047</v>
      </c>
      <c r="F1760" s="4" t="s">
        <v>2049</v>
      </c>
      <c r="G1760" s="6">
        <v>171.8794408105677</v>
      </c>
      <c r="H1760" s="6">
        <f t="shared" si="29"/>
        <v>-4317.7105781255805</v>
      </c>
      <c r="I1760" s="4"/>
      <c r="J1760" s="4" t="s">
        <v>748</v>
      </c>
      <c r="K1760" s="7">
        <v>142</v>
      </c>
      <c r="L1760" s="4" t="s">
        <v>2033</v>
      </c>
      <c r="M1760" s="4" t="s">
        <v>38</v>
      </c>
      <c r="N1760" s="4"/>
      <c r="P1760" t="s">
        <v>3826</v>
      </c>
    </row>
    <row r="1761" spans="1:16" ht="10.5" x14ac:dyDescent="0.25">
      <c r="A1761" s="8" t="s">
        <v>20</v>
      </c>
      <c r="B1761" s="4" t="s">
        <v>21</v>
      </c>
      <c r="C1761" s="5">
        <v>44377</v>
      </c>
      <c r="D1761" s="4" t="s">
        <v>2066</v>
      </c>
      <c r="E1761" s="4" t="s">
        <v>2067</v>
      </c>
      <c r="F1761" s="4" t="s">
        <v>2069</v>
      </c>
      <c r="G1761" s="6">
        <v>135.05604161231179</v>
      </c>
      <c r="H1761" s="6">
        <f t="shared" si="29"/>
        <v>-4182.6545365132688</v>
      </c>
      <c r="I1761" s="4"/>
      <c r="J1761" s="4" t="s">
        <v>748</v>
      </c>
      <c r="K1761" s="7">
        <v>112</v>
      </c>
      <c r="L1761" s="4" t="s">
        <v>1031</v>
      </c>
      <c r="M1761" s="4" t="s">
        <v>38</v>
      </c>
      <c r="N1761" s="4" t="s">
        <v>39</v>
      </c>
      <c r="P1761" t="s">
        <v>3826</v>
      </c>
    </row>
    <row r="1762" spans="1:16" ht="10.5" x14ac:dyDescent="0.25">
      <c r="A1762" s="8" t="s">
        <v>20</v>
      </c>
      <c r="B1762" s="4" t="s">
        <v>21</v>
      </c>
      <c r="C1762" s="5">
        <v>44377</v>
      </c>
      <c r="D1762" s="4" t="s">
        <v>2070</v>
      </c>
      <c r="E1762" s="4" t="s">
        <v>2071</v>
      </c>
      <c r="F1762" s="4" t="s">
        <v>2069</v>
      </c>
      <c r="G1762" s="6">
        <v>-135.05604161231179</v>
      </c>
      <c r="H1762" s="6">
        <f t="shared" si="29"/>
        <v>-4317.7105781255805</v>
      </c>
      <c r="I1762" s="4"/>
      <c r="J1762" s="4" t="s">
        <v>748</v>
      </c>
      <c r="K1762" s="7">
        <v>-112</v>
      </c>
      <c r="L1762" s="4" t="s">
        <v>1031</v>
      </c>
      <c r="M1762" s="4" t="s">
        <v>38</v>
      </c>
      <c r="N1762" s="4" t="s">
        <v>39</v>
      </c>
      <c r="P1762" t="s">
        <v>3826</v>
      </c>
    </row>
    <row r="1763" spans="1:16" ht="10.5" x14ac:dyDescent="0.25">
      <c r="A1763" s="8" t="s">
        <v>20</v>
      </c>
      <c r="B1763" s="4" t="s">
        <v>21</v>
      </c>
      <c r="C1763" s="5">
        <v>44377</v>
      </c>
      <c r="D1763" s="4" t="s">
        <v>2072</v>
      </c>
      <c r="E1763" s="4" t="s">
        <v>2073</v>
      </c>
      <c r="F1763" s="4" t="s">
        <v>2069</v>
      </c>
      <c r="G1763" s="6">
        <v>195.34891733209383</v>
      </c>
      <c r="H1763" s="6">
        <f t="shared" si="29"/>
        <v>-4122.3616607934864</v>
      </c>
      <c r="I1763" s="4"/>
      <c r="J1763" s="4" t="s">
        <v>748</v>
      </c>
      <c r="K1763" s="7">
        <v>162</v>
      </c>
      <c r="L1763" s="4" t="s">
        <v>1031</v>
      </c>
      <c r="M1763" s="4" t="s">
        <v>38</v>
      </c>
      <c r="N1763" s="4" t="s">
        <v>39</v>
      </c>
      <c r="P1763" t="s">
        <v>3826</v>
      </c>
    </row>
    <row r="1764" spans="1:16" ht="10.5" hidden="1" x14ac:dyDescent="0.25">
      <c r="A1764" s="8" t="s">
        <v>20</v>
      </c>
      <c r="B1764" s="4" t="s">
        <v>21</v>
      </c>
      <c r="C1764" s="5">
        <v>44377</v>
      </c>
      <c r="D1764" s="4" t="s">
        <v>1030</v>
      </c>
      <c r="E1764" s="4" t="s">
        <v>1028</v>
      </c>
      <c r="F1764" s="93" t="s">
        <v>1028</v>
      </c>
      <c r="G1764" s="6">
        <v>11655.197495745013</v>
      </c>
      <c r="H1764" s="6">
        <f t="shared" si="29"/>
        <v>7532.8358349515265</v>
      </c>
      <c r="I1764" s="4"/>
      <c r="J1764" s="4" t="s">
        <v>25</v>
      </c>
      <c r="K1764" s="115">
        <v>14236.22</v>
      </c>
      <c r="L1764" s="4" t="s">
        <v>1031</v>
      </c>
      <c r="M1764" s="4" t="s">
        <v>212</v>
      </c>
      <c r="N1764" s="4" t="s">
        <v>118</v>
      </c>
    </row>
    <row r="1765" spans="1:16" ht="10.5" hidden="1" x14ac:dyDescent="0.25">
      <c r="A1765" s="8" t="s">
        <v>20</v>
      </c>
      <c r="B1765" s="4" t="s">
        <v>21</v>
      </c>
      <c r="C1765" s="5">
        <v>44377</v>
      </c>
      <c r="D1765" s="4" t="s">
        <v>2083</v>
      </c>
      <c r="E1765" s="4" t="s">
        <v>2014</v>
      </c>
      <c r="F1765" s="4" t="s">
        <v>2014</v>
      </c>
      <c r="G1765" s="6">
        <v>842.74765484375837</v>
      </c>
      <c r="H1765" s="6">
        <f t="shared" si="29"/>
        <v>8375.5834897952845</v>
      </c>
      <c r="I1765" s="4"/>
      <c r="J1765" s="4" t="s">
        <v>25</v>
      </c>
      <c r="K1765" s="7">
        <v>614.52</v>
      </c>
      <c r="L1765" s="4" t="s">
        <v>1031</v>
      </c>
      <c r="M1765" s="4" t="s">
        <v>186</v>
      </c>
      <c r="N1765" s="4" t="s">
        <v>118</v>
      </c>
    </row>
    <row r="1766" spans="1:16" ht="10.5" hidden="1" x14ac:dyDescent="0.25">
      <c r="A1766" s="8" t="s">
        <v>20</v>
      </c>
      <c r="B1766" s="4" t="s">
        <v>21</v>
      </c>
      <c r="C1766" s="5">
        <v>44377</v>
      </c>
      <c r="D1766" s="4" t="s">
        <v>1122</v>
      </c>
      <c r="E1766" s="4" t="s">
        <v>1113</v>
      </c>
      <c r="F1766" s="4" t="s">
        <v>1113</v>
      </c>
      <c r="G1766" s="6">
        <v>-2371.3422001755353</v>
      </c>
      <c r="H1766" s="6">
        <f t="shared" si="29"/>
        <v>6004.2412896197493</v>
      </c>
      <c r="I1766" s="4"/>
      <c r="J1766" s="4" t="s">
        <v>25</v>
      </c>
      <c r="K1766" s="7">
        <v>-2359.5</v>
      </c>
      <c r="L1766" s="4" t="s">
        <v>1031</v>
      </c>
      <c r="M1766" s="4" t="s">
        <v>27</v>
      </c>
      <c r="N1766" s="4" t="s">
        <v>118</v>
      </c>
    </row>
    <row r="1767" spans="1:16" ht="10.5" x14ac:dyDescent="0.25">
      <c r="A1767" s="8" t="s">
        <v>20</v>
      </c>
      <c r="B1767" s="4" t="s">
        <v>21</v>
      </c>
      <c r="C1767" s="5">
        <v>44408</v>
      </c>
      <c r="D1767" s="4" t="s">
        <v>2091</v>
      </c>
      <c r="E1767" s="4" t="s">
        <v>2092</v>
      </c>
      <c r="F1767" s="4" t="s">
        <v>2092</v>
      </c>
      <c r="G1767" s="6">
        <v>177.82754288530305</v>
      </c>
      <c r="H1767" s="6">
        <f t="shared" si="29"/>
        <v>6182.0688325050523</v>
      </c>
      <c r="I1767" s="4"/>
      <c r="J1767" s="4" t="s">
        <v>748</v>
      </c>
      <c r="K1767" s="7">
        <v>150</v>
      </c>
      <c r="L1767" s="4" t="s">
        <v>2086</v>
      </c>
      <c r="M1767" s="4" t="s">
        <v>38</v>
      </c>
      <c r="N1767" s="4" t="s">
        <v>39</v>
      </c>
      <c r="P1767" t="s">
        <v>3826</v>
      </c>
    </row>
    <row r="1768" spans="1:16" ht="10.5" x14ac:dyDescent="0.25">
      <c r="A1768" s="8" t="s">
        <v>20</v>
      </c>
      <c r="B1768" s="4" t="s">
        <v>21</v>
      </c>
      <c r="C1768" s="5">
        <v>44439</v>
      </c>
      <c r="D1768" s="4" t="s">
        <v>2103</v>
      </c>
      <c r="E1768" s="4" t="s">
        <v>2104</v>
      </c>
      <c r="F1768" s="4" t="s">
        <v>2104</v>
      </c>
      <c r="G1768" s="6">
        <v>110.18043465737547</v>
      </c>
      <c r="H1768" s="6">
        <f t="shared" si="29"/>
        <v>6292.2492671624277</v>
      </c>
      <c r="I1768" s="4"/>
      <c r="J1768" s="4" t="s">
        <v>748</v>
      </c>
      <c r="K1768" s="7">
        <v>93</v>
      </c>
      <c r="L1768" s="4" t="s">
        <v>2097</v>
      </c>
      <c r="M1768" s="4" t="s">
        <v>38</v>
      </c>
      <c r="N1768" s="4" t="s">
        <v>39</v>
      </c>
      <c r="P1768" t="s">
        <v>3826</v>
      </c>
    </row>
    <row r="1769" spans="1:16" ht="10.5" hidden="1" x14ac:dyDescent="0.25">
      <c r="A1769" s="8" t="s">
        <v>20</v>
      </c>
      <c r="B1769" s="4" t="s">
        <v>21</v>
      </c>
      <c r="C1769" s="5">
        <v>44469</v>
      </c>
      <c r="D1769" s="4" t="s">
        <v>2112</v>
      </c>
      <c r="E1769" s="4" t="s">
        <v>2113</v>
      </c>
      <c r="F1769" s="4" t="s">
        <v>3231</v>
      </c>
      <c r="G1769" s="6">
        <v>62.852934075444026</v>
      </c>
      <c r="H1769" s="6">
        <f t="shared" si="29"/>
        <v>6355.1022012378717</v>
      </c>
      <c r="I1769" s="4"/>
      <c r="J1769" s="4" t="s">
        <v>37</v>
      </c>
      <c r="K1769" s="7">
        <v>45.56</v>
      </c>
      <c r="L1769" s="4" t="s">
        <v>1033</v>
      </c>
      <c r="M1769" s="4" t="s">
        <v>186</v>
      </c>
      <c r="N1769" s="4" t="s">
        <v>39</v>
      </c>
    </row>
    <row r="1770" spans="1:16" ht="10.5" hidden="1" x14ac:dyDescent="0.25">
      <c r="A1770" s="8" t="s">
        <v>20</v>
      </c>
      <c r="B1770" s="4" t="s">
        <v>21</v>
      </c>
      <c r="C1770" s="5">
        <v>44469</v>
      </c>
      <c r="D1770" s="4" t="s">
        <v>2112</v>
      </c>
      <c r="E1770" s="4" t="s">
        <v>2113</v>
      </c>
      <c r="F1770" s="4" t="s">
        <v>3232</v>
      </c>
      <c r="G1770" s="6">
        <v>3127.2645656040449</v>
      </c>
      <c r="H1770" s="6">
        <f t="shared" si="29"/>
        <v>9482.3667668419166</v>
      </c>
      <c r="I1770" s="4"/>
      <c r="J1770" s="4" t="s">
        <v>37</v>
      </c>
      <c r="K1770" s="7">
        <v>2266.85</v>
      </c>
      <c r="L1770" s="4" t="s">
        <v>1033</v>
      </c>
      <c r="M1770" s="4" t="s">
        <v>186</v>
      </c>
      <c r="N1770" s="4" t="s">
        <v>39</v>
      </c>
    </row>
    <row r="1771" spans="1:16" ht="10.5" x14ac:dyDescent="0.25">
      <c r="A1771" s="8" t="s">
        <v>20</v>
      </c>
      <c r="B1771" s="4" t="s">
        <v>21</v>
      </c>
      <c r="C1771" s="5">
        <v>44469</v>
      </c>
      <c r="D1771" s="4" t="s">
        <v>2115</v>
      </c>
      <c r="E1771" s="4" t="s">
        <v>2116</v>
      </c>
      <c r="F1771" s="4" t="s">
        <v>2116</v>
      </c>
      <c r="G1771" s="6">
        <v>138.53422106990305</v>
      </c>
      <c r="H1771" s="6">
        <f t="shared" si="29"/>
        <v>9620.9009879118203</v>
      </c>
      <c r="I1771" s="4"/>
      <c r="J1771" s="4" t="s">
        <v>748</v>
      </c>
      <c r="K1771" s="7">
        <v>117</v>
      </c>
      <c r="L1771" s="4" t="s">
        <v>1033</v>
      </c>
      <c r="M1771" s="4" t="s">
        <v>38</v>
      </c>
      <c r="N1771" s="4" t="s">
        <v>39</v>
      </c>
      <c r="P1771" t="s">
        <v>3826</v>
      </c>
    </row>
    <row r="1772" spans="1:16" ht="10.5" hidden="1" x14ac:dyDescent="0.25">
      <c r="A1772" s="8" t="s">
        <v>20</v>
      </c>
      <c r="B1772" s="4" t="s">
        <v>21</v>
      </c>
      <c r="C1772" s="5">
        <v>44469</v>
      </c>
      <c r="D1772" s="4" t="s">
        <v>1032</v>
      </c>
      <c r="E1772" s="4" t="s">
        <v>1028</v>
      </c>
      <c r="F1772" s="93" t="s">
        <v>1028</v>
      </c>
      <c r="G1772" s="6">
        <v>-3085.3964172949782</v>
      </c>
      <c r="H1772" s="6">
        <f t="shared" si="29"/>
        <v>6535.5045706168421</v>
      </c>
      <c r="I1772" s="4"/>
      <c r="J1772" s="4" t="s">
        <v>25</v>
      </c>
      <c r="K1772" s="115">
        <v>-3871.79</v>
      </c>
      <c r="L1772" s="4" t="s">
        <v>1033</v>
      </c>
      <c r="M1772" s="4" t="s">
        <v>212</v>
      </c>
      <c r="N1772" s="4" t="s">
        <v>118</v>
      </c>
    </row>
    <row r="1773" spans="1:16" ht="10.5" hidden="1" x14ac:dyDescent="0.25">
      <c r="A1773" s="8" t="s">
        <v>20</v>
      </c>
      <c r="B1773" s="4" t="s">
        <v>21</v>
      </c>
      <c r="C1773" s="5">
        <v>44469</v>
      </c>
      <c r="D1773" s="4" t="s">
        <v>2124</v>
      </c>
      <c r="E1773" s="4" t="s">
        <v>2014</v>
      </c>
      <c r="F1773" s="4" t="s">
        <v>2014</v>
      </c>
      <c r="G1773" s="6">
        <v>-2454.4236304136243</v>
      </c>
      <c r="H1773" s="6">
        <f t="shared" si="29"/>
        <v>4081.0809402032178</v>
      </c>
      <c r="I1773" s="4"/>
      <c r="J1773" s="4" t="s">
        <v>25</v>
      </c>
      <c r="K1773" s="7">
        <v>-1779.13</v>
      </c>
      <c r="L1773" s="4" t="s">
        <v>1033</v>
      </c>
      <c r="M1773" s="4" t="s">
        <v>186</v>
      </c>
      <c r="N1773" s="4" t="s">
        <v>118</v>
      </c>
    </row>
    <row r="1774" spans="1:16" ht="10.5" hidden="1" x14ac:dyDescent="0.25">
      <c r="A1774" s="8" t="s">
        <v>20</v>
      </c>
      <c r="B1774" s="4" t="s">
        <v>21</v>
      </c>
      <c r="C1774" s="5">
        <v>44469</v>
      </c>
      <c r="D1774" s="4" t="s">
        <v>1130</v>
      </c>
      <c r="E1774" s="4" t="s">
        <v>1113</v>
      </c>
      <c r="F1774" s="4" t="s">
        <v>1113</v>
      </c>
      <c r="G1774" s="6">
        <v>36433.878009259184</v>
      </c>
      <c r="H1774" s="6">
        <f t="shared" si="29"/>
        <v>40514.958949462402</v>
      </c>
      <c r="I1774" s="4"/>
      <c r="J1774" s="4" t="s">
        <v>25</v>
      </c>
      <c r="K1774" s="7">
        <v>36176.49</v>
      </c>
      <c r="L1774" s="4" t="s">
        <v>1033</v>
      </c>
      <c r="M1774" s="4" t="s">
        <v>27</v>
      </c>
      <c r="N1774" s="4" t="s">
        <v>118</v>
      </c>
    </row>
    <row r="1775" spans="1:16" ht="10.5" hidden="1" x14ac:dyDescent="0.25">
      <c r="A1775" s="8" t="s">
        <v>20</v>
      </c>
      <c r="B1775" s="4" t="s">
        <v>21</v>
      </c>
      <c r="C1775" s="5">
        <v>44483</v>
      </c>
      <c r="D1775" s="4" t="s">
        <v>3233</v>
      </c>
      <c r="E1775" s="4" t="s">
        <v>3234</v>
      </c>
      <c r="F1775" s="4" t="s">
        <v>3235</v>
      </c>
      <c r="G1775" s="6">
        <v>110.08709396574912</v>
      </c>
      <c r="H1775" s="6">
        <f t="shared" si="29"/>
        <v>40625.046043428149</v>
      </c>
      <c r="I1775" s="4"/>
      <c r="J1775" s="4" t="s">
        <v>25</v>
      </c>
      <c r="K1775" s="7">
        <v>110</v>
      </c>
      <c r="L1775" s="4" t="s">
        <v>2127</v>
      </c>
      <c r="M1775" s="4" t="s">
        <v>27</v>
      </c>
      <c r="N1775" s="4" t="s">
        <v>28</v>
      </c>
    </row>
    <row r="1776" spans="1:16" ht="10.5" hidden="1" x14ac:dyDescent="0.25">
      <c r="A1776" s="8" t="s">
        <v>20</v>
      </c>
      <c r="B1776" s="4" t="s">
        <v>21</v>
      </c>
      <c r="C1776" s="5">
        <v>44483</v>
      </c>
      <c r="D1776" s="4" t="s">
        <v>3233</v>
      </c>
      <c r="E1776" s="4" t="s">
        <v>3234</v>
      </c>
      <c r="F1776" s="4" t="s">
        <v>3236</v>
      </c>
      <c r="G1776" s="6">
        <v>764.60490718029394</v>
      </c>
      <c r="H1776" s="6">
        <f t="shared" si="29"/>
        <v>41389.65095060844</v>
      </c>
      <c r="I1776" s="4"/>
      <c r="J1776" s="4" t="s">
        <v>25</v>
      </c>
      <c r="K1776" s="7">
        <v>764</v>
      </c>
      <c r="L1776" s="4" t="s">
        <v>2127</v>
      </c>
      <c r="M1776" s="4" t="s">
        <v>27</v>
      </c>
      <c r="N1776" s="4" t="s">
        <v>28</v>
      </c>
    </row>
    <row r="1777" spans="1:16" ht="10.5" hidden="1" x14ac:dyDescent="0.25">
      <c r="A1777" s="8" t="s">
        <v>20</v>
      </c>
      <c r="B1777" s="4" t="s">
        <v>21</v>
      </c>
      <c r="C1777" s="5">
        <v>44483</v>
      </c>
      <c r="D1777" s="4" t="s">
        <v>3233</v>
      </c>
      <c r="E1777" s="4" t="s">
        <v>3234</v>
      </c>
      <c r="F1777" s="4" t="s">
        <v>3237</v>
      </c>
      <c r="G1777" s="6">
        <v>450.35629349624639</v>
      </c>
      <c r="H1777" s="6">
        <f t="shared" si="29"/>
        <v>41840.007244104687</v>
      </c>
      <c r="I1777" s="4"/>
      <c r="J1777" s="4" t="s">
        <v>25</v>
      </c>
      <c r="K1777" s="7">
        <v>450</v>
      </c>
      <c r="L1777" s="4" t="s">
        <v>2127</v>
      </c>
      <c r="M1777" s="4" t="s">
        <v>27</v>
      </c>
      <c r="N1777" s="4" t="s">
        <v>28</v>
      </c>
    </row>
    <row r="1778" spans="1:16" ht="10.5" hidden="1" x14ac:dyDescent="0.25">
      <c r="A1778" s="8" t="s">
        <v>20</v>
      </c>
      <c r="B1778" s="4" t="s">
        <v>21</v>
      </c>
      <c r="C1778" s="5">
        <v>44483</v>
      </c>
      <c r="D1778" s="4" t="s">
        <v>3233</v>
      </c>
      <c r="E1778" s="4" t="s">
        <v>3234</v>
      </c>
      <c r="F1778" s="4" t="s">
        <v>3238</v>
      </c>
      <c r="G1778" s="6">
        <v>90.071258699249285</v>
      </c>
      <c r="H1778" s="6">
        <f t="shared" si="29"/>
        <v>41930.078502803939</v>
      </c>
      <c r="I1778" s="4"/>
      <c r="J1778" s="4" t="s">
        <v>25</v>
      </c>
      <c r="K1778" s="7">
        <v>90</v>
      </c>
      <c r="L1778" s="4" t="s">
        <v>2127</v>
      </c>
      <c r="M1778" s="4" t="s">
        <v>27</v>
      </c>
      <c r="N1778" s="4" t="s">
        <v>28</v>
      </c>
    </row>
    <row r="1779" spans="1:16" ht="10.5" hidden="1" x14ac:dyDescent="0.25">
      <c r="A1779" s="8" t="s">
        <v>20</v>
      </c>
      <c r="B1779" s="4" t="s">
        <v>21</v>
      </c>
      <c r="C1779" s="5">
        <v>44483</v>
      </c>
      <c r="D1779" s="4" t="s">
        <v>3233</v>
      </c>
      <c r="E1779" s="4" t="s">
        <v>3234</v>
      </c>
      <c r="F1779" s="4" t="s">
        <v>3239</v>
      </c>
      <c r="G1779" s="6">
        <v>476.37687934269621</v>
      </c>
      <c r="H1779" s="6">
        <f t="shared" si="29"/>
        <v>42406.455382146632</v>
      </c>
      <c r="I1779" s="4"/>
      <c r="J1779" s="4" t="s">
        <v>37</v>
      </c>
      <c r="K1779" s="7">
        <v>476</v>
      </c>
      <c r="L1779" s="4" t="s">
        <v>2127</v>
      </c>
      <c r="M1779" s="4" t="s">
        <v>27</v>
      </c>
      <c r="N1779" s="4" t="s">
        <v>28</v>
      </c>
    </row>
    <row r="1780" spans="1:16" ht="10.5" hidden="1" x14ac:dyDescent="0.25">
      <c r="A1780" s="8" t="s">
        <v>20</v>
      </c>
      <c r="B1780" s="4" t="s">
        <v>21</v>
      </c>
      <c r="C1780" s="5">
        <v>44483</v>
      </c>
      <c r="D1780" s="4" t="s">
        <v>3233</v>
      </c>
      <c r="E1780" s="4" t="s">
        <v>3234</v>
      </c>
      <c r="F1780" s="4" t="s">
        <v>3240</v>
      </c>
      <c r="G1780" s="6">
        <v>551.43626159207054</v>
      </c>
      <c r="H1780" s="6">
        <f t="shared" si="29"/>
        <v>42957.891643738702</v>
      </c>
      <c r="I1780" s="4"/>
      <c r="J1780" s="4" t="s">
        <v>25</v>
      </c>
      <c r="K1780" s="7">
        <v>551</v>
      </c>
      <c r="L1780" s="4" t="s">
        <v>2127</v>
      </c>
      <c r="M1780" s="4" t="s">
        <v>27</v>
      </c>
      <c r="N1780" s="4" t="s">
        <v>28</v>
      </c>
    </row>
    <row r="1781" spans="1:16" ht="10.5" hidden="1" x14ac:dyDescent="0.25">
      <c r="A1781" s="8" t="s">
        <v>20</v>
      </c>
      <c r="B1781" s="4" t="s">
        <v>21</v>
      </c>
      <c r="C1781" s="5">
        <v>44483</v>
      </c>
      <c r="D1781" s="4" t="s">
        <v>3233</v>
      </c>
      <c r="E1781" s="4" t="s">
        <v>3234</v>
      </c>
      <c r="F1781" s="4" t="s">
        <v>3241</v>
      </c>
      <c r="G1781" s="6">
        <v>44.034837586299645</v>
      </c>
      <c r="H1781" s="6">
        <f t="shared" si="29"/>
        <v>43001.926481325005</v>
      </c>
      <c r="I1781" s="4"/>
      <c r="J1781" s="4" t="s">
        <v>25</v>
      </c>
      <c r="K1781" s="7">
        <v>44</v>
      </c>
      <c r="L1781" s="4" t="s">
        <v>2127</v>
      </c>
      <c r="M1781" s="4" t="s">
        <v>27</v>
      </c>
      <c r="N1781" s="4" t="s">
        <v>28</v>
      </c>
    </row>
    <row r="1782" spans="1:16" ht="10.5" hidden="1" x14ac:dyDescent="0.25">
      <c r="A1782" s="8" t="s">
        <v>20</v>
      </c>
      <c r="B1782" s="4" t="s">
        <v>21</v>
      </c>
      <c r="C1782" s="5">
        <v>44483</v>
      </c>
      <c r="D1782" s="4" t="s">
        <v>3233</v>
      </c>
      <c r="E1782" s="4" t="s">
        <v>3234</v>
      </c>
      <c r="F1782" s="4" t="s">
        <v>3242</v>
      </c>
      <c r="G1782" s="6">
        <v>150.11876449874879</v>
      </c>
      <c r="H1782" s="6">
        <f t="shared" si="29"/>
        <v>43152.045245823756</v>
      </c>
      <c r="I1782" s="4"/>
      <c r="J1782" s="4" t="s">
        <v>25</v>
      </c>
      <c r="K1782" s="7">
        <v>150</v>
      </c>
      <c r="L1782" s="4" t="s">
        <v>2127</v>
      </c>
      <c r="M1782" s="4" t="s">
        <v>27</v>
      </c>
      <c r="N1782" s="4" t="s">
        <v>28</v>
      </c>
    </row>
    <row r="1783" spans="1:16" ht="10.5" hidden="1" x14ac:dyDescent="0.25">
      <c r="A1783" s="8" t="s">
        <v>20</v>
      </c>
      <c r="B1783" s="4" t="s">
        <v>21</v>
      </c>
      <c r="C1783" s="5">
        <v>44514</v>
      </c>
      <c r="D1783" s="4" t="s">
        <v>3243</v>
      </c>
      <c r="E1783" s="4" t="s">
        <v>3244</v>
      </c>
      <c r="F1783" s="4" t="s">
        <v>3244</v>
      </c>
      <c r="G1783" s="6">
        <v>300.07244930512832</v>
      </c>
      <c r="H1783" s="6">
        <f t="shared" si="29"/>
        <v>43452.117695128887</v>
      </c>
      <c r="I1783" s="4"/>
      <c r="J1783" s="4" t="s">
        <v>25</v>
      </c>
      <c r="K1783" s="7">
        <v>300</v>
      </c>
      <c r="L1783" s="4" t="s">
        <v>1133</v>
      </c>
      <c r="M1783" s="4" t="s">
        <v>27</v>
      </c>
      <c r="N1783" s="4" t="s">
        <v>28</v>
      </c>
    </row>
    <row r="1784" spans="1:16" ht="10.5" hidden="1" x14ac:dyDescent="0.25">
      <c r="A1784" s="8" t="s">
        <v>20</v>
      </c>
      <c r="B1784" s="4" t="s">
        <v>21</v>
      </c>
      <c r="C1784" s="5">
        <v>44515</v>
      </c>
      <c r="D1784" s="4" t="s">
        <v>3245</v>
      </c>
      <c r="E1784" s="4" t="s">
        <v>3246</v>
      </c>
      <c r="F1784" s="4" t="s">
        <v>3246</v>
      </c>
      <c r="G1784" s="6">
        <v>1125.2716848942312</v>
      </c>
      <c r="H1784" s="6">
        <f t="shared" si="29"/>
        <v>44577.389380023116</v>
      </c>
      <c r="I1784" s="4"/>
      <c r="J1784" s="4" t="s">
        <v>25</v>
      </c>
      <c r="K1784" s="7">
        <v>1125</v>
      </c>
      <c r="L1784" s="4" t="s">
        <v>1133</v>
      </c>
      <c r="M1784" s="4" t="s">
        <v>27</v>
      </c>
      <c r="N1784" s="4" t="s">
        <v>28</v>
      </c>
    </row>
    <row r="1785" spans="1:16" ht="10.5" x14ac:dyDescent="0.25">
      <c r="A1785" s="8" t="s">
        <v>20</v>
      </c>
      <c r="B1785" s="4" t="s">
        <v>21</v>
      </c>
      <c r="C1785" s="5">
        <v>44530</v>
      </c>
      <c r="D1785" s="4" t="s">
        <v>2137</v>
      </c>
      <c r="E1785" s="4" t="s">
        <v>2138</v>
      </c>
      <c r="F1785" s="4" t="s">
        <v>2138</v>
      </c>
      <c r="G1785" s="6">
        <v>263.23331707708138</v>
      </c>
      <c r="H1785" s="6">
        <f t="shared" si="29"/>
        <v>44840.622697100196</v>
      </c>
      <c r="I1785" s="4"/>
      <c r="J1785" s="4" t="s">
        <v>748</v>
      </c>
      <c r="K1785" s="7">
        <v>230</v>
      </c>
      <c r="L1785" s="4" t="s">
        <v>1133</v>
      </c>
      <c r="M1785" s="4" t="s">
        <v>38</v>
      </c>
      <c r="N1785" s="4" t="s">
        <v>39</v>
      </c>
      <c r="P1785" t="s">
        <v>3826</v>
      </c>
    </row>
    <row r="1786" spans="1:16" ht="10.5" hidden="1" x14ac:dyDescent="0.25">
      <c r="A1786" s="8" t="s">
        <v>20</v>
      </c>
      <c r="B1786" s="4" t="s">
        <v>21</v>
      </c>
      <c r="C1786" s="5">
        <v>44532</v>
      </c>
      <c r="D1786" s="4" t="s">
        <v>3247</v>
      </c>
      <c r="E1786" s="4" t="s">
        <v>3248</v>
      </c>
      <c r="F1786" s="4" t="s">
        <v>3248</v>
      </c>
      <c r="G1786" s="6">
        <v>49.101755049655068</v>
      </c>
      <c r="H1786" s="6">
        <f t="shared" si="29"/>
        <v>44889.724452149851</v>
      </c>
      <c r="I1786" s="4"/>
      <c r="J1786" s="4" t="s">
        <v>37</v>
      </c>
      <c r="K1786" s="7">
        <v>49</v>
      </c>
      <c r="L1786" s="4" t="s">
        <v>1036</v>
      </c>
      <c r="M1786" s="4" t="s">
        <v>27</v>
      </c>
      <c r="N1786" s="4" t="s">
        <v>28</v>
      </c>
    </row>
    <row r="1787" spans="1:16" ht="10.5" hidden="1" x14ac:dyDescent="0.25">
      <c r="A1787" s="8" t="s">
        <v>20</v>
      </c>
      <c r="B1787" s="4" t="s">
        <v>21</v>
      </c>
      <c r="C1787" s="5">
        <v>44543</v>
      </c>
      <c r="D1787" s="4" t="s">
        <v>3249</v>
      </c>
      <c r="E1787" s="4" t="s">
        <v>3250</v>
      </c>
      <c r="F1787" s="4" t="s">
        <v>3250</v>
      </c>
      <c r="G1787" s="6">
        <v>124.83870702216385</v>
      </c>
      <c r="H1787" s="6">
        <f t="shared" ref="H1787:H1809" si="30">H1786+G1787</f>
        <v>45014.563159172016</v>
      </c>
      <c r="I1787" s="4"/>
      <c r="J1787" s="4" t="s">
        <v>25</v>
      </c>
      <c r="K1787" s="7">
        <v>124.58</v>
      </c>
      <c r="L1787" s="4" t="s">
        <v>1036</v>
      </c>
      <c r="M1787" s="4" t="s">
        <v>27</v>
      </c>
      <c r="N1787" s="4" t="s">
        <v>28</v>
      </c>
    </row>
    <row r="1788" spans="1:16" ht="10.5" hidden="1" x14ac:dyDescent="0.25">
      <c r="A1788" s="8" t="s">
        <v>20</v>
      </c>
      <c r="B1788" s="4" t="s">
        <v>21</v>
      </c>
      <c r="C1788" s="5">
        <v>44543</v>
      </c>
      <c r="D1788" s="4" t="s">
        <v>3251</v>
      </c>
      <c r="E1788" s="4" t="s">
        <v>3252</v>
      </c>
      <c r="F1788" s="4" t="s">
        <v>3252</v>
      </c>
      <c r="G1788" s="6">
        <v>92.431548689391505</v>
      </c>
      <c r="H1788" s="6">
        <f t="shared" si="30"/>
        <v>45106.994707861406</v>
      </c>
      <c r="I1788" s="4"/>
      <c r="J1788" s="4" t="s">
        <v>25</v>
      </c>
      <c r="K1788" s="7">
        <v>92.24</v>
      </c>
      <c r="L1788" s="4" t="s">
        <v>1036</v>
      </c>
      <c r="M1788" s="4" t="s">
        <v>27</v>
      </c>
      <c r="N1788" s="4" t="s">
        <v>28</v>
      </c>
    </row>
    <row r="1789" spans="1:16" ht="10.5" hidden="1" x14ac:dyDescent="0.25">
      <c r="A1789" s="8" t="s">
        <v>20</v>
      </c>
      <c r="B1789" s="4" t="s">
        <v>21</v>
      </c>
      <c r="C1789" s="5">
        <v>44543</v>
      </c>
      <c r="D1789" s="4" t="s">
        <v>3253</v>
      </c>
      <c r="E1789" s="4" t="s">
        <v>3254</v>
      </c>
      <c r="F1789" s="4" t="s">
        <v>3254</v>
      </c>
      <c r="G1789" s="6">
        <v>136.38262984200114</v>
      </c>
      <c r="H1789" s="6">
        <f t="shared" si="30"/>
        <v>45243.377337703409</v>
      </c>
      <c r="I1789" s="4"/>
      <c r="J1789" s="4" t="s">
        <v>25</v>
      </c>
      <c r="K1789" s="7">
        <v>136.1</v>
      </c>
      <c r="L1789" s="4" t="s">
        <v>1036</v>
      </c>
      <c r="M1789" s="4" t="s">
        <v>27</v>
      </c>
      <c r="N1789" s="4" t="s">
        <v>28</v>
      </c>
    </row>
    <row r="1790" spans="1:16" ht="10.5" hidden="1" x14ac:dyDescent="0.25">
      <c r="A1790" s="8" t="s">
        <v>20</v>
      </c>
      <c r="B1790" s="4" t="s">
        <v>21</v>
      </c>
      <c r="C1790" s="5">
        <v>44544</v>
      </c>
      <c r="D1790" s="4" t="s">
        <v>3255</v>
      </c>
      <c r="E1790" s="4" t="s">
        <v>3256</v>
      </c>
      <c r="F1790" s="4" t="s">
        <v>3256</v>
      </c>
      <c r="G1790" s="6">
        <v>155.51227277869327</v>
      </c>
      <c r="H1790" s="6">
        <f t="shared" si="30"/>
        <v>45398.889610482103</v>
      </c>
      <c r="I1790" s="4"/>
      <c r="J1790" s="4" t="s">
        <v>25</v>
      </c>
      <c r="K1790" s="7">
        <v>155.19</v>
      </c>
      <c r="L1790" s="4" t="s">
        <v>1036</v>
      </c>
      <c r="M1790" s="4" t="s">
        <v>27</v>
      </c>
      <c r="N1790" s="4" t="s">
        <v>28</v>
      </c>
    </row>
    <row r="1791" spans="1:16" ht="10.5" hidden="1" x14ac:dyDescent="0.25">
      <c r="A1791" s="8" t="s">
        <v>20</v>
      </c>
      <c r="B1791" s="4" t="s">
        <v>21</v>
      </c>
      <c r="C1791" s="5">
        <v>44544</v>
      </c>
      <c r="D1791" s="4" t="s">
        <v>3257</v>
      </c>
      <c r="E1791" s="4" t="s">
        <v>3258</v>
      </c>
      <c r="F1791" s="4" t="s">
        <v>3258</v>
      </c>
      <c r="G1791" s="6">
        <v>257.6539440483125</v>
      </c>
      <c r="H1791" s="6">
        <f t="shared" si="30"/>
        <v>45656.543554530414</v>
      </c>
      <c r="I1791" s="4"/>
      <c r="J1791" s="4" t="s">
        <v>25</v>
      </c>
      <c r="K1791" s="7">
        <v>257.12</v>
      </c>
      <c r="L1791" s="4" t="s">
        <v>1036</v>
      </c>
      <c r="M1791" s="4" t="s">
        <v>27</v>
      </c>
      <c r="N1791" s="4" t="s">
        <v>28</v>
      </c>
    </row>
    <row r="1792" spans="1:16" ht="10.5" hidden="1" x14ac:dyDescent="0.25">
      <c r="A1792" s="8" t="s">
        <v>20</v>
      </c>
      <c r="B1792" s="4" t="s">
        <v>21</v>
      </c>
      <c r="C1792" s="5">
        <v>44561</v>
      </c>
      <c r="D1792" s="4" t="s">
        <v>2145</v>
      </c>
      <c r="E1792" s="4" t="s">
        <v>2146</v>
      </c>
      <c r="F1792" s="4" t="s">
        <v>2146</v>
      </c>
      <c r="G1792" s="6">
        <v>6495.6527204914055</v>
      </c>
      <c r="H1792" s="6">
        <f t="shared" si="30"/>
        <v>52152.196275021823</v>
      </c>
      <c r="I1792" s="4"/>
      <c r="J1792" s="4" t="s">
        <v>37</v>
      </c>
      <c r="K1792" s="7">
        <v>58929</v>
      </c>
      <c r="L1792" s="4" t="s">
        <v>1036</v>
      </c>
      <c r="M1792" s="4" t="s">
        <v>193</v>
      </c>
      <c r="N1792" s="4" t="s">
        <v>39</v>
      </c>
    </row>
    <row r="1793" spans="1:16" ht="10.5" x14ac:dyDescent="0.25">
      <c r="A1793" s="8" t="s">
        <v>20</v>
      </c>
      <c r="B1793" s="4" t="s">
        <v>21</v>
      </c>
      <c r="C1793" s="5">
        <v>44561</v>
      </c>
      <c r="D1793" s="4" t="s">
        <v>2147</v>
      </c>
      <c r="E1793" s="4" t="s">
        <v>2148</v>
      </c>
      <c r="F1793" s="4" t="s">
        <v>2148</v>
      </c>
      <c r="G1793" s="6">
        <v>291.5376963440039</v>
      </c>
      <c r="H1793" s="6">
        <f t="shared" si="30"/>
        <v>52443.733971365829</v>
      </c>
      <c r="I1793" s="4"/>
      <c r="J1793" s="4" t="s">
        <v>748</v>
      </c>
      <c r="K1793" s="7">
        <v>257</v>
      </c>
      <c r="L1793" s="4" t="s">
        <v>1036</v>
      </c>
      <c r="M1793" s="4" t="s">
        <v>38</v>
      </c>
      <c r="N1793" s="4" t="s">
        <v>39</v>
      </c>
      <c r="P1793" t="s">
        <v>3826</v>
      </c>
    </row>
    <row r="1794" spans="1:16" ht="10.5" hidden="1" x14ac:dyDescent="0.25">
      <c r="A1794" s="8" t="s">
        <v>20</v>
      </c>
      <c r="B1794" s="4" t="s">
        <v>21</v>
      </c>
      <c r="C1794" s="5">
        <v>44561</v>
      </c>
      <c r="D1794" s="4" t="s">
        <v>1138</v>
      </c>
      <c r="E1794" s="4" t="s">
        <v>1035</v>
      </c>
      <c r="F1794" s="4" t="s">
        <v>1035</v>
      </c>
      <c r="G1794" s="6">
        <v>122144.12295423482</v>
      </c>
      <c r="H1794" s="6">
        <f t="shared" si="30"/>
        <v>174587.85692560064</v>
      </c>
      <c r="I1794" s="4"/>
      <c r="J1794" s="4" t="s">
        <v>25</v>
      </c>
      <c r="K1794" s="7">
        <v>121891</v>
      </c>
      <c r="L1794" s="4" t="s">
        <v>1036</v>
      </c>
      <c r="M1794" s="4" t="s">
        <v>27</v>
      </c>
      <c r="N1794" s="4" t="s">
        <v>118</v>
      </c>
    </row>
    <row r="1795" spans="1:16" ht="10.5" hidden="1" x14ac:dyDescent="0.25">
      <c r="A1795" s="8" t="s">
        <v>20</v>
      </c>
      <c r="B1795" s="4" t="s">
        <v>21</v>
      </c>
      <c r="C1795" s="5">
        <v>44561</v>
      </c>
      <c r="D1795" s="4" t="s">
        <v>1034</v>
      </c>
      <c r="E1795" s="4" t="s">
        <v>1035</v>
      </c>
      <c r="F1795" s="93" t="s">
        <v>1035</v>
      </c>
      <c r="G1795" s="6">
        <v>41683.417372404037</v>
      </c>
      <c r="H1795" s="6">
        <f t="shared" si="30"/>
        <v>216271.27429800469</v>
      </c>
      <c r="I1795" s="4"/>
      <c r="J1795" s="4" t="s">
        <v>25</v>
      </c>
      <c r="K1795" s="115">
        <v>53236.32</v>
      </c>
      <c r="L1795" s="4" t="s">
        <v>1036</v>
      </c>
      <c r="M1795" s="4" t="s">
        <v>212</v>
      </c>
      <c r="N1795" s="4" t="s">
        <v>118</v>
      </c>
    </row>
    <row r="1796" spans="1:16" ht="10.5" hidden="1" x14ac:dyDescent="0.25">
      <c r="A1796" s="8" t="s">
        <v>20</v>
      </c>
      <c r="B1796" s="4" t="s">
        <v>21</v>
      </c>
      <c r="C1796" s="5">
        <v>44561</v>
      </c>
      <c r="D1796" s="4" t="s">
        <v>1155</v>
      </c>
      <c r="E1796" s="4" t="s">
        <v>1156</v>
      </c>
      <c r="F1796" s="4" t="s">
        <v>1156</v>
      </c>
      <c r="G1796" s="6">
        <v>-53280.414612044086</v>
      </c>
      <c r="H1796" s="6">
        <f t="shared" si="30"/>
        <v>162990.8596859606</v>
      </c>
      <c r="I1796" s="4"/>
      <c r="J1796" s="4" t="s">
        <v>68</v>
      </c>
      <c r="K1796" s="7">
        <v>-53170</v>
      </c>
      <c r="L1796" s="4" t="s">
        <v>1036</v>
      </c>
      <c r="M1796" s="4" t="s">
        <v>27</v>
      </c>
      <c r="N1796" s="4" t="s">
        <v>1026</v>
      </c>
    </row>
    <row r="1797" spans="1:16" ht="10.5" hidden="1" x14ac:dyDescent="0.25">
      <c r="A1797" s="8" t="s">
        <v>20</v>
      </c>
      <c r="B1797" s="4" t="s">
        <v>21</v>
      </c>
      <c r="C1797" s="5">
        <v>44561</v>
      </c>
      <c r="D1797" s="4" t="s">
        <v>1037</v>
      </c>
      <c r="E1797" s="4" t="s">
        <v>1028</v>
      </c>
      <c r="F1797" s="93" t="s">
        <v>1028</v>
      </c>
      <c r="G1797" s="6">
        <v>-29177.269355415443</v>
      </c>
      <c r="H1797" s="6">
        <f t="shared" si="30"/>
        <v>133813.59033054515</v>
      </c>
      <c r="I1797" s="4"/>
      <c r="J1797" s="4" t="s">
        <v>25</v>
      </c>
      <c r="K1797" s="115">
        <v>-37263.99</v>
      </c>
      <c r="L1797" s="4" t="s">
        <v>1036</v>
      </c>
      <c r="M1797" s="4" t="s">
        <v>212</v>
      </c>
      <c r="N1797" s="4" t="s">
        <v>118</v>
      </c>
    </row>
    <row r="1798" spans="1:16" ht="10.5" hidden="1" x14ac:dyDescent="0.25">
      <c r="A1798" s="8" t="s">
        <v>20</v>
      </c>
      <c r="B1798" s="4" t="s">
        <v>21</v>
      </c>
      <c r="C1798" s="5">
        <v>44561</v>
      </c>
      <c r="D1798" s="4" t="s">
        <v>2172</v>
      </c>
      <c r="E1798" s="4" t="s">
        <v>2014</v>
      </c>
      <c r="F1798" s="4" t="s">
        <v>2014</v>
      </c>
      <c r="G1798" s="6">
        <v>728.6900158619784</v>
      </c>
      <c r="H1798" s="6">
        <f t="shared" si="30"/>
        <v>134542.28034640712</v>
      </c>
      <c r="I1798" s="4"/>
      <c r="J1798" s="4" t="s">
        <v>25</v>
      </c>
      <c r="K1798" s="7">
        <v>545.62</v>
      </c>
      <c r="L1798" s="4" t="s">
        <v>1036</v>
      </c>
      <c r="M1798" s="4" t="s">
        <v>186</v>
      </c>
      <c r="N1798" s="4" t="s">
        <v>118</v>
      </c>
    </row>
    <row r="1799" spans="1:16" ht="10.5" hidden="1" x14ac:dyDescent="0.25">
      <c r="A1799" s="8" t="s">
        <v>20</v>
      </c>
      <c r="B1799" s="4" t="s">
        <v>21</v>
      </c>
      <c r="C1799" s="5">
        <v>44561</v>
      </c>
      <c r="D1799" s="4" t="s">
        <v>1160</v>
      </c>
      <c r="E1799" s="4" t="s">
        <v>1113</v>
      </c>
      <c r="F1799" s="4" t="s">
        <v>1113</v>
      </c>
      <c r="G1799" s="6">
        <v>-46951.990026684143</v>
      </c>
      <c r="H1799" s="6">
        <f t="shared" si="30"/>
        <v>87590.290319722975</v>
      </c>
      <c r="I1799" s="4"/>
      <c r="J1799" s="4" t="s">
        <v>25</v>
      </c>
      <c r="K1799" s="7">
        <v>-46854.69</v>
      </c>
      <c r="L1799" s="4" t="s">
        <v>1036</v>
      </c>
      <c r="M1799" s="4" t="s">
        <v>27</v>
      </c>
      <c r="N1799" s="4" t="s">
        <v>118</v>
      </c>
    </row>
    <row r="1800" spans="1:16" ht="10.5" hidden="1" x14ac:dyDescent="0.25">
      <c r="A1800" s="8" t="s">
        <v>20</v>
      </c>
      <c r="B1800" s="4" t="s">
        <v>21</v>
      </c>
      <c r="C1800" s="5">
        <v>44600</v>
      </c>
      <c r="D1800" s="4" t="s">
        <v>22</v>
      </c>
      <c r="E1800" s="4" t="s">
        <v>23</v>
      </c>
      <c r="F1800" s="4" t="s">
        <v>24</v>
      </c>
      <c r="G1800" s="6">
        <v>27.937248760714635</v>
      </c>
      <c r="H1800" s="6">
        <f t="shared" si="30"/>
        <v>87618.227568483693</v>
      </c>
      <c r="I1800" s="4"/>
      <c r="J1800" s="4" t="s">
        <v>25</v>
      </c>
      <c r="K1800" s="7">
        <v>28</v>
      </c>
      <c r="L1800" s="4" t="s">
        <v>26</v>
      </c>
      <c r="M1800" s="4" t="s">
        <v>27</v>
      </c>
      <c r="N1800" s="4" t="s">
        <v>28</v>
      </c>
    </row>
    <row r="1801" spans="1:16" ht="10.5" hidden="1" x14ac:dyDescent="0.25">
      <c r="A1801" s="8" t="s">
        <v>20</v>
      </c>
      <c r="B1801" s="4" t="s">
        <v>21</v>
      </c>
      <c r="C1801" s="5">
        <v>44607</v>
      </c>
      <c r="D1801" s="4" t="s">
        <v>29</v>
      </c>
      <c r="E1801" s="4" t="s">
        <v>30</v>
      </c>
      <c r="F1801" s="4" t="s">
        <v>30</v>
      </c>
      <c r="G1801" s="6">
        <v>-2233.2637555761557</v>
      </c>
      <c r="H1801" s="6">
        <f t="shared" si="30"/>
        <v>85384.963812907532</v>
      </c>
      <c r="I1801" s="4"/>
      <c r="J1801" s="4" t="s">
        <v>25</v>
      </c>
      <c r="K1801" s="7">
        <v>-2238.2800000000002</v>
      </c>
      <c r="L1801" s="4" t="s">
        <v>26</v>
      </c>
      <c r="M1801" s="4" t="s">
        <v>27</v>
      </c>
      <c r="N1801" s="4" t="s">
        <v>28</v>
      </c>
    </row>
    <row r="1802" spans="1:16" ht="10.5" hidden="1" x14ac:dyDescent="0.25">
      <c r="A1802" s="8" t="s">
        <v>20</v>
      </c>
      <c r="B1802" s="4" t="s">
        <v>21</v>
      </c>
      <c r="C1802" s="5">
        <v>44607</v>
      </c>
      <c r="D1802" s="4" t="s">
        <v>31</v>
      </c>
      <c r="E1802" s="4" t="s">
        <v>32</v>
      </c>
      <c r="F1802" s="4" t="s">
        <v>32</v>
      </c>
      <c r="G1802" s="6">
        <v>150.77134500827103</v>
      </c>
      <c r="H1802" s="6">
        <f t="shared" si="30"/>
        <v>85535.735157915798</v>
      </c>
      <c r="I1802" s="4"/>
      <c r="J1802" s="4" t="s">
        <v>25</v>
      </c>
      <c r="K1802" s="7">
        <v>151.11000000000001</v>
      </c>
      <c r="L1802" s="4" t="s">
        <v>26</v>
      </c>
      <c r="M1802" s="4" t="s">
        <v>27</v>
      </c>
      <c r="N1802" s="4" t="s">
        <v>28</v>
      </c>
    </row>
    <row r="1803" spans="1:16" ht="10.5" hidden="1" x14ac:dyDescent="0.25">
      <c r="A1803" s="8" t="s">
        <v>20</v>
      </c>
      <c r="B1803" s="4" t="s">
        <v>21</v>
      </c>
      <c r="C1803" s="5">
        <v>44607</v>
      </c>
      <c r="D1803" s="4" t="s">
        <v>33</v>
      </c>
      <c r="E1803" s="4" t="s">
        <v>34</v>
      </c>
      <c r="F1803" s="4" t="s">
        <v>34</v>
      </c>
      <c r="G1803" s="6">
        <v>398.80422605920143</v>
      </c>
      <c r="H1803" s="6">
        <f t="shared" si="30"/>
        <v>85934.539383975003</v>
      </c>
      <c r="I1803" s="4"/>
      <c r="J1803" s="4" t="s">
        <v>25</v>
      </c>
      <c r="K1803" s="7">
        <v>399.7</v>
      </c>
      <c r="L1803" s="4" t="s">
        <v>26</v>
      </c>
      <c r="M1803" s="4" t="s">
        <v>27</v>
      </c>
      <c r="N1803" s="4" t="s">
        <v>28</v>
      </c>
    </row>
    <row r="1804" spans="1:16" ht="10.5" x14ac:dyDescent="0.25">
      <c r="A1804" s="8" t="s">
        <v>20</v>
      </c>
      <c r="B1804" s="4" t="s">
        <v>21</v>
      </c>
      <c r="C1804" s="5">
        <v>44620</v>
      </c>
      <c r="D1804" s="4" t="s">
        <v>35</v>
      </c>
      <c r="E1804" s="4" t="s">
        <v>36</v>
      </c>
      <c r="F1804" s="4" t="s">
        <v>36</v>
      </c>
      <c r="G1804" s="6">
        <v>297.70615911395805</v>
      </c>
      <c r="H1804" s="6">
        <f t="shared" si="30"/>
        <v>86232.245543088968</v>
      </c>
      <c r="I1804" s="4"/>
      <c r="J1804" s="4" t="s">
        <v>37</v>
      </c>
      <c r="K1804" s="7">
        <v>264</v>
      </c>
      <c r="L1804" s="4" t="s">
        <v>26</v>
      </c>
      <c r="M1804" s="4" t="s">
        <v>38</v>
      </c>
      <c r="N1804" s="4" t="s">
        <v>39</v>
      </c>
    </row>
    <row r="1805" spans="1:16" ht="10.5" x14ac:dyDescent="0.25">
      <c r="A1805" s="8" t="s">
        <v>20</v>
      </c>
      <c r="B1805" s="4" t="s">
        <v>21</v>
      </c>
      <c r="C1805" s="5">
        <v>44651</v>
      </c>
      <c r="D1805" s="4" t="s">
        <v>40</v>
      </c>
      <c r="E1805" s="4" t="s">
        <v>41</v>
      </c>
      <c r="F1805" s="4" t="s">
        <v>41</v>
      </c>
      <c r="G1805" s="6">
        <v>214.08603473419925</v>
      </c>
      <c r="H1805" s="6">
        <f t="shared" si="30"/>
        <v>86446.331577823163</v>
      </c>
      <c r="I1805" s="4"/>
      <c r="J1805" s="4" t="s">
        <v>25</v>
      </c>
      <c r="K1805" s="7">
        <v>193</v>
      </c>
      <c r="L1805" s="4" t="s">
        <v>42</v>
      </c>
      <c r="M1805" s="4" t="s">
        <v>38</v>
      </c>
      <c r="N1805" s="4" t="s">
        <v>39</v>
      </c>
    </row>
    <row r="1806" spans="1:16" ht="10.5" hidden="1" x14ac:dyDescent="0.25">
      <c r="A1806" s="8" t="s">
        <v>20</v>
      </c>
      <c r="B1806" s="4" t="s">
        <v>21</v>
      </c>
      <c r="C1806" s="5">
        <v>44664</v>
      </c>
      <c r="D1806" s="4" t="s">
        <v>43</v>
      </c>
      <c r="E1806" s="4" t="s">
        <v>44</v>
      </c>
      <c r="F1806" s="4" t="s">
        <v>44</v>
      </c>
      <c r="G1806" s="6">
        <v>88.812446531045325</v>
      </c>
      <c r="H1806" s="6">
        <f t="shared" si="30"/>
        <v>86535.144024354202</v>
      </c>
      <c r="I1806" s="4"/>
      <c r="J1806" s="4" t="s">
        <v>37</v>
      </c>
      <c r="K1806" s="7">
        <v>89.38</v>
      </c>
      <c r="L1806" s="4" t="s">
        <v>45</v>
      </c>
      <c r="M1806" s="4" t="s">
        <v>27</v>
      </c>
      <c r="N1806" s="4" t="s">
        <v>28</v>
      </c>
    </row>
    <row r="1807" spans="1:16" ht="10.5" hidden="1" x14ac:dyDescent="0.25">
      <c r="A1807" s="8" t="s">
        <v>20</v>
      </c>
      <c r="B1807" s="4" t="s">
        <v>21</v>
      </c>
      <c r="C1807" s="5">
        <v>44664</v>
      </c>
      <c r="D1807" s="4" t="s">
        <v>46</v>
      </c>
      <c r="E1807" s="4" t="s">
        <v>47</v>
      </c>
      <c r="F1807" s="4" t="s">
        <v>47</v>
      </c>
      <c r="G1807" s="6">
        <v>1016.0072340343908</v>
      </c>
      <c r="H1807" s="6">
        <f t="shared" si="30"/>
        <v>87551.151258388592</v>
      </c>
      <c r="I1807" s="4"/>
      <c r="J1807" s="4" t="s">
        <v>37</v>
      </c>
      <c r="K1807" s="7">
        <v>1022.5</v>
      </c>
      <c r="L1807" s="4" t="s">
        <v>45</v>
      </c>
      <c r="M1807" s="4" t="s">
        <v>27</v>
      </c>
      <c r="N1807" s="4" t="s">
        <v>48</v>
      </c>
    </row>
    <row r="1808" spans="1:16" ht="10.5" hidden="1" x14ac:dyDescent="0.25">
      <c r="A1808" s="8" t="s">
        <v>20</v>
      </c>
      <c r="B1808" s="4" t="s">
        <v>21</v>
      </c>
      <c r="C1808" s="5">
        <v>44700</v>
      </c>
      <c r="D1808" s="4" t="s">
        <v>49</v>
      </c>
      <c r="E1808" s="4" t="s">
        <v>50</v>
      </c>
      <c r="F1808" s="4" t="s">
        <v>51</v>
      </c>
      <c r="G1808" s="6">
        <v>-1.8407211124492799</v>
      </c>
      <c r="H1808" s="6">
        <f t="shared" si="30"/>
        <v>87549.310537276149</v>
      </c>
      <c r="I1808" s="4"/>
      <c r="J1808" s="4" t="s">
        <v>25</v>
      </c>
      <c r="K1808" s="7">
        <v>-1.84</v>
      </c>
      <c r="L1808" s="4" t="s">
        <v>52</v>
      </c>
      <c r="M1808" s="4" t="s">
        <v>27</v>
      </c>
      <c r="N1808" s="4" t="s">
        <v>53</v>
      </c>
    </row>
    <row r="1809" spans="1:14" ht="10.5" x14ac:dyDescent="0.25">
      <c r="A1809" s="8" t="s">
        <v>20</v>
      </c>
      <c r="B1809" s="4" t="s">
        <v>21</v>
      </c>
      <c r="C1809" s="5">
        <v>44712</v>
      </c>
      <c r="D1809" s="4" t="s">
        <v>54</v>
      </c>
      <c r="E1809" s="4" t="s">
        <v>55</v>
      </c>
      <c r="F1809" s="4" t="s">
        <v>55</v>
      </c>
      <c r="G1809" s="6">
        <v>450.20596664370032</v>
      </c>
      <c r="H1809" s="6">
        <f t="shared" si="30"/>
        <v>87999.516503919847</v>
      </c>
      <c r="I1809" s="4"/>
      <c r="J1809" s="4" t="s">
        <v>25</v>
      </c>
      <c r="K1809" s="7">
        <v>423.4</v>
      </c>
      <c r="L1809" s="4" t="s">
        <v>52</v>
      </c>
      <c r="M1809" s="4" t="s">
        <v>38</v>
      </c>
      <c r="N1809" s="4" t="s">
        <v>39</v>
      </c>
    </row>
    <row r="1810" spans="1:14" ht="10.5" hidden="1" x14ac:dyDescent="0.25">
      <c r="A1810" s="9" t="s">
        <v>56</v>
      </c>
      <c r="B1810" s="10"/>
      <c r="C1810" s="11"/>
      <c r="D1810" s="10"/>
      <c r="E1810" s="10"/>
      <c r="F1810" s="10"/>
      <c r="G1810" s="12">
        <f>SUM(G1658:G1809)</f>
        <v>87999.516503919847</v>
      </c>
      <c r="H1810" s="12">
        <f>H1809</f>
        <v>87999.516503919847</v>
      </c>
      <c r="I1810" s="10"/>
      <c r="J1810" s="10"/>
      <c r="K1810" s="13"/>
      <c r="L1810" s="10"/>
      <c r="M1810" s="10"/>
      <c r="N1810" s="10"/>
    </row>
    <row r="1811" spans="1:14" ht="10.5" hidden="1" x14ac:dyDescent="0.25">
      <c r="A1811" s="8" t="s">
        <v>57</v>
      </c>
      <c r="B1811" s="4"/>
      <c r="C1811" s="5"/>
      <c r="D1811" s="4"/>
      <c r="E1811" s="4"/>
      <c r="F1811" s="4"/>
      <c r="G1811" s="6">
        <v>0</v>
      </c>
      <c r="H1811" s="6">
        <v>0</v>
      </c>
      <c r="I1811" s="4"/>
      <c r="J1811" s="4"/>
      <c r="K1811" s="7">
        <v>0</v>
      </c>
      <c r="L1811" s="4"/>
      <c r="M1811" s="4"/>
      <c r="N1811" s="4"/>
    </row>
    <row r="1812" spans="1:14" ht="10.5" hidden="1" x14ac:dyDescent="0.25">
      <c r="A1812" s="8" t="s">
        <v>57</v>
      </c>
      <c r="B1812" s="4" t="s">
        <v>21</v>
      </c>
      <c r="C1812" s="5">
        <v>43496</v>
      </c>
      <c r="D1812" s="4" t="s">
        <v>3259</v>
      </c>
      <c r="E1812" s="4" t="s">
        <v>1174</v>
      </c>
      <c r="F1812" s="4" t="s">
        <v>3260</v>
      </c>
      <c r="G1812" s="6">
        <v>6489.000019588344</v>
      </c>
      <c r="H1812" s="6">
        <f t="shared" ref="H1812:H1875" si="31">H1811+G1812</f>
        <v>6489.000019588344</v>
      </c>
      <c r="I1812" s="4"/>
      <c r="J1812" s="4" t="s">
        <v>3261</v>
      </c>
      <c r="K1812" s="7">
        <v>6489</v>
      </c>
      <c r="L1812" s="4" t="s">
        <v>1172</v>
      </c>
      <c r="M1812" s="4" t="s">
        <v>27</v>
      </c>
      <c r="N1812" s="4"/>
    </row>
    <row r="1813" spans="1:14" ht="10.5" hidden="1" x14ac:dyDescent="0.25">
      <c r="A1813" s="8" t="s">
        <v>57</v>
      </c>
      <c r="B1813" s="4" t="s">
        <v>21</v>
      </c>
      <c r="C1813" s="5">
        <v>43496</v>
      </c>
      <c r="D1813" s="4" t="s">
        <v>3259</v>
      </c>
      <c r="E1813" s="4" t="s">
        <v>1174</v>
      </c>
      <c r="F1813" s="4" t="s">
        <v>3262</v>
      </c>
      <c r="G1813" s="6">
        <v>-141686.87042771015</v>
      </c>
      <c r="H1813" s="6">
        <f t="shared" si="31"/>
        <v>-135197.87040812182</v>
      </c>
      <c r="I1813" s="4"/>
      <c r="J1813" s="4" t="s">
        <v>3161</v>
      </c>
      <c r="K1813" s="7">
        <v>-141686.87</v>
      </c>
      <c r="L1813" s="4" t="s">
        <v>1172</v>
      </c>
      <c r="M1813" s="4" t="s">
        <v>27</v>
      </c>
      <c r="N1813" s="4"/>
    </row>
    <row r="1814" spans="1:14" ht="10.5" hidden="1" x14ac:dyDescent="0.25">
      <c r="A1814" s="8" t="s">
        <v>57</v>
      </c>
      <c r="B1814" s="4" t="s">
        <v>21</v>
      </c>
      <c r="C1814" s="5">
        <v>43555</v>
      </c>
      <c r="D1814" s="4" t="s">
        <v>3159</v>
      </c>
      <c r="E1814" s="4" t="s">
        <v>1174</v>
      </c>
      <c r="F1814" s="4" t="s">
        <v>3260</v>
      </c>
      <c r="G1814" s="6">
        <v>15000.000006267361</v>
      </c>
      <c r="H1814" s="6">
        <f t="shared" si="31"/>
        <v>-120197.87040185445</v>
      </c>
      <c r="I1814" s="4"/>
      <c r="J1814" s="4" t="s">
        <v>3261</v>
      </c>
      <c r="K1814" s="7">
        <v>15000</v>
      </c>
      <c r="L1814" s="4" t="s">
        <v>2187</v>
      </c>
      <c r="M1814" s="4" t="s">
        <v>27</v>
      </c>
      <c r="N1814" s="4"/>
    </row>
    <row r="1815" spans="1:14" ht="10.5" hidden="1" x14ac:dyDescent="0.25">
      <c r="A1815" s="8" t="s">
        <v>57</v>
      </c>
      <c r="B1815" s="4" t="s">
        <v>21</v>
      </c>
      <c r="C1815" s="5">
        <v>43585</v>
      </c>
      <c r="D1815" s="4" t="s">
        <v>1173</v>
      </c>
      <c r="E1815" s="4" t="s">
        <v>1174</v>
      </c>
      <c r="F1815" s="4" t="s">
        <v>3260</v>
      </c>
      <c r="G1815" s="6">
        <v>3125.0000007988374</v>
      </c>
      <c r="H1815" s="6">
        <f t="shared" si="31"/>
        <v>-117072.87040105561</v>
      </c>
      <c r="I1815" s="4"/>
      <c r="J1815" s="4" t="s">
        <v>3261</v>
      </c>
      <c r="K1815" s="7">
        <v>3125</v>
      </c>
      <c r="L1815" s="4" t="s">
        <v>1177</v>
      </c>
      <c r="M1815" s="4" t="s">
        <v>27</v>
      </c>
      <c r="N1815" s="4"/>
    </row>
    <row r="1816" spans="1:14" ht="10.5" hidden="1" x14ac:dyDescent="0.25">
      <c r="A1816" s="8" t="s">
        <v>57</v>
      </c>
      <c r="B1816" s="4" t="s">
        <v>21</v>
      </c>
      <c r="C1816" s="5">
        <v>43585</v>
      </c>
      <c r="D1816" s="4" t="s">
        <v>1173</v>
      </c>
      <c r="E1816" s="4" t="s">
        <v>1174</v>
      </c>
      <c r="F1816" s="4" t="s">
        <v>3260</v>
      </c>
      <c r="G1816" s="6">
        <v>810.00000020705863</v>
      </c>
      <c r="H1816" s="6">
        <f t="shared" si="31"/>
        <v>-116262.87040084855</v>
      </c>
      <c r="I1816" s="4"/>
      <c r="J1816" s="4" t="s">
        <v>3261</v>
      </c>
      <c r="K1816" s="7">
        <v>810</v>
      </c>
      <c r="L1816" s="4" t="s">
        <v>1177</v>
      </c>
      <c r="M1816" s="4" t="s">
        <v>27</v>
      </c>
      <c r="N1816" s="4"/>
    </row>
    <row r="1817" spans="1:14" ht="10.5" hidden="1" x14ac:dyDescent="0.25">
      <c r="A1817" s="8" t="s">
        <v>57</v>
      </c>
      <c r="B1817" s="4" t="s">
        <v>21</v>
      </c>
      <c r="C1817" s="5">
        <v>43585</v>
      </c>
      <c r="D1817" s="4" t="s">
        <v>1173</v>
      </c>
      <c r="E1817" s="4" t="s">
        <v>1174</v>
      </c>
      <c r="F1817" s="4" t="s">
        <v>3260</v>
      </c>
      <c r="G1817" s="6">
        <v>25500.000006518512</v>
      </c>
      <c r="H1817" s="6">
        <f t="shared" si="31"/>
        <v>-90762.870394330035</v>
      </c>
      <c r="I1817" s="4"/>
      <c r="J1817" s="4" t="s">
        <v>3261</v>
      </c>
      <c r="K1817" s="7">
        <v>25500</v>
      </c>
      <c r="L1817" s="4" t="s">
        <v>1177</v>
      </c>
      <c r="M1817" s="4" t="s">
        <v>27</v>
      </c>
      <c r="N1817" s="4"/>
    </row>
    <row r="1818" spans="1:14" ht="10.5" hidden="1" x14ac:dyDescent="0.25">
      <c r="A1818" s="8" t="s">
        <v>57</v>
      </c>
      <c r="B1818" s="4" t="s">
        <v>21</v>
      </c>
      <c r="C1818" s="5">
        <v>43585</v>
      </c>
      <c r="D1818" s="4" t="s">
        <v>1173</v>
      </c>
      <c r="E1818" s="4" t="s">
        <v>1174</v>
      </c>
      <c r="F1818" s="4" t="s">
        <v>3260</v>
      </c>
      <c r="G1818" s="6">
        <v>2500.0000006390701</v>
      </c>
      <c r="H1818" s="6">
        <f t="shared" si="31"/>
        <v>-88262.870393690959</v>
      </c>
      <c r="I1818" s="4"/>
      <c r="J1818" s="4" t="s">
        <v>3261</v>
      </c>
      <c r="K1818" s="7">
        <v>2500</v>
      </c>
      <c r="L1818" s="4" t="s">
        <v>1177</v>
      </c>
      <c r="M1818" s="4" t="s">
        <v>27</v>
      </c>
      <c r="N1818" s="4"/>
    </row>
    <row r="1819" spans="1:14" ht="10.5" hidden="1" x14ac:dyDescent="0.25">
      <c r="A1819" s="8" t="s">
        <v>57</v>
      </c>
      <c r="B1819" s="4" t="s">
        <v>21</v>
      </c>
      <c r="C1819" s="5">
        <v>43585</v>
      </c>
      <c r="D1819" s="4" t="s">
        <v>1173</v>
      </c>
      <c r="E1819" s="4" t="s">
        <v>1174</v>
      </c>
      <c r="F1819" s="4" t="s">
        <v>3260</v>
      </c>
      <c r="G1819" s="6">
        <v>3500.0000008946981</v>
      </c>
      <c r="H1819" s="6">
        <f t="shared" si="31"/>
        <v>-84762.870392796263</v>
      </c>
      <c r="I1819" s="4"/>
      <c r="J1819" s="4" t="s">
        <v>3261</v>
      </c>
      <c r="K1819" s="7">
        <v>3500</v>
      </c>
      <c r="L1819" s="4" t="s">
        <v>1177</v>
      </c>
      <c r="M1819" s="4" t="s">
        <v>27</v>
      </c>
      <c r="N1819" s="4"/>
    </row>
    <row r="1820" spans="1:14" ht="10.5" hidden="1" x14ac:dyDescent="0.25">
      <c r="A1820" s="8" t="s">
        <v>57</v>
      </c>
      <c r="B1820" s="4" t="s">
        <v>21</v>
      </c>
      <c r="C1820" s="5">
        <v>43585</v>
      </c>
      <c r="D1820" s="4" t="s">
        <v>1173</v>
      </c>
      <c r="E1820" s="4" t="s">
        <v>1174</v>
      </c>
      <c r="F1820" s="4" t="s">
        <v>3260</v>
      </c>
      <c r="G1820" s="6">
        <v>1800.0000004601304</v>
      </c>
      <c r="H1820" s="6">
        <f t="shared" si="31"/>
        <v>-82962.870392336132</v>
      </c>
      <c r="I1820" s="4"/>
      <c r="J1820" s="4" t="s">
        <v>3261</v>
      </c>
      <c r="K1820" s="7">
        <v>1800</v>
      </c>
      <c r="L1820" s="4" t="s">
        <v>1177</v>
      </c>
      <c r="M1820" s="4" t="s">
        <v>27</v>
      </c>
      <c r="N1820" s="4"/>
    </row>
    <row r="1821" spans="1:14" ht="10.5" hidden="1" x14ac:dyDescent="0.25">
      <c r="A1821" s="8" t="s">
        <v>57</v>
      </c>
      <c r="B1821" s="4" t="s">
        <v>21</v>
      </c>
      <c r="C1821" s="5">
        <v>43585</v>
      </c>
      <c r="D1821" s="4" t="s">
        <v>1173</v>
      </c>
      <c r="E1821" s="4" t="s">
        <v>1174</v>
      </c>
      <c r="F1821" s="4" t="s">
        <v>3260</v>
      </c>
      <c r="G1821" s="6">
        <v>15304.250003912195</v>
      </c>
      <c r="H1821" s="6">
        <f t="shared" si="31"/>
        <v>-67658.620388423937</v>
      </c>
      <c r="I1821" s="4"/>
      <c r="J1821" s="4" t="s">
        <v>3261</v>
      </c>
      <c r="K1821" s="7">
        <v>15304.25</v>
      </c>
      <c r="L1821" s="4" t="s">
        <v>1177</v>
      </c>
      <c r="M1821" s="4" t="s">
        <v>27</v>
      </c>
      <c r="N1821" s="4"/>
    </row>
    <row r="1822" spans="1:14" ht="10.5" hidden="1" x14ac:dyDescent="0.25">
      <c r="A1822" s="8" t="s">
        <v>57</v>
      </c>
      <c r="B1822" s="4" t="s">
        <v>21</v>
      </c>
      <c r="C1822" s="5">
        <v>43616</v>
      </c>
      <c r="D1822" s="4" t="s">
        <v>1183</v>
      </c>
      <c r="E1822" s="4" t="s">
        <v>1174</v>
      </c>
      <c r="F1822" s="4" t="s">
        <v>3260</v>
      </c>
      <c r="G1822" s="6">
        <v>10020.000001451857</v>
      </c>
      <c r="H1822" s="6">
        <f t="shared" si="31"/>
        <v>-57638.620386972078</v>
      </c>
      <c r="I1822" s="4"/>
      <c r="J1822" s="4" t="s">
        <v>3261</v>
      </c>
      <c r="K1822" s="7">
        <v>10020</v>
      </c>
      <c r="L1822" s="4" t="s">
        <v>1185</v>
      </c>
      <c r="M1822" s="4" t="s">
        <v>27</v>
      </c>
      <c r="N1822" s="4"/>
    </row>
    <row r="1823" spans="1:14" ht="10.5" hidden="1" x14ac:dyDescent="0.25">
      <c r="A1823" s="8" t="s">
        <v>57</v>
      </c>
      <c r="B1823" s="4" t="s">
        <v>21</v>
      </c>
      <c r="C1823" s="5">
        <v>43646</v>
      </c>
      <c r="D1823" s="4" t="s">
        <v>3163</v>
      </c>
      <c r="E1823" s="4" t="s">
        <v>1174</v>
      </c>
      <c r="F1823" s="4" t="s">
        <v>3260</v>
      </c>
      <c r="G1823" s="6">
        <v>2100.0000007726321</v>
      </c>
      <c r="H1823" s="6">
        <f t="shared" si="31"/>
        <v>-55538.620386199444</v>
      </c>
      <c r="I1823" s="4"/>
      <c r="J1823" s="4" t="s">
        <v>37</v>
      </c>
      <c r="K1823" s="7">
        <v>2100</v>
      </c>
      <c r="L1823" s="4" t="s">
        <v>1194</v>
      </c>
      <c r="M1823" s="4" t="s">
        <v>27</v>
      </c>
      <c r="N1823" s="4"/>
    </row>
    <row r="1824" spans="1:14" ht="10.5" hidden="1" x14ac:dyDescent="0.25">
      <c r="A1824" s="8" t="s">
        <v>57</v>
      </c>
      <c r="B1824" s="4" t="s">
        <v>21</v>
      </c>
      <c r="C1824" s="5">
        <v>43646</v>
      </c>
      <c r="D1824" s="4" t="s">
        <v>3163</v>
      </c>
      <c r="E1824" s="4" t="s">
        <v>1174</v>
      </c>
      <c r="F1824" s="4" t="s">
        <v>3260</v>
      </c>
      <c r="G1824" s="6">
        <v>2483.7800009138323</v>
      </c>
      <c r="H1824" s="6">
        <f t="shared" si="31"/>
        <v>-53054.840385285614</v>
      </c>
      <c r="I1824" s="4"/>
      <c r="J1824" s="4" t="s">
        <v>37</v>
      </c>
      <c r="K1824" s="7">
        <v>2483.7800000000002</v>
      </c>
      <c r="L1824" s="4" t="s">
        <v>1194</v>
      </c>
      <c r="M1824" s="4" t="s">
        <v>27</v>
      </c>
      <c r="N1824" s="4"/>
    </row>
    <row r="1825" spans="1:14" ht="10.5" hidden="1" x14ac:dyDescent="0.25">
      <c r="A1825" s="8" t="s">
        <v>57</v>
      </c>
      <c r="B1825" s="4" t="s">
        <v>21</v>
      </c>
      <c r="C1825" s="5">
        <v>43677</v>
      </c>
      <c r="D1825" s="4" t="s">
        <v>1201</v>
      </c>
      <c r="E1825" s="4" t="s">
        <v>1174</v>
      </c>
      <c r="F1825" s="4" t="s">
        <v>3260</v>
      </c>
      <c r="G1825" s="6">
        <v>1889.9999999715403</v>
      </c>
      <c r="H1825" s="6">
        <f t="shared" si="31"/>
        <v>-51164.84038531407</v>
      </c>
      <c r="I1825" s="4"/>
      <c r="J1825" s="4" t="s">
        <v>37</v>
      </c>
      <c r="K1825" s="7">
        <v>1890</v>
      </c>
      <c r="L1825" s="4" t="s">
        <v>1197</v>
      </c>
      <c r="M1825" s="4" t="s">
        <v>27</v>
      </c>
      <c r="N1825" s="4"/>
    </row>
    <row r="1826" spans="1:14" ht="10.5" hidden="1" x14ac:dyDescent="0.25">
      <c r="A1826" s="8" t="s">
        <v>57</v>
      </c>
      <c r="B1826" s="4" t="s">
        <v>21</v>
      </c>
      <c r="C1826" s="5">
        <v>43677</v>
      </c>
      <c r="D1826" s="4" t="s">
        <v>1201</v>
      </c>
      <c r="E1826" s="4" t="s">
        <v>1174</v>
      </c>
      <c r="F1826" s="4" t="s">
        <v>3260</v>
      </c>
      <c r="G1826" s="6">
        <v>33534.079999495043</v>
      </c>
      <c r="H1826" s="6">
        <f t="shared" si="31"/>
        <v>-17630.760385819027</v>
      </c>
      <c r="I1826" s="4"/>
      <c r="J1826" s="4" t="s">
        <v>37</v>
      </c>
      <c r="K1826" s="7">
        <v>33534.080000000002</v>
      </c>
      <c r="L1826" s="4" t="s">
        <v>1197</v>
      </c>
      <c r="M1826" s="4" t="s">
        <v>27</v>
      </c>
      <c r="N1826" s="4"/>
    </row>
    <row r="1827" spans="1:14" ht="10.5" hidden="1" x14ac:dyDescent="0.25">
      <c r="A1827" s="8" t="s">
        <v>57</v>
      </c>
      <c r="B1827" s="4" t="s">
        <v>21</v>
      </c>
      <c r="C1827" s="5">
        <v>43677</v>
      </c>
      <c r="D1827" s="4" t="s">
        <v>1201</v>
      </c>
      <c r="E1827" s="4" t="s">
        <v>1174</v>
      </c>
      <c r="F1827" s="4" t="s">
        <v>3260</v>
      </c>
      <c r="G1827" s="6">
        <v>4328.2099999348256</v>
      </c>
      <c r="H1827" s="6">
        <f t="shared" si="31"/>
        <v>-13302.550385884202</v>
      </c>
      <c r="I1827" s="4"/>
      <c r="J1827" s="4" t="s">
        <v>37</v>
      </c>
      <c r="K1827" s="7">
        <v>4328.21</v>
      </c>
      <c r="L1827" s="4" t="s">
        <v>1197</v>
      </c>
      <c r="M1827" s="4" t="s">
        <v>27</v>
      </c>
      <c r="N1827" s="4"/>
    </row>
    <row r="1828" spans="1:14" ht="10.5" hidden="1" x14ac:dyDescent="0.25">
      <c r="A1828" s="8" t="s">
        <v>57</v>
      </c>
      <c r="B1828" s="4" t="s">
        <v>21</v>
      </c>
      <c r="C1828" s="5">
        <v>43708</v>
      </c>
      <c r="D1828" s="4" t="s">
        <v>1203</v>
      </c>
      <c r="E1828" s="4" t="s">
        <v>1174</v>
      </c>
      <c r="F1828" s="4" t="s">
        <v>3260</v>
      </c>
      <c r="G1828" s="6">
        <v>4692.2199980290798</v>
      </c>
      <c r="H1828" s="6">
        <f t="shared" si="31"/>
        <v>-8610.3303878551233</v>
      </c>
      <c r="I1828" s="4"/>
      <c r="J1828" s="4" t="s">
        <v>37</v>
      </c>
      <c r="K1828" s="7">
        <v>4692.22</v>
      </c>
      <c r="L1828" s="4" t="s">
        <v>1205</v>
      </c>
      <c r="M1828" s="4" t="s">
        <v>27</v>
      </c>
      <c r="N1828" s="4"/>
    </row>
    <row r="1829" spans="1:14" ht="10.5" hidden="1" x14ac:dyDescent="0.25">
      <c r="A1829" s="8" t="s">
        <v>57</v>
      </c>
      <c r="B1829" s="4" t="s">
        <v>21</v>
      </c>
      <c r="C1829" s="5">
        <v>43738</v>
      </c>
      <c r="D1829" s="4" t="s">
        <v>3167</v>
      </c>
      <c r="E1829" s="4" t="s">
        <v>1174</v>
      </c>
      <c r="F1829" s="4" t="s">
        <v>3260</v>
      </c>
      <c r="G1829" s="6">
        <v>4778.9999983934913</v>
      </c>
      <c r="H1829" s="6">
        <f t="shared" si="31"/>
        <v>-3831.330389461632</v>
      </c>
      <c r="I1829" s="4"/>
      <c r="J1829" s="4" t="s">
        <v>37</v>
      </c>
      <c r="K1829" s="7">
        <v>4779</v>
      </c>
      <c r="L1829" s="4" t="s">
        <v>2214</v>
      </c>
      <c r="M1829" s="4" t="s">
        <v>27</v>
      </c>
      <c r="N1829" s="4"/>
    </row>
    <row r="1830" spans="1:14" ht="10.5" hidden="1" x14ac:dyDescent="0.25">
      <c r="A1830" s="8" t="s">
        <v>57</v>
      </c>
      <c r="B1830" s="4" t="s">
        <v>21</v>
      </c>
      <c r="C1830" s="5">
        <v>43738</v>
      </c>
      <c r="D1830" s="4" t="s">
        <v>3167</v>
      </c>
      <c r="E1830" s="4" t="s">
        <v>1174</v>
      </c>
      <c r="F1830" s="4" t="s">
        <v>3260</v>
      </c>
      <c r="G1830" s="6">
        <v>11199.999996235008</v>
      </c>
      <c r="H1830" s="6">
        <f t="shared" si="31"/>
        <v>7368.6696067733765</v>
      </c>
      <c r="I1830" s="4"/>
      <c r="J1830" s="4" t="s">
        <v>37</v>
      </c>
      <c r="K1830" s="7">
        <v>11200</v>
      </c>
      <c r="L1830" s="4" t="s">
        <v>2214</v>
      </c>
      <c r="M1830" s="4" t="s">
        <v>27</v>
      </c>
      <c r="N1830" s="4"/>
    </row>
    <row r="1831" spans="1:14" ht="10.5" hidden="1" x14ac:dyDescent="0.25">
      <c r="A1831" s="8" t="s">
        <v>57</v>
      </c>
      <c r="B1831" s="4" t="s">
        <v>21</v>
      </c>
      <c r="C1831" s="5">
        <v>43738</v>
      </c>
      <c r="D1831" s="4" t="s">
        <v>3167</v>
      </c>
      <c r="E1831" s="4" t="s">
        <v>1174</v>
      </c>
      <c r="F1831" s="4" t="s">
        <v>3260</v>
      </c>
      <c r="G1831" s="6">
        <v>1055.9999996450151</v>
      </c>
      <c r="H1831" s="6">
        <f t="shared" si="31"/>
        <v>8424.6696064183925</v>
      </c>
      <c r="I1831" s="4"/>
      <c r="J1831" s="4" t="s">
        <v>37</v>
      </c>
      <c r="K1831" s="7">
        <v>1056</v>
      </c>
      <c r="L1831" s="4" t="s">
        <v>2214</v>
      </c>
      <c r="M1831" s="4" t="s">
        <v>27</v>
      </c>
      <c r="N1831" s="4"/>
    </row>
    <row r="1832" spans="1:14" ht="10.5" hidden="1" x14ac:dyDescent="0.25">
      <c r="A1832" s="8" t="s">
        <v>57</v>
      </c>
      <c r="B1832" s="4" t="s">
        <v>21</v>
      </c>
      <c r="C1832" s="5">
        <v>43738</v>
      </c>
      <c r="D1832" s="4" t="s">
        <v>3167</v>
      </c>
      <c r="E1832" s="4" t="s">
        <v>1174</v>
      </c>
      <c r="F1832" s="4" t="s">
        <v>3260</v>
      </c>
      <c r="G1832" s="6">
        <v>3263.9999989027738</v>
      </c>
      <c r="H1832" s="6">
        <f t="shared" si="31"/>
        <v>11688.669605321167</v>
      </c>
      <c r="I1832" s="4"/>
      <c r="J1832" s="4" t="s">
        <v>1176</v>
      </c>
      <c r="K1832" s="7">
        <v>3264</v>
      </c>
      <c r="L1832" s="4" t="s">
        <v>2214</v>
      </c>
      <c r="M1832" s="4" t="s">
        <v>27</v>
      </c>
      <c r="N1832" s="4"/>
    </row>
    <row r="1833" spans="1:14" ht="10.5" hidden="1" x14ac:dyDescent="0.25">
      <c r="A1833" s="8" t="s">
        <v>57</v>
      </c>
      <c r="B1833" s="4" t="s">
        <v>21</v>
      </c>
      <c r="C1833" s="5">
        <v>43769</v>
      </c>
      <c r="D1833" s="4" t="s">
        <v>3173</v>
      </c>
      <c r="E1833" s="4" t="s">
        <v>1174</v>
      </c>
      <c r="F1833" s="4" t="s">
        <v>3260</v>
      </c>
      <c r="G1833" s="6">
        <v>36028.000019352803</v>
      </c>
      <c r="H1833" s="6">
        <f t="shared" si="31"/>
        <v>47716.669624673974</v>
      </c>
      <c r="I1833" s="4"/>
      <c r="J1833" s="4" t="s">
        <v>37</v>
      </c>
      <c r="K1833" s="7">
        <v>36028</v>
      </c>
      <c r="L1833" s="4" t="s">
        <v>2216</v>
      </c>
      <c r="M1833" s="4" t="s">
        <v>27</v>
      </c>
      <c r="N1833" s="4"/>
    </row>
    <row r="1834" spans="1:14" ht="10.5" hidden="1" x14ac:dyDescent="0.25">
      <c r="A1834" s="8" t="s">
        <v>57</v>
      </c>
      <c r="B1834" s="4" t="s">
        <v>21</v>
      </c>
      <c r="C1834" s="5">
        <v>43769</v>
      </c>
      <c r="D1834" s="4" t="s">
        <v>3173</v>
      </c>
      <c r="E1834" s="4" t="s">
        <v>1174</v>
      </c>
      <c r="F1834" s="4" t="s">
        <v>3260</v>
      </c>
      <c r="G1834" s="6">
        <v>539.00000028952923</v>
      </c>
      <c r="H1834" s="6">
        <f t="shared" si="31"/>
        <v>48255.669624963506</v>
      </c>
      <c r="I1834" s="4"/>
      <c r="J1834" s="4" t="s">
        <v>1176</v>
      </c>
      <c r="K1834" s="7">
        <v>539</v>
      </c>
      <c r="L1834" s="4" t="s">
        <v>2216</v>
      </c>
      <c r="M1834" s="4" t="s">
        <v>27</v>
      </c>
      <c r="N1834" s="4"/>
    </row>
    <row r="1835" spans="1:14" ht="10.5" hidden="1" x14ac:dyDescent="0.25">
      <c r="A1835" s="8" t="s">
        <v>57</v>
      </c>
      <c r="B1835" s="4" t="s">
        <v>21</v>
      </c>
      <c r="C1835" s="5">
        <v>43830</v>
      </c>
      <c r="D1835" s="4" t="s">
        <v>1208</v>
      </c>
      <c r="E1835" s="4" t="s">
        <v>1174</v>
      </c>
      <c r="F1835" s="4" t="s">
        <v>3260</v>
      </c>
      <c r="G1835" s="6">
        <v>163.59999997088573</v>
      </c>
      <c r="H1835" s="6">
        <f t="shared" si="31"/>
        <v>48419.269624934394</v>
      </c>
      <c r="I1835" s="4"/>
      <c r="J1835" s="4" t="s">
        <v>37</v>
      </c>
      <c r="K1835" s="7">
        <v>163.6</v>
      </c>
      <c r="L1835" s="4" t="s">
        <v>1025</v>
      </c>
      <c r="M1835" s="4" t="s">
        <v>27</v>
      </c>
      <c r="N1835" s="4"/>
    </row>
    <row r="1836" spans="1:14" ht="10.5" hidden="1" x14ac:dyDescent="0.25">
      <c r="A1836" s="8" t="s">
        <v>57</v>
      </c>
      <c r="B1836" s="4" t="s">
        <v>21</v>
      </c>
      <c r="C1836" s="5">
        <v>43830</v>
      </c>
      <c r="D1836" s="4" t="s">
        <v>1208</v>
      </c>
      <c r="E1836" s="4" t="s">
        <v>1174</v>
      </c>
      <c r="F1836" s="4" t="s">
        <v>3260</v>
      </c>
      <c r="G1836" s="6">
        <v>163.59999997088573</v>
      </c>
      <c r="H1836" s="6">
        <f t="shared" si="31"/>
        <v>48582.869624905281</v>
      </c>
      <c r="I1836" s="4"/>
      <c r="J1836" s="4" t="s">
        <v>37</v>
      </c>
      <c r="K1836" s="7">
        <v>163.6</v>
      </c>
      <c r="L1836" s="4" t="s">
        <v>1025</v>
      </c>
      <c r="M1836" s="4" t="s">
        <v>27</v>
      </c>
      <c r="N1836" s="4"/>
    </row>
    <row r="1837" spans="1:14" ht="10.5" hidden="1" x14ac:dyDescent="0.25">
      <c r="A1837" s="8" t="s">
        <v>57</v>
      </c>
      <c r="B1837" s="4" t="s">
        <v>21</v>
      </c>
      <c r="C1837" s="5">
        <v>43830</v>
      </c>
      <c r="D1837" s="4" t="s">
        <v>1208</v>
      </c>
      <c r="E1837" s="4" t="s">
        <v>1174</v>
      </c>
      <c r="F1837" s="4" t="s">
        <v>3260</v>
      </c>
      <c r="G1837" s="6">
        <v>281.59999994988647</v>
      </c>
      <c r="H1837" s="6">
        <f t="shared" si="31"/>
        <v>48864.46962485517</v>
      </c>
      <c r="I1837" s="4"/>
      <c r="J1837" s="4" t="s">
        <v>1176</v>
      </c>
      <c r="K1837" s="7">
        <v>281.60000000000002</v>
      </c>
      <c r="L1837" s="4" t="s">
        <v>1025</v>
      </c>
      <c r="M1837" s="4" t="s">
        <v>27</v>
      </c>
      <c r="N1837" s="4"/>
    </row>
    <row r="1838" spans="1:14" ht="10.5" hidden="1" x14ac:dyDescent="0.25">
      <c r="A1838" s="8" t="s">
        <v>57</v>
      </c>
      <c r="B1838" s="4" t="s">
        <v>21</v>
      </c>
      <c r="C1838" s="5">
        <v>43830</v>
      </c>
      <c r="D1838" s="4" t="s">
        <v>1208</v>
      </c>
      <c r="E1838" s="4" t="s">
        <v>1174</v>
      </c>
      <c r="F1838" s="4" t="s">
        <v>3260</v>
      </c>
      <c r="G1838" s="6">
        <v>35999.999993593439</v>
      </c>
      <c r="H1838" s="6">
        <f t="shared" si="31"/>
        <v>84864.469618448609</v>
      </c>
      <c r="I1838" s="4"/>
      <c r="J1838" s="4" t="s">
        <v>1176</v>
      </c>
      <c r="K1838" s="7">
        <v>36000</v>
      </c>
      <c r="L1838" s="4" t="s">
        <v>1025</v>
      </c>
      <c r="M1838" s="4" t="s">
        <v>27</v>
      </c>
      <c r="N1838" s="4"/>
    </row>
    <row r="1839" spans="1:14" ht="10.5" hidden="1" x14ac:dyDescent="0.25">
      <c r="A1839" s="8" t="s">
        <v>57</v>
      </c>
      <c r="B1839" s="4" t="s">
        <v>21</v>
      </c>
      <c r="C1839" s="5">
        <v>43830</v>
      </c>
      <c r="D1839" s="4" t="s">
        <v>1208</v>
      </c>
      <c r="E1839" s="4" t="s">
        <v>1174</v>
      </c>
      <c r="F1839" s="4" t="s">
        <v>3260</v>
      </c>
      <c r="G1839" s="6">
        <v>2879.9999994874752</v>
      </c>
      <c r="H1839" s="6">
        <f t="shared" si="31"/>
        <v>87744.469617936091</v>
      </c>
      <c r="I1839" s="4"/>
      <c r="J1839" s="4" t="s">
        <v>1176</v>
      </c>
      <c r="K1839" s="7">
        <v>2880</v>
      </c>
      <c r="L1839" s="4" t="s">
        <v>1025</v>
      </c>
      <c r="M1839" s="4" t="s">
        <v>27</v>
      </c>
      <c r="N1839" s="4"/>
    </row>
    <row r="1840" spans="1:14" ht="10.5" hidden="1" x14ac:dyDescent="0.25">
      <c r="A1840" s="8" t="s">
        <v>57</v>
      </c>
      <c r="B1840" s="4" t="s">
        <v>21</v>
      </c>
      <c r="C1840" s="5">
        <v>43830</v>
      </c>
      <c r="D1840" s="4" t="s">
        <v>1208</v>
      </c>
      <c r="E1840" s="4" t="s">
        <v>1174</v>
      </c>
      <c r="F1840" s="4" t="s">
        <v>3260</v>
      </c>
      <c r="G1840" s="6">
        <v>3199.9999994305281</v>
      </c>
      <c r="H1840" s="6">
        <f t="shared" si="31"/>
        <v>90944.469617366616</v>
      </c>
      <c r="I1840" s="4"/>
      <c r="J1840" s="4" t="s">
        <v>1176</v>
      </c>
      <c r="K1840" s="7">
        <v>3200</v>
      </c>
      <c r="L1840" s="4" t="s">
        <v>1025</v>
      </c>
      <c r="M1840" s="4" t="s">
        <v>27</v>
      </c>
      <c r="N1840" s="4"/>
    </row>
    <row r="1841" spans="1:14" ht="10.5" hidden="1" x14ac:dyDescent="0.25">
      <c r="A1841" s="8" t="s">
        <v>57</v>
      </c>
      <c r="B1841" s="4" t="s">
        <v>21</v>
      </c>
      <c r="C1841" s="5">
        <v>43830</v>
      </c>
      <c r="D1841" s="4" t="s">
        <v>1208</v>
      </c>
      <c r="E1841" s="4" t="s">
        <v>1174</v>
      </c>
      <c r="F1841" s="4" t="s">
        <v>3260</v>
      </c>
      <c r="G1841" s="6">
        <v>2267.9999995963867</v>
      </c>
      <c r="H1841" s="6">
        <f t="shared" si="31"/>
        <v>93212.469616963004</v>
      </c>
      <c r="I1841" s="4"/>
      <c r="J1841" s="4" t="s">
        <v>1176</v>
      </c>
      <c r="K1841" s="7">
        <v>2268</v>
      </c>
      <c r="L1841" s="4" t="s">
        <v>1025</v>
      </c>
      <c r="M1841" s="4" t="s">
        <v>27</v>
      </c>
      <c r="N1841" s="4"/>
    </row>
    <row r="1842" spans="1:14" ht="10.5" hidden="1" x14ac:dyDescent="0.25">
      <c r="A1842" s="8" t="s">
        <v>57</v>
      </c>
      <c r="B1842" s="4" t="s">
        <v>21</v>
      </c>
      <c r="C1842" s="5">
        <v>43830</v>
      </c>
      <c r="D1842" s="4" t="s">
        <v>1208</v>
      </c>
      <c r="E1842" s="4" t="s">
        <v>1174</v>
      </c>
      <c r="F1842" s="4" t="s">
        <v>3260</v>
      </c>
      <c r="G1842" s="6">
        <v>1679.9999997010273</v>
      </c>
      <c r="H1842" s="6">
        <f t="shared" si="31"/>
        <v>94892.469616664035</v>
      </c>
      <c r="I1842" s="4"/>
      <c r="J1842" s="4" t="s">
        <v>1176</v>
      </c>
      <c r="K1842" s="7">
        <v>1680</v>
      </c>
      <c r="L1842" s="4" t="s">
        <v>1025</v>
      </c>
      <c r="M1842" s="4" t="s">
        <v>27</v>
      </c>
      <c r="N1842" s="4"/>
    </row>
    <row r="1843" spans="1:14" ht="10.5" hidden="1" x14ac:dyDescent="0.25">
      <c r="A1843" s="8" t="s">
        <v>57</v>
      </c>
      <c r="B1843" s="4" t="s">
        <v>21</v>
      </c>
      <c r="C1843" s="5">
        <v>43830</v>
      </c>
      <c r="D1843" s="4" t="s">
        <v>1208</v>
      </c>
      <c r="E1843" s="4" t="s">
        <v>1174</v>
      </c>
      <c r="F1843" s="4" t="s">
        <v>3260</v>
      </c>
      <c r="G1843" s="6">
        <v>2267.9999995963867</v>
      </c>
      <c r="H1843" s="6">
        <f t="shared" si="31"/>
        <v>97160.469616260423</v>
      </c>
      <c r="I1843" s="4"/>
      <c r="J1843" s="4" t="s">
        <v>1176</v>
      </c>
      <c r="K1843" s="7">
        <v>2268</v>
      </c>
      <c r="L1843" s="4" t="s">
        <v>1025</v>
      </c>
      <c r="M1843" s="4" t="s">
        <v>27</v>
      </c>
      <c r="N1843" s="4"/>
    </row>
    <row r="1844" spans="1:14" ht="10.5" hidden="1" x14ac:dyDescent="0.25">
      <c r="A1844" s="8" t="s">
        <v>57</v>
      </c>
      <c r="B1844" s="4" t="s">
        <v>21</v>
      </c>
      <c r="C1844" s="5">
        <v>43830</v>
      </c>
      <c r="D1844" s="4" t="s">
        <v>1208</v>
      </c>
      <c r="E1844" s="4" t="s">
        <v>1174</v>
      </c>
      <c r="F1844" s="4" t="s">
        <v>3260</v>
      </c>
      <c r="G1844" s="6">
        <v>-2267.9999995963867</v>
      </c>
      <c r="H1844" s="6">
        <f t="shared" si="31"/>
        <v>94892.469616664035</v>
      </c>
      <c r="I1844" s="4"/>
      <c r="J1844" s="4" t="s">
        <v>1176</v>
      </c>
      <c r="K1844" s="7">
        <v>-2268</v>
      </c>
      <c r="L1844" s="4" t="s">
        <v>1025</v>
      </c>
      <c r="M1844" s="4" t="s">
        <v>27</v>
      </c>
      <c r="N1844" s="4"/>
    </row>
    <row r="1845" spans="1:14" ht="10.5" hidden="1" x14ac:dyDescent="0.25">
      <c r="A1845" s="8" t="s">
        <v>57</v>
      </c>
      <c r="B1845" s="4" t="s">
        <v>21</v>
      </c>
      <c r="C1845" s="5">
        <v>43830</v>
      </c>
      <c r="D1845" s="4" t="s">
        <v>1208</v>
      </c>
      <c r="E1845" s="4" t="s">
        <v>1174</v>
      </c>
      <c r="F1845" s="4" t="s">
        <v>3260</v>
      </c>
      <c r="G1845" s="6">
        <v>2267.9999995963867</v>
      </c>
      <c r="H1845" s="6">
        <f t="shared" si="31"/>
        <v>97160.469616260423</v>
      </c>
      <c r="I1845" s="4"/>
      <c r="J1845" s="4" t="s">
        <v>1176</v>
      </c>
      <c r="K1845" s="7">
        <v>2268</v>
      </c>
      <c r="L1845" s="4" t="s">
        <v>1025</v>
      </c>
      <c r="M1845" s="4" t="s">
        <v>27</v>
      </c>
      <c r="N1845" s="4"/>
    </row>
    <row r="1846" spans="1:14" ht="10.5" hidden="1" x14ac:dyDescent="0.25">
      <c r="A1846" s="8" t="s">
        <v>57</v>
      </c>
      <c r="B1846" s="4" t="s">
        <v>21</v>
      </c>
      <c r="C1846" s="5">
        <v>43830</v>
      </c>
      <c r="D1846" s="4" t="s">
        <v>1212</v>
      </c>
      <c r="E1846" s="4" t="s">
        <v>1213</v>
      </c>
      <c r="F1846" s="4" t="s">
        <v>1213</v>
      </c>
      <c r="G1846" s="6">
        <v>15789.4860424</v>
      </c>
      <c r="H1846" s="6">
        <f t="shared" si="31"/>
        <v>112949.95565866042</v>
      </c>
      <c r="I1846" s="4"/>
      <c r="J1846" s="4" t="s">
        <v>3263</v>
      </c>
      <c r="K1846" s="7">
        <v>21627.03</v>
      </c>
      <c r="L1846" s="4" t="s">
        <v>1025</v>
      </c>
      <c r="M1846" s="4" t="s">
        <v>201</v>
      </c>
      <c r="N1846" s="4"/>
    </row>
    <row r="1847" spans="1:14" ht="10.5" hidden="1" x14ac:dyDescent="0.25">
      <c r="A1847" s="8" t="s">
        <v>57</v>
      </c>
      <c r="B1847" s="4" t="s">
        <v>21</v>
      </c>
      <c r="C1847" s="5">
        <v>43830</v>
      </c>
      <c r="D1847" s="4" t="s">
        <v>3264</v>
      </c>
      <c r="E1847" s="4" t="s">
        <v>3265</v>
      </c>
      <c r="F1847" s="4" t="s">
        <v>3266</v>
      </c>
      <c r="G1847" s="6">
        <v>179999.99996796719</v>
      </c>
      <c r="H1847" s="6">
        <f t="shared" si="31"/>
        <v>292949.9556266276</v>
      </c>
      <c r="I1847" s="4"/>
      <c r="J1847" s="4" t="s">
        <v>1176</v>
      </c>
      <c r="K1847" s="7">
        <v>180000</v>
      </c>
      <c r="L1847" s="4" t="s">
        <v>1025</v>
      </c>
      <c r="M1847" s="4" t="s">
        <v>27</v>
      </c>
      <c r="N1847" s="4"/>
    </row>
    <row r="1848" spans="1:14" ht="10.5" hidden="1" x14ac:dyDescent="0.25">
      <c r="A1848" s="8" t="s">
        <v>57</v>
      </c>
      <c r="B1848" s="4" t="s">
        <v>21</v>
      </c>
      <c r="C1848" s="5">
        <v>43830</v>
      </c>
      <c r="D1848" s="4" t="s">
        <v>3267</v>
      </c>
      <c r="E1848" s="4" t="s">
        <v>3268</v>
      </c>
      <c r="F1848" s="4"/>
      <c r="G1848" s="6">
        <v>496940.9999115644</v>
      </c>
      <c r="H1848" s="6">
        <f t="shared" si="31"/>
        <v>789890.95553819207</v>
      </c>
      <c r="I1848" s="4"/>
      <c r="J1848" s="4" t="s">
        <v>1176</v>
      </c>
      <c r="K1848" s="7">
        <v>496941</v>
      </c>
      <c r="L1848" s="4" t="s">
        <v>1025</v>
      </c>
      <c r="M1848" s="4" t="s">
        <v>27</v>
      </c>
      <c r="N1848" s="4"/>
    </row>
    <row r="1849" spans="1:14" ht="10.5" hidden="1" x14ac:dyDescent="0.25">
      <c r="A1849" s="8" t="s">
        <v>57</v>
      </c>
      <c r="B1849" s="4" t="s">
        <v>21</v>
      </c>
      <c r="C1849" s="5">
        <v>43830</v>
      </c>
      <c r="D1849" s="4" t="s">
        <v>3269</v>
      </c>
      <c r="E1849" s="4" t="s">
        <v>3270</v>
      </c>
      <c r="F1849" s="4" t="s">
        <v>3270</v>
      </c>
      <c r="G1849" s="6">
        <v>-496940.9999115644</v>
      </c>
      <c r="H1849" s="6">
        <f t="shared" si="31"/>
        <v>292949.95562662766</v>
      </c>
      <c r="I1849" s="4"/>
      <c r="J1849" s="4" t="s">
        <v>37</v>
      </c>
      <c r="K1849" s="7">
        <v>-496941</v>
      </c>
      <c r="L1849" s="4" t="s">
        <v>1025</v>
      </c>
      <c r="M1849" s="4" t="s">
        <v>27</v>
      </c>
      <c r="N1849" s="4" t="s">
        <v>28</v>
      </c>
    </row>
    <row r="1850" spans="1:14" ht="10.5" hidden="1" x14ac:dyDescent="0.25">
      <c r="A1850" s="8" t="s">
        <v>57</v>
      </c>
      <c r="B1850" s="4" t="s">
        <v>21</v>
      </c>
      <c r="C1850" s="5">
        <v>43830</v>
      </c>
      <c r="D1850" s="4" t="s">
        <v>1233</v>
      </c>
      <c r="E1850" s="4" t="s">
        <v>1234</v>
      </c>
      <c r="F1850" s="4" t="s">
        <v>1213</v>
      </c>
      <c r="G1850" s="6">
        <v>-15786.5227653</v>
      </c>
      <c r="H1850" s="6">
        <f t="shared" si="31"/>
        <v>277163.43286132766</v>
      </c>
      <c r="I1850" s="4"/>
      <c r="J1850" s="4" t="s">
        <v>3263</v>
      </c>
      <c r="K1850" s="7">
        <v>-21627.03</v>
      </c>
      <c r="L1850" s="4" t="s">
        <v>1025</v>
      </c>
      <c r="M1850" s="4" t="s">
        <v>201</v>
      </c>
      <c r="N1850" s="4" t="s">
        <v>1026</v>
      </c>
    </row>
    <row r="1851" spans="1:14" ht="10.5" hidden="1" x14ac:dyDescent="0.25">
      <c r="A1851" s="8" t="s">
        <v>57</v>
      </c>
      <c r="B1851" s="4" t="s">
        <v>21</v>
      </c>
      <c r="C1851" s="5">
        <v>43830</v>
      </c>
      <c r="D1851" s="4" t="s">
        <v>3271</v>
      </c>
      <c r="E1851" s="4" t="s">
        <v>3272</v>
      </c>
      <c r="F1851" s="4" t="s">
        <v>3273</v>
      </c>
      <c r="G1851" s="6">
        <v>69627.626303199999</v>
      </c>
      <c r="H1851" s="6">
        <f t="shared" si="31"/>
        <v>346791.05916452769</v>
      </c>
      <c r="I1851" s="4"/>
      <c r="J1851" s="4" t="s">
        <v>25</v>
      </c>
      <c r="K1851" s="7">
        <v>63206.48</v>
      </c>
      <c r="L1851" s="4" t="s">
        <v>1025</v>
      </c>
      <c r="M1851" s="4" t="s">
        <v>61</v>
      </c>
      <c r="N1851" s="4" t="s">
        <v>181</v>
      </c>
    </row>
    <row r="1852" spans="1:14" ht="10.5" hidden="1" x14ac:dyDescent="0.25">
      <c r="A1852" s="8" t="s">
        <v>57</v>
      </c>
      <c r="B1852" s="4" t="s">
        <v>21</v>
      </c>
      <c r="C1852" s="5">
        <v>43831</v>
      </c>
      <c r="D1852" s="4" t="s">
        <v>3274</v>
      </c>
      <c r="E1852" s="4" t="s">
        <v>66</v>
      </c>
      <c r="F1852" s="4"/>
      <c r="G1852" s="6">
        <v>-1929.683879902894</v>
      </c>
      <c r="H1852" s="6">
        <f t="shared" si="31"/>
        <v>344861.37528462481</v>
      </c>
      <c r="I1852" s="4"/>
      <c r="J1852" s="4" t="s">
        <v>37</v>
      </c>
      <c r="K1852" s="7">
        <v>-1929.38</v>
      </c>
      <c r="L1852" s="4" t="s">
        <v>1237</v>
      </c>
      <c r="M1852" s="4" t="s">
        <v>27</v>
      </c>
      <c r="N1852" s="4"/>
    </row>
    <row r="1853" spans="1:14" ht="10.5" hidden="1" x14ac:dyDescent="0.25">
      <c r="A1853" s="8" t="s">
        <v>57</v>
      </c>
      <c r="B1853" s="4" t="s">
        <v>21</v>
      </c>
      <c r="C1853" s="5">
        <v>43837</v>
      </c>
      <c r="D1853" s="4" t="s">
        <v>3275</v>
      </c>
      <c r="E1853" s="4" t="s">
        <v>3260</v>
      </c>
      <c r="F1853" s="4" t="s">
        <v>3260</v>
      </c>
      <c r="G1853" s="6">
        <v>6490.0220260860369</v>
      </c>
      <c r="H1853" s="6">
        <f t="shared" si="31"/>
        <v>351351.39731071086</v>
      </c>
      <c r="I1853" s="4"/>
      <c r="J1853" s="4" t="s">
        <v>1176</v>
      </c>
      <c r="K1853" s="7">
        <v>6489</v>
      </c>
      <c r="L1853" s="4" t="s">
        <v>1237</v>
      </c>
      <c r="M1853" s="4" t="s">
        <v>27</v>
      </c>
      <c r="N1853" s="4"/>
    </row>
    <row r="1854" spans="1:14" ht="10.5" hidden="1" x14ac:dyDescent="0.25">
      <c r="A1854" s="8" t="s">
        <v>57</v>
      </c>
      <c r="B1854" s="4" t="s">
        <v>21</v>
      </c>
      <c r="C1854" s="5">
        <v>43837</v>
      </c>
      <c r="D1854" s="4" t="s">
        <v>3276</v>
      </c>
      <c r="E1854" s="4" t="s">
        <v>3260</v>
      </c>
      <c r="F1854" s="4" t="s">
        <v>3260</v>
      </c>
      <c r="G1854" s="6">
        <v>1838.8395740577105</v>
      </c>
      <c r="H1854" s="6">
        <f t="shared" si="31"/>
        <v>353190.23688476859</v>
      </c>
      <c r="I1854" s="4"/>
      <c r="J1854" s="4" t="s">
        <v>1176</v>
      </c>
      <c r="K1854" s="7">
        <v>1838.55</v>
      </c>
      <c r="L1854" s="4" t="s">
        <v>1237</v>
      </c>
      <c r="M1854" s="4" t="s">
        <v>27</v>
      </c>
      <c r="N1854" s="4"/>
    </row>
    <row r="1855" spans="1:14" ht="10.5" hidden="1" x14ac:dyDescent="0.25">
      <c r="A1855" s="8" t="s">
        <v>57</v>
      </c>
      <c r="B1855" s="4" t="s">
        <v>21</v>
      </c>
      <c r="C1855" s="5">
        <v>43837</v>
      </c>
      <c r="D1855" s="4" t="s">
        <v>3277</v>
      </c>
      <c r="E1855" s="4" t="s">
        <v>3260</v>
      </c>
      <c r="F1855" s="4" t="s">
        <v>3260</v>
      </c>
      <c r="G1855" s="6">
        <v>1947.0066078258112</v>
      </c>
      <c r="H1855" s="6">
        <f t="shared" si="31"/>
        <v>355137.2434925944</v>
      </c>
      <c r="I1855" s="4"/>
      <c r="J1855" s="4" t="s">
        <v>1176</v>
      </c>
      <c r="K1855" s="7">
        <v>1946.7</v>
      </c>
      <c r="L1855" s="4" t="s">
        <v>1237</v>
      </c>
      <c r="M1855" s="4" t="s">
        <v>27</v>
      </c>
      <c r="N1855" s="4"/>
    </row>
    <row r="1856" spans="1:14" ht="10.5" hidden="1" x14ac:dyDescent="0.25">
      <c r="A1856" s="8" t="s">
        <v>57</v>
      </c>
      <c r="B1856" s="4" t="s">
        <v>21</v>
      </c>
      <c r="C1856" s="5">
        <v>43837</v>
      </c>
      <c r="D1856" s="4" t="s">
        <v>3278</v>
      </c>
      <c r="E1856" s="4" t="s">
        <v>3260</v>
      </c>
      <c r="F1856" s="4" t="s">
        <v>3260</v>
      </c>
      <c r="G1856" s="6">
        <v>1298.0044052172075</v>
      </c>
      <c r="H1856" s="6">
        <f t="shared" si="31"/>
        <v>356435.24789781158</v>
      </c>
      <c r="I1856" s="4"/>
      <c r="J1856" s="4" t="s">
        <v>1176</v>
      </c>
      <c r="K1856" s="7">
        <v>1297.8</v>
      </c>
      <c r="L1856" s="4" t="s">
        <v>1237</v>
      </c>
      <c r="M1856" s="4" t="s">
        <v>27</v>
      </c>
      <c r="N1856" s="4"/>
    </row>
    <row r="1857" spans="1:14" ht="10.5" hidden="1" x14ac:dyDescent="0.25">
      <c r="A1857" s="8" t="s">
        <v>57</v>
      </c>
      <c r="B1857" s="4" t="s">
        <v>21</v>
      </c>
      <c r="C1857" s="5">
        <v>43837</v>
      </c>
      <c r="D1857" s="4" t="s">
        <v>3279</v>
      </c>
      <c r="E1857" s="4" t="s">
        <v>3260</v>
      </c>
      <c r="F1857" s="4" t="s">
        <v>3260</v>
      </c>
      <c r="G1857" s="6">
        <v>1835.8391015537411</v>
      </c>
      <c r="H1857" s="6">
        <f t="shared" si="31"/>
        <v>358271.0869993653</v>
      </c>
      <c r="I1857" s="4"/>
      <c r="J1857" s="4" t="s">
        <v>1176</v>
      </c>
      <c r="K1857" s="7">
        <v>1835.55</v>
      </c>
      <c r="L1857" s="4" t="s">
        <v>1237</v>
      </c>
      <c r="M1857" s="4" t="s">
        <v>27</v>
      </c>
      <c r="N1857" s="4"/>
    </row>
    <row r="1858" spans="1:14" ht="10.5" hidden="1" x14ac:dyDescent="0.25">
      <c r="A1858" s="8" t="s">
        <v>57</v>
      </c>
      <c r="B1858" s="4" t="s">
        <v>21</v>
      </c>
      <c r="C1858" s="5">
        <v>43837</v>
      </c>
      <c r="D1858" s="4" t="s">
        <v>3280</v>
      </c>
      <c r="E1858" s="4" t="s">
        <v>3281</v>
      </c>
      <c r="F1858" s="4" t="s">
        <v>3260</v>
      </c>
      <c r="G1858" s="6">
        <v>-6490.0220260860369</v>
      </c>
      <c r="H1858" s="6">
        <f t="shared" si="31"/>
        <v>351781.06497327925</v>
      </c>
      <c r="I1858" s="4"/>
      <c r="J1858" s="4" t="s">
        <v>1176</v>
      </c>
      <c r="K1858" s="7">
        <v>-6489</v>
      </c>
      <c r="L1858" s="4" t="s">
        <v>1237</v>
      </c>
      <c r="M1858" s="4" t="s">
        <v>27</v>
      </c>
      <c r="N1858" s="4"/>
    </row>
    <row r="1859" spans="1:14" ht="10.5" hidden="1" x14ac:dyDescent="0.25">
      <c r="A1859" s="8" t="s">
        <v>57</v>
      </c>
      <c r="B1859" s="4" t="s">
        <v>21</v>
      </c>
      <c r="C1859" s="5">
        <v>43837</v>
      </c>
      <c r="D1859" s="4" t="s">
        <v>3280</v>
      </c>
      <c r="E1859" s="4" t="s">
        <v>3281</v>
      </c>
      <c r="F1859" s="4" t="s">
        <v>3260</v>
      </c>
      <c r="G1859" s="6">
        <v>6490.0220260860369</v>
      </c>
      <c r="H1859" s="6">
        <f t="shared" si="31"/>
        <v>358271.0869993653</v>
      </c>
      <c r="I1859" s="4"/>
      <c r="J1859" s="4" t="s">
        <v>37</v>
      </c>
      <c r="K1859" s="7">
        <v>6489</v>
      </c>
      <c r="L1859" s="4" t="s">
        <v>1237</v>
      </c>
      <c r="M1859" s="4" t="s">
        <v>27</v>
      </c>
      <c r="N1859" s="4"/>
    </row>
    <row r="1860" spans="1:14" ht="10.5" hidden="1" x14ac:dyDescent="0.25">
      <c r="A1860" s="8" t="s">
        <v>57</v>
      </c>
      <c r="B1860" s="4" t="s">
        <v>21</v>
      </c>
      <c r="C1860" s="5">
        <v>43837</v>
      </c>
      <c r="D1860" s="4" t="s">
        <v>3282</v>
      </c>
      <c r="E1860" s="4" t="s">
        <v>3281</v>
      </c>
      <c r="F1860" s="4" t="s">
        <v>3260</v>
      </c>
      <c r="G1860" s="6">
        <v>-1838.8395740577105</v>
      </c>
      <c r="H1860" s="6">
        <f t="shared" si="31"/>
        <v>356432.24742530758</v>
      </c>
      <c r="I1860" s="4"/>
      <c r="J1860" s="4" t="s">
        <v>1176</v>
      </c>
      <c r="K1860" s="7">
        <v>-1838.55</v>
      </c>
      <c r="L1860" s="4" t="s">
        <v>1237</v>
      </c>
      <c r="M1860" s="4" t="s">
        <v>27</v>
      </c>
      <c r="N1860" s="4"/>
    </row>
    <row r="1861" spans="1:14" ht="10.5" hidden="1" x14ac:dyDescent="0.25">
      <c r="A1861" s="8" t="s">
        <v>57</v>
      </c>
      <c r="B1861" s="4" t="s">
        <v>21</v>
      </c>
      <c r="C1861" s="5">
        <v>43837</v>
      </c>
      <c r="D1861" s="4" t="s">
        <v>3282</v>
      </c>
      <c r="E1861" s="4" t="s">
        <v>3281</v>
      </c>
      <c r="F1861" s="4" t="s">
        <v>3260</v>
      </c>
      <c r="G1861" s="6">
        <v>1838.8395740577105</v>
      </c>
      <c r="H1861" s="6">
        <f t="shared" si="31"/>
        <v>358271.0869993653</v>
      </c>
      <c r="I1861" s="4"/>
      <c r="J1861" s="4" t="s">
        <v>37</v>
      </c>
      <c r="K1861" s="7">
        <v>1838.55</v>
      </c>
      <c r="L1861" s="4" t="s">
        <v>1237</v>
      </c>
      <c r="M1861" s="4" t="s">
        <v>27</v>
      </c>
      <c r="N1861" s="4"/>
    </row>
    <row r="1862" spans="1:14" ht="10.5" hidden="1" x14ac:dyDescent="0.25">
      <c r="A1862" s="8" t="s">
        <v>57</v>
      </c>
      <c r="B1862" s="4" t="s">
        <v>21</v>
      </c>
      <c r="C1862" s="5">
        <v>43837</v>
      </c>
      <c r="D1862" s="4" t="s">
        <v>3283</v>
      </c>
      <c r="E1862" s="4" t="s">
        <v>3281</v>
      </c>
      <c r="F1862" s="4" t="s">
        <v>3260</v>
      </c>
      <c r="G1862" s="6">
        <v>-1947.0066078258112</v>
      </c>
      <c r="H1862" s="6">
        <f t="shared" si="31"/>
        <v>356324.08039153949</v>
      </c>
      <c r="I1862" s="4"/>
      <c r="J1862" s="4" t="s">
        <v>1176</v>
      </c>
      <c r="K1862" s="7">
        <v>-1946.7</v>
      </c>
      <c r="L1862" s="4" t="s">
        <v>1237</v>
      </c>
      <c r="M1862" s="4" t="s">
        <v>27</v>
      </c>
      <c r="N1862" s="4"/>
    </row>
    <row r="1863" spans="1:14" ht="10.5" hidden="1" x14ac:dyDescent="0.25">
      <c r="A1863" s="8" t="s">
        <v>57</v>
      </c>
      <c r="B1863" s="4" t="s">
        <v>21</v>
      </c>
      <c r="C1863" s="5">
        <v>43837</v>
      </c>
      <c r="D1863" s="4" t="s">
        <v>3283</v>
      </c>
      <c r="E1863" s="4" t="s">
        <v>3281</v>
      </c>
      <c r="F1863" s="4" t="s">
        <v>3260</v>
      </c>
      <c r="G1863" s="6">
        <v>1947.0066078258112</v>
      </c>
      <c r="H1863" s="6">
        <f t="shared" si="31"/>
        <v>358271.0869993653</v>
      </c>
      <c r="I1863" s="4"/>
      <c r="J1863" s="4" t="s">
        <v>37</v>
      </c>
      <c r="K1863" s="7">
        <v>1946.7</v>
      </c>
      <c r="L1863" s="4" t="s">
        <v>1237</v>
      </c>
      <c r="M1863" s="4" t="s">
        <v>27</v>
      </c>
      <c r="N1863" s="4"/>
    </row>
    <row r="1864" spans="1:14" ht="10.5" hidden="1" x14ac:dyDescent="0.25">
      <c r="A1864" s="8" t="s">
        <v>57</v>
      </c>
      <c r="B1864" s="4" t="s">
        <v>21</v>
      </c>
      <c r="C1864" s="5">
        <v>43837</v>
      </c>
      <c r="D1864" s="4" t="s">
        <v>3284</v>
      </c>
      <c r="E1864" s="4" t="s">
        <v>3281</v>
      </c>
      <c r="F1864" s="4" t="s">
        <v>3260</v>
      </c>
      <c r="G1864" s="6">
        <v>-1298.0044052172075</v>
      </c>
      <c r="H1864" s="6">
        <f t="shared" si="31"/>
        <v>356973.08259414812</v>
      </c>
      <c r="I1864" s="4"/>
      <c r="J1864" s="4" t="s">
        <v>1176</v>
      </c>
      <c r="K1864" s="7">
        <v>-1297.8</v>
      </c>
      <c r="L1864" s="4" t="s">
        <v>1237</v>
      </c>
      <c r="M1864" s="4" t="s">
        <v>27</v>
      </c>
      <c r="N1864" s="4"/>
    </row>
    <row r="1865" spans="1:14" ht="10.5" hidden="1" x14ac:dyDescent="0.25">
      <c r="A1865" s="8" t="s">
        <v>57</v>
      </c>
      <c r="B1865" s="4" t="s">
        <v>21</v>
      </c>
      <c r="C1865" s="5">
        <v>43837</v>
      </c>
      <c r="D1865" s="4" t="s">
        <v>3284</v>
      </c>
      <c r="E1865" s="4" t="s">
        <v>3281</v>
      </c>
      <c r="F1865" s="4" t="s">
        <v>3260</v>
      </c>
      <c r="G1865" s="6">
        <v>1298.0044052172075</v>
      </c>
      <c r="H1865" s="6">
        <f t="shared" si="31"/>
        <v>358271.0869993653</v>
      </c>
      <c r="I1865" s="4"/>
      <c r="J1865" s="4" t="s">
        <v>37</v>
      </c>
      <c r="K1865" s="7">
        <v>1297.8</v>
      </c>
      <c r="L1865" s="4" t="s">
        <v>1237</v>
      </c>
      <c r="M1865" s="4" t="s">
        <v>27</v>
      </c>
      <c r="N1865" s="4"/>
    </row>
    <row r="1866" spans="1:14" ht="10.5" hidden="1" x14ac:dyDescent="0.25">
      <c r="A1866" s="8" t="s">
        <v>57</v>
      </c>
      <c r="B1866" s="4" t="s">
        <v>21</v>
      </c>
      <c r="C1866" s="5">
        <v>43837</v>
      </c>
      <c r="D1866" s="4" t="s">
        <v>3285</v>
      </c>
      <c r="E1866" s="4" t="s">
        <v>3281</v>
      </c>
      <c r="F1866" s="4" t="s">
        <v>3260</v>
      </c>
      <c r="G1866" s="6">
        <v>-1835.8391015537411</v>
      </c>
      <c r="H1866" s="6">
        <f t="shared" si="31"/>
        <v>356435.24789781158</v>
      </c>
      <c r="I1866" s="4"/>
      <c r="J1866" s="4" t="s">
        <v>1176</v>
      </c>
      <c r="K1866" s="7">
        <v>-1835.55</v>
      </c>
      <c r="L1866" s="4" t="s">
        <v>1237</v>
      </c>
      <c r="M1866" s="4" t="s">
        <v>27</v>
      </c>
      <c r="N1866" s="4"/>
    </row>
    <row r="1867" spans="1:14" ht="10.5" hidden="1" x14ac:dyDescent="0.25">
      <c r="A1867" s="8" t="s">
        <v>57</v>
      </c>
      <c r="B1867" s="4" t="s">
        <v>21</v>
      </c>
      <c r="C1867" s="5">
        <v>43837</v>
      </c>
      <c r="D1867" s="4" t="s">
        <v>3285</v>
      </c>
      <c r="E1867" s="4" t="s">
        <v>3281</v>
      </c>
      <c r="F1867" s="4" t="s">
        <v>3260</v>
      </c>
      <c r="G1867" s="6">
        <v>1835.8391015537411</v>
      </c>
      <c r="H1867" s="6">
        <f t="shared" si="31"/>
        <v>358271.0869993653</v>
      </c>
      <c r="I1867" s="4"/>
      <c r="J1867" s="4" t="s">
        <v>37</v>
      </c>
      <c r="K1867" s="7">
        <v>1835.55</v>
      </c>
      <c r="L1867" s="4" t="s">
        <v>1237</v>
      </c>
      <c r="M1867" s="4" t="s">
        <v>27</v>
      </c>
      <c r="N1867" s="4"/>
    </row>
    <row r="1868" spans="1:14" ht="10.5" hidden="1" x14ac:dyDescent="0.25">
      <c r="A1868" s="8" t="s">
        <v>57</v>
      </c>
      <c r="B1868" s="4" t="s">
        <v>21</v>
      </c>
      <c r="C1868" s="5">
        <v>43845</v>
      </c>
      <c r="D1868" s="4" t="s">
        <v>3286</v>
      </c>
      <c r="E1868" s="4" t="s">
        <v>3260</v>
      </c>
      <c r="F1868" s="4" t="s">
        <v>3260</v>
      </c>
      <c r="G1868" s="6">
        <v>1081.6703376810062</v>
      </c>
      <c r="H1868" s="6">
        <f t="shared" si="31"/>
        <v>359352.75733704632</v>
      </c>
      <c r="I1868" s="4"/>
      <c r="J1868" s="4" t="s">
        <v>1176</v>
      </c>
      <c r="K1868" s="7">
        <v>1081.5</v>
      </c>
      <c r="L1868" s="4" t="s">
        <v>1237</v>
      </c>
      <c r="M1868" s="4" t="s">
        <v>27</v>
      </c>
      <c r="N1868" s="4"/>
    </row>
    <row r="1869" spans="1:14" ht="10.5" hidden="1" x14ac:dyDescent="0.25">
      <c r="A1869" s="8" t="s">
        <v>57</v>
      </c>
      <c r="B1869" s="4" t="s">
        <v>21</v>
      </c>
      <c r="C1869" s="5">
        <v>43845</v>
      </c>
      <c r="D1869" s="4" t="s">
        <v>3287</v>
      </c>
      <c r="E1869" s="4" t="s">
        <v>3281</v>
      </c>
      <c r="F1869" s="4" t="s">
        <v>3260</v>
      </c>
      <c r="G1869" s="6">
        <v>-1081.6703376810062</v>
      </c>
      <c r="H1869" s="6">
        <f t="shared" si="31"/>
        <v>358271.0869993653</v>
      </c>
      <c r="I1869" s="4"/>
      <c r="J1869" s="4" t="s">
        <v>1176</v>
      </c>
      <c r="K1869" s="7">
        <v>-1081.5</v>
      </c>
      <c r="L1869" s="4" t="s">
        <v>1237</v>
      </c>
      <c r="M1869" s="4" t="s">
        <v>27</v>
      </c>
      <c r="N1869" s="4"/>
    </row>
    <row r="1870" spans="1:14" ht="10.5" hidden="1" x14ac:dyDescent="0.25">
      <c r="A1870" s="8" t="s">
        <v>57</v>
      </c>
      <c r="B1870" s="4" t="s">
        <v>21</v>
      </c>
      <c r="C1870" s="5">
        <v>43845</v>
      </c>
      <c r="D1870" s="4" t="s">
        <v>3287</v>
      </c>
      <c r="E1870" s="4" t="s">
        <v>3281</v>
      </c>
      <c r="F1870" s="4" t="s">
        <v>3260</v>
      </c>
      <c r="G1870" s="6">
        <v>1081.6703376810062</v>
      </c>
      <c r="H1870" s="6">
        <f t="shared" si="31"/>
        <v>359352.75733704632</v>
      </c>
      <c r="I1870" s="4"/>
      <c r="J1870" s="4" t="s">
        <v>37</v>
      </c>
      <c r="K1870" s="7">
        <v>1081.5</v>
      </c>
      <c r="L1870" s="4" t="s">
        <v>1237</v>
      </c>
      <c r="M1870" s="4" t="s">
        <v>27</v>
      </c>
      <c r="N1870" s="4"/>
    </row>
    <row r="1871" spans="1:14" ht="10.5" hidden="1" x14ac:dyDescent="0.25">
      <c r="A1871" s="8" t="s">
        <v>57</v>
      </c>
      <c r="B1871" s="4" t="s">
        <v>21</v>
      </c>
      <c r="C1871" s="5">
        <v>43851</v>
      </c>
      <c r="D1871" s="4" t="s">
        <v>3288</v>
      </c>
      <c r="E1871" s="4" t="s">
        <v>3260</v>
      </c>
      <c r="F1871" s="4" t="s">
        <v>3260</v>
      </c>
      <c r="G1871" s="6">
        <v>4326.6813507240249</v>
      </c>
      <c r="H1871" s="6">
        <f t="shared" si="31"/>
        <v>363679.43868777034</v>
      </c>
      <c r="I1871" s="4"/>
      <c r="J1871" s="4" t="s">
        <v>1176</v>
      </c>
      <c r="K1871" s="7">
        <v>4326</v>
      </c>
      <c r="L1871" s="4" t="s">
        <v>1237</v>
      </c>
      <c r="M1871" s="4" t="s">
        <v>27</v>
      </c>
      <c r="N1871" s="4"/>
    </row>
    <row r="1872" spans="1:14" ht="10.5" hidden="1" x14ac:dyDescent="0.25">
      <c r="A1872" s="8" t="s">
        <v>57</v>
      </c>
      <c r="B1872" s="4" t="s">
        <v>21</v>
      </c>
      <c r="C1872" s="5">
        <v>43851</v>
      </c>
      <c r="D1872" s="4" t="s">
        <v>3289</v>
      </c>
      <c r="E1872" s="4" t="s">
        <v>3260</v>
      </c>
      <c r="F1872" s="4" t="s">
        <v>3260</v>
      </c>
      <c r="G1872" s="6">
        <v>1730.67254028961</v>
      </c>
      <c r="H1872" s="6">
        <f t="shared" si="31"/>
        <v>365410.11122805992</v>
      </c>
      <c r="I1872" s="4"/>
      <c r="J1872" s="4" t="s">
        <v>1176</v>
      </c>
      <c r="K1872" s="7">
        <v>1730.4</v>
      </c>
      <c r="L1872" s="4" t="s">
        <v>1237</v>
      </c>
      <c r="M1872" s="4" t="s">
        <v>27</v>
      </c>
      <c r="N1872" s="4"/>
    </row>
    <row r="1873" spans="1:14" ht="10.5" hidden="1" x14ac:dyDescent="0.25">
      <c r="A1873" s="8" t="s">
        <v>57</v>
      </c>
      <c r="B1873" s="4" t="s">
        <v>21</v>
      </c>
      <c r="C1873" s="5">
        <v>43851</v>
      </c>
      <c r="D1873" s="4" t="s">
        <v>3290</v>
      </c>
      <c r="E1873" s="4" t="s">
        <v>3260</v>
      </c>
      <c r="F1873" s="4" t="s">
        <v>3260</v>
      </c>
      <c r="G1873" s="6">
        <v>216.33406753620125</v>
      </c>
      <c r="H1873" s="6">
        <f t="shared" si="31"/>
        <v>365626.44529559615</v>
      </c>
      <c r="I1873" s="4"/>
      <c r="J1873" s="4" t="s">
        <v>1176</v>
      </c>
      <c r="K1873" s="7">
        <v>216.3</v>
      </c>
      <c r="L1873" s="4" t="s">
        <v>1237</v>
      </c>
      <c r="M1873" s="4" t="s">
        <v>27</v>
      </c>
      <c r="N1873" s="4"/>
    </row>
    <row r="1874" spans="1:14" ht="10.5" hidden="1" x14ac:dyDescent="0.25">
      <c r="A1874" s="8" t="s">
        <v>57</v>
      </c>
      <c r="B1874" s="4" t="s">
        <v>21</v>
      </c>
      <c r="C1874" s="5">
        <v>43851</v>
      </c>
      <c r="D1874" s="4" t="s">
        <v>3291</v>
      </c>
      <c r="E1874" s="4" t="s">
        <v>3281</v>
      </c>
      <c r="F1874" s="4" t="s">
        <v>3260</v>
      </c>
      <c r="G1874" s="6">
        <v>-4326.6813507240249</v>
      </c>
      <c r="H1874" s="6">
        <f t="shared" si="31"/>
        <v>361299.76394487213</v>
      </c>
      <c r="I1874" s="4"/>
      <c r="J1874" s="4" t="s">
        <v>1176</v>
      </c>
      <c r="K1874" s="7">
        <v>-4326</v>
      </c>
      <c r="L1874" s="4" t="s">
        <v>1237</v>
      </c>
      <c r="M1874" s="4" t="s">
        <v>27</v>
      </c>
      <c r="N1874" s="4"/>
    </row>
    <row r="1875" spans="1:14" ht="10.5" hidden="1" x14ac:dyDescent="0.25">
      <c r="A1875" s="8" t="s">
        <v>57</v>
      </c>
      <c r="B1875" s="4" t="s">
        <v>21</v>
      </c>
      <c r="C1875" s="5">
        <v>43851</v>
      </c>
      <c r="D1875" s="4" t="s">
        <v>3291</v>
      </c>
      <c r="E1875" s="4" t="s">
        <v>3281</v>
      </c>
      <c r="F1875" s="4" t="s">
        <v>3260</v>
      </c>
      <c r="G1875" s="6">
        <v>4326.6813507240249</v>
      </c>
      <c r="H1875" s="6">
        <f t="shared" si="31"/>
        <v>365626.44529559615</v>
      </c>
      <c r="I1875" s="4"/>
      <c r="J1875" s="4" t="s">
        <v>37</v>
      </c>
      <c r="K1875" s="7">
        <v>4326</v>
      </c>
      <c r="L1875" s="4" t="s">
        <v>1237</v>
      </c>
      <c r="M1875" s="4" t="s">
        <v>27</v>
      </c>
      <c r="N1875" s="4"/>
    </row>
    <row r="1876" spans="1:14" ht="10.5" hidden="1" x14ac:dyDescent="0.25">
      <c r="A1876" s="8" t="s">
        <v>57</v>
      </c>
      <c r="B1876" s="4" t="s">
        <v>21</v>
      </c>
      <c r="C1876" s="5">
        <v>43851</v>
      </c>
      <c r="D1876" s="4" t="s">
        <v>3292</v>
      </c>
      <c r="E1876" s="4" t="s">
        <v>3281</v>
      </c>
      <c r="F1876" s="4" t="s">
        <v>3260</v>
      </c>
      <c r="G1876" s="6">
        <v>-1730.67254028961</v>
      </c>
      <c r="H1876" s="6">
        <f t="shared" ref="H1876:H1939" si="32">H1875+G1876</f>
        <v>363895.77275530656</v>
      </c>
      <c r="I1876" s="4"/>
      <c r="J1876" s="4" t="s">
        <v>1176</v>
      </c>
      <c r="K1876" s="7">
        <v>-1730.4</v>
      </c>
      <c r="L1876" s="4" t="s">
        <v>1237</v>
      </c>
      <c r="M1876" s="4" t="s">
        <v>27</v>
      </c>
      <c r="N1876" s="4"/>
    </row>
    <row r="1877" spans="1:14" ht="10.5" hidden="1" x14ac:dyDescent="0.25">
      <c r="A1877" s="8" t="s">
        <v>57</v>
      </c>
      <c r="B1877" s="4" t="s">
        <v>21</v>
      </c>
      <c r="C1877" s="5">
        <v>43851</v>
      </c>
      <c r="D1877" s="4" t="s">
        <v>3292</v>
      </c>
      <c r="E1877" s="4" t="s">
        <v>3281</v>
      </c>
      <c r="F1877" s="4" t="s">
        <v>3260</v>
      </c>
      <c r="G1877" s="6">
        <v>1730.67254028961</v>
      </c>
      <c r="H1877" s="6">
        <f t="shared" si="32"/>
        <v>365626.44529559615</v>
      </c>
      <c r="I1877" s="4"/>
      <c r="J1877" s="4" t="s">
        <v>37</v>
      </c>
      <c r="K1877" s="7">
        <v>1730.4</v>
      </c>
      <c r="L1877" s="4" t="s">
        <v>1237</v>
      </c>
      <c r="M1877" s="4" t="s">
        <v>27</v>
      </c>
      <c r="N1877" s="4"/>
    </row>
    <row r="1878" spans="1:14" ht="10.5" hidden="1" x14ac:dyDescent="0.25">
      <c r="A1878" s="8" t="s">
        <v>57</v>
      </c>
      <c r="B1878" s="4" t="s">
        <v>21</v>
      </c>
      <c r="C1878" s="5">
        <v>43851</v>
      </c>
      <c r="D1878" s="4" t="s">
        <v>3293</v>
      </c>
      <c r="E1878" s="4" t="s">
        <v>3281</v>
      </c>
      <c r="F1878" s="4" t="s">
        <v>3260</v>
      </c>
      <c r="G1878" s="6">
        <v>-216.33406753620125</v>
      </c>
      <c r="H1878" s="6">
        <f t="shared" si="32"/>
        <v>365410.11122805992</v>
      </c>
      <c r="I1878" s="4"/>
      <c r="J1878" s="4" t="s">
        <v>1176</v>
      </c>
      <c r="K1878" s="7">
        <v>-216.3</v>
      </c>
      <c r="L1878" s="4" t="s">
        <v>1237</v>
      </c>
      <c r="M1878" s="4" t="s">
        <v>27</v>
      </c>
      <c r="N1878" s="4"/>
    </row>
    <row r="1879" spans="1:14" ht="10.5" hidden="1" x14ac:dyDescent="0.25">
      <c r="A1879" s="8" t="s">
        <v>57</v>
      </c>
      <c r="B1879" s="4" t="s">
        <v>21</v>
      </c>
      <c r="C1879" s="5">
        <v>43851</v>
      </c>
      <c r="D1879" s="4" t="s">
        <v>3293</v>
      </c>
      <c r="E1879" s="4" t="s">
        <v>3281</v>
      </c>
      <c r="F1879" s="4" t="s">
        <v>3260</v>
      </c>
      <c r="G1879" s="6">
        <v>216.33406753620125</v>
      </c>
      <c r="H1879" s="6">
        <f t="shared" si="32"/>
        <v>365626.44529559615</v>
      </c>
      <c r="I1879" s="4"/>
      <c r="J1879" s="4" t="s">
        <v>37</v>
      </c>
      <c r="K1879" s="7">
        <v>216.3</v>
      </c>
      <c r="L1879" s="4" t="s">
        <v>1237</v>
      </c>
      <c r="M1879" s="4" t="s">
        <v>27</v>
      </c>
      <c r="N1879" s="4"/>
    </row>
    <row r="1880" spans="1:14" ht="10.5" hidden="1" x14ac:dyDescent="0.25">
      <c r="A1880" s="8" t="s">
        <v>57</v>
      </c>
      <c r="B1880" s="4" t="s">
        <v>64</v>
      </c>
      <c r="C1880" s="5">
        <v>43865</v>
      </c>
      <c r="D1880" s="4" t="s">
        <v>3294</v>
      </c>
      <c r="E1880" s="4" t="s">
        <v>3295</v>
      </c>
      <c r="F1880" s="4" t="s">
        <v>3295</v>
      </c>
      <c r="G1880" s="6">
        <v>484.10012271450898</v>
      </c>
      <c r="H1880" s="6">
        <f t="shared" si="32"/>
        <v>366110.54541831068</v>
      </c>
      <c r="I1880" s="4" t="s">
        <v>3296</v>
      </c>
      <c r="J1880" s="4" t="s">
        <v>68</v>
      </c>
      <c r="K1880" s="7">
        <v>484.1</v>
      </c>
      <c r="L1880" s="4" t="s">
        <v>1331</v>
      </c>
      <c r="M1880" s="4" t="s">
        <v>27</v>
      </c>
      <c r="N1880" s="4"/>
    </row>
    <row r="1881" spans="1:14" ht="10.5" hidden="1" x14ac:dyDescent="0.25">
      <c r="A1881" s="8" t="s">
        <v>57</v>
      </c>
      <c r="B1881" s="4" t="s">
        <v>21</v>
      </c>
      <c r="C1881" s="5">
        <v>43866</v>
      </c>
      <c r="D1881" s="4" t="s">
        <v>3297</v>
      </c>
      <c r="E1881" s="4" t="s">
        <v>3260</v>
      </c>
      <c r="F1881" s="4" t="s">
        <v>3260</v>
      </c>
      <c r="G1881" s="6">
        <v>10025.002541237251</v>
      </c>
      <c r="H1881" s="6">
        <f t="shared" si="32"/>
        <v>376135.54795954796</v>
      </c>
      <c r="I1881" s="4"/>
      <c r="J1881" s="4" t="s">
        <v>1176</v>
      </c>
      <c r="K1881" s="7">
        <v>10025</v>
      </c>
      <c r="L1881" s="4" t="s">
        <v>1331</v>
      </c>
      <c r="M1881" s="4" t="s">
        <v>27</v>
      </c>
      <c r="N1881" s="4"/>
    </row>
    <row r="1882" spans="1:14" ht="10.5" hidden="1" x14ac:dyDescent="0.25">
      <c r="A1882" s="8" t="s">
        <v>57</v>
      </c>
      <c r="B1882" s="4" t="s">
        <v>21</v>
      </c>
      <c r="C1882" s="5">
        <v>43866</v>
      </c>
      <c r="D1882" s="4" t="s">
        <v>3298</v>
      </c>
      <c r="E1882" s="4" t="s">
        <v>3281</v>
      </c>
      <c r="F1882" s="4" t="s">
        <v>3260</v>
      </c>
      <c r="G1882" s="6">
        <v>-10025.002541237251</v>
      </c>
      <c r="H1882" s="6">
        <f t="shared" si="32"/>
        <v>366110.54541831068</v>
      </c>
      <c r="I1882" s="4"/>
      <c r="J1882" s="4" t="s">
        <v>1176</v>
      </c>
      <c r="K1882" s="7">
        <v>-10025</v>
      </c>
      <c r="L1882" s="4" t="s">
        <v>1331</v>
      </c>
      <c r="M1882" s="4" t="s">
        <v>27</v>
      </c>
      <c r="N1882" s="4"/>
    </row>
    <row r="1883" spans="1:14" ht="10.5" hidden="1" x14ac:dyDescent="0.25">
      <c r="A1883" s="8" t="s">
        <v>57</v>
      </c>
      <c r="B1883" s="4" t="s">
        <v>21</v>
      </c>
      <c r="C1883" s="5">
        <v>43866</v>
      </c>
      <c r="D1883" s="4" t="s">
        <v>3298</v>
      </c>
      <c r="E1883" s="4" t="s">
        <v>3281</v>
      </c>
      <c r="F1883" s="4" t="s">
        <v>3260</v>
      </c>
      <c r="G1883" s="6">
        <v>10025.002541237251</v>
      </c>
      <c r="H1883" s="6">
        <f t="shared" si="32"/>
        <v>376135.54795954796</v>
      </c>
      <c r="I1883" s="4"/>
      <c r="J1883" s="4" t="s">
        <v>37</v>
      </c>
      <c r="K1883" s="7">
        <v>10025</v>
      </c>
      <c r="L1883" s="4" t="s">
        <v>1331</v>
      </c>
      <c r="M1883" s="4" t="s">
        <v>27</v>
      </c>
      <c r="N1883" s="4"/>
    </row>
    <row r="1884" spans="1:14" ht="10.5" hidden="1" x14ac:dyDescent="0.25">
      <c r="A1884" s="8" t="s">
        <v>57</v>
      </c>
      <c r="B1884" s="4" t="s">
        <v>21</v>
      </c>
      <c r="C1884" s="5">
        <v>43889</v>
      </c>
      <c r="D1884" s="4" t="s">
        <v>3299</v>
      </c>
      <c r="E1884" s="4" t="s">
        <v>3260</v>
      </c>
      <c r="F1884" s="4" t="s">
        <v>3260</v>
      </c>
      <c r="G1884" s="6">
        <v>7863.9619934352204</v>
      </c>
      <c r="H1884" s="6">
        <f t="shared" si="32"/>
        <v>383999.50995298318</v>
      </c>
      <c r="I1884" s="4"/>
      <c r="J1884" s="4" t="s">
        <v>1176</v>
      </c>
      <c r="K1884" s="7">
        <v>7863.96</v>
      </c>
      <c r="L1884" s="4" t="s">
        <v>1331</v>
      </c>
      <c r="M1884" s="4" t="s">
        <v>27</v>
      </c>
      <c r="N1884" s="4"/>
    </row>
    <row r="1885" spans="1:14" ht="10.5" hidden="1" x14ac:dyDescent="0.25">
      <c r="A1885" s="8" t="s">
        <v>57</v>
      </c>
      <c r="B1885" s="4" t="s">
        <v>21</v>
      </c>
      <c r="C1885" s="5">
        <v>43889</v>
      </c>
      <c r="D1885" s="4" t="s">
        <v>3300</v>
      </c>
      <c r="E1885" s="4" t="s">
        <v>3281</v>
      </c>
      <c r="F1885" s="4" t="s">
        <v>3260</v>
      </c>
      <c r="G1885" s="6">
        <v>-7863.9619934352204</v>
      </c>
      <c r="H1885" s="6">
        <f t="shared" si="32"/>
        <v>376135.54795954796</v>
      </c>
      <c r="I1885" s="4"/>
      <c r="J1885" s="4" t="s">
        <v>1176</v>
      </c>
      <c r="K1885" s="7">
        <v>-7863.96</v>
      </c>
      <c r="L1885" s="4" t="s">
        <v>1331</v>
      </c>
      <c r="M1885" s="4" t="s">
        <v>27</v>
      </c>
      <c r="N1885" s="4"/>
    </row>
    <row r="1886" spans="1:14" ht="10.5" hidden="1" x14ac:dyDescent="0.25">
      <c r="A1886" s="8" t="s">
        <v>57</v>
      </c>
      <c r="B1886" s="4" t="s">
        <v>21</v>
      </c>
      <c r="C1886" s="5">
        <v>43889</v>
      </c>
      <c r="D1886" s="4" t="s">
        <v>3300</v>
      </c>
      <c r="E1886" s="4" t="s">
        <v>3281</v>
      </c>
      <c r="F1886" s="4" t="s">
        <v>3260</v>
      </c>
      <c r="G1886" s="6">
        <v>7863.9619934352204</v>
      </c>
      <c r="H1886" s="6">
        <f t="shared" si="32"/>
        <v>383999.50995298318</v>
      </c>
      <c r="I1886" s="4"/>
      <c r="J1886" s="4" t="s">
        <v>37</v>
      </c>
      <c r="K1886" s="7">
        <v>7863.96</v>
      </c>
      <c r="L1886" s="4" t="s">
        <v>1331</v>
      </c>
      <c r="M1886" s="4" t="s">
        <v>27</v>
      </c>
      <c r="N1886" s="4"/>
    </row>
    <row r="1887" spans="1:14" ht="10.5" hidden="1" x14ac:dyDescent="0.25">
      <c r="A1887" s="8" t="s">
        <v>57</v>
      </c>
      <c r="B1887" s="4" t="s">
        <v>21</v>
      </c>
      <c r="C1887" s="5">
        <v>43901</v>
      </c>
      <c r="D1887" s="4" t="s">
        <v>3301</v>
      </c>
      <c r="E1887" s="4" t="s">
        <v>3260</v>
      </c>
      <c r="F1887" s="4" t="s">
        <v>3260</v>
      </c>
      <c r="G1887" s="6">
        <v>6487.3582829999996</v>
      </c>
      <c r="H1887" s="6">
        <f t="shared" si="32"/>
        <v>390486.86823598319</v>
      </c>
      <c r="I1887" s="4"/>
      <c r="J1887" s="4" t="s">
        <v>1176</v>
      </c>
      <c r="K1887" s="7">
        <v>6489</v>
      </c>
      <c r="L1887" s="4" t="s">
        <v>1049</v>
      </c>
      <c r="M1887" s="4" t="s">
        <v>27</v>
      </c>
      <c r="N1887" s="4"/>
    </row>
    <row r="1888" spans="1:14" ht="10.5" hidden="1" x14ac:dyDescent="0.25">
      <c r="A1888" s="8" t="s">
        <v>57</v>
      </c>
      <c r="B1888" s="4" t="s">
        <v>21</v>
      </c>
      <c r="C1888" s="5">
        <v>43901</v>
      </c>
      <c r="D1888" s="4" t="s">
        <v>3302</v>
      </c>
      <c r="E1888" s="4" t="s">
        <v>3281</v>
      </c>
      <c r="F1888" s="4" t="s">
        <v>3260</v>
      </c>
      <c r="G1888" s="6">
        <v>-6487.3582829999996</v>
      </c>
      <c r="H1888" s="6">
        <f t="shared" si="32"/>
        <v>383999.50995298318</v>
      </c>
      <c r="I1888" s="4"/>
      <c r="J1888" s="4" t="s">
        <v>1176</v>
      </c>
      <c r="K1888" s="7">
        <v>-6489</v>
      </c>
      <c r="L1888" s="4" t="s">
        <v>1049</v>
      </c>
      <c r="M1888" s="4" t="s">
        <v>27</v>
      </c>
      <c r="N1888" s="4"/>
    </row>
    <row r="1889" spans="1:14" ht="10.5" hidden="1" x14ac:dyDescent="0.25">
      <c r="A1889" s="8" t="s">
        <v>57</v>
      </c>
      <c r="B1889" s="4" t="s">
        <v>21</v>
      </c>
      <c r="C1889" s="5">
        <v>43901</v>
      </c>
      <c r="D1889" s="4" t="s">
        <v>3302</v>
      </c>
      <c r="E1889" s="4" t="s">
        <v>3281</v>
      </c>
      <c r="F1889" s="4" t="s">
        <v>3260</v>
      </c>
      <c r="G1889" s="6">
        <v>6487.3582829999996</v>
      </c>
      <c r="H1889" s="6">
        <f t="shared" si="32"/>
        <v>390486.86823598319</v>
      </c>
      <c r="I1889" s="4"/>
      <c r="J1889" s="4" t="s">
        <v>37</v>
      </c>
      <c r="K1889" s="7">
        <v>6489</v>
      </c>
      <c r="L1889" s="4" t="s">
        <v>1049</v>
      </c>
      <c r="M1889" s="4" t="s">
        <v>27</v>
      </c>
      <c r="N1889" s="4"/>
    </row>
    <row r="1890" spans="1:14" ht="10.5" x14ac:dyDescent="0.25">
      <c r="A1890" s="8" t="s">
        <v>57</v>
      </c>
      <c r="B1890" s="4" t="s">
        <v>21</v>
      </c>
      <c r="C1890" s="5">
        <v>43921</v>
      </c>
      <c r="D1890" s="4" t="s">
        <v>1628</v>
      </c>
      <c r="E1890" s="4" t="s">
        <v>1629</v>
      </c>
      <c r="F1890" s="4" t="s">
        <v>1630</v>
      </c>
      <c r="G1890" s="6">
        <v>4207.1400000000003</v>
      </c>
      <c r="H1890" s="6">
        <f t="shared" si="32"/>
        <v>394694.0082359832</v>
      </c>
      <c r="I1890" s="4"/>
      <c r="J1890" s="4" t="s">
        <v>25</v>
      </c>
      <c r="K1890" s="7">
        <v>3816</v>
      </c>
      <c r="L1890" s="4" t="s">
        <v>1049</v>
      </c>
      <c r="M1890" s="4" t="s">
        <v>38</v>
      </c>
      <c r="N1890" s="4"/>
    </row>
    <row r="1891" spans="1:14" ht="10.5" hidden="1" x14ac:dyDescent="0.25">
      <c r="A1891" s="8" t="s">
        <v>57</v>
      </c>
      <c r="B1891" s="4" t="s">
        <v>21</v>
      </c>
      <c r="C1891" s="5">
        <v>43921</v>
      </c>
      <c r="D1891" s="4" t="s">
        <v>3303</v>
      </c>
      <c r="E1891" s="4" t="s">
        <v>2558</v>
      </c>
      <c r="F1891" s="4" t="s">
        <v>3304</v>
      </c>
      <c r="G1891" s="6">
        <v>150561.8982</v>
      </c>
      <c r="H1891" s="6">
        <f t="shared" si="32"/>
        <v>545255.90643598326</v>
      </c>
      <c r="I1891" s="4"/>
      <c r="J1891" s="4" t="s">
        <v>68</v>
      </c>
      <c r="K1891" s="7">
        <v>150600</v>
      </c>
      <c r="L1891" s="4" t="s">
        <v>1049</v>
      </c>
      <c r="M1891" s="4" t="s">
        <v>27</v>
      </c>
      <c r="N1891" s="4" t="s">
        <v>118</v>
      </c>
    </row>
    <row r="1892" spans="1:14" ht="10.5" hidden="1" x14ac:dyDescent="0.25">
      <c r="A1892" s="8" t="s">
        <v>57</v>
      </c>
      <c r="B1892" s="4" t="s">
        <v>21</v>
      </c>
      <c r="C1892" s="5">
        <v>43921</v>
      </c>
      <c r="D1892" s="4" t="s">
        <v>3305</v>
      </c>
      <c r="E1892" s="4" t="s">
        <v>2558</v>
      </c>
      <c r="F1892" s="4" t="s">
        <v>3306</v>
      </c>
      <c r="G1892" s="6">
        <v>-179954.46</v>
      </c>
      <c r="H1892" s="6">
        <f t="shared" si="32"/>
        <v>365301.44643598329</v>
      </c>
      <c r="I1892" s="4"/>
      <c r="J1892" s="4" t="s">
        <v>68</v>
      </c>
      <c r="K1892" s="7">
        <v>-180000</v>
      </c>
      <c r="L1892" s="4" t="s">
        <v>1049</v>
      </c>
      <c r="M1892" s="4" t="s">
        <v>27</v>
      </c>
      <c r="N1892" s="4" t="s">
        <v>118</v>
      </c>
    </row>
    <row r="1893" spans="1:14" ht="10.5" hidden="1" x14ac:dyDescent="0.25">
      <c r="A1893" s="8" t="s">
        <v>57</v>
      </c>
      <c r="B1893" s="4" t="s">
        <v>21</v>
      </c>
      <c r="C1893" s="5">
        <v>43922</v>
      </c>
      <c r="D1893" s="4" t="s">
        <v>3307</v>
      </c>
      <c r="E1893" s="4" t="s">
        <v>3260</v>
      </c>
      <c r="F1893" s="4" t="s">
        <v>3260</v>
      </c>
      <c r="G1893" s="6">
        <v>631.79372617800004</v>
      </c>
      <c r="H1893" s="6">
        <f t="shared" si="32"/>
        <v>365933.2401621613</v>
      </c>
      <c r="I1893" s="4"/>
      <c r="J1893" s="4" t="s">
        <v>68</v>
      </c>
      <c r="K1893" s="7">
        <v>2689.11</v>
      </c>
      <c r="L1893" s="4" t="s">
        <v>1655</v>
      </c>
      <c r="M1893" s="4" t="s">
        <v>27</v>
      </c>
      <c r="N1893" s="4"/>
    </row>
    <row r="1894" spans="1:14" ht="10.5" hidden="1" x14ac:dyDescent="0.25">
      <c r="A1894" s="8" t="s">
        <v>57</v>
      </c>
      <c r="B1894" s="4" t="s">
        <v>21</v>
      </c>
      <c r="C1894" s="5">
        <v>43922</v>
      </c>
      <c r="D1894" s="4" t="s">
        <v>3308</v>
      </c>
      <c r="E1894" s="4" t="s">
        <v>3260</v>
      </c>
      <c r="F1894" s="4" t="s">
        <v>3260</v>
      </c>
      <c r="G1894" s="6">
        <v>28490.977050194</v>
      </c>
      <c r="H1894" s="6">
        <f t="shared" si="32"/>
        <v>394424.21721235529</v>
      </c>
      <c r="I1894" s="4"/>
      <c r="J1894" s="4" t="s">
        <v>1176</v>
      </c>
      <c r="K1894" s="7">
        <v>28500.73</v>
      </c>
      <c r="L1894" s="4" t="s">
        <v>1655</v>
      </c>
      <c r="M1894" s="4" t="s">
        <v>27</v>
      </c>
      <c r="N1894" s="4"/>
    </row>
    <row r="1895" spans="1:14" ht="10.5" hidden="1" x14ac:dyDescent="0.25">
      <c r="A1895" s="8" t="s">
        <v>57</v>
      </c>
      <c r="B1895" s="4" t="s">
        <v>21</v>
      </c>
      <c r="C1895" s="5">
        <v>43922</v>
      </c>
      <c r="D1895" s="4" t="s">
        <v>3309</v>
      </c>
      <c r="E1895" s="4" t="s">
        <v>3281</v>
      </c>
      <c r="F1895" s="4" t="s">
        <v>3260</v>
      </c>
      <c r="G1895" s="6">
        <v>-631.79372617800004</v>
      </c>
      <c r="H1895" s="6">
        <f t="shared" si="32"/>
        <v>393792.42348617729</v>
      </c>
      <c r="I1895" s="4"/>
      <c r="J1895" s="4" t="s">
        <v>1176</v>
      </c>
      <c r="K1895" s="7">
        <v>-632.01</v>
      </c>
      <c r="L1895" s="4" t="s">
        <v>1655</v>
      </c>
      <c r="M1895" s="4" t="s">
        <v>27</v>
      </c>
      <c r="N1895" s="4"/>
    </row>
    <row r="1896" spans="1:14" ht="10.5" hidden="1" x14ac:dyDescent="0.25">
      <c r="A1896" s="8" t="s">
        <v>57</v>
      </c>
      <c r="B1896" s="4" t="s">
        <v>21</v>
      </c>
      <c r="C1896" s="5">
        <v>43922</v>
      </c>
      <c r="D1896" s="4" t="s">
        <v>3309</v>
      </c>
      <c r="E1896" s="4" t="s">
        <v>3281</v>
      </c>
      <c r="F1896" s="4" t="s">
        <v>3260</v>
      </c>
      <c r="G1896" s="6">
        <v>631.79372617800004</v>
      </c>
      <c r="H1896" s="6">
        <f t="shared" si="32"/>
        <v>394424.21721235529</v>
      </c>
      <c r="I1896" s="4"/>
      <c r="J1896" s="4" t="s">
        <v>37</v>
      </c>
      <c r="K1896" s="7">
        <v>632.01</v>
      </c>
      <c r="L1896" s="4" t="s">
        <v>1655</v>
      </c>
      <c r="M1896" s="4" t="s">
        <v>27</v>
      </c>
      <c r="N1896" s="4"/>
    </row>
    <row r="1897" spans="1:14" ht="10.5" hidden="1" x14ac:dyDescent="0.25">
      <c r="A1897" s="8" t="s">
        <v>57</v>
      </c>
      <c r="B1897" s="4" t="s">
        <v>21</v>
      </c>
      <c r="C1897" s="5">
        <v>43922</v>
      </c>
      <c r="D1897" s="4" t="s">
        <v>3310</v>
      </c>
      <c r="E1897" s="4" t="s">
        <v>3281</v>
      </c>
      <c r="F1897" s="4" t="s">
        <v>3260</v>
      </c>
      <c r="G1897" s="6">
        <v>-28490.977050194</v>
      </c>
      <c r="H1897" s="6">
        <f t="shared" si="32"/>
        <v>365933.2401621613</v>
      </c>
      <c r="I1897" s="4"/>
      <c r="J1897" s="4" t="s">
        <v>1176</v>
      </c>
      <c r="K1897" s="7">
        <v>-28500.73</v>
      </c>
      <c r="L1897" s="4" t="s">
        <v>1655</v>
      </c>
      <c r="M1897" s="4" t="s">
        <v>27</v>
      </c>
      <c r="N1897" s="4"/>
    </row>
    <row r="1898" spans="1:14" ht="10.5" hidden="1" x14ac:dyDescent="0.25">
      <c r="A1898" s="8" t="s">
        <v>57</v>
      </c>
      <c r="B1898" s="4" t="s">
        <v>21</v>
      </c>
      <c r="C1898" s="5">
        <v>43922</v>
      </c>
      <c r="D1898" s="4" t="s">
        <v>3310</v>
      </c>
      <c r="E1898" s="4" t="s">
        <v>3281</v>
      </c>
      <c r="F1898" s="4" t="s">
        <v>3260</v>
      </c>
      <c r="G1898" s="6">
        <v>28490.977050194</v>
      </c>
      <c r="H1898" s="6">
        <f t="shared" si="32"/>
        <v>394424.21721235529</v>
      </c>
      <c r="I1898" s="4"/>
      <c r="J1898" s="4" t="s">
        <v>37</v>
      </c>
      <c r="K1898" s="7">
        <v>28500.73</v>
      </c>
      <c r="L1898" s="4" t="s">
        <v>1655</v>
      </c>
      <c r="M1898" s="4" t="s">
        <v>27</v>
      </c>
      <c r="N1898" s="4"/>
    </row>
    <row r="1899" spans="1:14" ht="10.5" hidden="1" x14ac:dyDescent="0.25">
      <c r="A1899" s="8" t="s">
        <v>57</v>
      </c>
      <c r="B1899" s="4" t="s">
        <v>21</v>
      </c>
      <c r="C1899" s="5">
        <v>43922</v>
      </c>
      <c r="D1899" s="4" t="s">
        <v>3311</v>
      </c>
      <c r="E1899" s="4" t="s">
        <v>2558</v>
      </c>
      <c r="F1899" s="4" t="s">
        <v>3304</v>
      </c>
      <c r="G1899" s="6">
        <v>-150548.46468</v>
      </c>
      <c r="H1899" s="6">
        <f t="shared" si="32"/>
        <v>243875.75253235528</v>
      </c>
      <c r="I1899" s="4"/>
      <c r="J1899" s="4" t="s">
        <v>68</v>
      </c>
      <c r="K1899" s="7">
        <v>-150600</v>
      </c>
      <c r="L1899" s="4" t="s">
        <v>1655</v>
      </c>
      <c r="M1899" s="4" t="s">
        <v>27</v>
      </c>
      <c r="N1899" s="4" t="s">
        <v>118</v>
      </c>
    </row>
    <row r="1900" spans="1:14" ht="10.5" x14ac:dyDescent="0.25">
      <c r="A1900" s="8" t="s">
        <v>57</v>
      </c>
      <c r="B1900" s="4" t="s">
        <v>21</v>
      </c>
      <c r="C1900" s="5">
        <v>43951</v>
      </c>
      <c r="D1900" s="4" t="s">
        <v>1725</v>
      </c>
      <c r="E1900" s="4" t="s">
        <v>1629</v>
      </c>
      <c r="F1900" s="4" t="s">
        <v>1726</v>
      </c>
      <c r="G1900" s="6">
        <v>1872.309</v>
      </c>
      <c r="H1900" s="6">
        <f t="shared" si="32"/>
        <v>245748.06153235529</v>
      </c>
      <c r="I1900" s="4"/>
      <c r="J1900" s="4" t="s">
        <v>25</v>
      </c>
      <c r="K1900" s="7">
        <v>1713</v>
      </c>
      <c r="L1900" s="4" t="s">
        <v>1655</v>
      </c>
      <c r="M1900" s="4" t="s">
        <v>38</v>
      </c>
      <c r="N1900" s="4"/>
    </row>
    <row r="1901" spans="1:14" ht="10.5" hidden="1" x14ac:dyDescent="0.25">
      <c r="A1901" s="8" t="s">
        <v>57</v>
      </c>
      <c r="B1901" s="4" t="s">
        <v>21</v>
      </c>
      <c r="C1901" s="5">
        <v>43951</v>
      </c>
      <c r="D1901" s="4" t="s">
        <v>3312</v>
      </c>
      <c r="E1901" s="4" t="s">
        <v>3260</v>
      </c>
      <c r="F1901" s="4" t="s">
        <v>3260</v>
      </c>
      <c r="G1901" s="6">
        <v>6267.8544060000004</v>
      </c>
      <c r="H1901" s="6">
        <f t="shared" si="32"/>
        <v>252015.91593835529</v>
      </c>
      <c r="I1901" s="4"/>
      <c r="J1901" s="4" t="s">
        <v>1176</v>
      </c>
      <c r="K1901" s="7">
        <v>6270</v>
      </c>
      <c r="L1901" s="4" t="s">
        <v>1655</v>
      </c>
      <c r="M1901" s="4" t="s">
        <v>27</v>
      </c>
      <c r="N1901" s="4"/>
    </row>
    <row r="1902" spans="1:14" ht="10.5" hidden="1" x14ac:dyDescent="0.25">
      <c r="A1902" s="8" t="s">
        <v>57</v>
      </c>
      <c r="B1902" s="4" t="s">
        <v>21</v>
      </c>
      <c r="C1902" s="5">
        <v>43951</v>
      </c>
      <c r="D1902" s="4" t="s">
        <v>3313</v>
      </c>
      <c r="E1902" s="4" t="s">
        <v>3260</v>
      </c>
      <c r="F1902" s="4" t="s">
        <v>3260</v>
      </c>
      <c r="G1902" s="6">
        <v>1611.4483736</v>
      </c>
      <c r="H1902" s="6">
        <f t="shared" si="32"/>
        <v>253627.36431195529</v>
      </c>
      <c r="I1902" s="4"/>
      <c r="J1902" s="4" t="s">
        <v>1176</v>
      </c>
      <c r="K1902" s="7">
        <v>1612</v>
      </c>
      <c r="L1902" s="4" t="s">
        <v>1655</v>
      </c>
      <c r="M1902" s="4" t="s">
        <v>27</v>
      </c>
      <c r="N1902" s="4"/>
    </row>
    <row r="1903" spans="1:14" ht="10.5" hidden="1" x14ac:dyDescent="0.25">
      <c r="A1903" s="8" t="s">
        <v>57</v>
      </c>
      <c r="B1903" s="4" t="s">
        <v>21</v>
      </c>
      <c r="C1903" s="5">
        <v>43951</v>
      </c>
      <c r="D1903" s="4" t="s">
        <v>3314</v>
      </c>
      <c r="E1903" s="4" t="s">
        <v>3260</v>
      </c>
      <c r="F1903" s="4" t="s">
        <v>3260</v>
      </c>
      <c r="G1903" s="6">
        <v>4682.3971351999999</v>
      </c>
      <c r="H1903" s="6">
        <f t="shared" si="32"/>
        <v>258309.7614471553</v>
      </c>
      <c r="I1903" s="4"/>
      <c r="J1903" s="4" t="s">
        <v>1176</v>
      </c>
      <c r="K1903" s="7">
        <v>4684</v>
      </c>
      <c r="L1903" s="4" t="s">
        <v>1655</v>
      </c>
      <c r="M1903" s="4" t="s">
        <v>27</v>
      </c>
      <c r="N1903" s="4"/>
    </row>
    <row r="1904" spans="1:14" ht="10.5" hidden="1" x14ac:dyDescent="0.25">
      <c r="A1904" s="8" t="s">
        <v>57</v>
      </c>
      <c r="B1904" s="4" t="s">
        <v>21</v>
      </c>
      <c r="C1904" s="5">
        <v>43951</v>
      </c>
      <c r="D1904" s="4" t="s">
        <v>3315</v>
      </c>
      <c r="E1904" s="4" t="s">
        <v>3260</v>
      </c>
      <c r="F1904" s="4" t="s">
        <v>3260</v>
      </c>
      <c r="G1904" s="6">
        <v>147.9493544</v>
      </c>
      <c r="H1904" s="6">
        <f t="shared" si="32"/>
        <v>258457.71080155531</v>
      </c>
      <c r="I1904" s="4"/>
      <c r="J1904" s="4" t="s">
        <v>1176</v>
      </c>
      <c r="K1904" s="7">
        <v>148</v>
      </c>
      <c r="L1904" s="4" t="s">
        <v>1655</v>
      </c>
      <c r="M1904" s="4" t="s">
        <v>27</v>
      </c>
      <c r="N1904" s="4"/>
    </row>
    <row r="1905" spans="1:14" ht="10.5" hidden="1" x14ac:dyDescent="0.25">
      <c r="A1905" s="8" t="s">
        <v>57</v>
      </c>
      <c r="B1905" s="4" t="s">
        <v>21</v>
      </c>
      <c r="C1905" s="5">
        <v>43951</v>
      </c>
      <c r="D1905" s="4" t="s">
        <v>3316</v>
      </c>
      <c r="E1905" s="4" t="s">
        <v>3260</v>
      </c>
      <c r="F1905" s="4" t="s">
        <v>3260</v>
      </c>
      <c r="G1905" s="6">
        <v>3143.923781</v>
      </c>
      <c r="H1905" s="6">
        <f t="shared" si="32"/>
        <v>261601.6345825553</v>
      </c>
      <c r="I1905" s="4"/>
      <c r="J1905" s="4" t="s">
        <v>1176</v>
      </c>
      <c r="K1905" s="7">
        <v>3145</v>
      </c>
      <c r="L1905" s="4" t="s">
        <v>1655</v>
      </c>
      <c r="M1905" s="4" t="s">
        <v>27</v>
      </c>
      <c r="N1905" s="4"/>
    </row>
    <row r="1906" spans="1:14" ht="10.5" hidden="1" x14ac:dyDescent="0.25">
      <c r="A1906" s="8" t="s">
        <v>57</v>
      </c>
      <c r="B1906" s="4" t="s">
        <v>21</v>
      </c>
      <c r="C1906" s="5">
        <v>43951</v>
      </c>
      <c r="D1906" s="4" t="s">
        <v>3317</v>
      </c>
      <c r="E1906" s="4" t="s">
        <v>3260</v>
      </c>
      <c r="F1906" s="4" t="s">
        <v>3260</v>
      </c>
      <c r="G1906" s="6">
        <v>10021.569444999999</v>
      </c>
      <c r="H1906" s="6">
        <f t="shared" si="32"/>
        <v>271623.2040275553</v>
      </c>
      <c r="I1906" s="4"/>
      <c r="J1906" s="4" t="s">
        <v>1176</v>
      </c>
      <c r="K1906" s="7">
        <v>10025</v>
      </c>
      <c r="L1906" s="4" t="s">
        <v>1655</v>
      </c>
      <c r="M1906" s="4" t="s">
        <v>27</v>
      </c>
      <c r="N1906" s="4"/>
    </row>
    <row r="1907" spans="1:14" ht="10.5" hidden="1" x14ac:dyDescent="0.25">
      <c r="A1907" s="8" t="s">
        <v>57</v>
      </c>
      <c r="B1907" s="4" t="s">
        <v>21</v>
      </c>
      <c r="C1907" s="5">
        <v>43951</v>
      </c>
      <c r="D1907" s="4" t="s">
        <v>3318</v>
      </c>
      <c r="E1907" s="4" t="s">
        <v>3260</v>
      </c>
      <c r="F1907" s="4" t="s">
        <v>3260</v>
      </c>
      <c r="G1907" s="6">
        <v>5018.2821560000002</v>
      </c>
      <c r="H1907" s="6">
        <f t="shared" si="32"/>
        <v>276641.48618355527</v>
      </c>
      <c r="I1907" s="4"/>
      <c r="J1907" s="4" t="s">
        <v>1176</v>
      </c>
      <c r="K1907" s="7">
        <v>5020</v>
      </c>
      <c r="L1907" s="4" t="s">
        <v>1655</v>
      </c>
      <c r="M1907" s="4" t="s">
        <v>27</v>
      </c>
      <c r="N1907" s="4"/>
    </row>
    <row r="1908" spans="1:14" ht="10.5" hidden="1" x14ac:dyDescent="0.25">
      <c r="A1908" s="8" t="s">
        <v>57</v>
      </c>
      <c r="B1908" s="4" t="s">
        <v>21</v>
      </c>
      <c r="C1908" s="5">
        <v>43951</v>
      </c>
      <c r="D1908" s="4" t="s">
        <v>3319</v>
      </c>
      <c r="E1908" s="4" t="s">
        <v>3281</v>
      </c>
      <c r="F1908" s="4" t="s">
        <v>3260</v>
      </c>
      <c r="G1908" s="6">
        <v>-6267.8544060000004</v>
      </c>
      <c r="H1908" s="6">
        <f t="shared" si="32"/>
        <v>270373.63177755527</v>
      </c>
      <c r="I1908" s="4"/>
      <c r="J1908" s="4" t="s">
        <v>1176</v>
      </c>
      <c r="K1908" s="7">
        <v>-6270</v>
      </c>
      <c r="L1908" s="4" t="s">
        <v>1655</v>
      </c>
      <c r="M1908" s="4" t="s">
        <v>27</v>
      </c>
      <c r="N1908" s="4"/>
    </row>
    <row r="1909" spans="1:14" ht="10.5" hidden="1" x14ac:dyDescent="0.25">
      <c r="A1909" s="8" t="s">
        <v>57</v>
      </c>
      <c r="B1909" s="4" t="s">
        <v>21</v>
      </c>
      <c r="C1909" s="5">
        <v>43951</v>
      </c>
      <c r="D1909" s="4" t="s">
        <v>3319</v>
      </c>
      <c r="E1909" s="4" t="s">
        <v>3281</v>
      </c>
      <c r="F1909" s="4" t="s">
        <v>3260</v>
      </c>
      <c r="G1909" s="6">
        <v>6267.8544060000004</v>
      </c>
      <c r="H1909" s="6">
        <f t="shared" si="32"/>
        <v>276641.48618355527</v>
      </c>
      <c r="I1909" s="4"/>
      <c r="J1909" s="4" t="s">
        <v>37</v>
      </c>
      <c r="K1909" s="7">
        <v>6270</v>
      </c>
      <c r="L1909" s="4" t="s">
        <v>1655</v>
      </c>
      <c r="M1909" s="4" t="s">
        <v>27</v>
      </c>
      <c r="N1909" s="4"/>
    </row>
    <row r="1910" spans="1:14" ht="10.5" hidden="1" x14ac:dyDescent="0.25">
      <c r="A1910" s="8" t="s">
        <v>57</v>
      </c>
      <c r="B1910" s="4" t="s">
        <v>21</v>
      </c>
      <c r="C1910" s="5">
        <v>43951</v>
      </c>
      <c r="D1910" s="4" t="s">
        <v>3320</v>
      </c>
      <c r="E1910" s="4" t="s">
        <v>3281</v>
      </c>
      <c r="F1910" s="4" t="s">
        <v>3260</v>
      </c>
      <c r="G1910" s="6">
        <v>-1611.4483736</v>
      </c>
      <c r="H1910" s="6">
        <f t="shared" si="32"/>
        <v>275030.03780995525</v>
      </c>
      <c r="I1910" s="4"/>
      <c r="J1910" s="4" t="s">
        <v>1176</v>
      </c>
      <c r="K1910" s="7">
        <v>-1612</v>
      </c>
      <c r="L1910" s="4" t="s">
        <v>1655</v>
      </c>
      <c r="M1910" s="4" t="s">
        <v>27</v>
      </c>
      <c r="N1910" s="4"/>
    </row>
    <row r="1911" spans="1:14" ht="10.5" hidden="1" x14ac:dyDescent="0.25">
      <c r="A1911" s="8" t="s">
        <v>57</v>
      </c>
      <c r="B1911" s="4" t="s">
        <v>21</v>
      </c>
      <c r="C1911" s="5">
        <v>43951</v>
      </c>
      <c r="D1911" s="4" t="s">
        <v>3320</v>
      </c>
      <c r="E1911" s="4" t="s">
        <v>3281</v>
      </c>
      <c r="F1911" s="4" t="s">
        <v>3260</v>
      </c>
      <c r="G1911" s="6">
        <v>1611.4483736</v>
      </c>
      <c r="H1911" s="6">
        <f t="shared" si="32"/>
        <v>276641.48618355527</v>
      </c>
      <c r="I1911" s="4"/>
      <c r="J1911" s="4" t="s">
        <v>37</v>
      </c>
      <c r="K1911" s="7">
        <v>1612</v>
      </c>
      <c r="L1911" s="4" t="s">
        <v>1655</v>
      </c>
      <c r="M1911" s="4" t="s">
        <v>27</v>
      </c>
      <c r="N1911" s="4"/>
    </row>
    <row r="1912" spans="1:14" ht="10.5" hidden="1" x14ac:dyDescent="0.25">
      <c r="A1912" s="8" t="s">
        <v>57</v>
      </c>
      <c r="B1912" s="4" t="s">
        <v>21</v>
      </c>
      <c r="C1912" s="5">
        <v>43951</v>
      </c>
      <c r="D1912" s="4" t="s">
        <v>3321</v>
      </c>
      <c r="E1912" s="4" t="s">
        <v>3281</v>
      </c>
      <c r="F1912" s="4" t="s">
        <v>3260</v>
      </c>
      <c r="G1912" s="6">
        <v>-4682.3971351999999</v>
      </c>
      <c r="H1912" s="6">
        <f t="shared" si="32"/>
        <v>271959.08904835529</v>
      </c>
      <c r="I1912" s="4"/>
      <c r="J1912" s="4" t="s">
        <v>1176</v>
      </c>
      <c r="K1912" s="7">
        <v>-4684</v>
      </c>
      <c r="L1912" s="4" t="s">
        <v>1655</v>
      </c>
      <c r="M1912" s="4" t="s">
        <v>27</v>
      </c>
      <c r="N1912" s="4"/>
    </row>
    <row r="1913" spans="1:14" ht="10.5" hidden="1" x14ac:dyDescent="0.25">
      <c r="A1913" s="8" t="s">
        <v>57</v>
      </c>
      <c r="B1913" s="4" t="s">
        <v>21</v>
      </c>
      <c r="C1913" s="5">
        <v>43951</v>
      </c>
      <c r="D1913" s="4" t="s">
        <v>3321</v>
      </c>
      <c r="E1913" s="4" t="s">
        <v>3281</v>
      </c>
      <c r="F1913" s="4" t="s">
        <v>3260</v>
      </c>
      <c r="G1913" s="6">
        <v>4682.3971351999999</v>
      </c>
      <c r="H1913" s="6">
        <f t="shared" si="32"/>
        <v>276641.48618355527</v>
      </c>
      <c r="I1913" s="4"/>
      <c r="J1913" s="4" t="s">
        <v>37</v>
      </c>
      <c r="K1913" s="7">
        <v>4684</v>
      </c>
      <c r="L1913" s="4" t="s">
        <v>1655</v>
      </c>
      <c r="M1913" s="4" t="s">
        <v>27</v>
      </c>
      <c r="N1913" s="4"/>
    </row>
    <row r="1914" spans="1:14" ht="10.5" hidden="1" x14ac:dyDescent="0.25">
      <c r="A1914" s="8" t="s">
        <v>57</v>
      </c>
      <c r="B1914" s="4" t="s">
        <v>21</v>
      </c>
      <c r="C1914" s="5">
        <v>43951</v>
      </c>
      <c r="D1914" s="4" t="s">
        <v>3322</v>
      </c>
      <c r="E1914" s="4" t="s">
        <v>3281</v>
      </c>
      <c r="F1914" s="4" t="s">
        <v>3260</v>
      </c>
      <c r="G1914" s="6">
        <v>-147.9493544</v>
      </c>
      <c r="H1914" s="6">
        <f t="shared" si="32"/>
        <v>276493.53682915529</v>
      </c>
      <c r="I1914" s="4"/>
      <c r="J1914" s="4" t="s">
        <v>1176</v>
      </c>
      <c r="K1914" s="7">
        <v>-148</v>
      </c>
      <c r="L1914" s="4" t="s">
        <v>1655</v>
      </c>
      <c r="M1914" s="4" t="s">
        <v>27</v>
      </c>
      <c r="N1914" s="4"/>
    </row>
    <row r="1915" spans="1:14" ht="10.5" hidden="1" x14ac:dyDescent="0.25">
      <c r="A1915" s="8" t="s">
        <v>57</v>
      </c>
      <c r="B1915" s="4" t="s">
        <v>21</v>
      </c>
      <c r="C1915" s="5">
        <v>43951</v>
      </c>
      <c r="D1915" s="4" t="s">
        <v>3322</v>
      </c>
      <c r="E1915" s="4" t="s">
        <v>3281</v>
      </c>
      <c r="F1915" s="4" t="s">
        <v>3260</v>
      </c>
      <c r="G1915" s="6">
        <v>147.9493544</v>
      </c>
      <c r="H1915" s="6">
        <f t="shared" si="32"/>
        <v>276641.48618355527</v>
      </c>
      <c r="I1915" s="4"/>
      <c r="J1915" s="4" t="s">
        <v>37</v>
      </c>
      <c r="K1915" s="7">
        <v>148</v>
      </c>
      <c r="L1915" s="4" t="s">
        <v>1655</v>
      </c>
      <c r="M1915" s="4" t="s">
        <v>27</v>
      </c>
      <c r="N1915" s="4"/>
    </row>
    <row r="1916" spans="1:14" ht="10.5" hidden="1" x14ac:dyDescent="0.25">
      <c r="A1916" s="8" t="s">
        <v>57</v>
      </c>
      <c r="B1916" s="4" t="s">
        <v>21</v>
      </c>
      <c r="C1916" s="5">
        <v>43951</v>
      </c>
      <c r="D1916" s="4" t="s">
        <v>3323</v>
      </c>
      <c r="E1916" s="4" t="s">
        <v>3281</v>
      </c>
      <c r="F1916" s="4" t="s">
        <v>3260</v>
      </c>
      <c r="G1916" s="6">
        <v>-3143.923781</v>
      </c>
      <c r="H1916" s="6">
        <f t="shared" si="32"/>
        <v>273497.56240255525</v>
      </c>
      <c r="I1916" s="4"/>
      <c r="J1916" s="4" t="s">
        <v>1176</v>
      </c>
      <c r="K1916" s="7">
        <v>-3145</v>
      </c>
      <c r="L1916" s="4" t="s">
        <v>1655</v>
      </c>
      <c r="M1916" s="4" t="s">
        <v>27</v>
      </c>
      <c r="N1916" s="4"/>
    </row>
    <row r="1917" spans="1:14" ht="10.5" hidden="1" x14ac:dyDescent="0.25">
      <c r="A1917" s="8" t="s">
        <v>57</v>
      </c>
      <c r="B1917" s="4" t="s">
        <v>21</v>
      </c>
      <c r="C1917" s="5">
        <v>43951</v>
      </c>
      <c r="D1917" s="4" t="s">
        <v>3323</v>
      </c>
      <c r="E1917" s="4" t="s">
        <v>3281</v>
      </c>
      <c r="F1917" s="4" t="s">
        <v>3260</v>
      </c>
      <c r="G1917" s="6">
        <v>3143.923781</v>
      </c>
      <c r="H1917" s="6">
        <f t="shared" si="32"/>
        <v>276641.48618355527</v>
      </c>
      <c r="I1917" s="4"/>
      <c r="J1917" s="4" t="s">
        <v>37</v>
      </c>
      <c r="K1917" s="7">
        <v>3145</v>
      </c>
      <c r="L1917" s="4" t="s">
        <v>1655</v>
      </c>
      <c r="M1917" s="4" t="s">
        <v>27</v>
      </c>
      <c r="N1917" s="4"/>
    </row>
    <row r="1918" spans="1:14" ht="10.5" hidden="1" x14ac:dyDescent="0.25">
      <c r="A1918" s="8" t="s">
        <v>57</v>
      </c>
      <c r="B1918" s="4" t="s">
        <v>21</v>
      </c>
      <c r="C1918" s="5">
        <v>43951</v>
      </c>
      <c r="D1918" s="4" t="s">
        <v>3324</v>
      </c>
      <c r="E1918" s="4" t="s">
        <v>3281</v>
      </c>
      <c r="F1918" s="4" t="s">
        <v>3260</v>
      </c>
      <c r="G1918" s="6">
        <v>-10021.569444999999</v>
      </c>
      <c r="H1918" s="6">
        <f t="shared" si="32"/>
        <v>266619.9167385553</v>
      </c>
      <c r="I1918" s="4"/>
      <c r="J1918" s="4" t="s">
        <v>1176</v>
      </c>
      <c r="K1918" s="7">
        <v>-10025</v>
      </c>
      <c r="L1918" s="4" t="s">
        <v>1655</v>
      </c>
      <c r="M1918" s="4" t="s">
        <v>27</v>
      </c>
      <c r="N1918" s="4"/>
    </row>
    <row r="1919" spans="1:14" ht="10.5" hidden="1" x14ac:dyDescent="0.25">
      <c r="A1919" s="8" t="s">
        <v>57</v>
      </c>
      <c r="B1919" s="4" t="s">
        <v>21</v>
      </c>
      <c r="C1919" s="5">
        <v>43951</v>
      </c>
      <c r="D1919" s="4" t="s">
        <v>3324</v>
      </c>
      <c r="E1919" s="4" t="s">
        <v>3281</v>
      </c>
      <c r="F1919" s="4" t="s">
        <v>3260</v>
      </c>
      <c r="G1919" s="6">
        <v>10021.569444999999</v>
      </c>
      <c r="H1919" s="6">
        <f t="shared" si="32"/>
        <v>276641.48618355527</v>
      </c>
      <c r="I1919" s="4"/>
      <c r="J1919" s="4" t="s">
        <v>37</v>
      </c>
      <c r="K1919" s="7">
        <v>10025</v>
      </c>
      <c r="L1919" s="4" t="s">
        <v>1655</v>
      </c>
      <c r="M1919" s="4" t="s">
        <v>27</v>
      </c>
      <c r="N1919" s="4"/>
    </row>
    <row r="1920" spans="1:14" ht="10.5" hidden="1" x14ac:dyDescent="0.25">
      <c r="A1920" s="8" t="s">
        <v>57</v>
      </c>
      <c r="B1920" s="4" t="s">
        <v>21</v>
      </c>
      <c r="C1920" s="5">
        <v>43951</v>
      </c>
      <c r="D1920" s="4" t="s">
        <v>3325</v>
      </c>
      <c r="E1920" s="4" t="s">
        <v>3281</v>
      </c>
      <c r="F1920" s="4" t="s">
        <v>3260</v>
      </c>
      <c r="G1920" s="6">
        <v>-5018.2821560000002</v>
      </c>
      <c r="H1920" s="6">
        <f t="shared" si="32"/>
        <v>271623.2040275553</v>
      </c>
      <c r="I1920" s="4"/>
      <c r="J1920" s="4" t="s">
        <v>1176</v>
      </c>
      <c r="K1920" s="7">
        <v>-5020</v>
      </c>
      <c r="L1920" s="4" t="s">
        <v>1655</v>
      </c>
      <c r="M1920" s="4" t="s">
        <v>27</v>
      </c>
      <c r="N1920" s="4"/>
    </row>
    <row r="1921" spans="1:14" ht="10.5" hidden="1" x14ac:dyDescent="0.25">
      <c r="A1921" s="8" t="s">
        <v>57</v>
      </c>
      <c r="B1921" s="4" t="s">
        <v>21</v>
      </c>
      <c r="C1921" s="5">
        <v>43951</v>
      </c>
      <c r="D1921" s="4" t="s">
        <v>3325</v>
      </c>
      <c r="E1921" s="4" t="s">
        <v>3281</v>
      </c>
      <c r="F1921" s="4" t="s">
        <v>3260</v>
      </c>
      <c r="G1921" s="6">
        <v>5018.2821560000002</v>
      </c>
      <c r="H1921" s="6">
        <f t="shared" si="32"/>
        <v>276641.48618355527</v>
      </c>
      <c r="I1921" s="4"/>
      <c r="J1921" s="4" t="s">
        <v>37</v>
      </c>
      <c r="K1921" s="7">
        <v>5020</v>
      </c>
      <c r="L1921" s="4" t="s">
        <v>1655</v>
      </c>
      <c r="M1921" s="4" t="s">
        <v>27</v>
      </c>
      <c r="N1921" s="4"/>
    </row>
    <row r="1922" spans="1:14" ht="10.5" hidden="1" x14ac:dyDescent="0.25">
      <c r="A1922" s="8" t="s">
        <v>57</v>
      </c>
      <c r="B1922" s="4" t="s">
        <v>21</v>
      </c>
      <c r="C1922" s="5">
        <v>43972</v>
      </c>
      <c r="D1922" s="4" t="s">
        <v>3326</v>
      </c>
      <c r="E1922" s="4" t="s">
        <v>3260</v>
      </c>
      <c r="F1922" s="4" t="s">
        <v>3260</v>
      </c>
      <c r="G1922" s="6">
        <v>10024.968181452001</v>
      </c>
      <c r="H1922" s="6">
        <f t="shared" si="32"/>
        <v>286666.45436500729</v>
      </c>
      <c r="I1922" s="4"/>
      <c r="J1922" s="4" t="s">
        <v>1176</v>
      </c>
      <c r="K1922" s="7">
        <v>10025</v>
      </c>
      <c r="L1922" s="4" t="s">
        <v>1749</v>
      </c>
      <c r="M1922" s="4" t="s">
        <v>27</v>
      </c>
      <c r="N1922" s="4"/>
    </row>
    <row r="1923" spans="1:14" ht="10.5" hidden="1" x14ac:dyDescent="0.25">
      <c r="A1923" s="8" t="s">
        <v>57</v>
      </c>
      <c r="B1923" s="4" t="s">
        <v>21</v>
      </c>
      <c r="C1923" s="5">
        <v>43972</v>
      </c>
      <c r="D1923" s="4" t="s">
        <v>3326</v>
      </c>
      <c r="E1923" s="4" t="s">
        <v>3260</v>
      </c>
      <c r="F1923" s="4" t="s">
        <v>3260</v>
      </c>
      <c r="G1923" s="6">
        <v>-10024.968181452001</v>
      </c>
      <c r="H1923" s="6">
        <f t="shared" si="32"/>
        <v>276641.48618355527</v>
      </c>
      <c r="I1923" s="4"/>
      <c r="J1923" s="4" t="s">
        <v>1176</v>
      </c>
      <c r="K1923" s="7">
        <v>-10025</v>
      </c>
      <c r="L1923" s="4" t="s">
        <v>1749</v>
      </c>
      <c r="M1923" s="4" t="s">
        <v>27</v>
      </c>
      <c r="N1923" s="4"/>
    </row>
    <row r="1924" spans="1:14" ht="10.5" hidden="1" x14ac:dyDescent="0.25">
      <c r="A1924" s="8" t="s">
        <v>57</v>
      </c>
      <c r="B1924" s="4" t="s">
        <v>21</v>
      </c>
      <c r="C1924" s="5">
        <v>43972</v>
      </c>
      <c r="D1924" s="4" t="s">
        <v>3327</v>
      </c>
      <c r="E1924" s="4" t="s">
        <v>3260</v>
      </c>
      <c r="F1924" s="4" t="s">
        <v>3260</v>
      </c>
      <c r="G1924" s="6">
        <v>6488.9794044331202</v>
      </c>
      <c r="H1924" s="6">
        <f t="shared" si="32"/>
        <v>283130.46558798838</v>
      </c>
      <c r="I1924" s="4"/>
      <c r="J1924" s="4" t="s">
        <v>1176</v>
      </c>
      <c r="K1924" s="7">
        <v>6489</v>
      </c>
      <c r="L1924" s="4" t="s">
        <v>1749</v>
      </c>
      <c r="M1924" s="4" t="s">
        <v>27</v>
      </c>
      <c r="N1924" s="4"/>
    </row>
    <row r="1925" spans="1:14" ht="10.5" hidden="1" x14ac:dyDescent="0.25">
      <c r="A1925" s="8" t="s">
        <v>57</v>
      </c>
      <c r="B1925" s="4" t="s">
        <v>21</v>
      </c>
      <c r="C1925" s="5">
        <v>43972</v>
      </c>
      <c r="D1925" s="4" t="s">
        <v>3327</v>
      </c>
      <c r="E1925" s="4" t="s">
        <v>3260</v>
      </c>
      <c r="F1925" s="4" t="s">
        <v>3260</v>
      </c>
      <c r="G1925" s="6">
        <v>-6488.9794044331202</v>
      </c>
      <c r="H1925" s="6">
        <f t="shared" si="32"/>
        <v>276641.48618355527</v>
      </c>
      <c r="I1925" s="4"/>
      <c r="J1925" s="4" t="s">
        <v>1176</v>
      </c>
      <c r="K1925" s="7">
        <v>-6489</v>
      </c>
      <c r="L1925" s="4" t="s">
        <v>1749</v>
      </c>
      <c r="M1925" s="4" t="s">
        <v>27</v>
      </c>
      <c r="N1925" s="4"/>
    </row>
    <row r="1926" spans="1:14" ht="10.5" hidden="1" x14ac:dyDescent="0.25">
      <c r="A1926" s="8" t="s">
        <v>57</v>
      </c>
      <c r="B1926" s="4" t="s">
        <v>21</v>
      </c>
      <c r="C1926" s="5">
        <v>43972</v>
      </c>
      <c r="D1926" s="4" t="s">
        <v>3328</v>
      </c>
      <c r="E1926" s="4" t="s">
        <v>3281</v>
      </c>
      <c r="F1926" s="4" t="s">
        <v>3260</v>
      </c>
      <c r="G1926" s="6">
        <v>10024.968181452001</v>
      </c>
      <c r="H1926" s="6">
        <f t="shared" si="32"/>
        <v>286666.45436500729</v>
      </c>
      <c r="I1926" s="4"/>
      <c r="J1926" s="4" t="s">
        <v>1176</v>
      </c>
      <c r="K1926" s="7">
        <v>10025</v>
      </c>
      <c r="L1926" s="4" t="s">
        <v>1749</v>
      </c>
      <c r="M1926" s="4" t="s">
        <v>27</v>
      </c>
      <c r="N1926" s="4"/>
    </row>
    <row r="1927" spans="1:14" ht="10.5" hidden="1" x14ac:dyDescent="0.25">
      <c r="A1927" s="8" t="s">
        <v>57</v>
      </c>
      <c r="B1927" s="4" t="s">
        <v>21</v>
      </c>
      <c r="C1927" s="5">
        <v>43972</v>
      </c>
      <c r="D1927" s="4" t="s">
        <v>3328</v>
      </c>
      <c r="E1927" s="4" t="s">
        <v>3281</v>
      </c>
      <c r="F1927" s="4" t="s">
        <v>3260</v>
      </c>
      <c r="G1927" s="6">
        <v>-10024.968181452001</v>
      </c>
      <c r="H1927" s="6">
        <f t="shared" si="32"/>
        <v>276641.48618355527</v>
      </c>
      <c r="I1927" s="4"/>
      <c r="J1927" s="4" t="s">
        <v>1176</v>
      </c>
      <c r="K1927" s="7">
        <v>-10025</v>
      </c>
      <c r="L1927" s="4" t="s">
        <v>1749</v>
      </c>
      <c r="M1927" s="4" t="s">
        <v>27</v>
      </c>
      <c r="N1927" s="4"/>
    </row>
    <row r="1928" spans="1:14" ht="10.5" hidden="1" x14ac:dyDescent="0.25">
      <c r="A1928" s="8" t="s">
        <v>57</v>
      </c>
      <c r="B1928" s="4" t="s">
        <v>21</v>
      </c>
      <c r="C1928" s="5">
        <v>43972</v>
      </c>
      <c r="D1928" s="4" t="s">
        <v>3329</v>
      </c>
      <c r="E1928" s="4" t="s">
        <v>3281</v>
      </c>
      <c r="F1928" s="4" t="s">
        <v>3260</v>
      </c>
      <c r="G1928" s="6">
        <v>6488.9794044331202</v>
      </c>
      <c r="H1928" s="6">
        <f t="shared" si="32"/>
        <v>283130.46558798838</v>
      </c>
      <c r="I1928" s="4"/>
      <c r="J1928" s="4" t="s">
        <v>1176</v>
      </c>
      <c r="K1928" s="7">
        <v>6489</v>
      </c>
      <c r="L1928" s="4" t="s">
        <v>1749</v>
      </c>
      <c r="M1928" s="4" t="s">
        <v>27</v>
      </c>
      <c r="N1928" s="4"/>
    </row>
    <row r="1929" spans="1:14" ht="10.5" hidden="1" x14ac:dyDescent="0.25">
      <c r="A1929" s="8" t="s">
        <v>57</v>
      </c>
      <c r="B1929" s="4" t="s">
        <v>21</v>
      </c>
      <c r="C1929" s="5">
        <v>43972</v>
      </c>
      <c r="D1929" s="4" t="s">
        <v>3329</v>
      </c>
      <c r="E1929" s="4" t="s">
        <v>3281</v>
      </c>
      <c r="F1929" s="4" t="s">
        <v>3260</v>
      </c>
      <c r="G1929" s="6">
        <v>-6488.9794044331202</v>
      </c>
      <c r="H1929" s="6">
        <f t="shared" si="32"/>
        <v>276641.48618355527</v>
      </c>
      <c r="I1929" s="4"/>
      <c r="J1929" s="4" t="s">
        <v>1176</v>
      </c>
      <c r="K1929" s="7">
        <v>-6489</v>
      </c>
      <c r="L1929" s="4" t="s">
        <v>1749</v>
      </c>
      <c r="M1929" s="4" t="s">
        <v>27</v>
      </c>
      <c r="N1929" s="4"/>
    </row>
    <row r="1930" spans="1:14" ht="10.5" hidden="1" x14ac:dyDescent="0.25">
      <c r="A1930" s="8" t="s">
        <v>57</v>
      </c>
      <c r="B1930" s="4" t="s">
        <v>21</v>
      </c>
      <c r="C1930" s="5">
        <v>43972</v>
      </c>
      <c r="D1930" s="4" t="s">
        <v>3329</v>
      </c>
      <c r="E1930" s="4" t="s">
        <v>3281</v>
      </c>
      <c r="F1930" s="4" t="s">
        <v>3260</v>
      </c>
      <c r="G1930" s="6">
        <v>6488.9794044331202</v>
      </c>
      <c r="H1930" s="6">
        <f t="shared" si="32"/>
        <v>283130.46558798838</v>
      </c>
      <c r="I1930" s="4"/>
      <c r="J1930" s="4" t="s">
        <v>37</v>
      </c>
      <c r="K1930" s="7">
        <v>6489</v>
      </c>
      <c r="L1930" s="4" t="s">
        <v>1749</v>
      </c>
      <c r="M1930" s="4" t="s">
        <v>27</v>
      </c>
      <c r="N1930" s="4"/>
    </row>
    <row r="1931" spans="1:14" ht="10.5" hidden="1" x14ac:dyDescent="0.25">
      <c r="A1931" s="8" t="s">
        <v>57</v>
      </c>
      <c r="B1931" s="4" t="s">
        <v>21</v>
      </c>
      <c r="C1931" s="5">
        <v>43972</v>
      </c>
      <c r="D1931" s="4" t="s">
        <v>3329</v>
      </c>
      <c r="E1931" s="4" t="s">
        <v>3281</v>
      </c>
      <c r="F1931" s="4" t="s">
        <v>3260</v>
      </c>
      <c r="G1931" s="6">
        <v>-6488.9794044331202</v>
      </c>
      <c r="H1931" s="6">
        <f t="shared" si="32"/>
        <v>276641.48618355527</v>
      </c>
      <c r="I1931" s="4"/>
      <c r="J1931" s="4" t="s">
        <v>37</v>
      </c>
      <c r="K1931" s="7">
        <v>-6489</v>
      </c>
      <c r="L1931" s="4" t="s">
        <v>1749</v>
      </c>
      <c r="M1931" s="4" t="s">
        <v>27</v>
      </c>
      <c r="N1931" s="4"/>
    </row>
    <row r="1932" spans="1:14" ht="10.5" hidden="1" x14ac:dyDescent="0.25">
      <c r="A1932" s="8" t="s">
        <v>57</v>
      </c>
      <c r="B1932" s="4" t="s">
        <v>21</v>
      </c>
      <c r="C1932" s="5">
        <v>43972</v>
      </c>
      <c r="D1932" s="4" t="s">
        <v>3330</v>
      </c>
      <c r="E1932" s="4" t="s">
        <v>3281</v>
      </c>
      <c r="F1932" s="4" t="s">
        <v>3260</v>
      </c>
      <c r="G1932" s="6">
        <v>10024.968181452001</v>
      </c>
      <c r="H1932" s="6">
        <f t="shared" si="32"/>
        <v>286666.45436500729</v>
      </c>
      <c r="I1932" s="4"/>
      <c r="J1932" s="4" t="s">
        <v>37</v>
      </c>
      <c r="K1932" s="7">
        <v>10025</v>
      </c>
      <c r="L1932" s="4" t="s">
        <v>1749</v>
      </c>
      <c r="M1932" s="4" t="s">
        <v>27</v>
      </c>
      <c r="N1932" s="4"/>
    </row>
    <row r="1933" spans="1:14" ht="10.5" hidden="1" x14ac:dyDescent="0.25">
      <c r="A1933" s="8" t="s">
        <v>57</v>
      </c>
      <c r="B1933" s="4" t="s">
        <v>21</v>
      </c>
      <c r="C1933" s="5">
        <v>43972</v>
      </c>
      <c r="D1933" s="4" t="s">
        <v>3330</v>
      </c>
      <c r="E1933" s="4" t="s">
        <v>3281</v>
      </c>
      <c r="F1933" s="4" t="s">
        <v>3260</v>
      </c>
      <c r="G1933" s="6">
        <v>-10024.968181452001</v>
      </c>
      <c r="H1933" s="6">
        <f t="shared" si="32"/>
        <v>276641.48618355527</v>
      </c>
      <c r="I1933" s="4"/>
      <c r="J1933" s="4" t="s">
        <v>37</v>
      </c>
      <c r="K1933" s="7">
        <v>-10025</v>
      </c>
      <c r="L1933" s="4" t="s">
        <v>1749</v>
      </c>
      <c r="M1933" s="4" t="s">
        <v>27</v>
      </c>
      <c r="N1933" s="4"/>
    </row>
    <row r="1934" spans="1:14" ht="10.5" x14ac:dyDescent="0.25">
      <c r="A1934" s="8" t="s">
        <v>57</v>
      </c>
      <c r="B1934" s="4" t="s">
        <v>21</v>
      </c>
      <c r="C1934" s="5">
        <v>43982</v>
      </c>
      <c r="D1934" s="4" t="s">
        <v>1822</v>
      </c>
      <c r="E1934" s="4" t="s">
        <v>1823</v>
      </c>
      <c r="F1934" s="4" t="s">
        <v>1823</v>
      </c>
      <c r="G1934" s="6">
        <v>1551.8336400000001</v>
      </c>
      <c r="H1934" s="6">
        <f t="shared" si="32"/>
        <v>278193.3198235553</v>
      </c>
      <c r="I1934" s="4"/>
      <c r="J1934" s="4" t="s">
        <v>25</v>
      </c>
      <c r="K1934" s="7">
        <v>1431</v>
      </c>
      <c r="L1934" s="4" t="s">
        <v>1749</v>
      </c>
      <c r="M1934" s="4" t="s">
        <v>38</v>
      </c>
      <c r="N1934" s="4"/>
    </row>
    <row r="1935" spans="1:14" ht="10.5" x14ac:dyDescent="0.25">
      <c r="A1935" s="8" t="s">
        <v>57</v>
      </c>
      <c r="B1935" s="4" t="s">
        <v>21</v>
      </c>
      <c r="C1935" s="5">
        <v>43982</v>
      </c>
      <c r="D1935" s="4" t="s">
        <v>1826</v>
      </c>
      <c r="E1935" s="4" t="s">
        <v>1827</v>
      </c>
      <c r="F1935" s="4" t="s">
        <v>1828</v>
      </c>
      <c r="G1935" s="6">
        <v>97.599599999999995</v>
      </c>
      <c r="H1935" s="6">
        <f t="shared" si="32"/>
        <v>278290.91942355532</v>
      </c>
      <c r="I1935" s="4"/>
      <c r="J1935" s="4" t="s">
        <v>25</v>
      </c>
      <c r="K1935" s="7">
        <v>90</v>
      </c>
      <c r="L1935" s="4" t="s">
        <v>1749</v>
      </c>
      <c r="M1935" s="4" t="s">
        <v>38</v>
      </c>
      <c r="N1935" s="4"/>
    </row>
    <row r="1936" spans="1:14" ht="10.5" x14ac:dyDescent="0.25">
      <c r="A1936" s="8" t="s">
        <v>57</v>
      </c>
      <c r="B1936" s="4" t="s">
        <v>21</v>
      </c>
      <c r="C1936" s="5">
        <v>43982</v>
      </c>
      <c r="D1936" s="4" t="s">
        <v>3331</v>
      </c>
      <c r="E1936" s="4" t="s">
        <v>3332</v>
      </c>
      <c r="F1936" s="4" t="s">
        <v>1828</v>
      </c>
      <c r="G1936" s="6">
        <v>-97.599599999999995</v>
      </c>
      <c r="H1936" s="6">
        <f t="shared" si="32"/>
        <v>278193.3198235553</v>
      </c>
      <c r="I1936" s="4"/>
      <c r="J1936" s="4" t="s">
        <v>25</v>
      </c>
      <c r="K1936" s="7">
        <v>-90</v>
      </c>
      <c r="L1936" s="4" t="s">
        <v>1749</v>
      </c>
      <c r="M1936" s="4" t="s">
        <v>38</v>
      </c>
      <c r="N1936" s="4"/>
    </row>
    <row r="1937" spans="1:14" ht="10.5" x14ac:dyDescent="0.25">
      <c r="A1937" s="8" t="s">
        <v>57</v>
      </c>
      <c r="B1937" s="4" t="s">
        <v>21</v>
      </c>
      <c r="C1937" s="5">
        <v>43982</v>
      </c>
      <c r="D1937" s="4" t="s">
        <v>3331</v>
      </c>
      <c r="E1937" s="4" t="s">
        <v>3332</v>
      </c>
      <c r="F1937" s="4" t="s">
        <v>1828</v>
      </c>
      <c r="G1937" s="6">
        <v>97.599599999999995</v>
      </c>
      <c r="H1937" s="6">
        <f t="shared" si="32"/>
        <v>278290.91942355532</v>
      </c>
      <c r="I1937" s="4"/>
      <c r="J1937" s="4" t="s">
        <v>25</v>
      </c>
      <c r="K1937" s="7">
        <v>90</v>
      </c>
      <c r="L1937" s="4" t="s">
        <v>1749</v>
      </c>
      <c r="M1937" s="4" t="s">
        <v>38</v>
      </c>
      <c r="N1937" s="4"/>
    </row>
    <row r="1938" spans="1:14" ht="10.5" x14ac:dyDescent="0.25">
      <c r="A1938" s="8" t="s">
        <v>57</v>
      </c>
      <c r="B1938" s="4" t="s">
        <v>21</v>
      </c>
      <c r="C1938" s="5">
        <v>43983</v>
      </c>
      <c r="D1938" s="4" t="s">
        <v>1830</v>
      </c>
      <c r="E1938" s="4" t="s">
        <v>1827</v>
      </c>
      <c r="F1938" s="4" t="s">
        <v>1828</v>
      </c>
      <c r="G1938" s="6">
        <v>-99.910799999999995</v>
      </c>
      <c r="H1938" s="6">
        <f t="shared" si="32"/>
        <v>278191.0086235553</v>
      </c>
      <c r="I1938" s="4"/>
      <c r="J1938" s="4" t="s">
        <v>25</v>
      </c>
      <c r="K1938" s="7">
        <v>-90</v>
      </c>
      <c r="L1938" s="4" t="s">
        <v>1831</v>
      </c>
      <c r="M1938" s="4" t="s">
        <v>38</v>
      </c>
      <c r="N1938" s="4"/>
    </row>
    <row r="1939" spans="1:14" ht="10.5" hidden="1" x14ac:dyDescent="0.25">
      <c r="A1939" s="8" t="s">
        <v>57</v>
      </c>
      <c r="B1939" s="4" t="s">
        <v>64</v>
      </c>
      <c r="C1939" s="5">
        <v>43983</v>
      </c>
      <c r="D1939" s="4" t="s">
        <v>3333</v>
      </c>
      <c r="E1939" s="4" t="s">
        <v>3295</v>
      </c>
      <c r="F1939" s="4" t="s">
        <v>3295</v>
      </c>
      <c r="G1939" s="6">
        <v>3200.0230310400002</v>
      </c>
      <c r="H1939" s="6">
        <f t="shared" si="32"/>
        <v>281391.03165459528</v>
      </c>
      <c r="I1939" s="4" t="s">
        <v>67</v>
      </c>
      <c r="J1939" s="4" t="s">
        <v>37</v>
      </c>
      <c r="K1939" s="7">
        <v>3200</v>
      </c>
      <c r="L1939" s="4" t="s">
        <v>1831</v>
      </c>
      <c r="M1939" s="4" t="s">
        <v>27</v>
      </c>
      <c r="N1939" s="4"/>
    </row>
    <row r="1940" spans="1:14" ht="10.5" hidden="1" x14ac:dyDescent="0.25">
      <c r="A1940" s="8" t="s">
        <v>57</v>
      </c>
      <c r="B1940" s="4" t="s">
        <v>64</v>
      </c>
      <c r="C1940" s="5">
        <v>43983</v>
      </c>
      <c r="D1940" s="4" t="s">
        <v>3334</v>
      </c>
      <c r="E1940" s="4" t="s">
        <v>3295</v>
      </c>
      <c r="F1940" s="4" t="s">
        <v>3295</v>
      </c>
      <c r="G1940" s="6">
        <v>1081.5077837718</v>
      </c>
      <c r="H1940" s="6">
        <f t="shared" ref="H1940:H2003" si="33">H1939+G1940</f>
        <v>282472.53943836706</v>
      </c>
      <c r="I1940" s="4" t="s">
        <v>94</v>
      </c>
      <c r="J1940" s="4" t="s">
        <v>68</v>
      </c>
      <c r="K1940" s="7">
        <v>1081.5</v>
      </c>
      <c r="L1940" s="4" t="s">
        <v>1831</v>
      </c>
      <c r="M1940" s="4" t="s">
        <v>27</v>
      </c>
      <c r="N1940" s="4"/>
    </row>
    <row r="1941" spans="1:14" ht="10.5" hidden="1" x14ac:dyDescent="0.25">
      <c r="A1941" s="8" t="s">
        <v>57</v>
      </c>
      <c r="B1941" s="4" t="s">
        <v>3335</v>
      </c>
      <c r="C1941" s="5">
        <v>44001</v>
      </c>
      <c r="D1941" s="4" t="s">
        <v>3336</v>
      </c>
      <c r="E1941" s="4" t="s">
        <v>3337</v>
      </c>
      <c r="F1941" s="4" t="s">
        <v>3338</v>
      </c>
      <c r="G1941" s="6">
        <v>22947.695157962917</v>
      </c>
      <c r="H1941" s="6">
        <f t="shared" si="33"/>
        <v>305420.23459632997</v>
      </c>
      <c r="I1941" s="4" t="s">
        <v>3339</v>
      </c>
      <c r="J1941" s="4" t="s">
        <v>68</v>
      </c>
      <c r="K1941" s="7">
        <v>22947.53</v>
      </c>
      <c r="L1941" s="4" t="s">
        <v>1831</v>
      </c>
      <c r="M1941" s="4" t="s">
        <v>27</v>
      </c>
      <c r="N1941" s="4"/>
    </row>
    <row r="1942" spans="1:14" ht="10.5" hidden="1" x14ac:dyDescent="0.25">
      <c r="A1942" s="8" t="s">
        <v>57</v>
      </c>
      <c r="B1942" s="4" t="s">
        <v>3335</v>
      </c>
      <c r="C1942" s="5">
        <v>44001</v>
      </c>
      <c r="D1942" s="4" t="s">
        <v>3340</v>
      </c>
      <c r="E1942" s="4" t="s">
        <v>3337</v>
      </c>
      <c r="F1942" s="4" t="s">
        <v>3341</v>
      </c>
      <c r="G1942" s="6">
        <v>9566.1088487030884</v>
      </c>
      <c r="H1942" s="6">
        <f t="shared" si="33"/>
        <v>314986.34344503307</v>
      </c>
      <c r="I1942" s="4" t="s">
        <v>3342</v>
      </c>
      <c r="J1942" s="4" t="s">
        <v>68</v>
      </c>
      <c r="K1942" s="7">
        <v>13016.41</v>
      </c>
      <c r="L1942" s="4" t="s">
        <v>1831</v>
      </c>
      <c r="M1942" s="4" t="s">
        <v>27</v>
      </c>
      <c r="N1942" s="4"/>
    </row>
    <row r="1943" spans="1:14" ht="10.5" hidden="1" x14ac:dyDescent="0.25">
      <c r="A1943" s="8" t="s">
        <v>57</v>
      </c>
      <c r="B1943" s="4" t="s">
        <v>64</v>
      </c>
      <c r="C1943" s="5">
        <v>44007</v>
      </c>
      <c r="D1943" s="4" t="s">
        <v>3343</v>
      </c>
      <c r="E1943" s="4" t="s">
        <v>3344</v>
      </c>
      <c r="F1943" s="4" t="s">
        <v>3344</v>
      </c>
      <c r="G1943" s="6">
        <v>5656.0407073632005</v>
      </c>
      <c r="H1943" s="6">
        <f t="shared" si="33"/>
        <v>320642.38415239629</v>
      </c>
      <c r="I1943" s="4" t="s">
        <v>67</v>
      </c>
      <c r="J1943" s="4" t="s">
        <v>68</v>
      </c>
      <c r="K1943" s="7">
        <v>5656</v>
      </c>
      <c r="L1943" s="4" t="s">
        <v>1831</v>
      </c>
      <c r="M1943" s="4" t="s">
        <v>27</v>
      </c>
      <c r="N1943" s="4"/>
    </row>
    <row r="1944" spans="1:14" ht="10.5" hidden="1" x14ac:dyDescent="0.25">
      <c r="A1944" s="8" t="s">
        <v>57</v>
      </c>
      <c r="B1944" s="4" t="s">
        <v>64</v>
      </c>
      <c r="C1944" s="5">
        <v>44007</v>
      </c>
      <c r="D1944" s="4" t="s">
        <v>3345</v>
      </c>
      <c r="E1944" s="4" t="s">
        <v>3295</v>
      </c>
      <c r="F1944" s="4" t="s">
        <v>3295</v>
      </c>
      <c r="G1944" s="6">
        <v>11228.0808101616</v>
      </c>
      <c r="H1944" s="6">
        <f t="shared" si="33"/>
        <v>331870.46496255789</v>
      </c>
      <c r="I1944" s="4" t="s">
        <v>3346</v>
      </c>
      <c r="J1944" s="4" t="s">
        <v>68</v>
      </c>
      <c r="K1944" s="7">
        <v>11228</v>
      </c>
      <c r="L1944" s="4" t="s">
        <v>1831</v>
      </c>
      <c r="M1944" s="4" t="s">
        <v>27</v>
      </c>
      <c r="N1944" s="4"/>
    </row>
    <row r="1945" spans="1:14" ht="10.5" hidden="1" x14ac:dyDescent="0.25">
      <c r="A1945" s="8" t="s">
        <v>57</v>
      </c>
      <c r="B1945" s="4" t="s">
        <v>64</v>
      </c>
      <c r="C1945" s="5">
        <v>44008</v>
      </c>
      <c r="D1945" s="4" t="s">
        <v>3347</v>
      </c>
      <c r="E1945" s="4" t="s">
        <v>3295</v>
      </c>
      <c r="F1945" s="4" t="s">
        <v>3295</v>
      </c>
      <c r="G1945" s="6">
        <v>30000.215916000001</v>
      </c>
      <c r="H1945" s="6">
        <f t="shared" si="33"/>
        <v>361870.68087855791</v>
      </c>
      <c r="I1945" s="4" t="s">
        <v>3348</v>
      </c>
      <c r="J1945" s="4" t="s">
        <v>68</v>
      </c>
      <c r="K1945" s="7">
        <v>30000</v>
      </c>
      <c r="L1945" s="4" t="s">
        <v>1831</v>
      </c>
      <c r="M1945" s="4" t="s">
        <v>27</v>
      </c>
      <c r="N1945" s="4"/>
    </row>
    <row r="1946" spans="1:14" ht="10.5" x14ac:dyDescent="0.25">
      <c r="A1946" s="8" t="s">
        <v>57</v>
      </c>
      <c r="B1946" s="4" t="s">
        <v>21</v>
      </c>
      <c r="C1946" s="5">
        <v>44012</v>
      </c>
      <c r="D1946" s="4" t="s">
        <v>1838</v>
      </c>
      <c r="E1946" s="4" t="s">
        <v>1834</v>
      </c>
      <c r="F1946" s="4" t="s">
        <v>1839</v>
      </c>
      <c r="G1946" s="6">
        <v>2221.3501200000001</v>
      </c>
      <c r="H1946" s="6">
        <f t="shared" si="33"/>
        <v>364092.03099855792</v>
      </c>
      <c r="I1946" s="4"/>
      <c r="J1946" s="4" t="s">
        <v>25</v>
      </c>
      <c r="K1946" s="7">
        <v>2001</v>
      </c>
      <c r="L1946" s="4" t="s">
        <v>1831</v>
      </c>
      <c r="M1946" s="4" t="s">
        <v>38</v>
      </c>
      <c r="N1946" s="4"/>
    </row>
    <row r="1947" spans="1:14" ht="10.5" hidden="1" x14ac:dyDescent="0.25">
      <c r="A1947" s="8" t="s">
        <v>57</v>
      </c>
      <c r="B1947" s="4" t="s">
        <v>21</v>
      </c>
      <c r="C1947" s="5">
        <v>44012</v>
      </c>
      <c r="D1947" s="4" t="s">
        <v>3349</v>
      </c>
      <c r="E1947" s="4" t="s">
        <v>3350</v>
      </c>
      <c r="F1947" s="4"/>
      <c r="G1947" s="6">
        <v>2786.790056941044</v>
      </c>
      <c r="H1947" s="6">
        <f t="shared" si="33"/>
        <v>366878.82105549896</v>
      </c>
      <c r="I1947" s="4"/>
      <c r="J1947" s="4" t="s">
        <v>68</v>
      </c>
      <c r="K1947" s="7">
        <v>2786.77</v>
      </c>
      <c r="L1947" s="4" t="s">
        <v>1831</v>
      </c>
      <c r="M1947" s="4" t="s">
        <v>27</v>
      </c>
      <c r="N1947" s="4"/>
    </row>
    <row r="1948" spans="1:14" ht="10.5" hidden="1" x14ac:dyDescent="0.25">
      <c r="A1948" s="8" t="s">
        <v>57</v>
      </c>
      <c r="B1948" s="4" t="s">
        <v>64</v>
      </c>
      <c r="C1948" s="5">
        <v>44012</v>
      </c>
      <c r="D1948" s="4" t="s">
        <v>3351</v>
      </c>
      <c r="E1948" s="4" t="s">
        <v>3295</v>
      </c>
      <c r="F1948" s="4" t="s">
        <v>3295</v>
      </c>
      <c r="G1948" s="6">
        <v>194.22139784018401</v>
      </c>
      <c r="H1948" s="6">
        <f t="shared" si="33"/>
        <v>367073.04245333915</v>
      </c>
      <c r="I1948" s="4" t="s">
        <v>3352</v>
      </c>
      <c r="J1948" s="4" t="s">
        <v>68</v>
      </c>
      <c r="K1948" s="7">
        <v>194.22</v>
      </c>
      <c r="L1948" s="4" t="s">
        <v>1831</v>
      </c>
      <c r="M1948" s="4" t="s">
        <v>27</v>
      </c>
      <c r="N1948" s="4"/>
    </row>
    <row r="1949" spans="1:14" ht="10.5" hidden="1" x14ac:dyDescent="0.25">
      <c r="A1949" s="8" t="s">
        <v>57</v>
      </c>
      <c r="B1949" s="4" t="s">
        <v>21</v>
      </c>
      <c r="C1949" s="5">
        <v>44012</v>
      </c>
      <c r="D1949" s="4" t="s">
        <v>3353</v>
      </c>
      <c r="E1949" s="4" t="s">
        <v>2592</v>
      </c>
      <c r="F1949" s="4" t="s">
        <v>3354</v>
      </c>
      <c r="G1949" s="6">
        <v>94511.680214569205</v>
      </c>
      <c r="H1949" s="6">
        <f t="shared" si="33"/>
        <v>461584.72266790835</v>
      </c>
      <c r="I1949" s="4"/>
      <c r="J1949" s="4" t="s">
        <v>68</v>
      </c>
      <c r="K1949" s="7">
        <v>94511</v>
      </c>
      <c r="L1949" s="4" t="s">
        <v>1831</v>
      </c>
      <c r="M1949" s="4" t="s">
        <v>27</v>
      </c>
      <c r="N1949" s="4" t="s">
        <v>118</v>
      </c>
    </row>
    <row r="1950" spans="1:14" ht="10.5" hidden="1" x14ac:dyDescent="0.25">
      <c r="A1950" s="8" t="s">
        <v>57</v>
      </c>
      <c r="B1950" s="4" t="s">
        <v>21</v>
      </c>
      <c r="C1950" s="5">
        <v>44012</v>
      </c>
      <c r="D1950" s="4" t="s">
        <v>3355</v>
      </c>
      <c r="E1950" s="4" t="s">
        <v>3356</v>
      </c>
      <c r="F1950" s="4" t="s">
        <v>3357</v>
      </c>
      <c r="G1950" s="6">
        <v>-301.75217175509999</v>
      </c>
      <c r="H1950" s="6">
        <f t="shared" si="33"/>
        <v>461282.97049615323</v>
      </c>
      <c r="I1950" s="4"/>
      <c r="J1950" s="4" t="s">
        <v>68</v>
      </c>
      <c r="K1950" s="7">
        <v>-301.75</v>
      </c>
      <c r="L1950" s="4" t="s">
        <v>1831</v>
      </c>
      <c r="M1950" s="4" t="s">
        <v>27</v>
      </c>
      <c r="N1950" s="4" t="s">
        <v>118</v>
      </c>
    </row>
    <row r="1951" spans="1:14" ht="10.5" hidden="1" x14ac:dyDescent="0.25">
      <c r="A1951" s="8" t="s">
        <v>57</v>
      </c>
      <c r="B1951" s="4" t="s">
        <v>21</v>
      </c>
      <c r="C1951" s="5">
        <v>44012</v>
      </c>
      <c r="D1951" s="4" t="s">
        <v>3358</v>
      </c>
      <c r="E1951" s="4" t="s">
        <v>3359</v>
      </c>
      <c r="F1951" s="4" t="s">
        <v>3359</v>
      </c>
      <c r="G1951" s="6">
        <v>160786.45043999999</v>
      </c>
      <c r="H1951" s="6">
        <f t="shared" si="33"/>
        <v>622069.42093615327</v>
      </c>
      <c r="I1951" s="4"/>
      <c r="J1951" s="4" t="s">
        <v>25</v>
      </c>
      <c r="K1951" s="7">
        <v>144837</v>
      </c>
      <c r="L1951" s="4" t="s">
        <v>1831</v>
      </c>
      <c r="M1951" s="4" t="s">
        <v>61</v>
      </c>
      <c r="N1951" s="4" t="s">
        <v>28</v>
      </c>
    </row>
    <row r="1952" spans="1:14" ht="10.5" hidden="1" x14ac:dyDescent="0.25">
      <c r="A1952" s="8" t="s">
        <v>57</v>
      </c>
      <c r="B1952" s="4" t="s">
        <v>64</v>
      </c>
      <c r="C1952" s="5">
        <v>44013</v>
      </c>
      <c r="D1952" s="4" t="s">
        <v>3360</v>
      </c>
      <c r="E1952" s="4" t="s">
        <v>66</v>
      </c>
      <c r="F1952" s="4" t="s">
        <v>66</v>
      </c>
      <c r="G1952" s="6">
        <v>1297.8000031655938</v>
      </c>
      <c r="H1952" s="6">
        <f t="shared" si="33"/>
        <v>623367.22093931888</v>
      </c>
      <c r="I1952" s="4" t="s">
        <v>3361</v>
      </c>
      <c r="J1952" s="4" t="s">
        <v>68</v>
      </c>
      <c r="K1952" s="7">
        <v>1297.8</v>
      </c>
      <c r="L1952" s="4" t="s">
        <v>1842</v>
      </c>
      <c r="M1952" s="4" t="s">
        <v>27</v>
      </c>
      <c r="N1952" s="4"/>
    </row>
    <row r="1953" spans="1:14" ht="10.5" hidden="1" x14ac:dyDescent="0.25">
      <c r="A1953" s="8" t="s">
        <v>57</v>
      </c>
      <c r="B1953" s="4" t="s">
        <v>21</v>
      </c>
      <c r="C1953" s="5">
        <v>44013</v>
      </c>
      <c r="D1953" s="4" t="s">
        <v>3362</v>
      </c>
      <c r="E1953" s="4" t="s">
        <v>2592</v>
      </c>
      <c r="F1953" s="4" t="s">
        <v>3354</v>
      </c>
      <c r="G1953" s="6">
        <v>-94511.000230531237</v>
      </c>
      <c r="H1953" s="6">
        <f t="shared" si="33"/>
        <v>528856.22070878767</v>
      </c>
      <c r="I1953" s="4"/>
      <c r="J1953" s="4" t="s">
        <v>68</v>
      </c>
      <c r="K1953" s="7">
        <v>-94511</v>
      </c>
      <c r="L1953" s="4" t="s">
        <v>1842</v>
      </c>
      <c r="M1953" s="4" t="s">
        <v>27</v>
      </c>
      <c r="N1953" s="4" t="s">
        <v>118</v>
      </c>
    </row>
    <row r="1954" spans="1:14" ht="10.5" hidden="1" x14ac:dyDescent="0.25">
      <c r="A1954" s="8" t="s">
        <v>57</v>
      </c>
      <c r="B1954" s="4" t="s">
        <v>64</v>
      </c>
      <c r="C1954" s="5">
        <v>44036</v>
      </c>
      <c r="D1954" s="4" t="s">
        <v>3363</v>
      </c>
      <c r="E1954" s="4" t="s">
        <v>66</v>
      </c>
      <c r="F1954" s="4" t="s">
        <v>66</v>
      </c>
      <c r="G1954" s="6">
        <v>174.72000042617702</v>
      </c>
      <c r="H1954" s="6">
        <f t="shared" si="33"/>
        <v>529030.94070921384</v>
      </c>
      <c r="I1954" s="4" t="s">
        <v>3364</v>
      </c>
      <c r="J1954" s="4" t="s">
        <v>68</v>
      </c>
      <c r="K1954" s="7">
        <v>174.72</v>
      </c>
      <c r="L1954" s="4" t="s">
        <v>1842</v>
      </c>
      <c r="M1954" s="4" t="s">
        <v>27</v>
      </c>
      <c r="N1954" s="4"/>
    </row>
    <row r="1955" spans="1:14" ht="10.5" hidden="1" x14ac:dyDescent="0.25">
      <c r="A1955" s="8" t="s">
        <v>57</v>
      </c>
      <c r="B1955" s="4" t="s">
        <v>64</v>
      </c>
      <c r="C1955" s="5">
        <v>44041</v>
      </c>
      <c r="D1955" s="4" t="s">
        <v>3365</v>
      </c>
      <c r="E1955" s="4" t="s">
        <v>3295</v>
      </c>
      <c r="F1955" s="4" t="s">
        <v>3295</v>
      </c>
      <c r="G1955" s="6">
        <v>9794.6300238910608</v>
      </c>
      <c r="H1955" s="6">
        <f t="shared" si="33"/>
        <v>538825.57073310495</v>
      </c>
      <c r="I1955" s="4" t="s">
        <v>70</v>
      </c>
      <c r="J1955" s="4" t="s">
        <v>68</v>
      </c>
      <c r="K1955" s="7">
        <v>9794.6299999999992</v>
      </c>
      <c r="L1955" s="4" t="s">
        <v>1842</v>
      </c>
      <c r="M1955" s="4" t="s">
        <v>27</v>
      </c>
      <c r="N1955" s="4"/>
    </row>
    <row r="1956" spans="1:14" ht="10.5" x14ac:dyDescent="0.25">
      <c r="A1956" s="8" t="s">
        <v>57</v>
      </c>
      <c r="B1956" s="4" t="s">
        <v>21</v>
      </c>
      <c r="C1956" s="5">
        <v>44042</v>
      </c>
      <c r="D1956" s="4" t="s">
        <v>3366</v>
      </c>
      <c r="E1956" s="4" t="s">
        <v>3367</v>
      </c>
      <c r="F1956" s="4" t="s">
        <v>3367</v>
      </c>
      <c r="G1956" s="6">
        <v>-2250.4892422799999</v>
      </c>
      <c r="H1956" s="6">
        <f t="shared" si="33"/>
        <v>536575.08149082493</v>
      </c>
      <c r="I1956" s="4"/>
      <c r="J1956" s="4" t="s">
        <v>25</v>
      </c>
      <c r="K1956" s="7">
        <v>-2001</v>
      </c>
      <c r="L1956" s="4" t="s">
        <v>1842</v>
      </c>
      <c r="M1956" s="4" t="s">
        <v>38</v>
      </c>
      <c r="N1956" s="4"/>
    </row>
    <row r="1957" spans="1:14" ht="10.5" x14ac:dyDescent="0.25">
      <c r="A1957" s="8" t="s">
        <v>57</v>
      </c>
      <c r="B1957" s="4" t="s">
        <v>21</v>
      </c>
      <c r="C1957" s="5">
        <v>44042</v>
      </c>
      <c r="D1957" s="4" t="s">
        <v>3368</v>
      </c>
      <c r="E1957" s="4" t="s">
        <v>3367</v>
      </c>
      <c r="F1957" s="4" t="s">
        <v>3367</v>
      </c>
      <c r="G1957" s="6">
        <v>2250.4892422799999</v>
      </c>
      <c r="H1957" s="6">
        <f t="shared" si="33"/>
        <v>538825.57073310495</v>
      </c>
      <c r="I1957" s="4"/>
      <c r="J1957" s="4" t="s">
        <v>25</v>
      </c>
      <c r="K1957" s="7">
        <v>2001</v>
      </c>
      <c r="L1957" s="4" t="s">
        <v>1842</v>
      </c>
      <c r="M1957" s="4" t="s">
        <v>38</v>
      </c>
      <c r="N1957" s="4"/>
    </row>
    <row r="1958" spans="1:14" ht="10.5" hidden="1" x14ac:dyDescent="0.25">
      <c r="A1958" s="8" t="s">
        <v>57</v>
      </c>
      <c r="B1958" s="4" t="s">
        <v>64</v>
      </c>
      <c r="C1958" s="5">
        <v>44042</v>
      </c>
      <c r="D1958" s="4" t="s">
        <v>3369</v>
      </c>
      <c r="E1958" s="4" t="s">
        <v>66</v>
      </c>
      <c r="F1958" s="4" t="s">
        <v>66</v>
      </c>
      <c r="G1958" s="6">
        <v>1946.7000047483907</v>
      </c>
      <c r="H1958" s="6">
        <f t="shared" si="33"/>
        <v>540772.27073785337</v>
      </c>
      <c r="I1958" s="4" t="s">
        <v>94</v>
      </c>
      <c r="J1958" s="4" t="s">
        <v>68</v>
      </c>
      <c r="K1958" s="7">
        <v>1946.7</v>
      </c>
      <c r="L1958" s="4" t="s">
        <v>1842</v>
      </c>
      <c r="M1958" s="4" t="s">
        <v>27</v>
      </c>
      <c r="N1958" s="4"/>
    </row>
    <row r="1959" spans="1:14" ht="10.5" hidden="1" x14ac:dyDescent="0.25">
      <c r="A1959" s="8" t="s">
        <v>57</v>
      </c>
      <c r="B1959" s="4" t="s">
        <v>64</v>
      </c>
      <c r="C1959" s="5">
        <v>44042</v>
      </c>
      <c r="D1959" s="4" t="s">
        <v>3370</v>
      </c>
      <c r="E1959" s="4" t="s">
        <v>66</v>
      </c>
      <c r="F1959" s="4" t="s">
        <v>66</v>
      </c>
      <c r="G1959" s="6">
        <v>1838.5500044845912</v>
      </c>
      <c r="H1959" s="6">
        <f t="shared" si="33"/>
        <v>542610.82074233796</v>
      </c>
      <c r="I1959" s="4" t="s">
        <v>3361</v>
      </c>
      <c r="J1959" s="4" t="s">
        <v>68</v>
      </c>
      <c r="K1959" s="7">
        <v>1838.55</v>
      </c>
      <c r="L1959" s="4" t="s">
        <v>1842</v>
      </c>
      <c r="M1959" s="4" t="s">
        <v>27</v>
      </c>
      <c r="N1959" s="4"/>
    </row>
    <row r="1960" spans="1:14" ht="10.5" hidden="1" x14ac:dyDescent="0.25">
      <c r="A1960" s="8" t="s">
        <v>57</v>
      </c>
      <c r="B1960" s="4" t="s">
        <v>64</v>
      </c>
      <c r="C1960" s="5">
        <v>44042</v>
      </c>
      <c r="D1960" s="4" t="s">
        <v>3371</v>
      </c>
      <c r="E1960" s="4" t="s">
        <v>66</v>
      </c>
      <c r="F1960" s="4" t="s">
        <v>66</v>
      </c>
      <c r="G1960" s="6">
        <v>1838.5500044845912</v>
      </c>
      <c r="H1960" s="6">
        <f t="shared" si="33"/>
        <v>544449.37074682256</v>
      </c>
      <c r="I1960" s="4" t="s">
        <v>3361</v>
      </c>
      <c r="J1960" s="4" t="s">
        <v>68</v>
      </c>
      <c r="K1960" s="7">
        <v>1838.55</v>
      </c>
      <c r="L1960" s="4" t="s">
        <v>1842</v>
      </c>
      <c r="M1960" s="4" t="s">
        <v>27</v>
      </c>
      <c r="N1960" s="4"/>
    </row>
    <row r="1961" spans="1:14" ht="10.5" hidden="1" x14ac:dyDescent="0.25">
      <c r="A1961" s="8" t="s">
        <v>57</v>
      </c>
      <c r="B1961" s="4" t="s">
        <v>64</v>
      </c>
      <c r="C1961" s="5">
        <v>44042</v>
      </c>
      <c r="D1961" s="4" t="s">
        <v>3372</v>
      </c>
      <c r="E1961" s="4" t="s">
        <v>66</v>
      </c>
      <c r="F1961" s="4" t="s">
        <v>66</v>
      </c>
      <c r="G1961" s="6">
        <v>1081.5000026379948</v>
      </c>
      <c r="H1961" s="6">
        <f t="shared" si="33"/>
        <v>545530.87074946053</v>
      </c>
      <c r="I1961" s="4" t="s">
        <v>94</v>
      </c>
      <c r="J1961" s="4" t="s">
        <v>68</v>
      </c>
      <c r="K1961" s="7">
        <v>1081.5</v>
      </c>
      <c r="L1961" s="4" t="s">
        <v>1842</v>
      </c>
      <c r="M1961" s="4" t="s">
        <v>27</v>
      </c>
      <c r="N1961" s="4"/>
    </row>
    <row r="1962" spans="1:14" ht="10.5" x14ac:dyDescent="0.25">
      <c r="A1962" s="8" t="s">
        <v>57</v>
      </c>
      <c r="B1962" s="4" t="s">
        <v>21</v>
      </c>
      <c r="C1962" s="5">
        <v>44043</v>
      </c>
      <c r="D1962" s="4" t="s">
        <v>3373</v>
      </c>
      <c r="E1962" s="4" t="s">
        <v>3374</v>
      </c>
      <c r="F1962" s="4" t="s">
        <v>3374</v>
      </c>
      <c r="G1962" s="6">
        <v>2449.5580058400001</v>
      </c>
      <c r="H1962" s="6">
        <f t="shared" si="33"/>
        <v>547980.42875530059</v>
      </c>
      <c r="I1962" s="4"/>
      <c r="J1962" s="4" t="s">
        <v>25</v>
      </c>
      <c r="K1962" s="7">
        <v>2178</v>
      </c>
      <c r="L1962" s="4" t="s">
        <v>1842</v>
      </c>
      <c r="M1962" s="4" t="s">
        <v>38</v>
      </c>
      <c r="N1962" s="4"/>
    </row>
    <row r="1963" spans="1:14" ht="10.5" hidden="1" x14ac:dyDescent="0.25">
      <c r="A1963" s="8" t="s">
        <v>57</v>
      </c>
      <c r="B1963" s="4" t="s">
        <v>64</v>
      </c>
      <c r="C1963" s="5">
        <v>44043</v>
      </c>
      <c r="D1963" s="4" t="s">
        <v>3375</v>
      </c>
      <c r="E1963" s="4" t="s">
        <v>66</v>
      </c>
      <c r="F1963" s="4" t="s">
        <v>66</v>
      </c>
      <c r="G1963" s="6">
        <v>4326.0000105519794</v>
      </c>
      <c r="H1963" s="6">
        <f t="shared" si="33"/>
        <v>552306.42876585259</v>
      </c>
      <c r="I1963" s="4" t="s">
        <v>94</v>
      </c>
      <c r="J1963" s="4" t="s">
        <v>68</v>
      </c>
      <c r="K1963" s="7">
        <v>4326</v>
      </c>
      <c r="L1963" s="4" t="s">
        <v>1842</v>
      </c>
      <c r="M1963" s="4" t="s">
        <v>27</v>
      </c>
      <c r="N1963" s="4"/>
    </row>
    <row r="1964" spans="1:14" ht="10.5" hidden="1" x14ac:dyDescent="0.25">
      <c r="A1964" s="8" t="s">
        <v>57</v>
      </c>
      <c r="B1964" s="4" t="s">
        <v>64</v>
      </c>
      <c r="C1964" s="5">
        <v>44054</v>
      </c>
      <c r="D1964" s="4" t="s">
        <v>3376</v>
      </c>
      <c r="E1964" s="4" t="s">
        <v>66</v>
      </c>
      <c r="F1964" s="4" t="s">
        <v>66</v>
      </c>
      <c r="G1964" s="6">
        <v>5673.2799997549146</v>
      </c>
      <c r="H1964" s="6">
        <f t="shared" si="33"/>
        <v>557979.70876560744</v>
      </c>
      <c r="I1964" s="4" t="s">
        <v>3377</v>
      </c>
      <c r="J1964" s="4" t="s">
        <v>68</v>
      </c>
      <c r="K1964" s="7">
        <v>5673.28</v>
      </c>
      <c r="L1964" s="4" t="s">
        <v>1861</v>
      </c>
      <c r="M1964" s="4" t="s">
        <v>27</v>
      </c>
      <c r="N1964" s="4"/>
    </row>
    <row r="1965" spans="1:14" ht="10.5" hidden="1" x14ac:dyDescent="0.25">
      <c r="A1965" s="8" t="s">
        <v>57</v>
      </c>
      <c r="B1965" s="4" t="s">
        <v>64</v>
      </c>
      <c r="C1965" s="5">
        <v>44071</v>
      </c>
      <c r="D1965" s="4" t="s">
        <v>3378</v>
      </c>
      <c r="E1965" s="4" t="s">
        <v>66</v>
      </c>
      <c r="F1965" s="4" t="s">
        <v>66</v>
      </c>
      <c r="G1965" s="6">
        <v>1851.9999999199936</v>
      </c>
      <c r="H1965" s="6">
        <f t="shared" si="33"/>
        <v>559831.70876552747</v>
      </c>
      <c r="I1965" s="4" t="s">
        <v>3379</v>
      </c>
      <c r="J1965" s="4" t="s">
        <v>68</v>
      </c>
      <c r="K1965" s="7">
        <v>1852</v>
      </c>
      <c r="L1965" s="4" t="s">
        <v>1861</v>
      </c>
      <c r="M1965" s="4" t="s">
        <v>27</v>
      </c>
      <c r="N1965" s="4"/>
    </row>
    <row r="1966" spans="1:14" ht="10.5" hidden="1" x14ac:dyDescent="0.25">
      <c r="A1966" s="8" t="s">
        <v>57</v>
      </c>
      <c r="B1966" s="4" t="s">
        <v>64</v>
      </c>
      <c r="C1966" s="5">
        <v>44071</v>
      </c>
      <c r="D1966" s="4" t="s">
        <v>3380</v>
      </c>
      <c r="E1966" s="4" t="s">
        <v>66</v>
      </c>
      <c r="F1966" s="4" t="s">
        <v>66</v>
      </c>
      <c r="G1966" s="6">
        <v>2607.9999998873345</v>
      </c>
      <c r="H1966" s="6">
        <f t="shared" si="33"/>
        <v>562439.70876541478</v>
      </c>
      <c r="I1966" s="4" t="s">
        <v>3379</v>
      </c>
      <c r="J1966" s="4" t="s">
        <v>68</v>
      </c>
      <c r="K1966" s="7">
        <v>2608</v>
      </c>
      <c r="L1966" s="4" t="s">
        <v>1861</v>
      </c>
      <c r="M1966" s="4" t="s">
        <v>27</v>
      </c>
      <c r="N1966" s="4"/>
    </row>
    <row r="1967" spans="1:14" ht="10.5" x14ac:dyDescent="0.25">
      <c r="A1967" s="8" t="s">
        <v>57</v>
      </c>
      <c r="B1967" s="4" t="s">
        <v>21</v>
      </c>
      <c r="C1967" s="5">
        <v>44074</v>
      </c>
      <c r="D1967" s="4" t="s">
        <v>1864</v>
      </c>
      <c r="E1967" s="4" t="s">
        <v>1865</v>
      </c>
      <c r="F1967" s="4" t="s">
        <v>1866</v>
      </c>
      <c r="G1967" s="6">
        <v>1978.0631854400001</v>
      </c>
      <c r="H1967" s="6">
        <f t="shared" si="33"/>
        <v>564417.7719508548</v>
      </c>
      <c r="I1967" s="4"/>
      <c r="J1967" s="4" t="s">
        <v>25</v>
      </c>
      <c r="K1967" s="7">
        <v>1688</v>
      </c>
      <c r="L1967" s="4" t="s">
        <v>1861</v>
      </c>
      <c r="M1967" s="4" t="s">
        <v>38</v>
      </c>
      <c r="N1967" s="4"/>
    </row>
    <row r="1968" spans="1:14" ht="10.5" hidden="1" x14ac:dyDescent="0.25">
      <c r="A1968" s="8" t="s">
        <v>57</v>
      </c>
      <c r="B1968" s="4" t="s">
        <v>64</v>
      </c>
      <c r="C1968" s="5">
        <v>44074</v>
      </c>
      <c r="D1968" s="4" t="s">
        <v>3381</v>
      </c>
      <c r="E1968" s="4" t="s">
        <v>66</v>
      </c>
      <c r="F1968" s="4" t="s">
        <v>66</v>
      </c>
      <c r="G1968" s="6">
        <v>1730.3999999252467</v>
      </c>
      <c r="H1968" s="6">
        <f t="shared" si="33"/>
        <v>566148.17195078009</v>
      </c>
      <c r="I1968" s="4" t="s">
        <v>94</v>
      </c>
      <c r="J1968" s="4" t="s">
        <v>68</v>
      </c>
      <c r="K1968" s="7">
        <v>1730.4</v>
      </c>
      <c r="L1968" s="4" t="s">
        <v>1861</v>
      </c>
      <c r="M1968" s="4" t="s">
        <v>27</v>
      </c>
      <c r="N1968" s="4"/>
    </row>
    <row r="1969" spans="1:14" ht="10.5" hidden="1" x14ac:dyDescent="0.25">
      <c r="A1969" s="8" t="s">
        <v>57</v>
      </c>
      <c r="B1969" s="4" t="s">
        <v>64</v>
      </c>
      <c r="C1969" s="5">
        <v>44076</v>
      </c>
      <c r="D1969" s="4" t="s">
        <v>3382</v>
      </c>
      <c r="E1969" s="4" t="s">
        <v>66</v>
      </c>
      <c r="F1969" s="4" t="s">
        <v>66</v>
      </c>
      <c r="G1969" s="6">
        <v>5297.3399842902081</v>
      </c>
      <c r="H1969" s="6">
        <f t="shared" si="33"/>
        <v>571445.51193507027</v>
      </c>
      <c r="I1969" s="4" t="s">
        <v>70</v>
      </c>
      <c r="J1969" s="4" t="s">
        <v>68</v>
      </c>
      <c r="K1969" s="7">
        <v>5297.34</v>
      </c>
      <c r="L1969" s="4" t="s">
        <v>1052</v>
      </c>
      <c r="M1969" s="4" t="s">
        <v>27</v>
      </c>
      <c r="N1969" s="4"/>
    </row>
    <row r="1970" spans="1:14" ht="10.5" hidden="1" x14ac:dyDescent="0.25">
      <c r="A1970" s="8" t="s">
        <v>57</v>
      </c>
      <c r="B1970" s="4" t="s">
        <v>64</v>
      </c>
      <c r="C1970" s="5">
        <v>44077</v>
      </c>
      <c r="D1970" s="4" t="s">
        <v>3383</v>
      </c>
      <c r="E1970" s="4" t="s">
        <v>66</v>
      </c>
      <c r="F1970" s="4" t="s">
        <v>66</v>
      </c>
      <c r="G1970" s="6">
        <v>1145.7699966021046</v>
      </c>
      <c r="H1970" s="6">
        <f t="shared" si="33"/>
        <v>572591.28193167236</v>
      </c>
      <c r="I1970" s="4" t="s">
        <v>70</v>
      </c>
      <c r="J1970" s="4" t="s">
        <v>68</v>
      </c>
      <c r="K1970" s="7">
        <v>1145.77</v>
      </c>
      <c r="L1970" s="4" t="s">
        <v>1052</v>
      </c>
      <c r="M1970" s="4" t="s">
        <v>27</v>
      </c>
      <c r="N1970" s="4"/>
    </row>
    <row r="1971" spans="1:14" ht="10.5" hidden="1" x14ac:dyDescent="0.25">
      <c r="A1971" s="8" t="s">
        <v>57</v>
      </c>
      <c r="B1971" s="4" t="s">
        <v>64</v>
      </c>
      <c r="C1971" s="5">
        <v>44078</v>
      </c>
      <c r="D1971" s="4" t="s">
        <v>3384</v>
      </c>
      <c r="E1971" s="4" t="s">
        <v>66</v>
      </c>
      <c r="F1971" s="4" t="s">
        <v>66</v>
      </c>
      <c r="G1971" s="6">
        <v>4854.8999856023083</v>
      </c>
      <c r="H1971" s="6">
        <f t="shared" si="33"/>
        <v>577446.18191727472</v>
      </c>
      <c r="I1971" s="4" t="s">
        <v>3385</v>
      </c>
      <c r="J1971" s="4" t="s">
        <v>68</v>
      </c>
      <c r="K1971" s="7">
        <v>4854.8999999999996</v>
      </c>
      <c r="L1971" s="4" t="s">
        <v>1052</v>
      </c>
      <c r="M1971" s="4" t="s">
        <v>27</v>
      </c>
      <c r="N1971" s="4"/>
    </row>
    <row r="1972" spans="1:14" ht="10.5" hidden="1" x14ac:dyDescent="0.25">
      <c r="A1972" s="8" t="s">
        <v>57</v>
      </c>
      <c r="B1972" s="4" t="s">
        <v>64</v>
      </c>
      <c r="C1972" s="5">
        <v>44099</v>
      </c>
      <c r="D1972" s="4" t="s">
        <v>3386</v>
      </c>
      <c r="E1972" s="4" t="s">
        <v>66</v>
      </c>
      <c r="F1972" s="4" t="s">
        <v>66</v>
      </c>
      <c r="G1972" s="6">
        <v>4248.2099874015084</v>
      </c>
      <c r="H1972" s="6">
        <f t="shared" si="33"/>
        <v>581694.39190467622</v>
      </c>
      <c r="I1972" s="4" t="s">
        <v>121</v>
      </c>
      <c r="J1972" s="4" t="s">
        <v>68</v>
      </c>
      <c r="K1972" s="7">
        <v>4248.21</v>
      </c>
      <c r="L1972" s="4" t="s">
        <v>1052</v>
      </c>
      <c r="M1972" s="4" t="s">
        <v>27</v>
      </c>
      <c r="N1972" s="4"/>
    </row>
    <row r="1973" spans="1:14" ht="10.5" hidden="1" x14ac:dyDescent="0.25">
      <c r="A1973" s="8" t="s">
        <v>57</v>
      </c>
      <c r="B1973" s="4" t="s">
        <v>64</v>
      </c>
      <c r="C1973" s="5">
        <v>44102</v>
      </c>
      <c r="D1973" s="4" t="s">
        <v>3387</v>
      </c>
      <c r="E1973" s="4" t="s">
        <v>3388</v>
      </c>
      <c r="F1973" s="4" t="s">
        <v>3388</v>
      </c>
      <c r="G1973" s="6">
        <v>8900.6699736041737</v>
      </c>
      <c r="H1973" s="6">
        <f t="shared" si="33"/>
        <v>590595.06187828036</v>
      </c>
      <c r="I1973" s="4" t="s">
        <v>3389</v>
      </c>
      <c r="J1973" s="4" t="s">
        <v>68</v>
      </c>
      <c r="K1973" s="7">
        <v>8900.67</v>
      </c>
      <c r="L1973" s="4" t="s">
        <v>1052</v>
      </c>
      <c r="M1973" s="4" t="s">
        <v>27</v>
      </c>
      <c r="N1973" s="4"/>
    </row>
    <row r="1974" spans="1:14" ht="10.5" hidden="1" x14ac:dyDescent="0.25">
      <c r="A1974" s="8" t="s">
        <v>57</v>
      </c>
      <c r="B1974" s="4" t="s">
        <v>64</v>
      </c>
      <c r="C1974" s="5">
        <v>44102</v>
      </c>
      <c r="D1974" s="4" t="s">
        <v>3390</v>
      </c>
      <c r="E1974" s="4" t="s">
        <v>66</v>
      </c>
      <c r="F1974" s="4" t="s">
        <v>66</v>
      </c>
      <c r="G1974" s="6">
        <v>2966.799991201658</v>
      </c>
      <c r="H1974" s="6">
        <f t="shared" si="33"/>
        <v>593561.86186948197</v>
      </c>
      <c r="I1974" s="4" t="s">
        <v>125</v>
      </c>
      <c r="J1974" s="4" t="s">
        <v>68</v>
      </c>
      <c r="K1974" s="7">
        <v>2966.8</v>
      </c>
      <c r="L1974" s="4" t="s">
        <v>1052</v>
      </c>
      <c r="M1974" s="4" t="s">
        <v>27</v>
      </c>
      <c r="N1974" s="4"/>
    </row>
    <row r="1975" spans="1:14" ht="10.5" x14ac:dyDescent="0.25">
      <c r="A1975" s="8" t="s">
        <v>57</v>
      </c>
      <c r="B1975" s="4" t="s">
        <v>21</v>
      </c>
      <c r="C1975" s="5">
        <v>44104</v>
      </c>
      <c r="D1975" s="4" t="s">
        <v>1879</v>
      </c>
      <c r="E1975" s="4" t="s">
        <v>1880</v>
      </c>
      <c r="F1975" s="4" t="s">
        <v>1881</v>
      </c>
      <c r="G1975" s="6">
        <v>1413.5456793599999</v>
      </c>
      <c r="H1975" s="6">
        <f t="shared" si="33"/>
        <v>594975.40754884202</v>
      </c>
      <c r="I1975" s="4"/>
      <c r="J1975" s="4" t="s">
        <v>25</v>
      </c>
      <c r="K1975" s="7">
        <v>1184</v>
      </c>
      <c r="L1975" s="4" t="s">
        <v>1052</v>
      </c>
      <c r="M1975" s="4" t="s">
        <v>38</v>
      </c>
      <c r="N1975" s="4"/>
    </row>
    <row r="1976" spans="1:14" ht="10.5" hidden="1" x14ac:dyDescent="0.25">
      <c r="A1976" s="8" t="s">
        <v>57</v>
      </c>
      <c r="B1976" s="4" t="s">
        <v>21</v>
      </c>
      <c r="C1976" s="5">
        <v>44104</v>
      </c>
      <c r="D1976" s="4" t="s">
        <v>3391</v>
      </c>
      <c r="E1976" s="4" t="s">
        <v>2637</v>
      </c>
      <c r="F1976" s="4" t="s">
        <v>3392</v>
      </c>
      <c r="G1976" s="6">
        <v>123200.99963463511</v>
      </c>
      <c r="H1976" s="6">
        <f t="shared" si="33"/>
        <v>718176.40718347719</v>
      </c>
      <c r="I1976" s="4"/>
      <c r="J1976" s="4" t="s">
        <v>68</v>
      </c>
      <c r="K1976" s="7">
        <v>123201</v>
      </c>
      <c r="L1976" s="4" t="s">
        <v>1052</v>
      </c>
      <c r="M1976" s="4" t="s">
        <v>27</v>
      </c>
      <c r="N1976" s="4" t="s">
        <v>118</v>
      </c>
    </row>
    <row r="1977" spans="1:14" ht="10.5" hidden="1" x14ac:dyDescent="0.25">
      <c r="A1977" s="8" t="s">
        <v>57</v>
      </c>
      <c r="B1977" s="4" t="s">
        <v>21</v>
      </c>
      <c r="C1977" s="5">
        <v>44104</v>
      </c>
      <c r="D1977" s="4" t="s">
        <v>3393</v>
      </c>
      <c r="E1977" s="4" t="s">
        <v>3394</v>
      </c>
      <c r="F1977" s="4" t="s">
        <v>3394</v>
      </c>
      <c r="G1977" s="6">
        <v>118546.81737983999</v>
      </c>
      <c r="H1977" s="6">
        <f t="shared" si="33"/>
        <v>836723.22456331714</v>
      </c>
      <c r="I1977" s="4"/>
      <c r="J1977" s="4" t="s">
        <v>25</v>
      </c>
      <c r="K1977" s="7">
        <v>99296</v>
      </c>
      <c r="L1977" s="4" t="s">
        <v>1052</v>
      </c>
      <c r="M1977" s="4" t="s">
        <v>61</v>
      </c>
      <c r="N1977" s="4" t="s">
        <v>28</v>
      </c>
    </row>
    <row r="1978" spans="1:14" ht="10.5" hidden="1" x14ac:dyDescent="0.25">
      <c r="A1978" s="8" t="s">
        <v>57</v>
      </c>
      <c r="B1978" s="4" t="s">
        <v>21</v>
      </c>
      <c r="C1978" s="5">
        <v>44105</v>
      </c>
      <c r="D1978" s="4" t="s">
        <v>3395</v>
      </c>
      <c r="E1978" s="4" t="s">
        <v>2637</v>
      </c>
      <c r="F1978" s="4" t="s">
        <v>3392</v>
      </c>
      <c r="G1978" s="6">
        <v>-123201.00044485417</v>
      </c>
      <c r="H1978" s="6">
        <f t="shared" si="33"/>
        <v>713522.224118463</v>
      </c>
      <c r="I1978" s="4"/>
      <c r="J1978" s="4" t="s">
        <v>68</v>
      </c>
      <c r="K1978" s="7">
        <v>-123201</v>
      </c>
      <c r="L1978" s="4" t="s">
        <v>1888</v>
      </c>
      <c r="M1978" s="4" t="s">
        <v>27</v>
      </c>
      <c r="N1978" s="4" t="s">
        <v>118</v>
      </c>
    </row>
    <row r="1979" spans="1:14" ht="10.5" hidden="1" x14ac:dyDescent="0.25">
      <c r="A1979" s="8" t="s">
        <v>57</v>
      </c>
      <c r="B1979" s="4" t="s">
        <v>64</v>
      </c>
      <c r="C1979" s="5">
        <v>44111</v>
      </c>
      <c r="D1979" s="4" t="s">
        <v>3396</v>
      </c>
      <c r="E1979" s="4" t="s">
        <v>66</v>
      </c>
      <c r="F1979" s="4" t="s">
        <v>66</v>
      </c>
      <c r="G1979" s="6">
        <v>2129.2100076881516</v>
      </c>
      <c r="H1979" s="6">
        <f t="shared" si="33"/>
        <v>715651.43412615114</v>
      </c>
      <c r="I1979" s="4" t="s">
        <v>121</v>
      </c>
      <c r="J1979" s="4" t="s">
        <v>68</v>
      </c>
      <c r="K1979" s="7">
        <v>2129.21</v>
      </c>
      <c r="L1979" s="4" t="s">
        <v>1888</v>
      </c>
      <c r="M1979" s="4" t="s">
        <v>27</v>
      </c>
      <c r="N1979" s="4"/>
    </row>
    <row r="1980" spans="1:14" ht="10.5" hidden="1" x14ac:dyDescent="0.25">
      <c r="A1980" s="8" t="s">
        <v>57</v>
      </c>
      <c r="B1980" s="4" t="s">
        <v>64</v>
      </c>
      <c r="C1980" s="5">
        <v>44111</v>
      </c>
      <c r="D1980" s="4" t="s">
        <v>3397</v>
      </c>
      <c r="E1980" s="4" t="s">
        <v>66</v>
      </c>
      <c r="F1980" s="4" t="s">
        <v>66</v>
      </c>
      <c r="G1980" s="6">
        <v>543.64000196297536</v>
      </c>
      <c r="H1980" s="6">
        <f t="shared" si="33"/>
        <v>716195.07412811415</v>
      </c>
      <c r="I1980" s="4" t="s">
        <v>94</v>
      </c>
      <c r="J1980" s="4" t="s">
        <v>68</v>
      </c>
      <c r="K1980" s="7">
        <v>543.64</v>
      </c>
      <c r="L1980" s="4" t="s">
        <v>1888</v>
      </c>
      <c r="M1980" s="4" t="s">
        <v>27</v>
      </c>
      <c r="N1980" s="4"/>
    </row>
    <row r="1981" spans="1:14" ht="10.5" hidden="1" x14ac:dyDescent="0.25">
      <c r="A1981" s="8" t="s">
        <v>57</v>
      </c>
      <c r="B1981" s="4" t="s">
        <v>64</v>
      </c>
      <c r="C1981" s="5">
        <v>44112</v>
      </c>
      <c r="D1981" s="4" t="s">
        <v>3398</v>
      </c>
      <c r="E1981" s="4" t="s">
        <v>66</v>
      </c>
      <c r="F1981" s="4" t="s">
        <v>66</v>
      </c>
      <c r="G1981" s="6">
        <v>957.50000345734099</v>
      </c>
      <c r="H1981" s="6">
        <f t="shared" si="33"/>
        <v>717152.57413157145</v>
      </c>
      <c r="I1981" s="4" t="s">
        <v>3385</v>
      </c>
      <c r="J1981" s="4" t="s">
        <v>68</v>
      </c>
      <c r="K1981" s="7">
        <v>957.5</v>
      </c>
      <c r="L1981" s="4" t="s">
        <v>1888</v>
      </c>
      <c r="M1981" s="4" t="s">
        <v>27</v>
      </c>
      <c r="N1981" s="4"/>
    </row>
    <row r="1982" spans="1:14" ht="10.5" hidden="1" x14ac:dyDescent="0.25">
      <c r="A1982" s="8" t="s">
        <v>57</v>
      </c>
      <c r="B1982" s="4" t="s">
        <v>64</v>
      </c>
      <c r="C1982" s="5">
        <v>44131</v>
      </c>
      <c r="D1982" s="4" t="s">
        <v>3399</v>
      </c>
      <c r="E1982" s="4" t="s">
        <v>3400</v>
      </c>
      <c r="F1982" s="4" t="s">
        <v>3400</v>
      </c>
      <c r="G1982" s="6">
        <v>10000.000036108</v>
      </c>
      <c r="H1982" s="6">
        <f t="shared" si="33"/>
        <v>727152.57416767941</v>
      </c>
      <c r="I1982" s="4" t="s">
        <v>3401</v>
      </c>
      <c r="J1982" s="4" t="s">
        <v>68</v>
      </c>
      <c r="K1982" s="7">
        <v>10000</v>
      </c>
      <c r="L1982" s="4" t="s">
        <v>1888</v>
      </c>
      <c r="M1982" s="4" t="s">
        <v>27</v>
      </c>
      <c r="N1982" s="4"/>
    </row>
    <row r="1983" spans="1:14" ht="10.5" hidden="1" x14ac:dyDescent="0.25">
      <c r="A1983" s="8" t="s">
        <v>57</v>
      </c>
      <c r="B1983" s="4" t="s">
        <v>64</v>
      </c>
      <c r="C1983" s="5">
        <v>44131</v>
      </c>
      <c r="D1983" s="4" t="s">
        <v>3402</v>
      </c>
      <c r="E1983" s="4" t="s">
        <v>66</v>
      </c>
      <c r="F1983" s="4" t="s">
        <v>66</v>
      </c>
      <c r="G1983" s="6">
        <v>40800.000147320643</v>
      </c>
      <c r="H1983" s="6">
        <f t="shared" si="33"/>
        <v>767952.57431500009</v>
      </c>
      <c r="I1983" s="4" t="s">
        <v>3389</v>
      </c>
      <c r="J1983" s="4" t="s">
        <v>68</v>
      </c>
      <c r="K1983" s="7">
        <v>40800</v>
      </c>
      <c r="L1983" s="4" t="s">
        <v>1888</v>
      </c>
      <c r="M1983" s="4" t="s">
        <v>27</v>
      </c>
      <c r="N1983" s="4"/>
    </row>
    <row r="1984" spans="1:14" ht="10.5" x14ac:dyDescent="0.25">
      <c r="A1984" s="8" t="s">
        <v>57</v>
      </c>
      <c r="B1984" s="4" t="s">
        <v>21</v>
      </c>
      <c r="C1984" s="5">
        <v>44135</v>
      </c>
      <c r="D1984" s="4" t="s">
        <v>1889</v>
      </c>
      <c r="E1984" s="4" t="s">
        <v>1890</v>
      </c>
      <c r="F1984" s="4" t="s">
        <v>1891</v>
      </c>
      <c r="G1984" s="6">
        <v>1645.1808129399999</v>
      </c>
      <c r="H1984" s="6">
        <f t="shared" si="33"/>
        <v>769597.75512794009</v>
      </c>
      <c r="I1984" s="4"/>
      <c r="J1984" s="4" t="s">
        <v>68</v>
      </c>
      <c r="K1984" s="7">
        <v>1414</v>
      </c>
      <c r="L1984" s="4" t="s">
        <v>1888</v>
      </c>
      <c r="M1984" s="4" t="s">
        <v>38</v>
      </c>
      <c r="N1984" s="4"/>
    </row>
    <row r="1985" spans="1:14" ht="10.5" hidden="1" x14ac:dyDescent="0.25">
      <c r="A1985" s="8" t="s">
        <v>57</v>
      </c>
      <c r="B1985" s="4" t="s">
        <v>64</v>
      </c>
      <c r="C1985" s="5">
        <v>44137</v>
      </c>
      <c r="D1985" s="4" t="s">
        <v>3403</v>
      </c>
      <c r="E1985" s="4" t="s">
        <v>66</v>
      </c>
      <c r="F1985" s="4" t="s">
        <v>66</v>
      </c>
      <c r="G1985" s="6">
        <v>2.2745567009172001E-2</v>
      </c>
      <c r="H1985" s="6">
        <f t="shared" si="33"/>
        <v>769597.77787350712</v>
      </c>
      <c r="I1985" s="4" t="s">
        <v>3342</v>
      </c>
      <c r="J1985" s="4" t="s">
        <v>68</v>
      </c>
      <c r="K1985" s="7">
        <v>0.03</v>
      </c>
      <c r="L1985" s="4" t="s">
        <v>1896</v>
      </c>
      <c r="M1985" s="4" t="s">
        <v>212</v>
      </c>
      <c r="N1985" s="4"/>
    </row>
    <row r="1986" spans="1:14" ht="10.5" hidden="1" x14ac:dyDescent="0.25">
      <c r="A1986" s="8" t="s">
        <v>57</v>
      </c>
      <c r="B1986" s="4" t="s">
        <v>64</v>
      </c>
      <c r="C1986" s="5">
        <v>44148</v>
      </c>
      <c r="D1986" s="4" t="s">
        <v>3404</v>
      </c>
      <c r="E1986" s="4" t="s">
        <v>66</v>
      </c>
      <c r="F1986" s="4" t="s">
        <v>66</v>
      </c>
      <c r="G1986" s="6">
        <v>2683.9599998658018</v>
      </c>
      <c r="H1986" s="6">
        <f t="shared" si="33"/>
        <v>772281.73787337297</v>
      </c>
      <c r="I1986" s="4" t="s">
        <v>121</v>
      </c>
      <c r="J1986" s="4" t="s">
        <v>68</v>
      </c>
      <c r="K1986" s="7">
        <v>2683.96</v>
      </c>
      <c r="L1986" s="4" t="s">
        <v>1896</v>
      </c>
      <c r="M1986" s="4" t="s">
        <v>27</v>
      </c>
      <c r="N1986" s="4"/>
    </row>
    <row r="1987" spans="1:14" ht="10.5" hidden="1" x14ac:dyDescent="0.25">
      <c r="A1987" s="8" t="s">
        <v>57</v>
      </c>
      <c r="B1987" s="4" t="s">
        <v>64</v>
      </c>
      <c r="C1987" s="5">
        <v>44154</v>
      </c>
      <c r="D1987" s="4" t="s">
        <v>3405</v>
      </c>
      <c r="E1987" s="4" t="s">
        <v>3406</v>
      </c>
      <c r="F1987" s="4" t="s">
        <v>3406</v>
      </c>
      <c r="G1987" s="6">
        <v>218.39999998907999</v>
      </c>
      <c r="H1987" s="6">
        <f t="shared" si="33"/>
        <v>772500.13787336205</v>
      </c>
      <c r="I1987" s="4" t="s">
        <v>3364</v>
      </c>
      <c r="J1987" s="4" t="s">
        <v>68</v>
      </c>
      <c r="K1987" s="7">
        <v>218.4</v>
      </c>
      <c r="L1987" s="4" t="s">
        <v>1896</v>
      </c>
      <c r="M1987" s="4" t="s">
        <v>27</v>
      </c>
      <c r="N1987" s="4"/>
    </row>
    <row r="1988" spans="1:14" ht="10.5" hidden="1" x14ac:dyDescent="0.25">
      <c r="A1988" s="8" t="s">
        <v>57</v>
      </c>
      <c r="B1988" s="4" t="s">
        <v>64</v>
      </c>
      <c r="C1988" s="5">
        <v>44160</v>
      </c>
      <c r="D1988" s="4" t="s">
        <v>3407</v>
      </c>
      <c r="E1988" s="4" t="s">
        <v>66</v>
      </c>
      <c r="F1988" s="4" t="s">
        <v>66</v>
      </c>
      <c r="G1988" s="6">
        <v>65.499999996724995</v>
      </c>
      <c r="H1988" s="6">
        <f t="shared" si="33"/>
        <v>772565.63787335879</v>
      </c>
      <c r="I1988" s="4" t="s">
        <v>67</v>
      </c>
      <c r="J1988" s="4" t="s">
        <v>68</v>
      </c>
      <c r="K1988" s="7">
        <v>65.5</v>
      </c>
      <c r="L1988" s="4" t="s">
        <v>1896</v>
      </c>
      <c r="M1988" s="4" t="s">
        <v>27</v>
      </c>
      <c r="N1988" s="4"/>
    </row>
    <row r="1989" spans="1:14" ht="10.5" hidden="1" x14ac:dyDescent="0.25">
      <c r="A1989" s="8" t="s">
        <v>57</v>
      </c>
      <c r="B1989" s="4" t="s">
        <v>64</v>
      </c>
      <c r="C1989" s="5">
        <v>44160</v>
      </c>
      <c r="D1989" s="4" t="s">
        <v>3408</v>
      </c>
      <c r="E1989" s="4" t="s">
        <v>66</v>
      </c>
      <c r="F1989" s="4" t="s">
        <v>66</v>
      </c>
      <c r="G1989" s="6">
        <v>387.99999998060002</v>
      </c>
      <c r="H1989" s="6">
        <f t="shared" si="33"/>
        <v>772953.63787333935</v>
      </c>
      <c r="I1989" s="4" t="s">
        <v>67</v>
      </c>
      <c r="J1989" s="4" t="s">
        <v>68</v>
      </c>
      <c r="K1989" s="7">
        <v>388</v>
      </c>
      <c r="L1989" s="4" t="s">
        <v>1896</v>
      </c>
      <c r="M1989" s="4" t="s">
        <v>27</v>
      </c>
      <c r="N1989" s="4"/>
    </row>
    <row r="1990" spans="1:14" ht="10.5" hidden="1" x14ac:dyDescent="0.25">
      <c r="A1990" s="8" t="s">
        <v>57</v>
      </c>
      <c r="B1990" s="4" t="s">
        <v>64</v>
      </c>
      <c r="C1990" s="5">
        <v>44160</v>
      </c>
      <c r="D1990" s="4" t="s">
        <v>3409</v>
      </c>
      <c r="E1990" s="4" t="s">
        <v>3410</v>
      </c>
      <c r="F1990" s="4" t="s">
        <v>3410</v>
      </c>
      <c r="G1990" s="6">
        <v>25399.99999873</v>
      </c>
      <c r="H1990" s="6">
        <f t="shared" si="33"/>
        <v>798353.63787206938</v>
      </c>
      <c r="I1990" s="4" t="s">
        <v>3389</v>
      </c>
      <c r="J1990" s="4" t="s">
        <v>68</v>
      </c>
      <c r="K1990" s="7">
        <v>25400</v>
      </c>
      <c r="L1990" s="4" t="s">
        <v>1896</v>
      </c>
      <c r="M1990" s="4" t="s">
        <v>27</v>
      </c>
      <c r="N1990" s="4"/>
    </row>
    <row r="1991" spans="1:14" ht="10.5" hidden="1" x14ac:dyDescent="0.25">
      <c r="A1991" s="8" t="s">
        <v>57</v>
      </c>
      <c r="B1991" s="4" t="s">
        <v>64</v>
      </c>
      <c r="C1991" s="5">
        <v>44162</v>
      </c>
      <c r="D1991" s="4" t="s">
        <v>3411</v>
      </c>
      <c r="E1991" s="4" t="s">
        <v>66</v>
      </c>
      <c r="F1991" s="4" t="s">
        <v>66</v>
      </c>
      <c r="G1991" s="6">
        <v>301.74999998491251</v>
      </c>
      <c r="H1991" s="6">
        <f t="shared" si="33"/>
        <v>798655.38787205424</v>
      </c>
      <c r="I1991" s="4" t="s">
        <v>3412</v>
      </c>
      <c r="J1991" s="4" t="s">
        <v>68</v>
      </c>
      <c r="K1991" s="7">
        <v>301.75</v>
      </c>
      <c r="L1991" s="4" t="s">
        <v>1896</v>
      </c>
      <c r="M1991" s="4" t="s">
        <v>27</v>
      </c>
      <c r="N1991" s="4"/>
    </row>
    <row r="1992" spans="1:14" ht="10.5" x14ac:dyDescent="0.25">
      <c r="A1992" s="8" t="s">
        <v>57</v>
      </c>
      <c r="B1992" s="4" t="s">
        <v>21</v>
      </c>
      <c r="C1992" s="5">
        <v>44165</v>
      </c>
      <c r="D1992" s="4" t="s">
        <v>1899</v>
      </c>
      <c r="E1992" s="4" t="s">
        <v>1900</v>
      </c>
      <c r="F1992" s="4" t="s">
        <v>1900</v>
      </c>
      <c r="G1992" s="6">
        <v>1947.5699557200001</v>
      </c>
      <c r="H1992" s="6">
        <f t="shared" si="33"/>
        <v>800602.95782777423</v>
      </c>
      <c r="I1992" s="4"/>
      <c r="J1992" s="4" t="s">
        <v>68</v>
      </c>
      <c r="K1992" s="7">
        <v>1653</v>
      </c>
      <c r="L1992" s="4" t="s">
        <v>1896</v>
      </c>
      <c r="M1992" s="4" t="s">
        <v>38</v>
      </c>
      <c r="N1992" s="4"/>
    </row>
    <row r="1993" spans="1:14" ht="10.5" hidden="1" x14ac:dyDescent="0.25">
      <c r="A1993" s="8" t="s">
        <v>57</v>
      </c>
      <c r="B1993" s="4" t="s">
        <v>64</v>
      </c>
      <c r="C1993" s="5">
        <v>44166</v>
      </c>
      <c r="D1993" s="4" t="s">
        <v>3413</v>
      </c>
      <c r="E1993" s="4" t="s">
        <v>66</v>
      </c>
      <c r="F1993" s="4" t="s">
        <v>66</v>
      </c>
      <c r="G1993" s="6">
        <v>7520.0000176449284</v>
      </c>
      <c r="H1993" s="6">
        <f t="shared" si="33"/>
        <v>808122.95784541918</v>
      </c>
      <c r="I1993" s="4" t="s">
        <v>3348</v>
      </c>
      <c r="J1993" s="4" t="s">
        <v>68</v>
      </c>
      <c r="K1993" s="7">
        <v>7520</v>
      </c>
      <c r="L1993" s="4" t="s">
        <v>1056</v>
      </c>
      <c r="M1993" s="4" t="s">
        <v>27</v>
      </c>
      <c r="N1993" s="4"/>
    </row>
    <row r="1994" spans="1:14" ht="10.5" hidden="1" x14ac:dyDescent="0.25">
      <c r="A1994" s="8" t="s">
        <v>57</v>
      </c>
      <c r="B1994" s="4" t="s">
        <v>64</v>
      </c>
      <c r="C1994" s="5">
        <v>44166</v>
      </c>
      <c r="D1994" s="4" t="s">
        <v>3414</v>
      </c>
      <c r="E1994" s="4" t="s">
        <v>66</v>
      </c>
      <c r="F1994" s="4" t="s">
        <v>66</v>
      </c>
      <c r="G1994" s="6">
        <v>41.850000098196837</v>
      </c>
      <c r="H1994" s="6">
        <f t="shared" si="33"/>
        <v>808164.80784551741</v>
      </c>
      <c r="I1994" s="4" t="s">
        <v>3415</v>
      </c>
      <c r="J1994" s="4" t="s">
        <v>68</v>
      </c>
      <c r="K1994" s="7">
        <v>54.38</v>
      </c>
      <c r="L1994" s="4" t="s">
        <v>1056</v>
      </c>
      <c r="M1994" s="4" t="s">
        <v>27</v>
      </c>
      <c r="N1994" s="4"/>
    </row>
    <row r="1995" spans="1:14" ht="10.5" hidden="1" x14ac:dyDescent="0.25">
      <c r="A1995" s="8" t="s">
        <v>57</v>
      </c>
      <c r="B1995" s="4" t="s">
        <v>64</v>
      </c>
      <c r="C1995" s="5">
        <v>44167</v>
      </c>
      <c r="D1995" s="4" t="s">
        <v>3416</v>
      </c>
      <c r="E1995" s="4" t="s">
        <v>3295</v>
      </c>
      <c r="F1995" s="4" t="s">
        <v>3295</v>
      </c>
      <c r="G1995" s="6">
        <v>5916.000013881302</v>
      </c>
      <c r="H1995" s="6">
        <f t="shared" si="33"/>
        <v>814080.80785939866</v>
      </c>
      <c r="I1995" s="4" t="s">
        <v>125</v>
      </c>
      <c r="J1995" s="4" t="s">
        <v>68</v>
      </c>
      <c r="K1995" s="7">
        <v>5916</v>
      </c>
      <c r="L1995" s="4" t="s">
        <v>1056</v>
      </c>
      <c r="M1995" s="4" t="s">
        <v>27</v>
      </c>
      <c r="N1995" s="4"/>
    </row>
    <row r="1996" spans="1:14" ht="10.5" hidden="1" x14ac:dyDescent="0.25">
      <c r="A1996" s="8" t="s">
        <v>57</v>
      </c>
      <c r="B1996" s="4" t="s">
        <v>64</v>
      </c>
      <c r="C1996" s="5">
        <v>44167</v>
      </c>
      <c r="D1996" s="4" t="s">
        <v>3417</v>
      </c>
      <c r="E1996" s="4" t="s">
        <v>3295</v>
      </c>
      <c r="F1996" s="4" t="s">
        <v>3295</v>
      </c>
      <c r="G1996" s="6">
        <v>9648.0000226380671</v>
      </c>
      <c r="H1996" s="6">
        <f t="shared" si="33"/>
        <v>823728.80788203678</v>
      </c>
      <c r="I1996" s="4" t="s">
        <v>3389</v>
      </c>
      <c r="J1996" s="4" t="s">
        <v>68</v>
      </c>
      <c r="K1996" s="7">
        <v>9648</v>
      </c>
      <c r="L1996" s="4" t="s">
        <v>1056</v>
      </c>
      <c r="M1996" s="4" t="s">
        <v>27</v>
      </c>
      <c r="N1996" s="4"/>
    </row>
    <row r="1997" spans="1:14" ht="10.5" hidden="1" x14ac:dyDescent="0.25">
      <c r="A1997" s="8" t="s">
        <v>57</v>
      </c>
      <c r="B1997" s="4" t="s">
        <v>64</v>
      </c>
      <c r="C1997" s="5">
        <v>44169</v>
      </c>
      <c r="D1997" s="4" t="s">
        <v>3418</v>
      </c>
      <c r="E1997" s="4" t="s">
        <v>66</v>
      </c>
      <c r="F1997" s="4" t="s">
        <v>66</v>
      </c>
      <c r="G1997" s="6">
        <v>222.74000052263713</v>
      </c>
      <c r="H1997" s="6">
        <f t="shared" si="33"/>
        <v>823951.54788255936</v>
      </c>
      <c r="I1997" s="4" t="s">
        <v>3379</v>
      </c>
      <c r="J1997" s="4" t="s">
        <v>68</v>
      </c>
      <c r="K1997" s="7">
        <v>222.74</v>
      </c>
      <c r="L1997" s="4" t="s">
        <v>1056</v>
      </c>
      <c r="M1997" s="4" t="s">
        <v>27</v>
      </c>
      <c r="N1997" s="4"/>
    </row>
    <row r="1998" spans="1:14" ht="10.5" hidden="1" x14ac:dyDescent="0.25">
      <c r="A1998" s="8" t="s">
        <v>57</v>
      </c>
      <c r="B1998" s="4" t="s">
        <v>64</v>
      </c>
      <c r="C1998" s="5">
        <v>44171</v>
      </c>
      <c r="D1998" s="4" t="s">
        <v>3419</v>
      </c>
      <c r="E1998" s="4" t="s">
        <v>3420</v>
      </c>
      <c r="F1998" s="4" t="s">
        <v>3420</v>
      </c>
      <c r="G1998" s="6">
        <v>21705.000050928611</v>
      </c>
      <c r="H1998" s="6">
        <f t="shared" si="33"/>
        <v>845656.54793348792</v>
      </c>
      <c r="I1998" s="4" t="s">
        <v>3361</v>
      </c>
      <c r="J1998" s="4" t="s">
        <v>68</v>
      </c>
      <c r="K1998" s="7">
        <v>21705</v>
      </c>
      <c r="L1998" s="4" t="s">
        <v>1056</v>
      </c>
      <c r="M1998" s="4" t="s">
        <v>27</v>
      </c>
      <c r="N1998" s="4"/>
    </row>
    <row r="1999" spans="1:14" ht="10.5" x14ac:dyDescent="0.25">
      <c r="A1999" s="8" t="s">
        <v>57</v>
      </c>
      <c r="B1999" s="4" t="s">
        <v>21</v>
      </c>
      <c r="C1999" s="5">
        <v>44195</v>
      </c>
      <c r="D1999" s="4" t="s">
        <v>1914</v>
      </c>
      <c r="E1999" s="4" t="s">
        <v>1915</v>
      </c>
      <c r="F1999" s="4" t="s">
        <v>1915</v>
      </c>
      <c r="G1999" s="6">
        <v>1472.64658024</v>
      </c>
      <c r="H1999" s="6">
        <f t="shared" si="33"/>
        <v>847129.19451372791</v>
      </c>
      <c r="I1999" s="4"/>
      <c r="J1999" s="4" t="s">
        <v>68</v>
      </c>
      <c r="K1999" s="7">
        <v>1231</v>
      </c>
      <c r="L1999" s="4" t="s">
        <v>1056</v>
      </c>
      <c r="M1999" s="4" t="s">
        <v>38</v>
      </c>
      <c r="N1999" s="4"/>
    </row>
    <row r="2000" spans="1:14" ht="10.5" hidden="1" x14ac:dyDescent="0.25">
      <c r="A2000" s="8" t="s">
        <v>57</v>
      </c>
      <c r="B2000" s="4" t="s">
        <v>21</v>
      </c>
      <c r="C2000" s="5">
        <v>44195</v>
      </c>
      <c r="D2000" s="4" t="s">
        <v>3421</v>
      </c>
      <c r="E2000" s="4" t="s">
        <v>3422</v>
      </c>
      <c r="F2000" s="4" t="s">
        <v>3422</v>
      </c>
      <c r="G2000" s="6">
        <v>-180000.00042235199</v>
      </c>
      <c r="H2000" s="6">
        <f t="shared" si="33"/>
        <v>667129.19409137592</v>
      </c>
      <c r="I2000" s="4"/>
      <c r="J2000" s="4" t="s">
        <v>68</v>
      </c>
      <c r="K2000" s="7">
        <v>-180000</v>
      </c>
      <c r="L2000" s="4" t="s">
        <v>1056</v>
      </c>
      <c r="M2000" s="4" t="s">
        <v>27</v>
      </c>
      <c r="N2000" s="4"/>
    </row>
    <row r="2001" spans="1:14" ht="10.5" hidden="1" x14ac:dyDescent="0.25">
      <c r="A2001" s="8" t="s">
        <v>57</v>
      </c>
      <c r="B2001" s="4" t="s">
        <v>21</v>
      </c>
      <c r="C2001" s="5">
        <v>44195</v>
      </c>
      <c r="D2001" s="4" t="s">
        <v>3423</v>
      </c>
      <c r="E2001" s="4" t="s">
        <v>3424</v>
      </c>
      <c r="F2001" s="4" t="s">
        <v>3424</v>
      </c>
      <c r="G2001" s="6">
        <v>-851.46000199786579</v>
      </c>
      <c r="H2001" s="6">
        <f t="shared" si="33"/>
        <v>666277.73408937803</v>
      </c>
      <c r="I2001" s="4"/>
      <c r="J2001" s="4" t="s">
        <v>68</v>
      </c>
      <c r="K2001" s="7">
        <v>-851.46</v>
      </c>
      <c r="L2001" s="4" t="s">
        <v>1056</v>
      </c>
      <c r="M2001" s="4" t="s">
        <v>27</v>
      </c>
      <c r="N2001" s="4"/>
    </row>
    <row r="2002" spans="1:14" ht="10.5" hidden="1" x14ac:dyDescent="0.25">
      <c r="A2002" s="8" t="s">
        <v>57</v>
      </c>
      <c r="B2002" s="4" t="s">
        <v>21</v>
      </c>
      <c r="C2002" s="5">
        <v>44195</v>
      </c>
      <c r="D2002" s="4" t="s">
        <v>3423</v>
      </c>
      <c r="E2002" s="4" t="s">
        <v>3424</v>
      </c>
      <c r="F2002" s="4" t="s">
        <v>3425</v>
      </c>
      <c r="G2002" s="6">
        <v>-25053.880058786424</v>
      </c>
      <c r="H2002" s="6">
        <f t="shared" si="33"/>
        <v>641223.85403059167</v>
      </c>
      <c r="I2002" s="4"/>
      <c r="J2002" s="4" t="s">
        <v>68</v>
      </c>
      <c r="K2002" s="7">
        <v>-25053.88</v>
      </c>
      <c r="L2002" s="4" t="s">
        <v>1056</v>
      </c>
      <c r="M2002" s="4" t="s">
        <v>27</v>
      </c>
      <c r="N2002" s="4"/>
    </row>
    <row r="2003" spans="1:14" ht="10.5" hidden="1" x14ac:dyDescent="0.25">
      <c r="A2003" s="8" t="s">
        <v>57</v>
      </c>
      <c r="B2003" s="4" t="s">
        <v>3426</v>
      </c>
      <c r="C2003" s="5">
        <v>44196</v>
      </c>
      <c r="D2003" s="4" t="s">
        <v>3427</v>
      </c>
      <c r="E2003" s="4" t="s">
        <v>3427</v>
      </c>
      <c r="F2003" s="4" t="s">
        <v>3428</v>
      </c>
      <c r="G2003" s="6">
        <v>-7459.690017503417</v>
      </c>
      <c r="H2003" s="6">
        <f t="shared" si="33"/>
        <v>633764.16401308822</v>
      </c>
      <c r="I2003" s="4" t="s">
        <v>3429</v>
      </c>
      <c r="J2003" s="4" t="s">
        <v>68</v>
      </c>
      <c r="K2003" s="7">
        <v>-9694.25</v>
      </c>
      <c r="L2003" s="4" t="s">
        <v>1056</v>
      </c>
      <c r="M2003" s="4" t="s">
        <v>27</v>
      </c>
      <c r="N2003" s="4"/>
    </row>
    <row r="2004" spans="1:14" ht="10.5" hidden="1" x14ac:dyDescent="0.25">
      <c r="A2004" s="8" t="s">
        <v>57</v>
      </c>
      <c r="B2004" s="4" t="s">
        <v>21</v>
      </c>
      <c r="C2004" s="5">
        <v>44196</v>
      </c>
      <c r="D2004" s="4" t="s">
        <v>3430</v>
      </c>
      <c r="E2004" s="4" t="s">
        <v>3431</v>
      </c>
      <c r="F2004" s="4" t="s">
        <v>3431</v>
      </c>
      <c r="G2004" s="6">
        <v>163029.12038253152</v>
      </c>
      <c r="H2004" s="6">
        <f t="shared" ref="H2004:H2067" si="34">H2003+G2004</f>
        <v>796793.28439561976</v>
      </c>
      <c r="I2004" s="4"/>
      <c r="J2004" s="4" t="s">
        <v>37</v>
      </c>
      <c r="K2004" s="7">
        <v>163029.12</v>
      </c>
      <c r="L2004" s="4" t="s">
        <v>1056</v>
      </c>
      <c r="M2004" s="4" t="s">
        <v>27</v>
      </c>
      <c r="N2004" s="4"/>
    </row>
    <row r="2005" spans="1:14" ht="10.5" x14ac:dyDescent="0.25">
      <c r="A2005" s="8" t="s">
        <v>57</v>
      </c>
      <c r="B2005" s="4" t="s">
        <v>21</v>
      </c>
      <c r="C2005" s="5">
        <v>44196</v>
      </c>
      <c r="D2005" s="4" t="s">
        <v>1934</v>
      </c>
      <c r="E2005" s="4" t="s">
        <v>1935</v>
      </c>
      <c r="F2005" s="4" t="s">
        <v>1935</v>
      </c>
      <c r="G2005" s="6">
        <v>-19803.56741616</v>
      </c>
      <c r="H2005" s="6">
        <f t="shared" si="34"/>
        <v>776989.71697945974</v>
      </c>
      <c r="I2005" s="4"/>
      <c r="J2005" s="4" t="s">
        <v>68</v>
      </c>
      <c r="K2005" s="7">
        <v>-16554</v>
      </c>
      <c r="L2005" s="4" t="s">
        <v>1056</v>
      </c>
      <c r="M2005" s="4" t="s">
        <v>38</v>
      </c>
      <c r="N2005" s="4"/>
    </row>
    <row r="2006" spans="1:14" ht="10.5" x14ac:dyDescent="0.25">
      <c r="A2006" s="8" t="s">
        <v>57</v>
      </c>
      <c r="B2006" s="4" t="s">
        <v>21</v>
      </c>
      <c r="C2006" s="5">
        <v>44196</v>
      </c>
      <c r="D2006" s="4" t="s">
        <v>1938</v>
      </c>
      <c r="E2006" s="4" t="s">
        <v>1939</v>
      </c>
      <c r="F2006" s="4" t="s">
        <v>1939</v>
      </c>
      <c r="G2006" s="6">
        <v>22842.172057759999</v>
      </c>
      <c r="H2006" s="6">
        <f t="shared" si="34"/>
        <v>799831.88903721969</v>
      </c>
      <c r="I2006" s="4"/>
      <c r="J2006" s="4" t="s">
        <v>68</v>
      </c>
      <c r="K2006" s="7">
        <v>19094</v>
      </c>
      <c r="L2006" s="4" t="s">
        <v>1056</v>
      </c>
      <c r="M2006" s="4" t="s">
        <v>38</v>
      </c>
      <c r="N2006" s="4"/>
    </row>
    <row r="2007" spans="1:14" ht="10.5" hidden="1" x14ac:dyDescent="0.25">
      <c r="A2007" s="8" t="s">
        <v>57</v>
      </c>
      <c r="B2007" s="4" t="s">
        <v>3426</v>
      </c>
      <c r="C2007" s="5">
        <v>44196</v>
      </c>
      <c r="D2007" s="4" t="s">
        <v>3432</v>
      </c>
      <c r="E2007" s="4" t="s">
        <v>3433</v>
      </c>
      <c r="F2007" s="4"/>
      <c r="G2007" s="6">
        <v>-531.88000124800328</v>
      </c>
      <c r="H2007" s="6">
        <f t="shared" si="34"/>
        <v>799300.00903597171</v>
      </c>
      <c r="I2007" s="4" t="s">
        <v>3415</v>
      </c>
      <c r="J2007" s="4" t="s">
        <v>68</v>
      </c>
      <c r="K2007" s="7">
        <v>-691.2</v>
      </c>
      <c r="L2007" s="4" t="s">
        <v>1056</v>
      </c>
      <c r="M2007" s="4" t="s">
        <v>27</v>
      </c>
      <c r="N2007" s="4"/>
    </row>
    <row r="2008" spans="1:14" ht="10.5" hidden="1" x14ac:dyDescent="0.25">
      <c r="A2008" s="8" t="s">
        <v>57</v>
      </c>
      <c r="B2008" s="4" t="s">
        <v>21</v>
      </c>
      <c r="C2008" s="5">
        <v>44196</v>
      </c>
      <c r="D2008" s="4" t="s">
        <v>3434</v>
      </c>
      <c r="E2008" s="4" t="s">
        <v>2558</v>
      </c>
      <c r="F2008" s="4" t="s">
        <v>3306</v>
      </c>
      <c r="G2008" s="6">
        <v>180000.00042235199</v>
      </c>
      <c r="H2008" s="6">
        <f t="shared" si="34"/>
        <v>979300.00945832371</v>
      </c>
      <c r="I2008" s="4"/>
      <c r="J2008" s="4" t="s">
        <v>68</v>
      </c>
      <c r="K2008" s="7">
        <v>180000</v>
      </c>
      <c r="L2008" s="4" t="s">
        <v>1056</v>
      </c>
      <c r="M2008" s="4" t="s">
        <v>27</v>
      </c>
      <c r="N2008" s="4" t="s">
        <v>118</v>
      </c>
    </row>
    <row r="2009" spans="1:14" ht="10.5" hidden="1" x14ac:dyDescent="0.25">
      <c r="A2009" s="8" t="s">
        <v>57</v>
      </c>
      <c r="B2009" s="4" t="s">
        <v>21</v>
      </c>
      <c r="C2009" s="5">
        <v>44196</v>
      </c>
      <c r="D2009" s="4" t="s">
        <v>3435</v>
      </c>
      <c r="E2009" s="4" t="s">
        <v>3436</v>
      </c>
      <c r="F2009" s="4" t="s">
        <v>3437</v>
      </c>
      <c r="G2009" s="6">
        <v>10184.030023895808</v>
      </c>
      <c r="H2009" s="6">
        <f t="shared" si="34"/>
        <v>989484.03948221949</v>
      </c>
      <c r="I2009" s="4"/>
      <c r="J2009" s="4" t="s">
        <v>68</v>
      </c>
      <c r="K2009" s="7">
        <v>10184.030000000001</v>
      </c>
      <c r="L2009" s="4" t="s">
        <v>1056</v>
      </c>
      <c r="M2009" s="4" t="s">
        <v>27</v>
      </c>
      <c r="N2009" s="4" t="s">
        <v>118</v>
      </c>
    </row>
    <row r="2010" spans="1:14" ht="10.5" hidden="1" x14ac:dyDescent="0.25">
      <c r="A2010" s="8" t="s">
        <v>57</v>
      </c>
      <c r="B2010" s="4" t="s">
        <v>21</v>
      </c>
      <c r="C2010" s="5">
        <v>44196</v>
      </c>
      <c r="D2010" s="4" t="s">
        <v>3435</v>
      </c>
      <c r="E2010" s="4" t="s">
        <v>3436</v>
      </c>
      <c r="F2010" s="4" t="s">
        <v>3437</v>
      </c>
      <c r="G2010" s="6">
        <v>-2917.2200068449652</v>
      </c>
      <c r="H2010" s="6">
        <f t="shared" si="34"/>
        <v>986566.81947537453</v>
      </c>
      <c r="I2010" s="4"/>
      <c r="J2010" s="4" t="s">
        <v>68</v>
      </c>
      <c r="K2010" s="7">
        <v>-2917.22</v>
      </c>
      <c r="L2010" s="4" t="s">
        <v>1056</v>
      </c>
      <c r="M2010" s="4" t="s">
        <v>27</v>
      </c>
      <c r="N2010" s="4" t="s">
        <v>118</v>
      </c>
    </row>
    <row r="2011" spans="1:14" ht="10.5" hidden="1" x14ac:dyDescent="0.25">
      <c r="A2011" s="8" t="s">
        <v>57</v>
      </c>
      <c r="B2011" s="4" t="s">
        <v>21</v>
      </c>
      <c r="C2011" s="5">
        <v>44196</v>
      </c>
      <c r="D2011" s="4" t="s">
        <v>3438</v>
      </c>
      <c r="E2011" s="4" t="s">
        <v>3439</v>
      </c>
      <c r="F2011" s="4" t="s">
        <v>3439</v>
      </c>
      <c r="G2011" s="6">
        <v>174592.95898175999</v>
      </c>
      <c r="H2011" s="6">
        <f t="shared" si="34"/>
        <v>1161159.7784571345</v>
      </c>
      <c r="I2011" s="4"/>
      <c r="J2011" s="4" t="s">
        <v>25</v>
      </c>
      <c r="K2011" s="7">
        <v>145944</v>
      </c>
      <c r="L2011" s="4" t="s">
        <v>1056</v>
      </c>
      <c r="M2011" s="4" t="s">
        <v>61</v>
      </c>
      <c r="N2011" s="4" t="s">
        <v>28</v>
      </c>
    </row>
    <row r="2012" spans="1:14" ht="10.5" hidden="1" x14ac:dyDescent="0.25">
      <c r="A2012" s="8" t="s">
        <v>57</v>
      </c>
      <c r="B2012" s="4" t="s">
        <v>21</v>
      </c>
      <c r="C2012" s="5">
        <v>44196</v>
      </c>
      <c r="D2012" s="4" t="s">
        <v>3440</v>
      </c>
      <c r="E2012" s="4" t="s">
        <v>3441</v>
      </c>
      <c r="F2012" s="4" t="s">
        <v>3442</v>
      </c>
      <c r="G2012" s="6">
        <v>10909.021331718401</v>
      </c>
      <c r="H2012" s="6">
        <f t="shared" si="34"/>
        <v>1172068.7997888529</v>
      </c>
      <c r="I2012" s="4"/>
      <c r="J2012" s="4" t="s">
        <v>25</v>
      </c>
      <c r="K2012" s="7">
        <v>9118.9599999999991</v>
      </c>
      <c r="L2012" s="4" t="s">
        <v>1056</v>
      </c>
      <c r="M2012" s="4" t="s">
        <v>61</v>
      </c>
      <c r="N2012" s="4" t="s">
        <v>181</v>
      </c>
    </row>
    <row r="2013" spans="1:14" ht="10.5" hidden="1" x14ac:dyDescent="0.25">
      <c r="A2013" s="8" t="s">
        <v>57</v>
      </c>
      <c r="B2013" s="4" t="s">
        <v>64</v>
      </c>
      <c r="C2013" s="5">
        <v>44201</v>
      </c>
      <c r="D2013" s="4" t="s">
        <v>3443</v>
      </c>
      <c r="E2013" s="4" t="s">
        <v>3444</v>
      </c>
      <c r="F2013" s="4" t="s">
        <v>3444</v>
      </c>
      <c r="G2013" s="6">
        <v>25400.000045420278</v>
      </c>
      <c r="H2013" s="6">
        <f t="shared" si="34"/>
        <v>1197468.7998342733</v>
      </c>
      <c r="I2013" s="4" t="s">
        <v>3389</v>
      </c>
      <c r="J2013" s="4" t="s">
        <v>68</v>
      </c>
      <c r="K2013" s="7">
        <v>25400</v>
      </c>
      <c r="L2013" s="4" t="s">
        <v>1958</v>
      </c>
      <c r="M2013" s="4" t="s">
        <v>27</v>
      </c>
      <c r="N2013" s="4"/>
    </row>
    <row r="2014" spans="1:14" ht="10.5" hidden="1" x14ac:dyDescent="0.25">
      <c r="A2014" s="8" t="s">
        <v>57</v>
      </c>
      <c r="B2014" s="4" t="s">
        <v>64</v>
      </c>
      <c r="C2014" s="5">
        <v>44203</v>
      </c>
      <c r="D2014" s="4" t="s">
        <v>3445</v>
      </c>
      <c r="E2014" s="4" t="s">
        <v>3406</v>
      </c>
      <c r="F2014" s="4" t="s">
        <v>3406</v>
      </c>
      <c r="G2014" s="6">
        <v>1730.4000030943014</v>
      </c>
      <c r="H2014" s="6">
        <f t="shared" si="34"/>
        <v>1199199.1998373675</v>
      </c>
      <c r="I2014" s="4" t="s">
        <v>94</v>
      </c>
      <c r="J2014" s="4" t="s">
        <v>68</v>
      </c>
      <c r="K2014" s="7">
        <v>1730.4</v>
      </c>
      <c r="L2014" s="4" t="s">
        <v>1958</v>
      </c>
      <c r="M2014" s="4" t="s">
        <v>27</v>
      </c>
      <c r="N2014" s="4"/>
    </row>
    <row r="2015" spans="1:14" ht="10.5" hidden="1" x14ac:dyDescent="0.25">
      <c r="A2015" s="8" t="s">
        <v>57</v>
      </c>
      <c r="B2015" s="4" t="s">
        <v>64</v>
      </c>
      <c r="C2015" s="5">
        <v>44210</v>
      </c>
      <c r="D2015" s="4" t="s">
        <v>3446</v>
      </c>
      <c r="E2015" s="4" t="s">
        <v>3447</v>
      </c>
      <c r="F2015" s="4" t="s">
        <v>3447</v>
      </c>
      <c r="G2015" s="6">
        <v>743.44000132941937</v>
      </c>
      <c r="H2015" s="6">
        <f t="shared" si="34"/>
        <v>1199942.6398386969</v>
      </c>
      <c r="I2015" s="4" t="s">
        <v>105</v>
      </c>
      <c r="J2015" s="4" t="s">
        <v>68</v>
      </c>
      <c r="K2015" s="7">
        <v>743.44</v>
      </c>
      <c r="L2015" s="4" t="s">
        <v>1958</v>
      </c>
      <c r="M2015" s="4" t="s">
        <v>27</v>
      </c>
      <c r="N2015" s="4"/>
    </row>
    <row r="2016" spans="1:14" ht="10.5" hidden="1" x14ac:dyDescent="0.25">
      <c r="A2016" s="8" t="s">
        <v>57</v>
      </c>
      <c r="B2016" s="4" t="s">
        <v>64</v>
      </c>
      <c r="C2016" s="5">
        <v>44211</v>
      </c>
      <c r="D2016" s="4" t="s">
        <v>3448</v>
      </c>
      <c r="E2016" s="4" t="s">
        <v>3406</v>
      </c>
      <c r="F2016" s="4" t="s">
        <v>3406</v>
      </c>
      <c r="G2016" s="6">
        <v>23667.70004232258</v>
      </c>
      <c r="H2016" s="6">
        <f t="shared" si="34"/>
        <v>1223610.3398810194</v>
      </c>
      <c r="I2016" s="4" t="s">
        <v>3449</v>
      </c>
      <c r="J2016" s="4" t="s">
        <v>68</v>
      </c>
      <c r="K2016" s="7">
        <v>23667.7</v>
      </c>
      <c r="L2016" s="4" t="s">
        <v>1958</v>
      </c>
      <c r="M2016" s="4" t="s">
        <v>27</v>
      </c>
      <c r="N2016" s="4"/>
    </row>
    <row r="2017" spans="1:16" ht="10.5" hidden="1" x14ac:dyDescent="0.25">
      <c r="A2017" s="8" t="s">
        <v>57</v>
      </c>
      <c r="B2017" s="4" t="s">
        <v>64</v>
      </c>
      <c r="C2017" s="5">
        <v>44211</v>
      </c>
      <c r="D2017" s="4" t="s">
        <v>3450</v>
      </c>
      <c r="E2017" s="4" t="s">
        <v>66</v>
      </c>
      <c r="F2017" s="4" t="s">
        <v>66</v>
      </c>
      <c r="G2017" s="6">
        <v>543.64000097213705</v>
      </c>
      <c r="H2017" s="6">
        <f t="shared" si="34"/>
        <v>1224153.9798819916</v>
      </c>
      <c r="I2017" s="4" t="s">
        <v>94</v>
      </c>
      <c r="J2017" s="4" t="s">
        <v>68</v>
      </c>
      <c r="K2017" s="7">
        <v>543.64</v>
      </c>
      <c r="L2017" s="4" t="s">
        <v>1958</v>
      </c>
      <c r="M2017" s="4" t="s">
        <v>27</v>
      </c>
      <c r="N2017" s="4"/>
    </row>
    <row r="2018" spans="1:16" ht="10.5" hidden="1" x14ac:dyDescent="0.25">
      <c r="A2018" s="8" t="s">
        <v>57</v>
      </c>
      <c r="B2018" s="4" t="s">
        <v>64</v>
      </c>
      <c r="C2018" s="5">
        <v>44218</v>
      </c>
      <c r="D2018" s="4" t="s">
        <v>3451</v>
      </c>
      <c r="E2018" s="4" t="s">
        <v>66</v>
      </c>
      <c r="F2018" s="4" t="s">
        <v>66</v>
      </c>
      <c r="G2018" s="6">
        <v>349.44000062486862</v>
      </c>
      <c r="H2018" s="6">
        <f t="shared" si="34"/>
        <v>1224503.4198826165</v>
      </c>
      <c r="I2018" s="4" t="s">
        <v>3364</v>
      </c>
      <c r="J2018" s="4" t="s">
        <v>68</v>
      </c>
      <c r="K2018" s="7">
        <v>349.44</v>
      </c>
      <c r="L2018" s="4" t="s">
        <v>1958</v>
      </c>
      <c r="M2018" s="4" t="s">
        <v>27</v>
      </c>
      <c r="N2018" s="4"/>
    </row>
    <row r="2019" spans="1:16" ht="10.5" hidden="1" x14ac:dyDescent="0.25">
      <c r="A2019" s="8" t="s">
        <v>57</v>
      </c>
      <c r="B2019" s="4" t="s">
        <v>64</v>
      </c>
      <c r="C2019" s="5">
        <v>44221</v>
      </c>
      <c r="D2019" s="4" t="s">
        <v>3452</v>
      </c>
      <c r="E2019" s="4" t="s">
        <v>66</v>
      </c>
      <c r="F2019" s="4" t="s">
        <v>66</v>
      </c>
      <c r="G2019" s="6">
        <v>2966.8000053052319</v>
      </c>
      <c r="H2019" s="6">
        <f t="shared" si="34"/>
        <v>1227470.2198879218</v>
      </c>
      <c r="I2019" s="4" t="s">
        <v>125</v>
      </c>
      <c r="J2019" s="4" t="s">
        <v>68</v>
      </c>
      <c r="K2019" s="7">
        <v>2966.8</v>
      </c>
      <c r="L2019" s="4" t="s">
        <v>1958</v>
      </c>
      <c r="M2019" s="4" t="s">
        <v>27</v>
      </c>
      <c r="N2019" s="4"/>
    </row>
    <row r="2020" spans="1:16" ht="10.5" hidden="1" x14ac:dyDescent="0.25">
      <c r="A2020" s="8" t="s">
        <v>57</v>
      </c>
      <c r="B2020" s="4" t="s">
        <v>64</v>
      </c>
      <c r="C2020" s="5">
        <v>44221</v>
      </c>
      <c r="D2020" s="4" t="s">
        <v>3453</v>
      </c>
      <c r="E2020" s="4" t="s">
        <v>66</v>
      </c>
      <c r="F2020" s="4" t="s">
        <v>66</v>
      </c>
      <c r="G2020" s="6">
        <v>22433.200040115047</v>
      </c>
      <c r="H2020" s="6">
        <f t="shared" si="34"/>
        <v>1249903.4199280369</v>
      </c>
      <c r="I2020" s="4" t="s">
        <v>3389</v>
      </c>
      <c r="J2020" s="4" t="s">
        <v>68</v>
      </c>
      <c r="K2020" s="7">
        <v>22433.200000000001</v>
      </c>
      <c r="L2020" s="4" t="s">
        <v>1958</v>
      </c>
      <c r="M2020" s="4" t="s">
        <v>27</v>
      </c>
      <c r="N2020" s="4"/>
    </row>
    <row r="2021" spans="1:16" ht="10.5" x14ac:dyDescent="0.25">
      <c r="A2021" s="8" t="s">
        <v>57</v>
      </c>
      <c r="B2021" s="4" t="s">
        <v>21</v>
      </c>
      <c r="C2021" s="5">
        <v>44227</v>
      </c>
      <c r="D2021" s="4" t="s">
        <v>1962</v>
      </c>
      <c r="E2021" s="4" t="s">
        <v>1963</v>
      </c>
      <c r="F2021" s="4" t="s">
        <v>1963</v>
      </c>
      <c r="G2021" s="6">
        <v>2661.8011446599999</v>
      </c>
      <c r="H2021" s="6">
        <f t="shared" si="34"/>
        <v>1252565.2210726968</v>
      </c>
      <c r="I2021" s="4"/>
      <c r="J2021" s="4" t="s">
        <v>748</v>
      </c>
      <c r="K2021" s="7">
        <v>2181</v>
      </c>
      <c r="L2021" s="4" t="s">
        <v>1958</v>
      </c>
      <c r="M2021" s="4" t="s">
        <v>38</v>
      </c>
      <c r="N2021" s="4"/>
      <c r="P2021" t="s">
        <v>3826</v>
      </c>
    </row>
    <row r="2022" spans="1:16" ht="10.5" hidden="1" x14ac:dyDescent="0.25">
      <c r="A2022" s="8" t="s">
        <v>57</v>
      </c>
      <c r="B2022" s="4" t="s">
        <v>64</v>
      </c>
      <c r="C2022" s="5">
        <v>44229</v>
      </c>
      <c r="D2022" s="4" t="s">
        <v>3454</v>
      </c>
      <c r="E2022" s="4" t="s">
        <v>66</v>
      </c>
      <c r="F2022" s="4" t="s">
        <v>66</v>
      </c>
      <c r="G2022" s="6">
        <v>1730.4000035957713</v>
      </c>
      <c r="H2022" s="6">
        <f t="shared" si="34"/>
        <v>1254295.6210762926</v>
      </c>
      <c r="I2022" s="4" t="s">
        <v>94</v>
      </c>
      <c r="J2022" s="4" t="s">
        <v>68</v>
      </c>
      <c r="K2022" s="7">
        <v>1730.4</v>
      </c>
      <c r="L2022" s="4" t="s">
        <v>1971</v>
      </c>
      <c r="M2022" s="4" t="s">
        <v>27</v>
      </c>
      <c r="N2022" s="4"/>
    </row>
    <row r="2023" spans="1:16" ht="10.5" hidden="1" x14ac:dyDescent="0.25">
      <c r="A2023" s="8" t="s">
        <v>57</v>
      </c>
      <c r="B2023" s="4" t="s">
        <v>64</v>
      </c>
      <c r="C2023" s="5">
        <v>44229</v>
      </c>
      <c r="D2023" s="4" t="s">
        <v>3455</v>
      </c>
      <c r="E2023" s="4" t="s">
        <v>3456</v>
      </c>
      <c r="F2023" s="4" t="s">
        <v>3456</v>
      </c>
      <c r="G2023" s="6">
        <v>1248.3900025941543</v>
      </c>
      <c r="H2023" s="6">
        <f t="shared" si="34"/>
        <v>1255544.0110788867</v>
      </c>
      <c r="I2023" s="4" t="s">
        <v>70</v>
      </c>
      <c r="J2023" s="4" t="s">
        <v>68</v>
      </c>
      <c r="K2023" s="7">
        <v>1248.3900000000001</v>
      </c>
      <c r="L2023" s="4" t="s">
        <v>1971</v>
      </c>
      <c r="M2023" s="4" t="s">
        <v>27</v>
      </c>
      <c r="N2023" s="4"/>
    </row>
    <row r="2024" spans="1:16" ht="10.5" hidden="1" x14ac:dyDescent="0.25">
      <c r="A2024" s="8" t="s">
        <v>57</v>
      </c>
      <c r="B2024" s="4" t="s">
        <v>64</v>
      </c>
      <c r="C2024" s="5">
        <v>44229</v>
      </c>
      <c r="D2024" s="4" t="s">
        <v>3457</v>
      </c>
      <c r="E2024" s="4" t="s">
        <v>3458</v>
      </c>
      <c r="F2024" s="4" t="s">
        <v>3458</v>
      </c>
      <c r="G2024" s="6">
        <v>378.53000078658533</v>
      </c>
      <c r="H2024" s="6">
        <f t="shared" si="34"/>
        <v>1255922.5410796732</v>
      </c>
      <c r="I2024" s="4" t="s">
        <v>94</v>
      </c>
      <c r="J2024" s="4" t="s">
        <v>68</v>
      </c>
      <c r="K2024" s="7">
        <v>378.53</v>
      </c>
      <c r="L2024" s="4" t="s">
        <v>1971</v>
      </c>
      <c r="M2024" s="4" t="s">
        <v>27</v>
      </c>
      <c r="N2024" s="4"/>
    </row>
    <row r="2025" spans="1:16" ht="10.5" hidden="1" x14ac:dyDescent="0.25">
      <c r="A2025" s="8" t="s">
        <v>57</v>
      </c>
      <c r="B2025" s="4" t="s">
        <v>64</v>
      </c>
      <c r="C2025" s="5">
        <v>44229</v>
      </c>
      <c r="D2025" s="4" t="s">
        <v>3459</v>
      </c>
      <c r="E2025" s="4" t="s">
        <v>66</v>
      </c>
      <c r="F2025" s="4" t="s">
        <v>66</v>
      </c>
      <c r="G2025" s="6">
        <v>543.64000112968392</v>
      </c>
      <c r="H2025" s="6">
        <f t="shared" si="34"/>
        <v>1256466.1810808028</v>
      </c>
      <c r="I2025" s="4" t="s">
        <v>94</v>
      </c>
      <c r="J2025" s="4" t="s">
        <v>68</v>
      </c>
      <c r="K2025" s="7">
        <v>543.64</v>
      </c>
      <c r="L2025" s="4" t="s">
        <v>1971</v>
      </c>
      <c r="M2025" s="4" t="s">
        <v>27</v>
      </c>
      <c r="N2025" s="4"/>
    </row>
    <row r="2026" spans="1:16" ht="10.5" hidden="1" x14ac:dyDescent="0.25">
      <c r="A2026" s="8" t="s">
        <v>57</v>
      </c>
      <c r="B2026" s="4" t="s">
        <v>64</v>
      </c>
      <c r="C2026" s="5">
        <v>44250</v>
      </c>
      <c r="D2026" s="4" t="s">
        <v>3460</v>
      </c>
      <c r="E2026" s="4" t="s">
        <v>66</v>
      </c>
      <c r="F2026" s="4" t="s">
        <v>66</v>
      </c>
      <c r="G2026" s="6">
        <v>2427.4500050442412</v>
      </c>
      <c r="H2026" s="6">
        <f t="shared" si="34"/>
        <v>1258893.631085847</v>
      </c>
      <c r="I2026" s="4" t="s">
        <v>3461</v>
      </c>
      <c r="J2026" s="4" t="s">
        <v>68</v>
      </c>
      <c r="K2026" s="7">
        <v>2427.4499999999998</v>
      </c>
      <c r="L2026" s="4" t="s">
        <v>1971</v>
      </c>
      <c r="M2026" s="4" t="s">
        <v>27</v>
      </c>
      <c r="N2026" s="4"/>
    </row>
    <row r="2027" spans="1:16" ht="10.5" x14ac:dyDescent="0.25">
      <c r="A2027" s="8" t="s">
        <v>57</v>
      </c>
      <c r="B2027" s="4" t="s">
        <v>21</v>
      </c>
      <c r="C2027" s="5">
        <v>44255</v>
      </c>
      <c r="D2027" s="4" t="s">
        <v>1980</v>
      </c>
      <c r="E2027" s="4" t="s">
        <v>1981</v>
      </c>
      <c r="F2027" s="4" t="s">
        <v>1981</v>
      </c>
      <c r="G2027" s="6">
        <v>1388.28371143</v>
      </c>
      <c r="H2027" s="6">
        <f t="shared" si="34"/>
        <v>1260281.914797277</v>
      </c>
      <c r="I2027" s="4"/>
      <c r="J2027" s="4" t="s">
        <v>748</v>
      </c>
      <c r="K2027" s="7">
        <v>1147</v>
      </c>
      <c r="L2027" s="4" t="s">
        <v>1971</v>
      </c>
      <c r="M2027" s="4" t="s">
        <v>38</v>
      </c>
      <c r="N2027" s="4"/>
      <c r="P2027" t="s">
        <v>3826</v>
      </c>
    </row>
    <row r="2028" spans="1:16" ht="10.5" hidden="1" x14ac:dyDescent="0.25">
      <c r="A2028" s="8" t="s">
        <v>57</v>
      </c>
      <c r="B2028" s="4" t="s">
        <v>64</v>
      </c>
      <c r="C2028" s="5">
        <v>44256</v>
      </c>
      <c r="D2028" s="4" t="s">
        <v>3462</v>
      </c>
      <c r="E2028" s="4" t="s">
        <v>3463</v>
      </c>
      <c r="F2028" s="4" t="s">
        <v>3463</v>
      </c>
      <c r="G2028" s="6">
        <v>3458.6300084943955</v>
      </c>
      <c r="H2028" s="6">
        <f t="shared" si="34"/>
        <v>1263740.5448057714</v>
      </c>
      <c r="I2028" s="4" t="s">
        <v>97</v>
      </c>
      <c r="J2028" s="4" t="s">
        <v>68</v>
      </c>
      <c r="K2028" s="7">
        <v>3458.63</v>
      </c>
      <c r="L2028" s="4" t="s">
        <v>1029</v>
      </c>
      <c r="M2028" s="4" t="s">
        <v>27</v>
      </c>
      <c r="N2028" s="4"/>
    </row>
    <row r="2029" spans="1:16" ht="10.5" hidden="1" x14ac:dyDescent="0.25">
      <c r="A2029" s="8" t="s">
        <v>57</v>
      </c>
      <c r="B2029" s="4" t="s">
        <v>64</v>
      </c>
      <c r="C2029" s="5">
        <v>44256</v>
      </c>
      <c r="D2029" s="4" t="s">
        <v>3464</v>
      </c>
      <c r="E2029" s="4" t="s">
        <v>3465</v>
      </c>
      <c r="F2029" s="4" t="s">
        <v>3465</v>
      </c>
      <c r="G2029" s="6">
        <v>3208.9500078811811</v>
      </c>
      <c r="H2029" s="6">
        <f t="shared" si="34"/>
        <v>1266949.4948136527</v>
      </c>
      <c r="I2029" s="4" t="s">
        <v>97</v>
      </c>
      <c r="J2029" s="4" t="s">
        <v>68</v>
      </c>
      <c r="K2029" s="7">
        <v>3208.95</v>
      </c>
      <c r="L2029" s="4" t="s">
        <v>1029</v>
      </c>
      <c r="M2029" s="4" t="s">
        <v>27</v>
      </c>
      <c r="N2029" s="4"/>
    </row>
    <row r="2030" spans="1:16" ht="10.5" hidden="1" x14ac:dyDescent="0.25">
      <c r="A2030" s="8" t="s">
        <v>57</v>
      </c>
      <c r="B2030" s="4" t="s">
        <v>64</v>
      </c>
      <c r="C2030" s="5">
        <v>44263</v>
      </c>
      <c r="D2030" s="4" t="s">
        <v>3466</v>
      </c>
      <c r="E2030" s="4" t="s">
        <v>3467</v>
      </c>
      <c r="F2030" s="4" t="s">
        <v>3467</v>
      </c>
      <c r="G2030" s="6">
        <v>21000.740051577817</v>
      </c>
      <c r="H2030" s="6">
        <f t="shared" si="34"/>
        <v>1287950.2348652305</v>
      </c>
      <c r="I2030" s="4" t="s">
        <v>3468</v>
      </c>
      <c r="J2030" s="4" t="s">
        <v>68</v>
      </c>
      <c r="K2030" s="7">
        <v>21000.74</v>
      </c>
      <c r="L2030" s="4" t="s">
        <v>1029</v>
      </c>
      <c r="M2030" s="4" t="s">
        <v>27</v>
      </c>
      <c r="N2030" s="4"/>
    </row>
    <row r="2031" spans="1:16" ht="10.5" hidden="1" x14ac:dyDescent="0.25">
      <c r="A2031" s="8" t="s">
        <v>57</v>
      </c>
      <c r="B2031" s="4" t="s">
        <v>64</v>
      </c>
      <c r="C2031" s="5">
        <v>44280</v>
      </c>
      <c r="D2031" s="4" t="s">
        <v>3469</v>
      </c>
      <c r="E2031" s="4" t="s">
        <v>66</v>
      </c>
      <c r="F2031" s="4" t="s">
        <v>66</v>
      </c>
      <c r="G2031" s="6">
        <v>3500.000008596</v>
      </c>
      <c r="H2031" s="6">
        <f t="shared" si="34"/>
        <v>1291450.2348738266</v>
      </c>
      <c r="I2031" s="4" t="s">
        <v>67</v>
      </c>
      <c r="J2031" s="4" t="s">
        <v>37</v>
      </c>
      <c r="K2031" s="7">
        <v>3500</v>
      </c>
      <c r="L2031" s="4" t="s">
        <v>1029</v>
      </c>
      <c r="M2031" s="4" t="s">
        <v>27</v>
      </c>
      <c r="N2031" s="4"/>
    </row>
    <row r="2032" spans="1:16" ht="10.5" hidden="1" x14ac:dyDescent="0.25">
      <c r="A2032" s="8" t="s">
        <v>57</v>
      </c>
      <c r="B2032" s="4" t="s">
        <v>64</v>
      </c>
      <c r="C2032" s="5">
        <v>44280</v>
      </c>
      <c r="D2032" s="4" t="s">
        <v>3470</v>
      </c>
      <c r="E2032" s="4" t="s">
        <v>66</v>
      </c>
      <c r="F2032" s="4" t="s">
        <v>66</v>
      </c>
      <c r="G2032" s="6">
        <v>1800.0000044208</v>
      </c>
      <c r="H2032" s="6">
        <f t="shared" si="34"/>
        <v>1293250.2348782474</v>
      </c>
      <c r="I2032" s="4" t="s">
        <v>67</v>
      </c>
      <c r="J2032" s="4" t="s">
        <v>37</v>
      </c>
      <c r="K2032" s="7">
        <v>1800</v>
      </c>
      <c r="L2032" s="4" t="s">
        <v>1029</v>
      </c>
      <c r="M2032" s="4" t="s">
        <v>27</v>
      </c>
      <c r="N2032" s="4"/>
    </row>
    <row r="2033" spans="1:17" ht="10.5" hidden="1" x14ac:dyDescent="0.25">
      <c r="A2033" s="8" t="s">
        <v>57</v>
      </c>
      <c r="B2033" s="4" t="s">
        <v>64</v>
      </c>
      <c r="C2033" s="5">
        <v>44280</v>
      </c>
      <c r="D2033" s="4" t="s">
        <v>3471</v>
      </c>
      <c r="E2033" s="4" t="s">
        <v>66</v>
      </c>
      <c r="F2033" s="4" t="s">
        <v>66</v>
      </c>
      <c r="G2033" s="6">
        <v>2028.0000049807679</v>
      </c>
      <c r="H2033" s="6">
        <f t="shared" si="34"/>
        <v>1295278.2348832281</v>
      </c>
      <c r="I2033" s="4" t="s">
        <v>67</v>
      </c>
      <c r="J2033" s="4" t="s">
        <v>37</v>
      </c>
      <c r="K2033" s="7">
        <v>2028</v>
      </c>
      <c r="L2033" s="4" t="s">
        <v>1029</v>
      </c>
      <c r="M2033" s="4" t="s">
        <v>27</v>
      </c>
      <c r="N2033" s="4"/>
    </row>
    <row r="2034" spans="1:17" ht="10.5" hidden="1" x14ac:dyDescent="0.25">
      <c r="A2034" s="8" t="s">
        <v>57</v>
      </c>
      <c r="B2034" s="4" t="s">
        <v>64</v>
      </c>
      <c r="C2034" s="5">
        <v>44280</v>
      </c>
      <c r="D2034" s="4" t="s">
        <v>3472</v>
      </c>
      <c r="E2034" s="4" t="s">
        <v>66</v>
      </c>
      <c r="F2034" s="4" t="s">
        <v>66</v>
      </c>
      <c r="G2034" s="6">
        <v>2000.0000049119999</v>
      </c>
      <c r="H2034" s="6">
        <f t="shared" si="34"/>
        <v>1297278.2348881401</v>
      </c>
      <c r="I2034" s="4" t="s">
        <v>67</v>
      </c>
      <c r="J2034" s="4" t="s">
        <v>37</v>
      </c>
      <c r="K2034" s="7">
        <v>2000</v>
      </c>
      <c r="L2034" s="4" t="s">
        <v>1029</v>
      </c>
      <c r="M2034" s="4" t="s">
        <v>27</v>
      </c>
      <c r="N2034" s="4"/>
    </row>
    <row r="2035" spans="1:17" ht="10.5" hidden="1" x14ac:dyDescent="0.25">
      <c r="A2035" s="8" t="s">
        <v>57</v>
      </c>
      <c r="B2035" s="4" t="s">
        <v>64</v>
      </c>
      <c r="C2035" s="5">
        <v>44280</v>
      </c>
      <c r="D2035" s="4" t="s">
        <v>3473</v>
      </c>
      <c r="E2035" s="4" t="s">
        <v>66</v>
      </c>
      <c r="F2035" s="4" t="s">
        <v>66</v>
      </c>
      <c r="G2035" s="6">
        <v>2000.0000049119999</v>
      </c>
      <c r="H2035" s="6">
        <f t="shared" si="34"/>
        <v>1299278.2348930521</v>
      </c>
      <c r="I2035" s="4" t="s">
        <v>67</v>
      </c>
      <c r="J2035" s="4" t="s">
        <v>37</v>
      </c>
      <c r="K2035" s="7">
        <v>2000</v>
      </c>
      <c r="L2035" s="4" t="s">
        <v>1029</v>
      </c>
      <c r="M2035" s="4" t="s">
        <v>27</v>
      </c>
      <c r="N2035" s="4"/>
    </row>
    <row r="2036" spans="1:17" ht="10.5" hidden="1" x14ac:dyDescent="0.25">
      <c r="A2036" s="8" t="s">
        <v>57</v>
      </c>
      <c r="B2036" s="4" t="s">
        <v>64</v>
      </c>
      <c r="C2036" s="5">
        <v>44284</v>
      </c>
      <c r="D2036" s="4" t="s">
        <v>3474</v>
      </c>
      <c r="E2036" s="4" t="s">
        <v>66</v>
      </c>
      <c r="F2036" s="4" t="s">
        <v>66</v>
      </c>
      <c r="G2036" s="6">
        <v>41720.000102464321</v>
      </c>
      <c r="H2036" s="6">
        <f t="shared" si="34"/>
        <v>1340998.2349955165</v>
      </c>
      <c r="I2036" s="4" t="s">
        <v>3389</v>
      </c>
      <c r="J2036" s="4" t="s">
        <v>68</v>
      </c>
      <c r="K2036" s="7">
        <v>41720</v>
      </c>
      <c r="L2036" s="4" t="s">
        <v>1029</v>
      </c>
      <c r="M2036" s="4" t="s">
        <v>27</v>
      </c>
      <c r="N2036" s="4"/>
    </row>
    <row r="2037" spans="1:17" ht="10.5" hidden="1" x14ac:dyDescent="0.25">
      <c r="A2037" s="8" t="s">
        <v>57</v>
      </c>
      <c r="B2037" s="4" t="s">
        <v>21</v>
      </c>
      <c r="C2037" s="5">
        <v>44286</v>
      </c>
      <c r="D2037" s="4" t="s">
        <v>3475</v>
      </c>
      <c r="E2037" s="4" t="s">
        <v>3431</v>
      </c>
      <c r="F2037" s="4" t="s">
        <v>3431</v>
      </c>
      <c r="G2037" s="6">
        <v>-163029.12040039952</v>
      </c>
      <c r="H2037" s="6">
        <f t="shared" si="34"/>
        <v>1177969.114595117</v>
      </c>
      <c r="I2037" s="4"/>
      <c r="J2037" s="4" t="s">
        <v>37</v>
      </c>
      <c r="K2037" s="7">
        <v>-163029.12</v>
      </c>
      <c r="L2037" s="4" t="s">
        <v>1029</v>
      </c>
      <c r="M2037" s="4" t="s">
        <v>27</v>
      </c>
      <c r="N2037" s="4"/>
    </row>
    <row r="2038" spans="1:17" ht="10.5" hidden="1" x14ac:dyDescent="0.25">
      <c r="A2038" s="8" t="s">
        <v>57</v>
      </c>
      <c r="B2038" s="4" t="s">
        <v>64</v>
      </c>
      <c r="C2038" s="5">
        <v>44286</v>
      </c>
      <c r="D2038" s="4" t="s">
        <v>3476</v>
      </c>
      <c r="E2038" s="4" t="s">
        <v>66</v>
      </c>
      <c r="F2038" s="4" t="s">
        <v>66</v>
      </c>
      <c r="G2038" s="6">
        <v>923.83000226892648</v>
      </c>
      <c r="H2038" s="6">
        <f t="shared" si="34"/>
        <v>1178892.9445973861</v>
      </c>
      <c r="I2038" s="4" t="s">
        <v>105</v>
      </c>
      <c r="J2038" s="4" t="s">
        <v>68</v>
      </c>
      <c r="K2038" s="7">
        <v>923.83</v>
      </c>
      <c r="L2038" s="4" t="s">
        <v>1029</v>
      </c>
      <c r="M2038" s="4" t="s">
        <v>27</v>
      </c>
      <c r="N2038" s="4"/>
    </row>
    <row r="2039" spans="1:17" ht="10.5" hidden="1" x14ac:dyDescent="0.25">
      <c r="A2039" s="8" t="s">
        <v>57</v>
      </c>
      <c r="B2039" s="4" t="s">
        <v>21</v>
      </c>
      <c r="C2039" s="5">
        <v>44286</v>
      </c>
      <c r="D2039" s="4" t="s">
        <v>3477</v>
      </c>
      <c r="E2039" s="4" t="s">
        <v>3478</v>
      </c>
      <c r="F2039" s="4" t="s">
        <v>3478</v>
      </c>
      <c r="G2039" s="6">
        <v>72815.93017883593</v>
      </c>
      <c r="H2039" s="6">
        <f t="shared" si="34"/>
        <v>1251708.874776222</v>
      </c>
      <c r="I2039" s="4"/>
      <c r="J2039" s="4" t="s">
        <v>37</v>
      </c>
      <c r="K2039" s="7">
        <v>72815.929999999993</v>
      </c>
      <c r="L2039" s="4" t="s">
        <v>1029</v>
      </c>
      <c r="M2039" s="4" t="s">
        <v>27</v>
      </c>
      <c r="N2039" s="4"/>
    </row>
    <row r="2040" spans="1:17" ht="10.5" x14ac:dyDescent="0.25">
      <c r="A2040" s="8" t="s">
        <v>57</v>
      </c>
      <c r="B2040" s="4" t="s">
        <v>21</v>
      </c>
      <c r="C2040" s="5">
        <v>44286</v>
      </c>
      <c r="D2040" s="4" t="s">
        <v>1992</v>
      </c>
      <c r="E2040" s="4" t="s">
        <v>1993</v>
      </c>
      <c r="F2040" s="4" t="s">
        <v>1981</v>
      </c>
      <c r="G2040" s="6">
        <v>1384.6636762000001</v>
      </c>
      <c r="H2040" s="6">
        <f t="shared" si="34"/>
        <v>1253093.538452422</v>
      </c>
      <c r="I2040" s="4"/>
      <c r="J2040" s="4" t="s">
        <v>748</v>
      </c>
      <c r="K2040" s="7">
        <v>1147</v>
      </c>
      <c r="L2040" s="4" t="s">
        <v>1029</v>
      </c>
      <c r="M2040" s="4" t="s">
        <v>38</v>
      </c>
      <c r="N2040" s="4"/>
      <c r="P2040" t="s">
        <v>3826</v>
      </c>
    </row>
    <row r="2041" spans="1:17" ht="10.5" x14ac:dyDescent="0.25">
      <c r="A2041" s="8" t="s">
        <v>57</v>
      </c>
      <c r="B2041" s="4" t="s">
        <v>21</v>
      </c>
      <c r="C2041" s="5">
        <v>44286</v>
      </c>
      <c r="D2041" s="4" t="s">
        <v>1997</v>
      </c>
      <c r="E2041" s="4" t="s">
        <v>1998</v>
      </c>
      <c r="F2041" s="4" t="s">
        <v>1998</v>
      </c>
      <c r="G2041" s="6">
        <v>4168.2846096550338</v>
      </c>
      <c r="H2041" s="6">
        <f t="shared" si="34"/>
        <v>1257261.8230620769</v>
      </c>
      <c r="I2041" s="4"/>
      <c r="J2041" s="4" t="s">
        <v>748</v>
      </c>
      <c r="K2041" s="7">
        <v>3545</v>
      </c>
      <c r="L2041" s="4" t="s">
        <v>1999</v>
      </c>
      <c r="M2041" s="4" t="s">
        <v>38</v>
      </c>
      <c r="N2041" s="4"/>
      <c r="P2041" t="s">
        <v>3826</v>
      </c>
    </row>
    <row r="2042" spans="1:17" ht="10.5" hidden="1" x14ac:dyDescent="0.25">
      <c r="A2042" s="8" t="s">
        <v>57</v>
      </c>
      <c r="B2042" s="4" t="s">
        <v>21</v>
      </c>
      <c r="C2042" s="5">
        <v>44286</v>
      </c>
      <c r="D2042" s="4" t="s">
        <v>3479</v>
      </c>
      <c r="E2042" s="4" t="s">
        <v>3480</v>
      </c>
      <c r="F2042" s="4" t="s">
        <v>3480</v>
      </c>
      <c r="G2042" s="201">
        <v>111817.326075</v>
      </c>
      <c r="H2042" s="6">
        <f t="shared" si="34"/>
        <v>1369079.1491370769</v>
      </c>
      <c r="I2042" s="4"/>
      <c r="J2042" s="4" t="s">
        <v>25</v>
      </c>
      <c r="K2042" s="115">
        <v>92625</v>
      </c>
      <c r="L2042" s="4" t="s">
        <v>1029</v>
      </c>
      <c r="M2042" s="4" t="s">
        <v>61</v>
      </c>
      <c r="N2042" s="4" t="s">
        <v>181</v>
      </c>
      <c r="Q2042" s="4" t="s">
        <v>3653</v>
      </c>
    </row>
    <row r="2043" spans="1:17" ht="10.5" hidden="1" x14ac:dyDescent="0.25">
      <c r="A2043" s="8" t="s">
        <v>57</v>
      </c>
      <c r="B2043" s="4" t="s">
        <v>21</v>
      </c>
      <c r="C2043" s="5">
        <v>44286</v>
      </c>
      <c r="D2043" s="4" t="s">
        <v>2008</v>
      </c>
      <c r="E2043" s="4" t="s">
        <v>2009</v>
      </c>
      <c r="F2043" s="4" t="s">
        <v>2009</v>
      </c>
      <c r="G2043" s="6">
        <v>16405.113758963998</v>
      </c>
      <c r="H2043" s="6">
        <f t="shared" si="34"/>
        <v>1385484.2628960409</v>
      </c>
      <c r="I2043" s="4"/>
      <c r="J2043" s="4" t="s">
        <v>25</v>
      </c>
      <c r="K2043" s="7">
        <v>21627.03</v>
      </c>
      <c r="L2043" s="4" t="s">
        <v>1029</v>
      </c>
      <c r="M2043" s="4" t="s">
        <v>201</v>
      </c>
      <c r="N2043" s="4" t="s">
        <v>198</v>
      </c>
    </row>
    <row r="2044" spans="1:17" ht="10.5" hidden="1" x14ac:dyDescent="0.25">
      <c r="A2044" s="8" t="s">
        <v>57</v>
      </c>
      <c r="B2044" s="4" t="s">
        <v>21</v>
      </c>
      <c r="C2044" s="5">
        <v>44286</v>
      </c>
      <c r="D2044" s="4" t="s">
        <v>2010</v>
      </c>
      <c r="E2044" s="4" t="s">
        <v>1104</v>
      </c>
      <c r="F2044" s="4" t="s">
        <v>2011</v>
      </c>
      <c r="G2044" s="6">
        <v>-25812.947888013918</v>
      </c>
      <c r="H2044" s="6">
        <f t="shared" si="34"/>
        <v>1359671.315008027</v>
      </c>
      <c r="I2044" s="4"/>
      <c r="J2044" s="4" t="s">
        <v>25</v>
      </c>
      <c r="K2044" s="7">
        <v>-1898971</v>
      </c>
      <c r="L2044" s="4" t="s">
        <v>1029</v>
      </c>
      <c r="M2044" s="4" t="s">
        <v>204</v>
      </c>
      <c r="N2044" s="4" t="s">
        <v>198</v>
      </c>
    </row>
    <row r="2045" spans="1:17" ht="10.5" x14ac:dyDescent="0.25">
      <c r="A2045" s="8" t="s">
        <v>57</v>
      </c>
      <c r="B2045" s="4" t="s">
        <v>21</v>
      </c>
      <c r="C2045" s="5">
        <v>44287</v>
      </c>
      <c r="D2045" s="4" t="s">
        <v>2016</v>
      </c>
      <c r="E2045" s="4" t="s">
        <v>1993</v>
      </c>
      <c r="F2045" s="4" t="s">
        <v>1981</v>
      </c>
      <c r="G2045" s="6">
        <v>-1348.6664167205427</v>
      </c>
      <c r="H2045" s="6">
        <f t="shared" si="34"/>
        <v>1358322.6485913065</v>
      </c>
      <c r="I2045" s="4"/>
      <c r="J2045" s="4" t="s">
        <v>748</v>
      </c>
      <c r="K2045" s="7">
        <v>-1147</v>
      </c>
      <c r="L2045" s="4" t="s">
        <v>1999</v>
      </c>
      <c r="M2045" s="4" t="s">
        <v>38</v>
      </c>
      <c r="N2045" s="4"/>
      <c r="P2045" t="s">
        <v>3826</v>
      </c>
    </row>
    <row r="2046" spans="1:17" ht="10.5" hidden="1" x14ac:dyDescent="0.25">
      <c r="A2046" s="8" t="s">
        <v>57</v>
      </c>
      <c r="B2046" s="4" t="s">
        <v>64</v>
      </c>
      <c r="C2046" s="5">
        <v>44291</v>
      </c>
      <c r="D2046" s="4" t="s">
        <v>3481</v>
      </c>
      <c r="E2046" s="4" t="s">
        <v>66</v>
      </c>
      <c r="F2046" s="4" t="s">
        <v>66</v>
      </c>
      <c r="G2046" s="6">
        <v>1389.3824638039828</v>
      </c>
      <c r="H2046" s="6">
        <f t="shared" si="34"/>
        <v>1359712.0310551105</v>
      </c>
      <c r="I2046" s="4" t="s">
        <v>97</v>
      </c>
      <c r="J2046" s="4" t="s">
        <v>68</v>
      </c>
      <c r="K2046" s="7">
        <v>1408.84</v>
      </c>
      <c r="L2046" s="4" t="s">
        <v>1999</v>
      </c>
      <c r="M2046" s="4" t="s">
        <v>27</v>
      </c>
      <c r="N2046" s="4"/>
    </row>
    <row r="2047" spans="1:17" ht="10.5" hidden="1" x14ac:dyDescent="0.25">
      <c r="A2047" s="8" t="s">
        <v>57</v>
      </c>
      <c r="B2047" s="4" t="s">
        <v>64</v>
      </c>
      <c r="C2047" s="5">
        <v>44313</v>
      </c>
      <c r="D2047" s="4" t="s">
        <v>3482</v>
      </c>
      <c r="E2047" s="4" t="s">
        <v>66</v>
      </c>
      <c r="F2047" s="4" t="s">
        <v>66</v>
      </c>
      <c r="G2047" s="6">
        <v>6930.9360577598527</v>
      </c>
      <c r="H2047" s="6">
        <f t="shared" si="34"/>
        <v>1366642.9671128704</v>
      </c>
      <c r="I2047" s="4" t="s">
        <v>67</v>
      </c>
      <c r="J2047" s="4" t="s">
        <v>68</v>
      </c>
      <c r="K2047" s="7">
        <v>7028</v>
      </c>
      <c r="L2047" s="4" t="s">
        <v>1999</v>
      </c>
      <c r="M2047" s="4" t="s">
        <v>27</v>
      </c>
      <c r="N2047" s="4"/>
    </row>
    <row r="2048" spans="1:17" ht="10.5" hidden="1" x14ac:dyDescent="0.25">
      <c r="A2048" s="8" t="s">
        <v>57</v>
      </c>
      <c r="B2048" s="4" t="s">
        <v>64</v>
      </c>
      <c r="C2048" s="5">
        <v>44314</v>
      </c>
      <c r="D2048" s="4" t="s">
        <v>3483</v>
      </c>
      <c r="E2048" s="4" t="s">
        <v>66</v>
      </c>
      <c r="F2048" s="4" t="s">
        <v>66</v>
      </c>
      <c r="G2048" s="6">
        <v>11858.922324212041</v>
      </c>
      <c r="H2048" s="6">
        <f t="shared" si="34"/>
        <v>1378501.8894370825</v>
      </c>
      <c r="I2048" s="4" t="s">
        <v>73</v>
      </c>
      <c r="J2048" s="4" t="s">
        <v>68</v>
      </c>
      <c r="K2048" s="7">
        <v>12025</v>
      </c>
      <c r="L2048" s="4" t="s">
        <v>1999</v>
      </c>
      <c r="M2048" s="4" t="s">
        <v>27</v>
      </c>
      <c r="N2048" s="4"/>
    </row>
    <row r="2049" spans="1:16" ht="10.5" hidden="1" x14ac:dyDescent="0.25">
      <c r="A2049" s="8" t="s">
        <v>57</v>
      </c>
      <c r="B2049" s="4" t="s">
        <v>64</v>
      </c>
      <c r="C2049" s="5">
        <v>44314</v>
      </c>
      <c r="D2049" s="4" t="s">
        <v>3484</v>
      </c>
      <c r="E2049" s="4" t="s">
        <v>66</v>
      </c>
      <c r="F2049" s="4" t="s">
        <v>66</v>
      </c>
      <c r="G2049" s="6">
        <v>5936.8575793560485</v>
      </c>
      <c r="H2049" s="6">
        <f t="shared" si="34"/>
        <v>1384438.7470164385</v>
      </c>
      <c r="I2049" s="4" t="s">
        <v>73</v>
      </c>
      <c r="J2049" s="4" t="s">
        <v>68</v>
      </c>
      <c r="K2049" s="7">
        <v>6020</v>
      </c>
      <c r="L2049" s="4" t="s">
        <v>1999</v>
      </c>
      <c r="M2049" s="4" t="s">
        <v>27</v>
      </c>
      <c r="N2049" s="4"/>
    </row>
    <row r="2050" spans="1:16" ht="10.5" hidden="1" x14ac:dyDescent="0.25">
      <c r="A2050" s="8" t="s">
        <v>57</v>
      </c>
      <c r="B2050" s="4" t="s">
        <v>64</v>
      </c>
      <c r="C2050" s="5">
        <v>44315</v>
      </c>
      <c r="D2050" s="4" t="s">
        <v>3485</v>
      </c>
      <c r="E2050" s="4" t="s">
        <v>66</v>
      </c>
      <c r="F2050" s="4" t="s">
        <v>66</v>
      </c>
      <c r="G2050" s="6">
        <v>261.71482797500136</v>
      </c>
      <c r="H2050" s="6">
        <f t="shared" si="34"/>
        <v>1384700.4618444135</v>
      </c>
      <c r="I2050" s="4" t="s">
        <v>121</v>
      </c>
      <c r="J2050" s="4" t="s">
        <v>68</v>
      </c>
      <c r="K2050" s="7">
        <v>265.38</v>
      </c>
      <c r="L2050" s="4" t="s">
        <v>1999</v>
      </c>
      <c r="M2050" s="4" t="s">
        <v>27</v>
      </c>
      <c r="N2050" s="4"/>
    </row>
    <row r="2051" spans="1:16" ht="10.5" hidden="1" x14ac:dyDescent="0.25">
      <c r="A2051" s="8" t="s">
        <v>57</v>
      </c>
      <c r="B2051" s="4" t="s">
        <v>64</v>
      </c>
      <c r="C2051" s="5">
        <v>44315</v>
      </c>
      <c r="D2051" s="4" t="s">
        <v>3486</v>
      </c>
      <c r="E2051" s="4" t="s">
        <v>66</v>
      </c>
      <c r="F2051" s="4" t="s">
        <v>66</v>
      </c>
      <c r="G2051" s="6">
        <v>656.66378534717921</v>
      </c>
      <c r="H2051" s="6">
        <f t="shared" si="34"/>
        <v>1385357.1256297608</v>
      </c>
      <c r="I2051" s="4" t="s">
        <v>82</v>
      </c>
      <c r="J2051" s="4" t="s">
        <v>68</v>
      </c>
      <c r="K2051" s="7">
        <v>665.86</v>
      </c>
      <c r="L2051" s="4" t="s">
        <v>1999</v>
      </c>
      <c r="M2051" s="4" t="s">
        <v>27</v>
      </c>
      <c r="N2051" s="4"/>
    </row>
    <row r="2052" spans="1:16" ht="10.5" hidden="1" x14ac:dyDescent="0.25">
      <c r="A2052" s="8" t="s">
        <v>57</v>
      </c>
      <c r="B2052" s="4" t="s">
        <v>21</v>
      </c>
      <c r="C2052" s="5">
        <v>44316</v>
      </c>
      <c r="D2052" s="4" t="s">
        <v>3487</v>
      </c>
      <c r="E2052" s="4" t="s">
        <v>3478</v>
      </c>
      <c r="F2052" s="4" t="s">
        <v>3478</v>
      </c>
      <c r="G2052" s="6">
        <v>-71810.266763847088</v>
      </c>
      <c r="H2052" s="6">
        <f t="shared" si="34"/>
        <v>1313546.8588659137</v>
      </c>
      <c r="I2052" s="4"/>
      <c r="J2052" s="4" t="s">
        <v>37</v>
      </c>
      <c r="K2052" s="7">
        <v>-72815.929999999993</v>
      </c>
      <c r="L2052" s="4" t="s">
        <v>1999</v>
      </c>
      <c r="M2052" s="4" t="s">
        <v>27</v>
      </c>
      <c r="N2052" s="4"/>
    </row>
    <row r="2053" spans="1:16" ht="10.5" hidden="1" x14ac:dyDescent="0.25">
      <c r="A2053" s="8" t="s">
        <v>57</v>
      </c>
      <c r="B2053" s="4" t="s">
        <v>21</v>
      </c>
      <c r="C2053" s="5">
        <v>44316</v>
      </c>
      <c r="D2053" s="4" t="s">
        <v>3488</v>
      </c>
      <c r="E2053" s="4" t="s">
        <v>3489</v>
      </c>
      <c r="F2053" s="4" t="s">
        <v>3489</v>
      </c>
      <c r="G2053" s="6">
        <v>81404.554054445471</v>
      </c>
      <c r="H2053" s="6">
        <f t="shared" si="34"/>
        <v>1394951.4129203591</v>
      </c>
      <c r="I2053" s="4"/>
      <c r="J2053" s="4" t="s">
        <v>37</v>
      </c>
      <c r="K2053" s="7">
        <v>82544.58</v>
      </c>
      <c r="L2053" s="4" t="s">
        <v>1999</v>
      </c>
      <c r="M2053" s="4" t="s">
        <v>27</v>
      </c>
      <c r="N2053" s="4"/>
    </row>
    <row r="2054" spans="1:16" ht="10.5" x14ac:dyDescent="0.25">
      <c r="A2054" s="8" t="s">
        <v>57</v>
      </c>
      <c r="B2054" s="4" t="s">
        <v>21</v>
      </c>
      <c r="C2054" s="5">
        <v>44316</v>
      </c>
      <c r="D2054" s="4" t="s">
        <v>2030</v>
      </c>
      <c r="E2054" s="4" t="s">
        <v>2031</v>
      </c>
      <c r="F2054" s="4" t="s">
        <v>2032</v>
      </c>
      <c r="G2054" s="6">
        <v>2135.1784055622634</v>
      </c>
      <c r="H2054" s="6">
        <f t="shared" si="34"/>
        <v>1397086.5913259212</v>
      </c>
      <c r="I2054" s="4"/>
      <c r="J2054" s="4" t="s">
        <v>748</v>
      </c>
      <c r="K2054" s="7">
        <v>1764</v>
      </c>
      <c r="L2054" s="4" t="s">
        <v>2033</v>
      </c>
      <c r="M2054" s="4" t="s">
        <v>38</v>
      </c>
      <c r="N2054" s="4"/>
      <c r="P2054" t="s">
        <v>3826</v>
      </c>
    </row>
    <row r="2055" spans="1:16" ht="10.5" hidden="1" x14ac:dyDescent="0.25">
      <c r="A2055" s="8" t="s">
        <v>57</v>
      </c>
      <c r="B2055" s="4" t="s">
        <v>21</v>
      </c>
      <c r="C2055" s="5">
        <v>44316</v>
      </c>
      <c r="D2055" s="4" t="s">
        <v>3490</v>
      </c>
      <c r="E2055" s="4" t="s">
        <v>3195</v>
      </c>
      <c r="F2055" s="4" t="s">
        <v>3195</v>
      </c>
      <c r="G2055" s="6">
        <v>623.28128882538476</v>
      </c>
      <c r="H2055" s="6">
        <f t="shared" si="34"/>
        <v>1397709.8726147467</v>
      </c>
      <c r="I2055" s="4"/>
      <c r="J2055" s="4" t="s">
        <v>1176</v>
      </c>
      <c r="K2055" s="7">
        <v>632.01</v>
      </c>
      <c r="L2055" s="4" t="s">
        <v>1999</v>
      </c>
      <c r="M2055" s="4" t="s">
        <v>27</v>
      </c>
      <c r="N2055" s="4" t="s">
        <v>28</v>
      </c>
    </row>
    <row r="2056" spans="1:16" ht="10.5" hidden="1" x14ac:dyDescent="0.25">
      <c r="A2056" s="8" t="s">
        <v>57</v>
      </c>
      <c r="B2056" s="4" t="s">
        <v>21</v>
      </c>
      <c r="C2056" s="5">
        <v>44316</v>
      </c>
      <c r="D2056" s="4" t="s">
        <v>3490</v>
      </c>
      <c r="E2056" s="4" t="s">
        <v>3195</v>
      </c>
      <c r="F2056" s="4" t="s">
        <v>3195</v>
      </c>
      <c r="G2056" s="6">
        <v>-623.28128882538476</v>
      </c>
      <c r="H2056" s="6">
        <f t="shared" si="34"/>
        <v>1397086.5913259212</v>
      </c>
      <c r="I2056" s="4"/>
      <c r="J2056" s="4" t="s">
        <v>37</v>
      </c>
      <c r="K2056" s="7">
        <v>-632.01</v>
      </c>
      <c r="L2056" s="4" t="s">
        <v>1999</v>
      </c>
      <c r="M2056" s="4" t="s">
        <v>27</v>
      </c>
      <c r="N2056" s="4" t="s">
        <v>28</v>
      </c>
    </row>
    <row r="2057" spans="1:16" ht="10.5" hidden="1" x14ac:dyDescent="0.25">
      <c r="A2057" s="8" t="s">
        <v>57</v>
      </c>
      <c r="B2057" s="4" t="s">
        <v>64</v>
      </c>
      <c r="C2057" s="5">
        <v>44327</v>
      </c>
      <c r="D2057" s="4" t="s">
        <v>3491</v>
      </c>
      <c r="E2057" s="4" t="s">
        <v>66</v>
      </c>
      <c r="F2057" s="4" t="s">
        <v>66</v>
      </c>
      <c r="G2057" s="6">
        <v>8224.9755564887164</v>
      </c>
      <c r="H2057" s="6">
        <f t="shared" si="34"/>
        <v>1405311.5668824099</v>
      </c>
      <c r="I2057" s="4" t="s">
        <v>121</v>
      </c>
      <c r="J2057" s="4" t="s">
        <v>68</v>
      </c>
      <c r="K2057" s="7">
        <v>8239.86</v>
      </c>
      <c r="L2057" s="4" t="s">
        <v>2033</v>
      </c>
      <c r="M2057" s="4" t="s">
        <v>27</v>
      </c>
      <c r="N2057" s="4"/>
    </row>
    <row r="2058" spans="1:16" ht="10.5" hidden="1" x14ac:dyDescent="0.25">
      <c r="A2058" s="8" t="s">
        <v>57</v>
      </c>
      <c r="B2058" s="4" t="s">
        <v>64</v>
      </c>
      <c r="C2058" s="5">
        <v>44328</v>
      </c>
      <c r="D2058" s="4" t="s">
        <v>3492</v>
      </c>
      <c r="E2058" s="4" t="s">
        <v>66</v>
      </c>
      <c r="F2058" s="4" t="s">
        <v>66</v>
      </c>
      <c r="G2058" s="6">
        <v>408.02161790010121</v>
      </c>
      <c r="H2058" s="6">
        <f t="shared" si="34"/>
        <v>1405719.58850031</v>
      </c>
      <c r="I2058" s="4" t="s">
        <v>82</v>
      </c>
      <c r="J2058" s="4" t="s">
        <v>68</v>
      </c>
      <c r="K2058" s="7">
        <v>408.76</v>
      </c>
      <c r="L2058" s="4" t="s">
        <v>2033</v>
      </c>
      <c r="M2058" s="4" t="s">
        <v>27</v>
      </c>
      <c r="N2058" s="4"/>
    </row>
    <row r="2059" spans="1:16" ht="10.5" hidden="1" x14ac:dyDescent="0.25">
      <c r="A2059" s="8" t="s">
        <v>57</v>
      </c>
      <c r="B2059" s="4" t="s">
        <v>64</v>
      </c>
      <c r="C2059" s="5">
        <v>44334</v>
      </c>
      <c r="D2059" s="4" t="s">
        <v>3493</v>
      </c>
      <c r="E2059" s="4" t="s">
        <v>3494</v>
      </c>
      <c r="F2059" s="4" t="s">
        <v>3494</v>
      </c>
      <c r="G2059" s="6">
        <v>1171.2005203898295</v>
      </c>
      <c r="H2059" s="6">
        <f t="shared" si="34"/>
        <v>1406890.7890206997</v>
      </c>
      <c r="I2059" s="4" t="s">
        <v>121</v>
      </c>
      <c r="J2059" s="4" t="s">
        <v>68</v>
      </c>
      <c r="K2059" s="7">
        <v>1173.32</v>
      </c>
      <c r="L2059" s="4" t="s">
        <v>2033</v>
      </c>
      <c r="M2059" s="4" t="s">
        <v>27</v>
      </c>
      <c r="N2059" s="4"/>
    </row>
    <row r="2060" spans="1:16" ht="10.5" hidden="1" x14ac:dyDescent="0.25">
      <c r="A2060" s="8" t="s">
        <v>57</v>
      </c>
      <c r="B2060" s="4" t="s">
        <v>64</v>
      </c>
      <c r="C2060" s="5">
        <v>44343</v>
      </c>
      <c r="D2060" s="4" t="s">
        <v>3495</v>
      </c>
      <c r="E2060" s="4" t="s">
        <v>66</v>
      </c>
      <c r="F2060" s="4" t="s">
        <v>66</v>
      </c>
      <c r="G2060" s="6">
        <v>8011.6116734616435</v>
      </c>
      <c r="H2060" s="6">
        <f t="shared" si="34"/>
        <v>1414902.4006941614</v>
      </c>
      <c r="I2060" s="4" t="s">
        <v>70</v>
      </c>
      <c r="J2060" s="4" t="s">
        <v>68</v>
      </c>
      <c r="K2060" s="7">
        <v>8026.11</v>
      </c>
      <c r="L2060" s="4" t="s">
        <v>2033</v>
      </c>
      <c r="M2060" s="4" t="s">
        <v>27</v>
      </c>
      <c r="N2060" s="4"/>
    </row>
    <row r="2061" spans="1:16" ht="10.5" hidden="1" x14ac:dyDescent="0.25">
      <c r="A2061" s="8" t="s">
        <v>57</v>
      </c>
      <c r="B2061" s="4" t="s">
        <v>21</v>
      </c>
      <c r="C2061" s="5">
        <v>44347</v>
      </c>
      <c r="D2061" s="4" t="s">
        <v>3496</v>
      </c>
      <c r="E2061" s="4" t="s">
        <v>3489</v>
      </c>
      <c r="F2061" s="4" t="s">
        <v>3489</v>
      </c>
      <c r="G2061" s="6">
        <v>-82395.471867316606</v>
      </c>
      <c r="H2061" s="6">
        <f t="shared" si="34"/>
        <v>1332506.9288268448</v>
      </c>
      <c r="I2061" s="4"/>
      <c r="J2061" s="4" t="s">
        <v>37</v>
      </c>
      <c r="K2061" s="7">
        <v>-82544.58</v>
      </c>
      <c r="L2061" s="4" t="s">
        <v>2033</v>
      </c>
      <c r="M2061" s="4" t="s">
        <v>27</v>
      </c>
      <c r="N2061" s="4"/>
    </row>
    <row r="2062" spans="1:16" ht="10.5" hidden="1" x14ac:dyDescent="0.25">
      <c r="A2062" s="8" t="s">
        <v>57</v>
      </c>
      <c r="B2062" s="4" t="s">
        <v>21</v>
      </c>
      <c r="C2062" s="5">
        <v>44347</v>
      </c>
      <c r="D2062" s="4" t="s">
        <v>3497</v>
      </c>
      <c r="E2062" s="4" t="s">
        <v>3498</v>
      </c>
      <c r="F2062" s="4" t="s">
        <v>3498</v>
      </c>
      <c r="G2062" s="6">
        <v>122430.40208880149</v>
      </c>
      <c r="H2062" s="6">
        <f t="shared" si="34"/>
        <v>1454937.3309156462</v>
      </c>
      <c r="I2062" s="4"/>
      <c r="J2062" s="4" t="s">
        <v>37</v>
      </c>
      <c r="K2062" s="7">
        <v>122651.96</v>
      </c>
      <c r="L2062" s="4" t="s">
        <v>2033</v>
      </c>
      <c r="M2062" s="4" t="s">
        <v>27</v>
      </c>
      <c r="N2062" s="4"/>
    </row>
    <row r="2063" spans="1:16" ht="10.5" x14ac:dyDescent="0.25">
      <c r="A2063" s="8" t="s">
        <v>57</v>
      </c>
      <c r="B2063" s="4" t="s">
        <v>21</v>
      </c>
      <c r="C2063" s="5">
        <v>44347</v>
      </c>
      <c r="D2063" s="4" t="s">
        <v>2046</v>
      </c>
      <c r="E2063" s="4" t="s">
        <v>2047</v>
      </c>
      <c r="F2063" s="4" t="s">
        <v>2048</v>
      </c>
      <c r="G2063" s="6">
        <v>3130.1424925079441</v>
      </c>
      <c r="H2063" s="6">
        <f t="shared" si="34"/>
        <v>1458067.4734081542</v>
      </c>
      <c r="I2063" s="4"/>
      <c r="J2063" s="4" t="s">
        <v>748</v>
      </c>
      <c r="K2063" s="7">
        <v>2586</v>
      </c>
      <c r="L2063" s="4" t="s">
        <v>2033</v>
      </c>
      <c r="M2063" s="4" t="s">
        <v>38</v>
      </c>
      <c r="N2063" s="4"/>
      <c r="P2063" t="s">
        <v>3826</v>
      </c>
    </row>
    <row r="2064" spans="1:16" ht="10.5" hidden="1" x14ac:dyDescent="0.25">
      <c r="A2064" s="8" t="s">
        <v>57</v>
      </c>
      <c r="B2064" s="4" t="s">
        <v>64</v>
      </c>
      <c r="C2064" s="5">
        <v>44348</v>
      </c>
      <c r="D2064" s="4" t="s">
        <v>3499</v>
      </c>
      <c r="E2064" s="4" t="s">
        <v>66</v>
      </c>
      <c r="F2064" s="4" t="s">
        <v>66</v>
      </c>
      <c r="G2064" s="6">
        <v>12085.352810811955</v>
      </c>
      <c r="H2064" s="6">
        <f t="shared" si="34"/>
        <v>1470152.8262189662</v>
      </c>
      <c r="I2064" s="4" t="s">
        <v>73</v>
      </c>
      <c r="J2064" s="4" t="s">
        <v>68</v>
      </c>
      <c r="K2064" s="7">
        <v>12025</v>
      </c>
      <c r="L2064" s="4" t="s">
        <v>1031</v>
      </c>
      <c r="M2064" s="4" t="s">
        <v>27</v>
      </c>
      <c r="N2064" s="4"/>
    </row>
    <row r="2065" spans="1:17" ht="10.5" hidden="1" x14ac:dyDescent="0.25">
      <c r="A2065" s="8" t="s">
        <v>57</v>
      </c>
      <c r="B2065" s="4" t="s">
        <v>64</v>
      </c>
      <c r="C2065" s="5">
        <v>44348</v>
      </c>
      <c r="D2065" s="4" t="s">
        <v>3500</v>
      </c>
      <c r="E2065" s="4" t="s">
        <v>66</v>
      </c>
      <c r="F2065" s="4" t="s">
        <v>66</v>
      </c>
      <c r="G2065" s="6">
        <v>5083.4260233845571</v>
      </c>
      <c r="H2065" s="6">
        <f t="shared" si="34"/>
        <v>1475236.2522423507</v>
      </c>
      <c r="I2065" s="4" t="s">
        <v>121</v>
      </c>
      <c r="J2065" s="4" t="s">
        <v>68</v>
      </c>
      <c r="K2065" s="7">
        <v>5058.04</v>
      </c>
      <c r="L2065" s="4" t="s">
        <v>1031</v>
      </c>
      <c r="M2065" s="4" t="s">
        <v>27</v>
      </c>
      <c r="N2065" s="4"/>
    </row>
    <row r="2066" spans="1:17" ht="10.5" hidden="1" x14ac:dyDescent="0.25">
      <c r="A2066" s="8" t="s">
        <v>57</v>
      </c>
      <c r="B2066" s="4" t="s">
        <v>64</v>
      </c>
      <c r="C2066" s="5">
        <v>44350</v>
      </c>
      <c r="D2066" s="4" t="s">
        <v>3501</v>
      </c>
      <c r="E2066" s="4" t="s">
        <v>66</v>
      </c>
      <c r="F2066" s="4" t="s">
        <v>66</v>
      </c>
      <c r="G2066" s="6">
        <v>3273.1054985563364</v>
      </c>
      <c r="H2066" s="6">
        <f t="shared" si="34"/>
        <v>1478509.357740907</v>
      </c>
      <c r="I2066" s="4" t="s">
        <v>121</v>
      </c>
      <c r="J2066" s="4" t="s">
        <v>68</v>
      </c>
      <c r="K2066" s="7">
        <v>3256.76</v>
      </c>
      <c r="L2066" s="4" t="s">
        <v>1031</v>
      </c>
      <c r="M2066" s="4" t="s">
        <v>27</v>
      </c>
      <c r="N2066" s="4"/>
    </row>
    <row r="2067" spans="1:17" ht="10.5" hidden="1" x14ac:dyDescent="0.25">
      <c r="A2067" s="8" t="s">
        <v>57</v>
      </c>
      <c r="B2067" s="4" t="s">
        <v>64</v>
      </c>
      <c r="C2067" s="5">
        <v>44361</v>
      </c>
      <c r="D2067" s="4" t="s">
        <v>3502</v>
      </c>
      <c r="E2067" s="4" t="s">
        <v>66</v>
      </c>
      <c r="F2067" s="4" t="s">
        <v>66</v>
      </c>
      <c r="G2067" s="6">
        <v>3768.8210428727511</v>
      </c>
      <c r="H2067" s="6">
        <f t="shared" si="34"/>
        <v>1482278.1787837797</v>
      </c>
      <c r="I2067" s="4" t="s">
        <v>73</v>
      </c>
      <c r="J2067" s="4" t="s">
        <v>68</v>
      </c>
      <c r="K2067" s="7">
        <v>3750</v>
      </c>
      <c r="L2067" s="4" t="s">
        <v>1031</v>
      </c>
      <c r="M2067" s="4" t="s">
        <v>27</v>
      </c>
      <c r="N2067" s="4"/>
    </row>
    <row r="2068" spans="1:17" ht="10.5" hidden="1" x14ac:dyDescent="0.25">
      <c r="A2068" s="8" t="s">
        <v>57</v>
      </c>
      <c r="B2068" s="4" t="s">
        <v>64</v>
      </c>
      <c r="C2068" s="5">
        <v>44364</v>
      </c>
      <c r="D2068" s="4" t="s">
        <v>3503</v>
      </c>
      <c r="E2068" s="4" t="s">
        <v>66</v>
      </c>
      <c r="F2068" s="4" t="s">
        <v>66</v>
      </c>
      <c r="G2068" s="6">
        <v>30693.278573155687</v>
      </c>
      <c r="H2068" s="6">
        <f t="shared" ref="H2068:H2131" si="35">H2067+G2068</f>
        <v>1512971.4573569354</v>
      </c>
      <c r="I2068" s="4" t="s">
        <v>73</v>
      </c>
      <c r="J2068" s="4" t="s">
        <v>68</v>
      </c>
      <c r="K2068" s="7">
        <v>30540</v>
      </c>
      <c r="L2068" s="4" t="s">
        <v>1031</v>
      </c>
      <c r="M2068" s="4" t="s">
        <v>27</v>
      </c>
      <c r="N2068" s="4"/>
    </row>
    <row r="2069" spans="1:17" ht="10.5" hidden="1" x14ac:dyDescent="0.25">
      <c r="A2069" s="8" t="s">
        <v>57</v>
      </c>
      <c r="B2069" s="4" t="s">
        <v>64</v>
      </c>
      <c r="C2069" s="5">
        <v>44372</v>
      </c>
      <c r="D2069" s="4" t="s">
        <v>3504</v>
      </c>
      <c r="E2069" s="4" t="s">
        <v>66</v>
      </c>
      <c r="F2069" s="4" t="s">
        <v>66</v>
      </c>
      <c r="G2069" s="6">
        <v>2540.6878923686172</v>
      </c>
      <c r="H2069" s="6">
        <f t="shared" si="35"/>
        <v>1515512.1452493039</v>
      </c>
      <c r="I2069" s="4" t="s">
        <v>67</v>
      </c>
      <c r="J2069" s="4" t="s">
        <v>68</v>
      </c>
      <c r="K2069" s="7">
        <v>2528</v>
      </c>
      <c r="L2069" s="4" t="s">
        <v>1031</v>
      </c>
      <c r="M2069" s="4" t="s">
        <v>27</v>
      </c>
      <c r="N2069" s="4"/>
    </row>
    <row r="2070" spans="1:17" ht="10.5" hidden="1" x14ac:dyDescent="0.25">
      <c r="A2070" s="8" t="s">
        <v>57</v>
      </c>
      <c r="B2070" s="4" t="s">
        <v>21</v>
      </c>
      <c r="C2070" s="5">
        <v>44377</v>
      </c>
      <c r="D2070" s="4" t="s">
        <v>3505</v>
      </c>
      <c r="E2070" s="4" t="s">
        <v>3498</v>
      </c>
      <c r="F2070" s="4" t="s">
        <v>3498</v>
      </c>
      <c r="G2070" s="6">
        <v>-123267.54341268986</v>
      </c>
      <c r="H2070" s="6">
        <f t="shared" si="35"/>
        <v>1392244.6018366141</v>
      </c>
      <c r="I2070" s="4"/>
      <c r="J2070" s="4" t="s">
        <v>37</v>
      </c>
      <c r="K2070" s="7">
        <v>-122651.96</v>
      </c>
      <c r="L2070" s="4" t="s">
        <v>1031</v>
      </c>
      <c r="M2070" s="4" t="s">
        <v>27</v>
      </c>
      <c r="N2070" s="4"/>
    </row>
    <row r="2071" spans="1:17" ht="10.5" hidden="1" x14ac:dyDescent="0.25">
      <c r="A2071" s="8" t="s">
        <v>57</v>
      </c>
      <c r="B2071" s="4" t="s">
        <v>64</v>
      </c>
      <c r="C2071" s="5">
        <v>44377</v>
      </c>
      <c r="D2071" s="4" t="s">
        <v>3506</v>
      </c>
      <c r="E2071" s="4" t="s">
        <v>66</v>
      </c>
      <c r="F2071" s="4" t="s">
        <v>66</v>
      </c>
      <c r="G2071" s="6">
        <v>1086.9279887645014</v>
      </c>
      <c r="H2071" s="6">
        <f t="shared" si="35"/>
        <v>1393331.5298253787</v>
      </c>
      <c r="I2071" s="4" t="s">
        <v>94</v>
      </c>
      <c r="J2071" s="4" t="s">
        <v>68</v>
      </c>
      <c r="K2071" s="7">
        <v>1081.5</v>
      </c>
      <c r="L2071" s="4" t="s">
        <v>1031</v>
      </c>
      <c r="M2071" s="4" t="s">
        <v>27</v>
      </c>
      <c r="N2071" s="4"/>
    </row>
    <row r="2072" spans="1:17" ht="10.5" hidden="1" x14ac:dyDescent="0.25">
      <c r="A2072" s="8" t="s">
        <v>57</v>
      </c>
      <c r="B2072" s="4" t="s">
        <v>64</v>
      </c>
      <c r="C2072" s="5">
        <v>44377</v>
      </c>
      <c r="D2072" s="4" t="s">
        <v>3507</v>
      </c>
      <c r="E2072" s="4" t="s">
        <v>66</v>
      </c>
      <c r="F2072" s="4" t="s">
        <v>66</v>
      </c>
      <c r="G2072" s="6">
        <v>546.36849913262472</v>
      </c>
      <c r="H2072" s="6">
        <f t="shared" si="35"/>
        <v>1393877.8983245112</v>
      </c>
      <c r="I2072" s="4" t="s">
        <v>94</v>
      </c>
      <c r="J2072" s="4" t="s">
        <v>68</v>
      </c>
      <c r="K2072" s="7">
        <v>543.64</v>
      </c>
      <c r="L2072" s="4" t="s">
        <v>1031</v>
      </c>
      <c r="M2072" s="4" t="s">
        <v>27</v>
      </c>
      <c r="N2072" s="4"/>
    </row>
    <row r="2073" spans="1:17" ht="10.5" x14ac:dyDescent="0.25">
      <c r="A2073" s="8" t="s">
        <v>57</v>
      </c>
      <c r="B2073" s="4" t="s">
        <v>21</v>
      </c>
      <c r="C2073" s="5">
        <v>44377</v>
      </c>
      <c r="D2073" s="4" t="s">
        <v>2066</v>
      </c>
      <c r="E2073" s="4" t="s">
        <v>2067</v>
      </c>
      <c r="F2073" s="4" t="s">
        <v>2068</v>
      </c>
      <c r="G2073" s="6">
        <v>2452.7141842807337</v>
      </c>
      <c r="H2073" s="6">
        <f t="shared" si="35"/>
        <v>1396330.612508792</v>
      </c>
      <c r="I2073" s="4"/>
      <c r="J2073" s="4" t="s">
        <v>748</v>
      </c>
      <c r="K2073" s="7">
        <v>2034</v>
      </c>
      <c r="L2073" s="4" t="s">
        <v>1031</v>
      </c>
      <c r="M2073" s="4" t="s">
        <v>38</v>
      </c>
      <c r="N2073" s="4" t="s">
        <v>39</v>
      </c>
      <c r="P2073" t="s">
        <v>3826</v>
      </c>
    </row>
    <row r="2074" spans="1:17" ht="10.5" hidden="1" x14ac:dyDescent="0.25">
      <c r="A2074" s="8" t="s">
        <v>57</v>
      </c>
      <c r="B2074" s="4" t="s">
        <v>21</v>
      </c>
      <c r="C2074" s="5">
        <v>44377</v>
      </c>
      <c r="D2074" s="4" t="s">
        <v>3508</v>
      </c>
      <c r="E2074" s="4" t="s">
        <v>3509</v>
      </c>
      <c r="F2074" s="4" t="s">
        <v>3509</v>
      </c>
      <c r="G2074" s="6">
        <v>86398.905833040175</v>
      </c>
      <c r="H2074" s="6">
        <f t="shared" si="35"/>
        <v>1482729.5183418321</v>
      </c>
      <c r="I2074" s="4"/>
      <c r="J2074" s="4" t="s">
        <v>37</v>
      </c>
      <c r="K2074" s="7">
        <v>85967.44</v>
      </c>
      <c r="L2074" s="4" t="s">
        <v>1031</v>
      </c>
      <c r="M2074" s="4" t="s">
        <v>27</v>
      </c>
      <c r="N2074" s="4" t="s">
        <v>80</v>
      </c>
    </row>
    <row r="2075" spans="1:17" ht="10.5" x14ac:dyDescent="0.25">
      <c r="A2075" s="8" t="s">
        <v>57</v>
      </c>
      <c r="B2075" s="4" t="s">
        <v>21</v>
      </c>
      <c r="C2075" s="5">
        <v>44377</v>
      </c>
      <c r="D2075" s="4" t="s">
        <v>2070</v>
      </c>
      <c r="E2075" s="4" t="s">
        <v>2071</v>
      </c>
      <c r="F2075" s="4" t="s">
        <v>2068</v>
      </c>
      <c r="G2075" s="6">
        <v>-2452.7141842807337</v>
      </c>
      <c r="H2075" s="6">
        <f t="shared" si="35"/>
        <v>1480276.8041575514</v>
      </c>
      <c r="I2075" s="4"/>
      <c r="J2075" s="4" t="s">
        <v>748</v>
      </c>
      <c r="K2075" s="7">
        <v>-2034</v>
      </c>
      <c r="L2075" s="4" t="s">
        <v>1031</v>
      </c>
      <c r="M2075" s="4" t="s">
        <v>38</v>
      </c>
      <c r="N2075" s="4" t="s">
        <v>39</v>
      </c>
      <c r="P2075" t="s">
        <v>3826</v>
      </c>
    </row>
    <row r="2076" spans="1:17" ht="10.5" x14ac:dyDescent="0.25">
      <c r="A2076" s="8" t="s">
        <v>57</v>
      </c>
      <c r="B2076" s="4" t="s">
        <v>21</v>
      </c>
      <c r="C2076" s="5">
        <v>44377</v>
      </c>
      <c r="D2076" s="4" t="s">
        <v>2072</v>
      </c>
      <c r="E2076" s="4" t="s">
        <v>2073</v>
      </c>
      <c r="F2076" s="4" t="s">
        <v>2068</v>
      </c>
      <c r="G2076" s="6">
        <v>3539.1918047512063</v>
      </c>
      <c r="H2076" s="6">
        <f t="shared" si="35"/>
        <v>1483815.9959623027</v>
      </c>
      <c r="I2076" s="4"/>
      <c r="J2076" s="4" t="s">
        <v>748</v>
      </c>
      <c r="K2076" s="7">
        <v>2935</v>
      </c>
      <c r="L2076" s="4" t="s">
        <v>1031</v>
      </c>
      <c r="M2076" s="4" t="s">
        <v>38</v>
      </c>
      <c r="N2076" s="4" t="s">
        <v>39</v>
      </c>
      <c r="P2076" t="s">
        <v>3826</v>
      </c>
    </row>
    <row r="2077" spans="1:17" ht="10.5" hidden="1" x14ac:dyDescent="0.25">
      <c r="A2077" s="8" t="s">
        <v>57</v>
      </c>
      <c r="B2077" s="4" t="s">
        <v>21</v>
      </c>
      <c r="C2077" s="5">
        <v>44377</v>
      </c>
      <c r="D2077" s="4" t="s">
        <v>3510</v>
      </c>
      <c r="E2077" s="4" t="s">
        <v>3511</v>
      </c>
      <c r="F2077" s="4" t="s">
        <v>3511</v>
      </c>
      <c r="G2077" s="201">
        <v>111391.08789229734</v>
      </c>
      <c r="H2077" s="6">
        <f t="shared" si="35"/>
        <v>1595207.0838546001</v>
      </c>
      <c r="I2077" s="4"/>
      <c r="J2077" s="4" t="s">
        <v>25</v>
      </c>
      <c r="K2077" s="115">
        <v>92375</v>
      </c>
      <c r="L2077" s="4" t="s">
        <v>1031</v>
      </c>
      <c r="M2077" s="4" t="s">
        <v>61</v>
      </c>
      <c r="N2077" s="4" t="s">
        <v>181</v>
      </c>
      <c r="Q2077" s="4" t="s">
        <v>3653</v>
      </c>
    </row>
    <row r="2078" spans="1:17" ht="10.5" hidden="1" x14ac:dyDescent="0.25">
      <c r="A2078" s="8" t="s">
        <v>57</v>
      </c>
      <c r="B2078" s="4" t="s">
        <v>64</v>
      </c>
      <c r="C2078" s="5">
        <v>44391</v>
      </c>
      <c r="D2078" s="4" t="s">
        <v>3512</v>
      </c>
      <c r="E2078" s="4" t="s">
        <v>66</v>
      </c>
      <c r="F2078" s="4" t="s">
        <v>66</v>
      </c>
      <c r="G2078" s="6">
        <v>8024.4083518219204</v>
      </c>
      <c r="H2078" s="6">
        <f t="shared" si="35"/>
        <v>1603231.4922064219</v>
      </c>
      <c r="I2078" s="4" t="s">
        <v>70</v>
      </c>
      <c r="J2078" s="4" t="s">
        <v>68</v>
      </c>
      <c r="K2078" s="7">
        <v>8026.12</v>
      </c>
      <c r="L2078" s="4" t="s">
        <v>2086</v>
      </c>
      <c r="M2078" s="4" t="s">
        <v>27</v>
      </c>
      <c r="N2078" s="4"/>
    </row>
    <row r="2079" spans="1:17" ht="10.5" hidden="1" x14ac:dyDescent="0.25">
      <c r="A2079" s="8" t="s">
        <v>57</v>
      </c>
      <c r="B2079" s="4" t="s">
        <v>64</v>
      </c>
      <c r="C2079" s="5">
        <v>44392</v>
      </c>
      <c r="D2079" s="4" t="s">
        <v>3513</v>
      </c>
      <c r="E2079" s="4" t="s">
        <v>66</v>
      </c>
      <c r="F2079" s="4" t="s">
        <v>66</v>
      </c>
      <c r="G2079" s="6">
        <v>70.185029167007073</v>
      </c>
      <c r="H2079" s="6">
        <f t="shared" si="35"/>
        <v>1603301.6772355889</v>
      </c>
      <c r="I2079" s="4" t="s">
        <v>82</v>
      </c>
      <c r="J2079" s="4" t="s">
        <v>68</v>
      </c>
      <c r="K2079" s="7">
        <v>70.2</v>
      </c>
      <c r="L2079" s="4" t="s">
        <v>2086</v>
      </c>
      <c r="M2079" s="4" t="s">
        <v>27</v>
      </c>
      <c r="N2079" s="4"/>
    </row>
    <row r="2080" spans="1:17" ht="10.5" hidden="1" x14ac:dyDescent="0.25">
      <c r="A2080" s="8" t="s">
        <v>57</v>
      </c>
      <c r="B2080" s="4" t="s">
        <v>64</v>
      </c>
      <c r="C2080" s="5">
        <v>44396</v>
      </c>
      <c r="D2080" s="4" t="s">
        <v>3514</v>
      </c>
      <c r="E2080" s="4" t="s">
        <v>66</v>
      </c>
      <c r="F2080" s="4" t="s">
        <v>66</v>
      </c>
      <c r="G2080" s="6">
        <v>49.819373267691773</v>
      </c>
      <c r="H2080" s="6">
        <f t="shared" si="35"/>
        <v>1603351.4966088566</v>
      </c>
      <c r="I2080" s="4" t="s">
        <v>3468</v>
      </c>
      <c r="J2080" s="4" t="s">
        <v>68</v>
      </c>
      <c r="K2080" s="7">
        <v>49.83</v>
      </c>
      <c r="L2080" s="4" t="s">
        <v>2086</v>
      </c>
      <c r="M2080" s="4" t="s">
        <v>27</v>
      </c>
      <c r="N2080" s="4"/>
    </row>
    <row r="2081" spans="1:16" ht="10.5" hidden="1" x14ac:dyDescent="0.25">
      <c r="A2081" s="8" t="s">
        <v>57</v>
      </c>
      <c r="B2081" s="4" t="s">
        <v>64</v>
      </c>
      <c r="C2081" s="5">
        <v>44396</v>
      </c>
      <c r="D2081" s="4" t="s">
        <v>3515</v>
      </c>
      <c r="E2081" s="4" t="s">
        <v>66</v>
      </c>
      <c r="F2081" s="4" t="s">
        <v>66</v>
      </c>
      <c r="G2081" s="6">
        <v>821.9946642484075</v>
      </c>
      <c r="H2081" s="6">
        <f t="shared" si="35"/>
        <v>1604173.4912731049</v>
      </c>
      <c r="I2081" s="4" t="s">
        <v>3468</v>
      </c>
      <c r="J2081" s="4" t="s">
        <v>68</v>
      </c>
      <c r="K2081" s="7">
        <v>822.17</v>
      </c>
      <c r="L2081" s="4" t="s">
        <v>2086</v>
      </c>
      <c r="M2081" s="4" t="s">
        <v>27</v>
      </c>
      <c r="N2081" s="4"/>
    </row>
    <row r="2082" spans="1:16" ht="10.5" hidden="1" x14ac:dyDescent="0.25">
      <c r="A2082" s="8" t="s">
        <v>57</v>
      </c>
      <c r="B2082" s="4" t="s">
        <v>64</v>
      </c>
      <c r="C2082" s="5">
        <v>44405</v>
      </c>
      <c r="D2082" s="4" t="s">
        <v>3516</v>
      </c>
      <c r="E2082" s="4" t="s">
        <v>66</v>
      </c>
      <c r="F2082" s="4" t="s">
        <v>66</v>
      </c>
      <c r="G2082" s="6">
        <v>2569.8818307941592</v>
      </c>
      <c r="H2082" s="6">
        <f t="shared" si="35"/>
        <v>1606743.3731038992</v>
      </c>
      <c r="I2082" s="4" t="s">
        <v>97</v>
      </c>
      <c r="J2082" s="4" t="s">
        <v>68</v>
      </c>
      <c r="K2082" s="7">
        <v>2570.4299999999998</v>
      </c>
      <c r="L2082" s="4" t="s">
        <v>2086</v>
      </c>
      <c r="M2082" s="4" t="s">
        <v>27</v>
      </c>
      <c r="N2082" s="4"/>
    </row>
    <row r="2083" spans="1:16" ht="10.5" hidden="1" x14ac:dyDescent="0.25">
      <c r="A2083" s="8" t="s">
        <v>57</v>
      </c>
      <c r="B2083" s="4" t="s">
        <v>64</v>
      </c>
      <c r="C2083" s="5">
        <v>44406</v>
      </c>
      <c r="D2083" s="4" t="s">
        <v>3517</v>
      </c>
      <c r="E2083" s="4" t="s">
        <v>66</v>
      </c>
      <c r="F2083" s="4" t="s">
        <v>66</v>
      </c>
      <c r="G2083" s="6">
        <v>567.87886847378945</v>
      </c>
      <c r="H2083" s="6">
        <f t="shared" si="35"/>
        <v>1607311.2519723729</v>
      </c>
      <c r="I2083" s="4" t="s">
        <v>3379</v>
      </c>
      <c r="J2083" s="4" t="s">
        <v>68</v>
      </c>
      <c r="K2083" s="7">
        <v>568</v>
      </c>
      <c r="L2083" s="4" t="s">
        <v>2086</v>
      </c>
      <c r="M2083" s="4" t="s">
        <v>27</v>
      </c>
      <c r="N2083" s="4"/>
    </row>
    <row r="2084" spans="1:16" ht="10.5" hidden="1" x14ac:dyDescent="0.25">
      <c r="A2084" s="8" t="s">
        <v>57</v>
      </c>
      <c r="B2084" s="4" t="s">
        <v>64</v>
      </c>
      <c r="C2084" s="5">
        <v>44406</v>
      </c>
      <c r="D2084" s="4" t="s">
        <v>3518</v>
      </c>
      <c r="E2084" s="4" t="s">
        <v>66</v>
      </c>
      <c r="F2084" s="4" t="s">
        <v>66</v>
      </c>
      <c r="G2084" s="6">
        <v>2527.4608794044711</v>
      </c>
      <c r="H2084" s="6">
        <f t="shared" si="35"/>
        <v>1609838.7128517774</v>
      </c>
      <c r="I2084" s="4" t="s">
        <v>67</v>
      </c>
      <c r="J2084" s="4" t="s">
        <v>68</v>
      </c>
      <c r="K2084" s="7">
        <v>2528</v>
      </c>
      <c r="L2084" s="4" t="s">
        <v>2086</v>
      </c>
      <c r="M2084" s="4" t="s">
        <v>27</v>
      </c>
      <c r="N2084" s="4"/>
    </row>
    <row r="2085" spans="1:16" ht="10.5" hidden="1" x14ac:dyDescent="0.25">
      <c r="A2085" s="8" t="s">
        <v>57</v>
      </c>
      <c r="B2085" s="4" t="s">
        <v>64</v>
      </c>
      <c r="C2085" s="5">
        <v>44407</v>
      </c>
      <c r="D2085" s="4" t="s">
        <v>3519</v>
      </c>
      <c r="E2085" s="4" t="s">
        <v>66</v>
      </c>
      <c r="F2085" s="4" t="s">
        <v>66</v>
      </c>
      <c r="G2085" s="6">
        <v>1838.1579113247985</v>
      </c>
      <c r="H2085" s="6">
        <f t="shared" si="35"/>
        <v>1611676.8707631023</v>
      </c>
      <c r="I2085" s="4" t="s">
        <v>94</v>
      </c>
      <c r="J2085" s="4" t="s">
        <v>68</v>
      </c>
      <c r="K2085" s="7">
        <v>1838.55</v>
      </c>
      <c r="L2085" s="4" t="s">
        <v>2086</v>
      </c>
      <c r="M2085" s="4" t="s">
        <v>27</v>
      </c>
      <c r="N2085" s="4"/>
    </row>
    <row r="2086" spans="1:16" ht="10.5" hidden="1" x14ac:dyDescent="0.25">
      <c r="A2086" s="8" t="s">
        <v>57</v>
      </c>
      <c r="B2086" s="4" t="s">
        <v>64</v>
      </c>
      <c r="C2086" s="5">
        <v>44407</v>
      </c>
      <c r="D2086" s="4" t="s">
        <v>3520</v>
      </c>
      <c r="E2086" s="4" t="s">
        <v>66</v>
      </c>
      <c r="F2086" s="4" t="s">
        <v>66</v>
      </c>
      <c r="G2086" s="6">
        <v>8998.0806624368033</v>
      </c>
      <c r="H2086" s="6">
        <f t="shared" si="35"/>
        <v>1620674.9514255391</v>
      </c>
      <c r="I2086" s="4" t="s">
        <v>3521</v>
      </c>
      <c r="J2086" s="4" t="s">
        <v>68</v>
      </c>
      <c r="K2086" s="7">
        <v>9000</v>
      </c>
      <c r="L2086" s="4" t="s">
        <v>2086</v>
      </c>
      <c r="M2086" s="4" t="s">
        <v>27</v>
      </c>
      <c r="N2086" s="4"/>
    </row>
    <row r="2087" spans="1:16" ht="10.5" hidden="1" x14ac:dyDescent="0.25">
      <c r="A2087" s="8" t="s">
        <v>57</v>
      </c>
      <c r="B2087" s="4" t="s">
        <v>21</v>
      </c>
      <c r="C2087" s="5">
        <v>44408</v>
      </c>
      <c r="D2087" s="4" t="s">
        <v>3522</v>
      </c>
      <c r="E2087" s="4" t="s">
        <v>3509</v>
      </c>
      <c r="F2087" s="4" t="s">
        <v>3509</v>
      </c>
      <c r="G2087" s="6">
        <v>-85949.106607021793</v>
      </c>
      <c r="H2087" s="6">
        <f t="shared" si="35"/>
        <v>1534725.8448185173</v>
      </c>
      <c r="I2087" s="4"/>
      <c r="J2087" s="4" t="s">
        <v>37</v>
      </c>
      <c r="K2087" s="7">
        <v>-85967.44</v>
      </c>
      <c r="L2087" s="4" t="s">
        <v>2086</v>
      </c>
      <c r="M2087" s="4" t="s">
        <v>27</v>
      </c>
      <c r="N2087" s="4" t="s">
        <v>80</v>
      </c>
    </row>
    <row r="2088" spans="1:16" ht="10.5" hidden="1" x14ac:dyDescent="0.25">
      <c r="A2088" s="8" t="s">
        <v>57</v>
      </c>
      <c r="B2088" s="4" t="s">
        <v>21</v>
      </c>
      <c r="C2088" s="5">
        <v>44408</v>
      </c>
      <c r="D2088" s="4" t="s">
        <v>3523</v>
      </c>
      <c r="E2088" s="4" t="s">
        <v>3524</v>
      </c>
      <c r="F2088" s="4" t="s">
        <v>3524</v>
      </c>
      <c r="G2088" s="6">
        <v>87620.500090069443</v>
      </c>
      <c r="H2088" s="6">
        <f t="shared" si="35"/>
        <v>1622346.3449085867</v>
      </c>
      <c r="I2088" s="4"/>
      <c r="J2088" s="4" t="s">
        <v>37</v>
      </c>
      <c r="K2088" s="7">
        <v>87639.19</v>
      </c>
      <c r="L2088" s="4" t="s">
        <v>2086</v>
      </c>
      <c r="M2088" s="4" t="s">
        <v>27</v>
      </c>
      <c r="N2088" s="4" t="s">
        <v>80</v>
      </c>
    </row>
    <row r="2089" spans="1:16" ht="10.5" x14ac:dyDescent="0.25">
      <c r="A2089" s="8" t="s">
        <v>57</v>
      </c>
      <c r="B2089" s="4" t="s">
        <v>21</v>
      </c>
      <c r="C2089" s="5">
        <v>44408</v>
      </c>
      <c r="D2089" s="4" t="s">
        <v>2091</v>
      </c>
      <c r="E2089" s="4" t="s">
        <v>2092</v>
      </c>
      <c r="F2089" s="4" t="s">
        <v>2092</v>
      </c>
      <c r="G2089" s="6">
        <v>3223.4205940342599</v>
      </c>
      <c r="H2089" s="6">
        <f t="shared" si="35"/>
        <v>1625569.765502621</v>
      </c>
      <c r="I2089" s="4"/>
      <c r="J2089" s="4" t="s">
        <v>748</v>
      </c>
      <c r="K2089" s="7">
        <v>2719</v>
      </c>
      <c r="L2089" s="4" t="s">
        <v>2086</v>
      </c>
      <c r="M2089" s="4" t="s">
        <v>38</v>
      </c>
      <c r="N2089" s="4" t="s">
        <v>39</v>
      </c>
      <c r="P2089" t="s">
        <v>3826</v>
      </c>
    </row>
    <row r="2090" spans="1:16" ht="10.5" hidden="1" x14ac:dyDescent="0.25">
      <c r="A2090" s="8" t="s">
        <v>57</v>
      </c>
      <c r="B2090" s="4" t="s">
        <v>64</v>
      </c>
      <c r="C2090" s="5">
        <v>44411</v>
      </c>
      <c r="D2090" s="4" t="s">
        <v>3525</v>
      </c>
      <c r="E2090" s="4" t="s">
        <v>66</v>
      </c>
      <c r="F2090" s="4" t="s">
        <v>66</v>
      </c>
      <c r="G2090" s="6">
        <v>4306.426403991617</v>
      </c>
      <c r="H2090" s="6">
        <f t="shared" si="35"/>
        <v>1629876.1919066126</v>
      </c>
      <c r="I2090" s="4" t="s">
        <v>94</v>
      </c>
      <c r="J2090" s="4" t="s">
        <v>68</v>
      </c>
      <c r="K2090" s="7">
        <v>4300</v>
      </c>
      <c r="L2090" s="4" t="s">
        <v>2097</v>
      </c>
      <c r="M2090" s="4" t="s">
        <v>27</v>
      </c>
      <c r="N2090" s="4"/>
    </row>
    <row r="2091" spans="1:16" ht="10.5" hidden="1" x14ac:dyDescent="0.25">
      <c r="A2091" s="8" t="s">
        <v>57</v>
      </c>
      <c r="B2091" s="4" t="s">
        <v>64</v>
      </c>
      <c r="C2091" s="5">
        <v>44426</v>
      </c>
      <c r="D2091" s="4" t="s">
        <v>3526</v>
      </c>
      <c r="E2091" s="4" t="s">
        <v>3527</v>
      </c>
      <c r="F2091" s="4" t="s">
        <v>3527</v>
      </c>
      <c r="G2091" s="6">
        <v>10014.945125561901</v>
      </c>
      <c r="H2091" s="6">
        <f t="shared" si="35"/>
        <v>1639891.1370321745</v>
      </c>
      <c r="I2091" s="4" t="s">
        <v>3389</v>
      </c>
      <c r="J2091" s="4" t="s">
        <v>68</v>
      </c>
      <c r="K2091" s="7">
        <v>10000</v>
      </c>
      <c r="L2091" s="4" t="s">
        <v>2097</v>
      </c>
      <c r="M2091" s="4" t="s">
        <v>27</v>
      </c>
      <c r="N2091" s="4"/>
    </row>
    <row r="2092" spans="1:16" ht="10.5" hidden="1" x14ac:dyDescent="0.25">
      <c r="A2092" s="8" t="s">
        <v>57</v>
      </c>
      <c r="B2092" s="4" t="s">
        <v>64</v>
      </c>
      <c r="C2092" s="5">
        <v>44426</v>
      </c>
      <c r="D2092" s="4" t="s">
        <v>3528</v>
      </c>
      <c r="E2092" s="4" t="s">
        <v>66</v>
      </c>
      <c r="F2092" s="4" t="s">
        <v>66</v>
      </c>
      <c r="G2092" s="6">
        <v>374.95954550103755</v>
      </c>
      <c r="H2092" s="6">
        <f t="shared" si="35"/>
        <v>1640266.0965776755</v>
      </c>
      <c r="I2092" s="4" t="s">
        <v>3529</v>
      </c>
      <c r="J2092" s="4" t="s">
        <v>68</v>
      </c>
      <c r="K2092" s="7">
        <v>374.4</v>
      </c>
      <c r="L2092" s="4" t="s">
        <v>2097</v>
      </c>
      <c r="M2092" s="4" t="s">
        <v>27</v>
      </c>
      <c r="N2092" s="4"/>
    </row>
    <row r="2093" spans="1:16" ht="10.5" hidden="1" x14ac:dyDescent="0.25">
      <c r="A2093" s="8" t="s">
        <v>57</v>
      </c>
      <c r="B2093" s="4" t="s">
        <v>64</v>
      </c>
      <c r="C2093" s="5">
        <v>44427</v>
      </c>
      <c r="D2093" s="4" t="s">
        <v>3530</v>
      </c>
      <c r="E2093" s="4" t="s">
        <v>66</v>
      </c>
      <c r="F2093" s="4" t="s">
        <v>66</v>
      </c>
      <c r="G2093" s="6">
        <v>6498.6978919771173</v>
      </c>
      <c r="H2093" s="6">
        <f t="shared" si="35"/>
        <v>1646764.7944696527</v>
      </c>
      <c r="I2093" s="4" t="s">
        <v>94</v>
      </c>
      <c r="J2093" s="4" t="s">
        <v>68</v>
      </c>
      <c r="K2093" s="7">
        <v>6489</v>
      </c>
      <c r="L2093" s="4" t="s">
        <v>2097</v>
      </c>
      <c r="M2093" s="4" t="s">
        <v>27</v>
      </c>
      <c r="N2093" s="4"/>
    </row>
    <row r="2094" spans="1:16" ht="10.5" hidden="1" x14ac:dyDescent="0.25">
      <c r="A2094" s="8" t="s">
        <v>57</v>
      </c>
      <c r="B2094" s="4" t="s">
        <v>64</v>
      </c>
      <c r="C2094" s="5">
        <v>44432</v>
      </c>
      <c r="D2094" s="4" t="s">
        <v>3531</v>
      </c>
      <c r="E2094" s="4" t="s">
        <v>66</v>
      </c>
      <c r="F2094" s="4" t="s">
        <v>66</v>
      </c>
      <c r="G2094" s="6">
        <v>1729.5710082394146</v>
      </c>
      <c r="H2094" s="6">
        <f t="shared" si="35"/>
        <v>1648494.3654778921</v>
      </c>
      <c r="I2094" s="4" t="s">
        <v>97</v>
      </c>
      <c r="J2094" s="4" t="s">
        <v>68</v>
      </c>
      <c r="K2094" s="7">
        <v>1726.99</v>
      </c>
      <c r="L2094" s="4" t="s">
        <v>2097</v>
      </c>
      <c r="M2094" s="4" t="s">
        <v>27</v>
      </c>
      <c r="N2094" s="4"/>
    </row>
    <row r="2095" spans="1:16" ht="10.5" hidden="1" x14ac:dyDescent="0.25">
      <c r="A2095" s="8" t="s">
        <v>57</v>
      </c>
      <c r="B2095" s="4" t="s">
        <v>64</v>
      </c>
      <c r="C2095" s="5">
        <v>44433</v>
      </c>
      <c r="D2095" s="4" t="s">
        <v>3532</v>
      </c>
      <c r="E2095" s="4" t="s">
        <v>66</v>
      </c>
      <c r="F2095" s="4" t="s">
        <v>66</v>
      </c>
      <c r="G2095" s="6">
        <v>390.62291967741635</v>
      </c>
      <c r="H2095" s="6">
        <f t="shared" si="35"/>
        <v>1648884.9883975696</v>
      </c>
      <c r="I2095" s="4" t="s">
        <v>82</v>
      </c>
      <c r="J2095" s="4" t="s">
        <v>68</v>
      </c>
      <c r="K2095" s="7">
        <v>390.04</v>
      </c>
      <c r="L2095" s="4" t="s">
        <v>2097</v>
      </c>
      <c r="M2095" s="4" t="s">
        <v>27</v>
      </c>
      <c r="N2095" s="4"/>
    </row>
    <row r="2096" spans="1:16" ht="10.5" hidden="1" x14ac:dyDescent="0.25">
      <c r="A2096" s="8" t="s">
        <v>57</v>
      </c>
      <c r="B2096" s="4" t="s">
        <v>64</v>
      </c>
      <c r="C2096" s="5">
        <v>44434</v>
      </c>
      <c r="D2096" s="4" t="s">
        <v>3533</v>
      </c>
      <c r="E2096" s="4" t="s">
        <v>66</v>
      </c>
      <c r="F2096" s="4" t="s">
        <v>66</v>
      </c>
      <c r="G2096" s="6">
        <v>3505.230793946665</v>
      </c>
      <c r="H2096" s="6">
        <f t="shared" si="35"/>
        <v>1652390.2191915163</v>
      </c>
      <c r="I2096" s="4" t="s">
        <v>67</v>
      </c>
      <c r="J2096" s="4" t="s">
        <v>68</v>
      </c>
      <c r="K2096" s="7">
        <v>3500</v>
      </c>
      <c r="L2096" s="4" t="s">
        <v>2097</v>
      </c>
      <c r="M2096" s="4" t="s">
        <v>27</v>
      </c>
      <c r="N2096" s="4"/>
    </row>
    <row r="2097" spans="1:16" ht="10.5" hidden="1" x14ac:dyDescent="0.25">
      <c r="A2097" s="8" t="s">
        <v>57</v>
      </c>
      <c r="B2097" s="4" t="s">
        <v>64</v>
      </c>
      <c r="C2097" s="5">
        <v>44438</v>
      </c>
      <c r="D2097" s="4" t="s">
        <v>3534</v>
      </c>
      <c r="E2097" s="4" t="s">
        <v>66</v>
      </c>
      <c r="F2097" s="4" t="s">
        <v>66</v>
      </c>
      <c r="G2097" s="6">
        <v>1534.2895932360832</v>
      </c>
      <c r="H2097" s="6">
        <f t="shared" si="35"/>
        <v>1653924.5087847523</v>
      </c>
      <c r="I2097" s="4" t="s">
        <v>3468</v>
      </c>
      <c r="J2097" s="4" t="s">
        <v>68</v>
      </c>
      <c r="K2097" s="7">
        <v>1532</v>
      </c>
      <c r="L2097" s="4" t="s">
        <v>2097</v>
      </c>
      <c r="M2097" s="4" t="s">
        <v>27</v>
      </c>
      <c r="N2097" s="4"/>
    </row>
    <row r="2098" spans="1:16" ht="10.5" hidden="1" x14ac:dyDescent="0.25">
      <c r="A2098" s="8" t="s">
        <v>57</v>
      </c>
      <c r="B2098" s="4" t="s">
        <v>21</v>
      </c>
      <c r="C2098" s="5">
        <v>44439</v>
      </c>
      <c r="D2098" s="4" t="s">
        <v>3535</v>
      </c>
      <c r="E2098" s="4" t="s">
        <v>3524</v>
      </c>
      <c r="F2098" s="4" t="s">
        <v>3524</v>
      </c>
      <c r="G2098" s="6">
        <v>-87770.167869869314</v>
      </c>
      <c r="H2098" s="6">
        <f t="shared" si="35"/>
        <v>1566154.340914883</v>
      </c>
      <c r="I2098" s="4"/>
      <c r="J2098" s="4" t="s">
        <v>37</v>
      </c>
      <c r="K2098" s="7">
        <v>-87639.19</v>
      </c>
      <c r="L2098" s="4" t="s">
        <v>2097</v>
      </c>
      <c r="M2098" s="4" t="s">
        <v>27</v>
      </c>
      <c r="N2098" s="4" t="s">
        <v>80</v>
      </c>
    </row>
    <row r="2099" spans="1:16" ht="10.5" hidden="1" x14ac:dyDescent="0.25">
      <c r="A2099" s="8" t="s">
        <v>57</v>
      </c>
      <c r="B2099" s="4" t="s">
        <v>64</v>
      </c>
      <c r="C2099" s="5">
        <v>44439</v>
      </c>
      <c r="D2099" s="4" t="s">
        <v>3536</v>
      </c>
      <c r="E2099" s="4" t="s">
        <v>66</v>
      </c>
      <c r="F2099" s="4" t="s">
        <v>66</v>
      </c>
      <c r="G2099" s="6">
        <v>2431.0778545045232</v>
      </c>
      <c r="H2099" s="6">
        <f t="shared" si="35"/>
        <v>1568585.4187693875</v>
      </c>
      <c r="I2099" s="4" t="s">
        <v>3461</v>
      </c>
      <c r="J2099" s="4" t="s">
        <v>68</v>
      </c>
      <c r="K2099" s="7">
        <v>2427.4499999999998</v>
      </c>
      <c r="L2099" s="4" t="s">
        <v>2097</v>
      </c>
      <c r="M2099" s="4" t="s">
        <v>27</v>
      </c>
      <c r="N2099" s="4"/>
    </row>
    <row r="2100" spans="1:16" ht="10.5" hidden="1" x14ac:dyDescent="0.25">
      <c r="A2100" s="8" t="s">
        <v>57</v>
      </c>
      <c r="B2100" s="4" t="s">
        <v>21</v>
      </c>
      <c r="C2100" s="5">
        <v>44439</v>
      </c>
      <c r="D2100" s="4" t="s">
        <v>3537</v>
      </c>
      <c r="E2100" s="4" t="s">
        <v>3538</v>
      </c>
      <c r="F2100" s="4" t="s">
        <v>3538</v>
      </c>
      <c r="G2100" s="6">
        <v>108401.51566545387</v>
      </c>
      <c r="H2100" s="6">
        <f t="shared" si="35"/>
        <v>1676986.9344348414</v>
      </c>
      <c r="I2100" s="4"/>
      <c r="J2100" s="4" t="s">
        <v>37</v>
      </c>
      <c r="K2100" s="7">
        <v>108239.75</v>
      </c>
      <c r="L2100" s="4" t="s">
        <v>2097</v>
      </c>
      <c r="M2100" s="4" t="s">
        <v>27</v>
      </c>
      <c r="N2100" s="4" t="s">
        <v>80</v>
      </c>
    </row>
    <row r="2101" spans="1:16" ht="10.5" x14ac:dyDescent="0.25">
      <c r="A2101" s="8" t="s">
        <v>57</v>
      </c>
      <c r="B2101" s="4" t="s">
        <v>21</v>
      </c>
      <c r="C2101" s="5">
        <v>44439</v>
      </c>
      <c r="D2101" s="4" t="s">
        <v>2103</v>
      </c>
      <c r="E2101" s="4" t="s">
        <v>2104</v>
      </c>
      <c r="F2101" s="4" t="s">
        <v>2104</v>
      </c>
      <c r="G2101" s="6">
        <v>2016.4204278156242</v>
      </c>
      <c r="H2101" s="6">
        <f t="shared" si="35"/>
        <v>1679003.3548626569</v>
      </c>
      <c r="I2101" s="4"/>
      <c r="J2101" s="4" t="s">
        <v>748</v>
      </c>
      <c r="K2101" s="7">
        <v>1702</v>
      </c>
      <c r="L2101" s="4" t="s">
        <v>2097</v>
      </c>
      <c r="M2101" s="4" t="s">
        <v>38</v>
      </c>
      <c r="N2101" s="4" t="s">
        <v>39</v>
      </c>
      <c r="P2101" t="s">
        <v>3826</v>
      </c>
    </row>
    <row r="2102" spans="1:16" ht="10.5" hidden="1" x14ac:dyDescent="0.25">
      <c r="A2102" s="8" t="s">
        <v>57</v>
      </c>
      <c r="B2102" s="4" t="s">
        <v>21</v>
      </c>
      <c r="C2102" s="5">
        <v>44439</v>
      </c>
      <c r="D2102" s="4" t="s">
        <v>3539</v>
      </c>
      <c r="E2102" s="4" t="s">
        <v>3540</v>
      </c>
      <c r="F2102" s="4" t="s">
        <v>3540</v>
      </c>
      <c r="G2102" s="6">
        <v>-5681.758788194782</v>
      </c>
      <c r="H2102" s="6">
        <f t="shared" si="35"/>
        <v>1673321.5960744622</v>
      </c>
      <c r="I2102" s="4"/>
      <c r="J2102" s="4" t="s">
        <v>68</v>
      </c>
      <c r="K2102" s="7">
        <v>-5673.28</v>
      </c>
      <c r="L2102" s="4" t="s">
        <v>2097</v>
      </c>
      <c r="M2102" s="4" t="s">
        <v>27</v>
      </c>
      <c r="N2102" s="4" t="s">
        <v>80</v>
      </c>
    </row>
    <row r="2103" spans="1:16" ht="10.5" hidden="1" x14ac:dyDescent="0.25">
      <c r="A2103" s="8" t="s">
        <v>57</v>
      </c>
      <c r="B2103" s="4" t="s">
        <v>64</v>
      </c>
      <c r="C2103" s="5">
        <v>44446</v>
      </c>
      <c r="D2103" s="4" t="s">
        <v>3541</v>
      </c>
      <c r="E2103" s="4" t="s">
        <v>3542</v>
      </c>
      <c r="F2103" s="4" t="s">
        <v>3542</v>
      </c>
      <c r="G2103" s="6">
        <v>8963.72444738587</v>
      </c>
      <c r="H2103" s="6">
        <f t="shared" si="35"/>
        <v>1682285.320521848</v>
      </c>
      <c r="I2103" s="4" t="s">
        <v>3389</v>
      </c>
      <c r="J2103" s="4" t="s">
        <v>68</v>
      </c>
      <c r="K2103" s="7">
        <v>8900.4</v>
      </c>
      <c r="L2103" s="4" t="s">
        <v>1033</v>
      </c>
      <c r="M2103" s="4" t="s">
        <v>27</v>
      </c>
      <c r="N2103" s="4"/>
    </row>
    <row r="2104" spans="1:16" ht="10.5" hidden="1" x14ac:dyDescent="0.25">
      <c r="A2104" s="8" t="s">
        <v>57</v>
      </c>
      <c r="B2104" s="4" t="s">
        <v>64</v>
      </c>
      <c r="C2104" s="5">
        <v>44454</v>
      </c>
      <c r="D2104" s="4" t="s">
        <v>3543</v>
      </c>
      <c r="E2104" s="4" t="s">
        <v>66</v>
      </c>
      <c r="F2104" s="4" t="s">
        <v>66</v>
      </c>
      <c r="G2104" s="6">
        <v>769.20406062423103</v>
      </c>
      <c r="H2104" s="6">
        <f t="shared" si="35"/>
        <v>1683054.5245824722</v>
      </c>
      <c r="I2104" s="4" t="s">
        <v>70</v>
      </c>
      <c r="J2104" s="4" t="s">
        <v>68</v>
      </c>
      <c r="K2104" s="7">
        <v>763.77</v>
      </c>
      <c r="L2104" s="4" t="s">
        <v>1033</v>
      </c>
      <c r="M2104" s="4" t="s">
        <v>27</v>
      </c>
      <c r="N2104" s="4"/>
    </row>
    <row r="2105" spans="1:16" ht="10.5" hidden="1" x14ac:dyDescent="0.25">
      <c r="A2105" s="8" t="s">
        <v>57</v>
      </c>
      <c r="B2105" s="4" t="s">
        <v>64</v>
      </c>
      <c r="C2105" s="5">
        <v>44460</v>
      </c>
      <c r="D2105" s="4" t="s">
        <v>3544</v>
      </c>
      <c r="E2105" s="4" t="s">
        <v>66</v>
      </c>
      <c r="F2105" s="4" t="s">
        <v>66</v>
      </c>
      <c r="G2105" s="6">
        <v>273.93522197754669</v>
      </c>
      <c r="H2105" s="6">
        <f t="shared" si="35"/>
        <v>1683328.4598044497</v>
      </c>
      <c r="I2105" s="4" t="s">
        <v>3468</v>
      </c>
      <c r="J2105" s="4" t="s">
        <v>68</v>
      </c>
      <c r="K2105" s="7">
        <v>272</v>
      </c>
      <c r="L2105" s="4" t="s">
        <v>1033</v>
      </c>
      <c r="M2105" s="4" t="s">
        <v>27</v>
      </c>
      <c r="N2105" s="4"/>
    </row>
    <row r="2106" spans="1:16" ht="10.5" hidden="1" x14ac:dyDescent="0.25">
      <c r="A2106" s="8" t="s">
        <v>57</v>
      </c>
      <c r="B2106" s="4" t="s">
        <v>64</v>
      </c>
      <c r="C2106" s="5">
        <v>44467</v>
      </c>
      <c r="D2106" s="4" t="s">
        <v>3545</v>
      </c>
      <c r="E2106" s="4" t="s">
        <v>66</v>
      </c>
      <c r="F2106" s="4" t="s">
        <v>66</v>
      </c>
      <c r="G2106" s="6">
        <v>1307.0335701561035</v>
      </c>
      <c r="H2106" s="6">
        <f t="shared" si="35"/>
        <v>1684635.4933746059</v>
      </c>
      <c r="I2106" s="4" t="s">
        <v>94</v>
      </c>
      <c r="J2106" s="4" t="s">
        <v>68</v>
      </c>
      <c r="K2106" s="7">
        <v>1297.8</v>
      </c>
      <c r="L2106" s="4" t="s">
        <v>1033</v>
      </c>
      <c r="M2106" s="4" t="s">
        <v>27</v>
      </c>
      <c r="N2106" s="4"/>
    </row>
    <row r="2107" spans="1:16" ht="10.5" hidden="1" x14ac:dyDescent="0.25">
      <c r="A2107" s="8" t="s">
        <v>57</v>
      </c>
      <c r="B2107" s="4" t="s">
        <v>64</v>
      </c>
      <c r="C2107" s="5">
        <v>44467</v>
      </c>
      <c r="D2107" s="4" t="s">
        <v>3546</v>
      </c>
      <c r="E2107" s="4" t="s">
        <v>66</v>
      </c>
      <c r="F2107" s="4" t="s">
        <v>66</v>
      </c>
      <c r="G2107" s="6">
        <v>1089.1946417967529</v>
      </c>
      <c r="H2107" s="6">
        <f t="shared" si="35"/>
        <v>1685724.6880164025</v>
      </c>
      <c r="I2107" s="4" t="s">
        <v>94</v>
      </c>
      <c r="J2107" s="4" t="s">
        <v>68</v>
      </c>
      <c r="K2107" s="7">
        <v>1081.5</v>
      </c>
      <c r="L2107" s="4" t="s">
        <v>1033</v>
      </c>
      <c r="M2107" s="4" t="s">
        <v>27</v>
      </c>
      <c r="N2107" s="4"/>
    </row>
    <row r="2108" spans="1:16" ht="10.5" hidden="1" x14ac:dyDescent="0.25">
      <c r="A2108" s="8" t="s">
        <v>57</v>
      </c>
      <c r="B2108" s="4" t="s">
        <v>64</v>
      </c>
      <c r="C2108" s="5">
        <v>44468</v>
      </c>
      <c r="D2108" s="4" t="s">
        <v>3547</v>
      </c>
      <c r="E2108" s="4" t="s">
        <v>66</v>
      </c>
      <c r="F2108" s="4" t="s">
        <v>66</v>
      </c>
      <c r="G2108" s="6">
        <v>2576.4916876210955</v>
      </c>
      <c r="H2108" s="6">
        <f t="shared" si="35"/>
        <v>1688301.1797040235</v>
      </c>
      <c r="I2108" s="4" t="s">
        <v>94</v>
      </c>
      <c r="J2108" s="4" t="s">
        <v>68</v>
      </c>
      <c r="K2108" s="7">
        <v>2558.29</v>
      </c>
      <c r="L2108" s="4" t="s">
        <v>1033</v>
      </c>
      <c r="M2108" s="4" t="s">
        <v>27</v>
      </c>
      <c r="N2108" s="4"/>
    </row>
    <row r="2109" spans="1:16" ht="10.5" hidden="1" x14ac:dyDescent="0.25">
      <c r="A2109" s="8" t="s">
        <v>57</v>
      </c>
      <c r="B2109" s="4" t="s">
        <v>64</v>
      </c>
      <c r="C2109" s="5">
        <v>44468</v>
      </c>
      <c r="D2109" s="4" t="s">
        <v>3548</v>
      </c>
      <c r="E2109" s="4" t="s">
        <v>66</v>
      </c>
      <c r="F2109" s="4" t="s">
        <v>66</v>
      </c>
      <c r="G2109" s="6">
        <v>1742.7114268748044</v>
      </c>
      <c r="H2109" s="6">
        <f t="shared" si="35"/>
        <v>1690043.8911308984</v>
      </c>
      <c r="I2109" s="4" t="s">
        <v>94</v>
      </c>
      <c r="J2109" s="4" t="s">
        <v>68</v>
      </c>
      <c r="K2109" s="7">
        <v>1730.4</v>
      </c>
      <c r="L2109" s="4" t="s">
        <v>1033</v>
      </c>
      <c r="M2109" s="4" t="s">
        <v>27</v>
      </c>
      <c r="N2109" s="4"/>
    </row>
    <row r="2110" spans="1:16" ht="10.5" hidden="1" x14ac:dyDescent="0.25">
      <c r="A2110" s="8" t="s">
        <v>57</v>
      </c>
      <c r="B2110" s="4" t="s">
        <v>21</v>
      </c>
      <c r="C2110" s="5">
        <v>44469</v>
      </c>
      <c r="D2110" s="4" t="s">
        <v>3549</v>
      </c>
      <c r="E2110" s="4" t="s">
        <v>3538</v>
      </c>
      <c r="F2110" s="4" t="s">
        <v>3538</v>
      </c>
      <c r="G2110" s="6">
        <v>-109009.85273178</v>
      </c>
      <c r="H2110" s="6">
        <f t="shared" si="35"/>
        <v>1581034.0383991185</v>
      </c>
      <c r="I2110" s="4"/>
      <c r="J2110" s="4" t="s">
        <v>37</v>
      </c>
      <c r="K2110" s="7">
        <v>-108239.75</v>
      </c>
      <c r="L2110" s="4" t="s">
        <v>1033</v>
      </c>
      <c r="M2110" s="4" t="s">
        <v>27</v>
      </c>
      <c r="N2110" s="4" t="s">
        <v>80</v>
      </c>
    </row>
    <row r="2111" spans="1:16" ht="10.5" hidden="1" x14ac:dyDescent="0.25">
      <c r="A2111" s="8" t="s">
        <v>57</v>
      </c>
      <c r="B2111" s="4" t="s">
        <v>64</v>
      </c>
      <c r="C2111" s="5">
        <v>44469</v>
      </c>
      <c r="D2111" s="4" t="s">
        <v>3550</v>
      </c>
      <c r="E2111" s="4" t="s">
        <v>66</v>
      </c>
      <c r="F2111" s="4" t="s">
        <v>66</v>
      </c>
      <c r="G2111" s="6">
        <v>950.20273008674826</v>
      </c>
      <c r="H2111" s="6">
        <f t="shared" si="35"/>
        <v>1581984.2411292051</v>
      </c>
      <c r="I2111" s="4" t="s">
        <v>129</v>
      </c>
      <c r="J2111" s="4" t="s">
        <v>68</v>
      </c>
      <c r="K2111" s="7">
        <v>943.49</v>
      </c>
      <c r="L2111" s="4" t="s">
        <v>1033</v>
      </c>
      <c r="M2111" s="4" t="s">
        <v>27</v>
      </c>
      <c r="N2111" s="4"/>
    </row>
    <row r="2112" spans="1:16" ht="10.5" hidden="1" x14ac:dyDescent="0.25">
      <c r="A2112" s="8" t="s">
        <v>57</v>
      </c>
      <c r="B2112" s="4" t="s">
        <v>64</v>
      </c>
      <c r="C2112" s="5">
        <v>44469</v>
      </c>
      <c r="D2112" s="4" t="s">
        <v>3551</v>
      </c>
      <c r="E2112" s="4" t="s">
        <v>66</v>
      </c>
      <c r="F2112" s="4" t="s">
        <v>66</v>
      </c>
      <c r="G2112" s="6">
        <v>249.26090970383385</v>
      </c>
      <c r="H2112" s="6">
        <f t="shared" si="35"/>
        <v>1582233.5020389089</v>
      </c>
      <c r="I2112" s="4" t="s">
        <v>82</v>
      </c>
      <c r="J2112" s="4" t="s">
        <v>68</v>
      </c>
      <c r="K2112" s="7">
        <v>247.5</v>
      </c>
      <c r="L2112" s="4" t="s">
        <v>1033</v>
      </c>
      <c r="M2112" s="4" t="s">
        <v>27</v>
      </c>
      <c r="N2112" s="4"/>
    </row>
    <row r="2113" spans="1:17" ht="10.5" hidden="1" x14ac:dyDescent="0.25">
      <c r="A2113" s="8" t="s">
        <v>57</v>
      </c>
      <c r="B2113" s="4" t="s">
        <v>64</v>
      </c>
      <c r="C2113" s="5">
        <v>44469</v>
      </c>
      <c r="D2113" s="4" t="s">
        <v>3552</v>
      </c>
      <c r="E2113" s="4" t="s">
        <v>66</v>
      </c>
      <c r="F2113" s="4" t="s">
        <v>66</v>
      </c>
      <c r="G2113" s="6">
        <v>518.92596498584817</v>
      </c>
      <c r="H2113" s="6">
        <f t="shared" si="35"/>
        <v>1582752.4280038946</v>
      </c>
      <c r="I2113" s="4" t="s">
        <v>82</v>
      </c>
      <c r="J2113" s="4" t="s">
        <v>68</v>
      </c>
      <c r="K2113" s="7">
        <v>515.26</v>
      </c>
      <c r="L2113" s="4" t="s">
        <v>1033</v>
      </c>
      <c r="M2113" s="4" t="s">
        <v>27</v>
      </c>
      <c r="N2113" s="4"/>
    </row>
    <row r="2114" spans="1:17" ht="10.5" hidden="1" x14ac:dyDescent="0.25">
      <c r="A2114" s="8" t="s">
        <v>57</v>
      </c>
      <c r="B2114" s="4" t="s">
        <v>21</v>
      </c>
      <c r="C2114" s="5">
        <v>44469</v>
      </c>
      <c r="D2114" s="4" t="s">
        <v>3553</v>
      </c>
      <c r="E2114" s="4" t="s">
        <v>3554</v>
      </c>
      <c r="F2114" s="4" t="s">
        <v>3554</v>
      </c>
      <c r="G2114" s="6">
        <v>141111.34449398561</v>
      </c>
      <c r="H2114" s="6">
        <f t="shared" si="35"/>
        <v>1723863.7724978803</v>
      </c>
      <c r="I2114" s="4"/>
      <c r="J2114" s="4" t="s">
        <v>37</v>
      </c>
      <c r="K2114" s="7">
        <v>140114.46</v>
      </c>
      <c r="L2114" s="4" t="s">
        <v>1033</v>
      </c>
      <c r="M2114" s="4" t="s">
        <v>27</v>
      </c>
      <c r="N2114" s="4" t="s">
        <v>80</v>
      </c>
    </row>
    <row r="2115" spans="1:17" ht="10.5" x14ac:dyDescent="0.25">
      <c r="A2115" s="8" t="s">
        <v>57</v>
      </c>
      <c r="B2115" s="4" t="s">
        <v>21</v>
      </c>
      <c r="C2115" s="5">
        <v>44469</v>
      </c>
      <c r="D2115" s="4" t="s">
        <v>2115</v>
      </c>
      <c r="E2115" s="4" t="s">
        <v>2116</v>
      </c>
      <c r="F2115" s="4" t="s">
        <v>2116</v>
      </c>
      <c r="G2115" s="6">
        <v>2505.4565109736313</v>
      </c>
      <c r="H2115" s="6">
        <f t="shared" si="35"/>
        <v>1726369.2290088539</v>
      </c>
      <c r="I2115" s="4"/>
      <c r="J2115" s="4" t="s">
        <v>748</v>
      </c>
      <c r="K2115" s="7">
        <v>2116</v>
      </c>
      <c r="L2115" s="4" t="s">
        <v>1033</v>
      </c>
      <c r="M2115" s="4" t="s">
        <v>38</v>
      </c>
      <c r="N2115" s="4" t="s">
        <v>39</v>
      </c>
      <c r="P2115" t="s">
        <v>3826</v>
      </c>
    </row>
    <row r="2116" spans="1:17" ht="10.5" hidden="1" x14ac:dyDescent="0.25">
      <c r="A2116" s="8" t="s">
        <v>57</v>
      </c>
      <c r="B2116" s="4" t="s">
        <v>21</v>
      </c>
      <c r="C2116" s="5">
        <v>44469</v>
      </c>
      <c r="D2116" s="4" t="s">
        <v>3555</v>
      </c>
      <c r="E2116" s="4" t="s">
        <v>3556</v>
      </c>
      <c r="F2116" s="4" t="s">
        <v>3556</v>
      </c>
      <c r="G2116" s="201">
        <v>114154.5662679432</v>
      </c>
      <c r="H2116" s="6">
        <f t="shared" si="35"/>
        <v>1840523.7952767971</v>
      </c>
      <c r="I2116" s="4"/>
      <c r="J2116" s="4" t="s">
        <v>25</v>
      </c>
      <c r="K2116" s="115">
        <v>96410</v>
      </c>
      <c r="L2116" s="4" t="s">
        <v>1033</v>
      </c>
      <c r="M2116" s="4" t="s">
        <v>61</v>
      </c>
      <c r="N2116" s="4" t="s">
        <v>181</v>
      </c>
      <c r="Q2116" s="4" t="s">
        <v>3653</v>
      </c>
    </row>
    <row r="2117" spans="1:17" ht="10.5" hidden="1" x14ac:dyDescent="0.25">
      <c r="A2117" s="8" t="s">
        <v>57</v>
      </c>
      <c r="B2117" s="4" t="s">
        <v>64</v>
      </c>
      <c r="C2117" s="5">
        <v>44487</v>
      </c>
      <c r="D2117" s="4" t="s">
        <v>3557</v>
      </c>
      <c r="E2117" s="4" t="s">
        <v>66</v>
      </c>
      <c r="F2117" s="4" t="s">
        <v>66</v>
      </c>
      <c r="G2117" s="6">
        <v>17375.446357319513</v>
      </c>
      <c r="H2117" s="6">
        <f t="shared" si="35"/>
        <v>1857899.2416341167</v>
      </c>
      <c r="I2117" s="4" t="s">
        <v>3558</v>
      </c>
      <c r="J2117" s="4" t="s">
        <v>68</v>
      </c>
      <c r="K2117" s="7">
        <v>17361.7</v>
      </c>
      <c r="L2117" s="4" t="s">
        <v>2127</v>
      </c>
      <c r="M2117" s="4" t="s">
        <v>27</v>
      </c>
      <c r="N2117" s="4"/>
    </row>
    <row r="2118" spans="1:17" ht="10.5" hidden="1" x14ac:dyDescent="0.25">
      <c r="A2118" s="8" t="s">
        <v>57</v>
      </c>
      <c r="B2118" s="4" t="s">
        <v>64</v>
      </c>
      <c r="C2118" s="5">
        <v>44489</v>
      </c>
      <c r="D2118" s="4" t="s">
        <v>3559</v>
      </c>
      <c r="E2118" s="4" t="s">
        <v>66</v>
      </c>
      <c r="F2118" s="4" t="s">
        <v>66</v>
      </c>
      <c r="G2118" s="6">
        <v>42953.982481908657</v>
      </c>
      <c r="H2118" s="6">
        <f t="shared" si="35"/>
        <v>1900853.2241160255</v>
      </c>
      <c r="I2118" s="4" t="s">
        <v>3389</v>
      </c>
      <c r="J2118" s="4" t="s">
        <v>68</v>
      </c>
      <c r="K2118" s="7">
        <v>42920</v>
      </c>
      <c r="L2118" s="4" t="s">
        <v>2127</v>
      </c>
      <c r="M2118" s="4" t="s">
        <v>27</v>
      </c>
      <c r="N2118" s="4"/>
    </row>
    <row r="2119" spans="1:17" ht="10.5" hidden="1" x14ac:dyDescent="0.25">
      <c r="A2119" s="8" t="s">
        <v>57</v>
      </c>
      <c r="B2119" s="4" t="s">
        <v>64</v>
      </c>
      <c r="C2119" s="5">
        <v>44497</v>
      </c>
      <c r="D2119" s="4" t="s">
        <v>3560</v>
      </c>
      <c r="E2119" s="4" t="s">
        <v>66</v>
      </c>
      <c r="F2119" s="4" t="s">
        <v>66</v>
      </c>
      <c r="G2119" s="6">
        <v>1829.4473433580854</v>
      </c>
      <c r="H2119" s="6">
        <f t="shared" si="35"/>
        <v>1902682.6714593836</v>
      </c>
      <c r="I2119" s="4" t="s">
        <v>67</v>
      </c>
      <c r="J2119" s="4" t="s">
        <v>68</v>
      </c>
      <c r="K2119" s="7">
        <v>1828</v>
      </c>
      <c r="L2119" s="4" t="s">
        <v>2127</v>
      </c>
      <c r="M2119" s="4" t="s">
        <v>27</v>
      </c>
      <c r="N2119" s="4"/>
    </row>
    <row r="2120" spans="1:17" ht="10.5" hidden="1" x14ac:dyDescent="0.25">
      <c r="A2120" s="8" t="s">
        <v>57</v>
      </c>
      <c r="B2120" s="4" t="s">
        <v>64</v>
      </c>
      <c r="C2120" s="5">
        <v>44498</v>
      </c>
      <c r="D2120" s="4" t="s">
        <v>3561</v>
      </c>
      <c r="E2120" s="4" t="s">
        <v>66</v>
      </c>
      <c r="F2120" s="4" t="s">
        <v>66</v>
      </c>
      <c r="G2120" s="6">
        <v>1840.005696461164</v>
      </c>
      <c r="H2120" s="6">
        <f t="shared" si="35"/>
        <v>1904522.6771558446</v>
      </c>
      <c r="I2120" s="4" t="s">
        <v>94</v>
      </c>
      <c r="J2120" s="4" t="s">
        <v>68</v>
      </c>
      <c r="K2120" s="7">
        <v>1838.55</v>
      </c>
      <c r="L2120" s="4" t="s">
        <v>2127</v>
      </c>
      <c r="M2120" s="4" t="s">
        <v>27</v>
      </c>
      <c r="N2120" s="4"/>
    </row>
    <row r="2121" spans="1:17" ht="10.5" hidden="1" x14ac:dyDescent="0.25">
      <c r="A2121" s="8" t="s">
        <v>57</v>
      </c>
      <c r="B2121" s="4" t="s">
        <v>21</v>
      </c>
      <c r="C2121" s="5">
        <v>44500</v>
      </c>
      <c r="D2121" s="4" t="s">
        <v>3562</v>
      </c>
      <c r="E2121" s="4" t="s">
        <v>3554</v>
      </c>
      <c r="F2121" s="4" t="s">
        <v>3554</v>
      </c>
      <c r="G2121" s="6">
        <v>-140225.39749072905</v>
      </c>
      <c r="H2121" s="6">
        <f t="shared" si="35"/>
        <v>1764297.2796651155</v>
      </c>
      <c r="I2121" s="4"/>
      <c r="J2121" s="4" t="s">
        <v>37</v>
      </c>
      <c r="K2121" s="7">
        <v>-140114.46</v>
      </c>
      <c r="L2121" s="4" t="s">
        <v>2127</v>
      </c>
      <c r="M2121" s="4" t="s">
        <v>27</v>
      </c>
      <c r="N2121" s="4" t="s">
        <v>80</v>
      </c>
    </row>
    <row r="2122" spans="1:17" ht="10.5" hidden="1" x14ac:dyDescent="0.25">
      <c r="A2122" s="8" t="s">
        <v>57</v>
      </c>
      <c r="B2122" s="4" t="s">
        <v>21</v>
      </c>
      <c r="C2122" s="5">
        <v>44500</v>
      </c>
      <c r="D2122" s="4" t="s">
        <v>3563</v>
      </c>
      <c r="E2122" s="4" t="s">
        <v>3564</v>
      </c>
      <c r="F2122" s="4" t="s">
        <v>3564</v>
      </c>
      <c r="G2122" s="6">
        <v>89615.638241077948</v>
      </c>
      <c r="H2122" s="6">
        <f t="shared" si="35"/>
        <v>1853912.9179061935</v>
      </c>
      <c r="I2122" s="4"/>
      <c r="J2122" s="4" t="s">
        <v>37</v>
      </c>
      <c r="K2122" s="7">
        <v>89544.74</v>
      </c>
      <c r="L2122" s="4" t="s">
        <v>2127</v>
      </c>
      <c r="M2122" s="4" t="s">
        <v>27</v>
      </c>
      <c r="N2122" s="4" t="s">
        <v>80</v>
      </c>
    </row>
    <row r="2123" spans="1:17" ht="10.5" hidden="1" x14ac:dyDescent="0.25">
      <c r="A2123" s="8" t="s">
        <v>57</v>
      </c>
      <c r="B2123" s="4" t="s">
        <v>64</v>
      </c>
      <c r="C2123" s="5">
        <v>44503</v>
      </c>
      <c r="D2123" s="4" t="s">
        <v>3565</v>
      </c>
      <c r="E2123" s="4" t="s">
        <v>66</v>
      </c>
      <c r="F2123" s="4" t="s">
        <v>66</v>
      </c>
      <c r="G2123" s="6">
        <v>657.35871227776772</v>
      </c>
      <c r="H2123" s="6">
        <f t="shared" si="35"/>
        <v>1854570.2766184714</v>
      </c>
      <c r="I2123" s="4" t="s">
        <v>164</v>
      </c>
      <c r="J2123" s="4" t="s">
        <v>68</v>
      </c>
      <c r="K2123" s="7">
        <v>657.2</v>
      </c>
      <c r="L2123" s="4" t="s">
        <v>1133</v>
      </c>
      <c r="M2123" s="4" t="s">
        <v>27</v>
      </c>
      <c r="N2123" s="4"/>
    </row>
    <row r="2124" spans="1:17" ht="10.5" hidden="1" x14ac:dyDescent="0.25">
      <c r="A2124" s="8" t="s">
        <v>57</v>
      </c>
      <c r="B2124" s="4" t="s">
        <v>64</v>
      </c>
      <c r="C2124" s="5">
        <v>44512</v>
      </c>
      <c r="D2124" s="4" t="s">
        <v>3566</v>
      </c>
      <c r="E2124" s="4" t="s">
        <v>66</v>
      </c>
      <c r="F2124" s="4" t="s">
        <v>66</v>
      </c>
      <c r="G2124" s="6">
        <v>259.0625479000941</v>
      </c>
      <c r="H2124" s="6">
        <f t="shared" si="35"/>
        <v>1854829.3391663714</v>
      </c>
      <c r="I2124" s="4" t="s">
        <v>82</v>
      </c>
      <c r="J2124" s="4" t="s">
        <v>68</v>
      </c>
      <c r="K2124" s="7">
        <v>259</v>
      </c>
      <c r="L2124" s="4" t="s">
        <v>1133</v>
      </c>
      <c r="M2124" s="4" t="s">
        <v>27</v>
      </c>
      <c r="N2124" s="4"/>
    </row>
    <row r="2125" spans="1:17" ht="10.5" hidden="1" x14ac:dyDescent="0.25">
      <c r="A2125" s="8" t="s">
        <v>57</v>
      </c>
      <c r="B2125" s="4" t="s">
        <v>64</v>
      </c>
      <c r="C2125" s="5">
        <v>44516</v>
      </c>
      <c r="D2125" s="4" t="s">
        <v>3567</v>
      </c>
      <c r="E2125" s="4" t="s">
        <v>66</v>
      </c>
      <c r="F2125" s="4" t="s">
        <v>66</v>
      </c>
      <c r="G2125" s="6">
        <v>873.81097237653364</v>
      </c>
      <c r="H2125" s="6">
        <f t="shared" si="35"/>
        <v>1855703.1501387479</v>
      </c>
      <c r="I2125" s="4" t="s">
        <v>3568</v>
      </c>
      <c r="J2125" s="4" t="s">
        <v>68</v>
      </c>
      <c r="K2125" s="7">
        <v>873.6</v>
      </c>
      <c r="L2125" s="4" t="s">
        <v>1133</v>
      </c>
      <c r="M2125" s="4" t="s">
        <v>27</v>
      </c>
      <c r="N2125" s="4"/>
    </row>
    <row r="2126" spans="1:17" ht="10.5" hidden="1" x14ac:dyDescent="0.25">
      <c r="A2126" s="8" t="s">
        <v>57</v>
      </c>
      <c r="B2126" s="4" t="s">
        <v>64</v>
      </c>
      <c r="C2126" s="5">
        <v>44523</v>
      </c>
      <c r="D2126" s="4" t="s">
        <v>3569</v>
      </c>
      <c r="E2126" s="4" t="s">
        <v>66</v>
      </c>
      <c r="F2126" s="4" t="s">
        <v>66</v>
      </c>
      <c r="G2126" s="6">
        <v>4717.1389030766168</v>
      </c>
      <c r="H2126" s="6">
        <f t="shared" si="35"/>
        <v>1860420.2890418244</v>
      </c>
      <c r="I2126" s="4" t="s">
        <v>3468</v>
      </c>
      <c r="J2126" s="4" t="s">
        <v>68</v>
      </c>
      <c r="K2126" s="7">
        <v>4716</v>
      </c>
      <c r="L2126" s="4" t="s">
        <v>1133</v>
      </c>
      <c r="M2126" s="4" t="s">
        <v>27</v>
      </c>
      <c r="N2126" s="4"/>
    </row>
    <row r="2127" spans="1:17" ht="10.5" hidden="1" x14ac:dyDescent="0.25">
      <c r="A2127" s="8" t="s">
        <v>57</v>
      </c>
      <c r="B2127" s="4" t="s">
        <v>64</v>
      </c>
      <c r="C2127" s="5">
        <v>44523</v>
      </c>
      <c r="D2127" s="4" t="s">
        <v>3570</v>
      </c>
      <c r="E2127" s="4" t="s">
        <v>3571</v>
      </c>
      <c r="F2127" s="4" t="s">
        <v>3571</v>
      </c>
      <c r="G2127" s="6">
        <v>568.1371706843762</v>
      </c>
      <c r="H2127" s="6">
        <f t="shared" si="35"/>
        <v>1860988.4262125087</v>
      </c>
      <c r="I2127" s="4" t="s">
        <v>3468</v>
      </c>
      <c r="J2127" s="4" t="s">
        <v>37</v>
      </c>
      <c r="K2127" s="7">
        <v>568</v>
      </c>
      <c r="L2127" s="4" t="s">
        <v>1133</v>
      </c>
      <c r="M2127" s="4" t="s">
        <v>27</v>
      </c>
      <c r="N2127" s="4"/>
    </row>
    <row r="2128" spans="1:17" ht="10.5" hidden="1" x14ac:dyDescent="0.25">
      <c r="A2128" s="8" t="s">
        <v>57</v>
      </c>
      <c r="B2128" s="4" t="s">
        <v>21</v>
      </c>
      <c r="C2128" s="5">
        <v>44530</v>
      </c>
      <c r="D2128" s="4" t="s">
        <v>3572</v>
      </c>
      <c r="E2128" s="4" t="s">
        <v>3564</v>
      </c>
      <c r="F2128" s="4" t="s">
        <v>3564</v>
      </c>
      <c r="G2128" s="6">
        <v>-89566.364847302975</v>
      </c>
      <c r="H2128" s="6">
        <f t="shared" si="35"/>
        <v>1771422.0613652058</v>
      </c>
      <c r="I2128" s="4"/>
      <c r="J2128" s="4" t="s">
        <v>37</v>
      </c>
      <c r="K2128" s="7">
        <v>-89544.74</v>
      </c>
      <c r="L2128" s="4" t="s">
        <v>1133</v>
      </c>
      <c r="M2128" s="4" t="s">
        <v>27</v>
      </c>
      <c r="N2128" s="4" t="s">
        <v>80</v>
      </c>
    </row>
    <row r="2129" spans="1:17" ht="10.5" hidden="1" x14ac:dyDescent="0.25">
      <c r="A2129" s="8" t="s">
        <v>57</v>
      </c>
      <c r="B2129" s="4" t="s">
        <v>21</v>
      </c>
      <c r="C2129" s="5">
        <v>44530</v>
      </c>
      <c r="D2129" s="4" t="s">
        <v>3573</v>
      </c>
      <c r="E2129" s="4" t="s">
        <v>3574</v>
      </c>
      <c r="F2129" s="4" t="s">
        <v>3574</v>
      </c>
      <c r="G2129" s="6">
        <v>83937.525823917575</v>
      </c>
      <c r="H2129" s="6">
        <f t="shared" si="35"/>
        <v>1855359.5871891233</v>
      </c>
      <c r="I2129" s="4"/>
      <c r="J2129" s="4" t="s">
        <v>37</v>
      </c>
      <c r="K2129" s="7">
        <v>83917.26</v>
      </c>
      <c r="L2129" s="4" t="s">
        <v>1133</v>
      </c>
      <c r="M2129" s="4" t="s">
        <v>27</v>
      </c>
      <c r="N2129" s="4" t="s">
        <v>80</v>
      </c>
    </row>
    <row r="2130" spans="1:17" ht="10.5" x14ac:dyDescent="0.25">
      <c r="A2130" s="8" t="s">
        <v>57</v>
      </c>
      <c r="B2130" s="4" t="s">
        <v>21</v>
      </c>
      <c r="C2130" s="5">
        <v>44530</v>
      </c>
      <c r="D2130" s="4" t="s">
        <v>2137</v>
      </c>
      <c r="E2130" s="4" t="s">
        <v>2138</v>
      </c>
      <c r="F2130" s="4" t="s">
        <v>2138</v>
      </c>
      <c r="G2130" s="6">
        <v>4787.4128927540496</v>
      </c>
      <c r="H2130" s="6">
        <f t="shared" si="35"/>
        <v>1860147.0000818772</v>
      </c>
      <c r="I2130" s="4"/>
      <c r="J2130" s="4" t="s">
        <v>748</v>
      </c>
      <c r="K2130" s="7">
        <v>4183</v>
      </c>
      <c r="L2130" s="4" t="s">
        <v>1133</v>
      </c>
      <c r="M2130" s="4" t="s">
        <v>38</v>
      </c>
      <c r="N2130" s="4" t="s">
        <v>39</v>
      </c>
      <c r="P2130" t="s">
        <v>3826</v>
      </c>
    </row>
    <row r="2131" spans="1:17" ht="10.5" hidden="1" x14ac:dyDescent="0.25">
      <c r="A2131" s="8" t="s">
        <v>57</v>
      </c>
      <c r="B2131" s="4" t="s">
        <v>64</v>
      </c>
      <c r="C2131" s="5">
        <v>44552</v>
      </c>
      <c r="D2131" s="4" t="s">
        <v>3575</v>
      </c>
      <c r="E2131" s="4" t="s">
        <v>3576</v>
      </c>
      <c r="F2131" s="4" t="s">
        <v>3576</v>
      </c>
      <c r="G2131" s="6">
        <v>2513.0077819086732</v>
      </c>
      <c r="H2131" s="6">
        <f t="shared" si="35"/>
        <v>1862660.0078637858</v>
      </c>
      <c r="I2131" s="4" t="s">
        <v>3558</v>
      </c>
      <c r="J2131" s="4" t="s">
        <v>68</v>
      </c>
      <c r="K2131" s="7">
        <v>2507.8000000000002</v>
      </c>
      <c r="L2131" s="4" t="s">
        <v>1036</v>
      </c>
      <c r="M2131" s="4" t="s">
        <v>27</v>
      </c>
      <c r="N2131" s="4"/>
    </row>
    <row r="2132" spans="1:17" ht="10.5" hidden="1" x14ac:dyDescent="0.25">
      <c r="A2132" s="8" t="s">
        <v>57</v>
      </c>
      <c r="B2132" s="4" t="s">
        <v>64</v>
      </c>
      <c r="C2132" s="5">
        <v>44553</v>
      </c>
      <c r="D2132" s="4" t="s">
        <v>3577</v>
      </c>
      <c r="E2132" s="4" t="s">
        <v>66</v>
      </c>
      <c r="F2132" s="4" t="s">
        <v>66</v>
      </c>
      <c r="G2132" s="6">
        <v>265.55030792160397</v>
      </c>
      <c r="H2132" s="6">
        <f t="shared" ref="H2132:H2195" si="36">H2131+G2132</f>
        <v>1862925.5581717074</v>
      </c>
      <c r="I2132" s="4" t="s">
        <v>3468</v>
      </c>
      <c r="J2132" s="4" t="s">
        <v>68</v>
      </c>
      <c r="K2132" s="7">
        <v>265</v>
      </c>
      <c r="L2132" s="4" t="s">
        <v>1036</v>
      </c>
      <c r="M2132" s="4" t="s">
        <v>27</v>
      </c>
      <c r="N2132" s="4"/>
    </row>
    <row r="2133" spans="1:17" ht="10.5" hidden="1" x14ac:dyDescent="0.25">
      <c r="A2133" s="8" t="s">
        <v>57</v>
      </c>
      <c r="B2133" s="4" t="s">
        <v>64</v>
      </c>
      <c r="C2133" s="5">
        <v>44558</v>
      </c>
      <c r="D2133" s="4" t="s">
        <v>3578</v>
      </c>
      <c r="E2133" s="4" t="s">
        <v>3579</v>
      </c>
      <c r="F2133" s="4" t="s">
        <v>3579</v>
      </c>
      <c r="G2133" s="6">
        <v>2032.2114130755201</v>
      </c>
      <c r="H2133" s="6">
        <f t="shared" si="36"/>
        <v>1864957.7695847829</v>
      </c>
      <c r="I2133" s="4" t="s">
        <v>67</v>
      </c>
      <c r="J2133" s="4" t="s">
        <v>68</v>
      </c>
      <c r="K2133" s="7">
        <v>2028</v>
      </c>
      <c r="L2133" s="4" t="s">
        <v>1036</v>
      </c>
      <c r="M2133" s="4" t="s">
        <v>27</v>
      </c>
      <c r="N2133" s="4"/>
    </row>
    <row r="2134" spans="1:17" ht="10.5" hidden="1" x14ac:dyDescent="0.25">
      <c r="A2134" s="8" t="s">
        <v>57</v>
      </c>
      <c r="B2134" s="4" t="s">
        <v>64</v>
      </c>
      <c r="C2134" s="5">
        <v>44560</v>
      </c>
      <c r="D2134" s="4" t="s">
        <v>3580</v>
      </c>
      <c r="E2134" s="4" t="s">
        <v>66</v>
      </c>
      <c r="F2134" s="4" t="s">
        <v>66</v>
      </c>
      <c r="G2134" s="6">
        <v>430.06122887062179</v>
      </c>
      <c r="H2134" s="6">
        <f t="shared" si="36"/>
        <v>1865387.8308136535</v>
      </c>
      <c r="I2134" s="4" t="s">
        <v>97</v>
      </c>
      <c r="J2134" s="4" t="s">
        <v>68</v>
      </c>
      <c r="K2134" s="7">
        <v>429.17</v>
      </c>
      <c r="L2134" s="4" t="s">
        <v>1036</v>
      </c>
      <c r="M2134" s="4" t="s">
        <v>27</v>
      </c>
      <c r="N2134" s="4"/>
    </row>
    <row r="2135" spans="1:17" ht="10.5" hidden="1" x14ac:dyDescent="0.25">
      <c r="A2135" s="8" t="s">
        <v>57</v>
      </c>
      <c r="B2135" s="4" t="s">
        <v>21</v>
      </c>
      <c r="C2135" s="5">
        <v>44561</v>
      </c>
      <c r="D2135" s="4" t="s">
        <v>3581</v>
      </c>
      <c r="E2135" s="4" t="s">
        <v>3574</v>
      </c>
      <c r="F2135" s="4" t="s">
        <v>3574</v>
      </c>
      <c r="G2135" s="6">
        <v>-84091.525407310561</v>
      </c>
      <c r="H2135" s="6">
        <f t="shared" si="36"/>
        <v>1781296.305406343</v>
      </c>
      <c r="I2135" s="4"/>
      <c r="J2135" s="4" t="s">
        <v>37</v>
      </c>
      <c r="K2135" s="7">
        <v>-83917.26</v>
      </c>
      <c r="L2135" s="4" t="s">
        <v>1036</v>
      </c>
      <c r="M2135" s="4" t="s">
        <v>27</v>
      </c>
      <c r="N2135" s="4" t="s">
        <v>80</v>
      </c>
    </row>
    <row r="2136" spans="1:17" ht="10.5" hidden="1" x14ac:dyDescent="0.25">
      <c r="A2136" s="8" t="s">
        <v>57</v>
      </c>
      <c r="B2136" s="4" t="s">
        <v>21</v>
      </c>
      <c r="C2136" s="5">
        <v>44561</v>
      </c>
      <c r="D2136" s="4" t="s">
        <v>3582</v>
      </c>
      <c r="E2136" s="4" t="s">
        <v>79</v>
      </c>
      <c r="F2136" s="4" t="s">
        <v>79</v>
      </c>
      <c r="G2136" s="6">
        <v>113833.49057981931</v>
      </c>
      <c r="H2136" s="6">
        <f t="shared" si="36"/>
        <v>1895129.7959861623</v>
      </c>
      <c r="I2136" s="4"/>
      <c r="J2136" s="4" t="s">
        <v>37</v>
      </c>
      <c r="K2136" s="7">
        <v>113597.59</v>
      </c>
      <c r="L2136" s="4" t="s">
        <v>1036</v>
      </c>
      <c r="M2136" s="4" t="s">
        <v>27</v>
      </c>
      <c r="N2136" s="4" t="s">
        <v>80</v>
      </c>
    </row>
    <row r="2137" spans="1:17" ht="10.5" hidden="1" x14ac:dyDescent="0.25">
      <c r="A2137" s="8" t="s">
        <v>57</v>
      </c>
      <c r="B2137" s="4" t="s">
        <v>21</v>
      </c>
      <c r="C2137" s="5">
        <v>44561</v>
      </c>
      <c r="D2137" s="4" t="s">
        <v>3583</v>
      </c>
      <c r="E2137" s="4" t="s">
        <v>3584</v>
      </c>
      <c r="F2137" s="4" t="s">
        <v>3584</v>
      </c>
      <c r="G2137" s="201">
        <v>106726.6190082993</v>
      </c>
      <c r="H2137" s="6">
        <f t="shared" si="36"/>
        <v>2001856.4149944615</v>
      </c>
      <c r="I2137" s="4"/>
      <c r="J2137" s="4" t="s">
        <v>25</v>
      </c>
      <c r="K2137" s="115">
        <v>94083</v>
      </c>
      <c r="L2137" s="4" t="s">
        <v>1036</v>
      </c>
      <c r="M2137" s="4" t="s">
        <v>61</v>
      </c>
      <c r="N2137" s="4" t="s">
        <v>181</v>
      </c>
      <c r="Q2137" s="4" t="s">
        <v>3653</v>
      </c>
    </row>
    <row r="2138" spans="1:17" ht="10.5" x14ac:dyDescent="0.25">
      <c r="A2138" s="8" t="s">
        <v>57</v>
      </c>
      <c r="B2138" s="4" t="s">
        <v>21</v>
      </c>
      <c r="C2138" s="5">
        <v>44561</v>
      </c>
      <c r="D2138" s="4" t="s">
        <v>2147</v>
      </c>
      <c r="E2138" s="4" t="s">
        <v>2148</v>
      </c>
      <c r="F2138" s="4" t="s">
        <v>2148</v>
      </c>
      <c r="G2138" s="6">
        <v>5298.7259907503594</v>
      </c>
      <c r="H2138" s="6">
        <f t="shared" si="36"/>
        <v>2007155.1409852118</v>
      </c>
      <c r="I2138" s="4"/>
      <c r="J2138" s="4" t="s">
        <v>748</v>
      </c>
      <c r="K2138" s="7">
        <v>4671</v>
      </c>
      <c r="L2138" s="4" t="s">
        <v>1036</v>
      </c>
      <c r="M2138" s="4" t="s">
        <v>38</v>
      </c>
      <c r="N2138" s="4" t="s">
        <v>39</v>
      </c>
      <c r="P2138" t="s">
        <v>3826</v>
      </c>
    </row>
    <row r="2139" spans="1:17" ht="10.5" hidden="1" x14ac:dyDescent="0.25">
      <c r="A2139" s="8" t="s">
        <v>57</v>
      </c>
      <c r="B2139" s="4" t="s">
        <v>21</v>
      </c>
      <c r="C2139" s="5">
        <v>44561</v>
      </c>
      <c r="D2139" s="4" t="s">
        <v>3585</v>
      </c>
      <c r="E2139" s="4" t="s">
        <v>3586</v>
      </c>
      <c r="F2139" s="4" t="s">
        <v>3587</v>
      </c>
      <c r="G2139" s="6">
        <v>13207.860095582306</v>
      </c>
      <c r="H2139" s="6">
        <f t="shared" si="36"/>
        <v>2020363.001080794</v>
      </c>
      <c r="I2139" s="4"/>
      <c r="J2139" s="4" t="s">
        <v>25</v>
      </c>
      <c r="K2139" s="7">
        <v>11643.16</v>
      </c>
      <c r="L2139" s="4" t="s">
        <v>1036</v>
      </c>
      <c r="M2139" s="4" t="s">
        <v>61</v>
      </c>
      <c r="N2139" s="4" t="s">
        <v>181</v>
      </c>
      <c r="Q2139" s="4" t="s">
        <v>3653</v>
      </c>
    </row>
    <row r="2140" spans="1:17" ht="10.5" hidden="1" x14ac:dyDescent="0.25">
      <c r="A2140" s="8" t="s">
        <v>57</v>
      </c>
      <c r="B2140" s="4" t="s">
        <v>21</v>
      </c>
      <c r="C2140" s="5">
        <v>44561</v>
      </c>
      <c r="D2140" s="4" t="s">
        <v>2455</v>
      </c>
      <c r="E2140" s="4" t="s">
        <v>2456</v>
      </c>
      <c r="F2140" s="4" t="s">
        <v>2456</v>
      </c>
      <c r="G2140" s="201">
        <v>-87098.304767675567</v>
      </c>
      <c r="H2140" s="6">
        <f t="shared" si="36"/>
        <v>1933264.6963131186</v>
      </c>
      <c r="I2140" s="4"/>
      <c r="J2140" s="4" t="s">
        <v>37</v>
      </c>
      <c r="K2140" s="128">
        <v>-76780</v>
      </c>
      <c r="L2140" s="4" t="s">
        <v>1036</v>
      </c>
      <c r="M2140" s="4" t="s">
        <v>61</v>
      </c>
      <c r="N2140" s="4" t="s">
        <v>39</v>
      </c>
      <c r="Q2140" s="4" t="s">
        <v>3653</v>
      </c>
    </row>
    <row r="2141" spans="1:17" ht="10.5" hidden="1" x14ac:dyDescent="0.25">
      <c r="A2141" s="8" t="s">
        <v>57</v>
      </c>
      <c r="B2141" s="4" t="s">
        <v>21</v>
      </c>
      <c r="C2141" s="5">
        <v>44562</v>
      </c>
      <c r="D2141" s="4" t="s">
        <v>58</v>
      </c>
      <c r="E2141" s="4" t="s">
        <v>59</v>
      </c>
      <c r="F2141" s="4" t="s">
        <v>59</v>
      </c>
      <c r="G2141" s="6">
        <v>86725.824301620261</v>
      </c>
      <c r="H2141" s="6">
        <f t="shared" si="36"/>
        <v>2019990.5206147388</v>
      </c>
      <c r="I2141" s="4"/>
      <c r="J2141" s="4" t="s">
        <v>37</v>
      </c>
      <c r="K2141" s="7">
        <v>76780</v>
      </c>
      <c r="L2141" s="4" t="s">
        <v>60</v>
      </c>
      <c r="M2141" s="4" t="s">
        <v>61</v>
      </c>
      <c r="N2141" s="4" t="s">
        <v>39</v>
      </c>
    </row>
    <row r="2142" spans="1:17" ht="10.5" hidden="1" x14ac:dyDescent="0.25">
      <c r="A2142" s="8" t="s">
        <v>57</v>
      </c>
      <c r="B2142" s="4" t="s">
        <v>21</v>
      </c>
      <c r="C2142" s="5">
        <v>44562</v>
      </c>
      <c r="D2142" s="4" t="s">
        <v>62</v>
      </c>
      <c r="E2142" s="4" t="s">
        <v>63</v>
      </c>
      <c r="F2142" s="4" t="s">
        <v>63</v>
      </c>
      <c r="G2142" s="6">
        <v>-106270.1970274725</v>
      </c>
      <c r="H2142" s="6">
        <f t="shared" si="36"/>
        <v>1913720.3235872663</v>
      </c>
      <c r="I2142" s="4"/>
      <c r="J2142" s="4" t="s">
        <v>25</v>
      </c>
      <c r="K2142" s="115">
        <v>-94083</v>
      </c>
      <c r="L2142" s="4" t="s">
        <v>60</v>
      </c>
      <c r="M2142" s="4" t="s">
        <v>61</v>
      </c>
      <c r="N2142" s="4" t="s">
        <v>39</v>
      </c>
    </row>
    <row r="2143" spans="1:17" ht="10.5" hidden="1" x14ac:dyDescent="0.25">
      <c r="A2143" s="8" t="s">
        <v>57</v>
      </c>
      <c r="B2143" s="4" t="s">
        <v>64</v>
      </c>
      <c r="C2143" s="5">
        <v>44567</v>
      </c>
      <c r="D2143" s="4" t="s">
        <v>65</v>
      </c>
      <c r="E2143" s="4" t="s">
        <v>66</v>
      </c>
      <c r="F2143" s="4" t="s">
        <v>66</v>
      </c>
      <c r="G2143" s="6">
        <v>7008.3870183865019</v>
      </c>
      <c r="H2143" s="6">
        <f t="shared" si="36"/>
        <v>1920728.7106056528</v>
      </c>
      <c r="I2143" s="4" t="s">
        <v>67</v>
      </c>
      <c r="J2143" s="4" t="s">
        <v>68</v>
      </c>
      <c r="K2143" s="7">
        <v>7000</v>
      </c>
      <c r="L2143" s="4" t="s">
        <v>60</v>
      </c>
      <c r="M2143" s="4" t="s">
        <v>27</v>
      </c>
      <c r="N2143" s="4"/>
    </row>
    <row r="2144" spans="1:17" ht="10.5" hidden="1" x14ac:dyDescent="0.25">
      <c r="A2144" s="8" t="s">
        <v>57</v>
      </c>
      <c r="B2144" s="4" t="s">
        <v>64</v>
      </c>
      <c r="C2144" s="5">
        <v>44568</v>
      </c>
      <c r="D2144" s="4" t="s">
        <v>69</v>
      </c>
      <c r="E2144" s="4" t="s">
        <v>66</v>
      </c>
      <c r="F2144" s="4" t="s">
        <v>66</v>
      </c>
      <c r="G2144" s="6">
        <v>8035.7364594303244</v>
      </c>
      <c r="H2144" s="6">
        <f t="shared" si="36"/>
        <v>1928764.4470650831</v>
      </c>
      <c r="I2144" s="4" t="s">
        <v>70</v>
      </c>
      <c r="J2144" s="4" t="s">
        <v>68</v>
      </c>
      <c r="K2144" s="7">
        <v>8026.12</v>
      </c>
      <c r="L2144" s="4" t="s">
        <v>60</v>
      </c>
      <c r="M2144" s="4" t="s">
        <v>27</v>
      </c>
      <c r="N2144" s="4"/>
    </row>
    <row r="2145" spans="1:14" ht="10.5" hidden="1" x14ac:dyDescent="0.25">
      <c r="A2145" s="8" t="s">
        <v>57</v>
      </c>
      <c r="B2145" s="4" t="s">
        <v>64</v>
      </c>
      <c r="C2145" s="5">
        <v>44572</v>
      </c>
      <c r="D2145" s="4" t="s">
        <v>71</v>
      </c>
      <c r="E2145" s="4" t="s">
        <v>72</v>
      </c>
      <c r="F2145" s="4" t="s">
        <v>72</v>
      </c>
      <c r="G2145" s="6">
        <v>12039.407699442527</v>
      </c>
      <c r="H2145" s="6">
        <f t="shared" si="36"/>
        <v>1940803.8547645255</v>
      </c>
      <c r="I2145" s="4" t="s">
        <v>73</v>
      </c>
      <c r="J2145" s="4" t="s">
        <v>68</v>
      </c>
      <c r="K2145" s="7">
        <v>12025</v>
      </c>
      <c r="L2145" s="4" t="s">
        <v>60</v>
      </c>
      <c r="M2145" s="4" t="s">
        <v>27</v>
      </c>
      <c r="N2145" s="4"/>
    </row>
    <row r="2146" spans="1:14" ht="10.5" hidden="1" x14ac:dyDescent="0.25">
      <c r="A2146" s="8" t="s">
        <v>57</v>
      </c>
      <c r="B2146" s="4" t="s">
        <v>64</v>
      </c>
      <c r="C2146" s="5">
        <v>44582</v>
      </c>
      <c r="D2146" s="4" t="s">
        <v>74</v>
      </c>
      <c r="E2146" s="4" t="s">
        <v>66</v>
      </c>
      <c r="F2146" s="4" t="s">
        <v>66</v>
      </c>
      <c r="G2146" s="6">
        <v>1944.226678714964</v>
      </c>
      <c r="H2146" s="6">
        <f t="shared" si="36"/>
        <v>1942748.0814432404</v>
      </c>
      <c r="I2146" s="4" t="s">
        <v>70</v>
      </c>
      <c r="J2146" s="4" t="s">
        <v>68</v>
      </c>
      <c r="K2146" s="7">
        <v>1941.9</v>
      </c>
      <c r="L2146" s="4" t="s">
        <v>60</v>
      </c>
      <c r="M2146" s="4" t="s">
        <v>27</v>
      </c>
      <c r="N2146" s="4"/>
    </row>
    <row r="2147" spans="1:14" ht="10.5" hidden="1" x14ac:dyDescent="0.25">
      <c r="A2147" s="8" t="s">
        <v>57</v>
      </c>
      <c r="B2147" s="4" t="s">
        <v>64</v>
      </c>
      <c r="C2147" s="5">
        <v>44582</v>
      </c>
      <c r="D2147" s="4" t="s">
        <v>75</v>
      </c>
      <c r="E2147" s="4" t="s">
        <v>66</v>
      </c>
      <c r="F2147" s="4" t="s">
        <v>66</v>
      </c>
      <c r="G2147" s="6">
        <v>1267.1564208500988</v>
      </c>
      <c r="H2147" s="6">
        <f t="shared" si="36"/>
        <v>1944015.2378640906</v>
      </c>
      <c r="I2147" s="4" t="s">
        <v>70</v>
      </c>
      <c r="J2147" s="4" t="s">
        <v>68</v>
      </c>
      <c r="K2147" s="7">
        <v>1265.6400000000001</v>
      </c>
      <c r="L2147" s="4" t="s">
        <v>60</v>
      </c>
      <c r="M2147" s="4" t="s">
        <v>27</v>
      </c>
      <c r="N2147" s="4"/>
    </row>
    <row r="2148" spans="1:14" ht="10.5" hidden="1" x14ac:dyDescent="0.25">
      <c r="A2148" s="8" t="s">
        <v>57</v>
      </c>
      <c r="B2148" s="4" t="s">
        <v>64</v>
      </c>
      <c r="C2148" s="5">
        <v>44588</v>
      </c>
      <c r="D2148" s="4" t="s">
        <v>76</v>
      </c>
      <c r="E2148" s="4" t="s">
        <v>77</v>
      </c>
      <c r="F2148" s="4" t="s">
        <v>77</v>
      </c>
      <c r="G2148" s="6">
        <v>2502.995363709465</v>
      </c>
      <c r="H2148" s="6">
        <f t="shared" si="36"/>
        <v>1946518.2332278001</v>
      </c>
      <c r="I2148" s="4" t="s">
        <v>67</v>
      </c>
      <c r="J2148" s="4" t="s">
        <v>68</v>
      </c>
      <c r="K2148" s="7">
        <v>2500</v>
      </c>
      <c r="L2148" s="4" t="s">
        <v>60</v>
      </c>
      <c r="M2148" s="4" t="s">
        <v>27</v>
      </c>
      <c r="N2148" s="4"/>
    </row>
    <row r="2149" spans="1:14" ht="10.5" hidden="1" x14ac:dyDescent="0.25">
      <c r="A2149" s="8" t="s">
        <v>57</v>
      </c>
      <c r="B2149" s="4" t="s">
        <v>21</v>
      </c>
      <c r="C2149" s="5">
        <v>44592</v>
      </c>
      <c r="D2149" s="4" t="s">
        <v>78</v>
      </c>
      <c r="E2149" s="4" t="s">
        <v>79</v>
      </c>
      <c r="F2149" s="4" t="s">
        <v>79</v>
      </c>
      <c r="G2149" s="6">
        <v>-113733.69643942747</v>
      </c>
      <c r="H2149" s="6">
        <f t="shared" si="36"/>
        <v>1832784.5367883726</v>
      </c>
      <c r="I2149" s="4"/>
      <c r="J2149" s="4" t="s">
        <v>37</v>
      </c>
      <c r="K2149" s="7">
        <v>-113597.59</v>
      </c>
      <c r="L2149" s="4" t="s">
        <v>60</v>
      </c>
      <c r="M2149" s="4" t="s">
        <v>27</v>
      </c>
      <c r="N2149" s="4" t="s">
        <v>80</v>
      </c>
    </row>
    <row r="2150" spans="1:14" ht="10.5" hidden="1" x14ac:dyDescent="0.25">
      <c r="A2150" s="8" t="s">
        <v>57</v>
      </c>
      <c r="B2150" s="4" t="s">
        <v>64</v>
      </c>
      <c r="C2150" s="5">
        <v>44592</v>
      </c>
      <c r="D2150" s="4" t="s">
        <v>81</v>
      </c>
      <c r="E2150" s="4" t="s">
        <v>66</v>
      </c>
      <c r="F2150" s="4" t="s">
        <v>66</v>
      </c>
      <c r="G2150" s="6">
        <v>23.428036604320592</v>
      </c>
      <c r="H2150" s="6">
        <f t="shared" si="36"/>
        <v>1832807.9648249769</v>
      </c>
      <c r="I2150" s="4" t="s">
        <v>82</v>
      </c>
      <c r="J2150" s="4" t="s">
        <v>68</v>
      </c>
      <c r="K2150" s="7">
        <v>23.4</v>
      </c>
      <c r="L2150" s="4" t="s">
        <v>60</v>
      </c>
      <c r="M2150" s="4" t="s">
        <v>27</v>
      </c>
      <c r="N2150" s="4"/>
    </row>
    <row r="2151" spans="1:14" ht="10.5" hidden="1" x14ac:dyDescent="0.25">
      <c r="A2151" s="8" t="s">
        <v>57</v>
      </c>
      <c r="B2151" s="4" t="s">
        <v>21</v>
      </c>
      <c r="C2151" s="5">
        <v>44592</v>
      </c>
      <c r="D2151" s="4" t="s">
        <v>83</v>
      </c>
      <c r="E2151" s="4" t="s">
        <v>84</v>
      </c>
      <c r="F2151" s="4" t="s">
        <v>84</v>
      </c>
      <c r="G2151" s="6">
        <v>98970.509161233393</v>
      </c>
      <c r="H2151" s="6">
        <f t="shared" si="36"/>
        <v>1931778.4739862103</v>
      </c>
      <c r="I2151" s="4"/>
      <c r="J2151" s="4" t="s">
        <v>37</v>
      </c>
      <c r="K2151" s="7">
        <v>98852.07</v>
      </c>
      <c r="L2151" s="4" t="s">
        <v>60</v>
      </c>
      <c r="M2151" s="4" t="s">
        <v>27</v>
      </c>
      <c r="N2151" s="4" t="s">
        <v>80</v>
      </c>
    </row>
    <row r="2152" spans="1:14" ht="10.5" hidden="1" x14ac:dyDescent="0.25">
      <c r="A2152" s="8" t="s">
        <v>57</v>
      </c>
      <c r="B2152" s="4" t="s">
        <v>21</v>
      </c>
      <c r="C2152" s="5">
        <v>44592</v>
      </c>
      <c r="D2152" s="4" t="s">
        <v>85</v>
      </c>
      <c r="E2152" s="4" t="s">
        <v>86</v>
      </c>
      <c r="F2152" s="4" t="s">
        <v>86</v>
      </c>
      <c r="G2152" s="6">
        <v>119621.32027890714</v>
      </c>
      <c r="H2152" s="6">
        <f t="shared" si="36"/>
        <v>2051399.7942651175</v>
      </c>
      <c r="I2152" s="4"/>
      <c r="J2152" s="4" t="s">
        <v>25</v>
      </c>
      <c r="K2152" s="243">
        <v>105903</v>
      </c>
      <c r="L2152" s="4" t="s">
        <v>60</v>
      </c>
      <c r="M2152" s="4" t="s">
        <v>61</v>
      </c>
      <c r="N2152" s="4" t="s">
        <v>39</v>
      </c>
    </row>
    <row r="2153" spans="1:14" ht="10.5" hidden="1" x14ac:dyDescent="0.25">
      <c r="A2153" s="8" t="s">
        <v>57</v>
      </c>
      <c r="B2153" s="4" t="s">
        <v>21</v>
      </c>
      <c r="C2153" s="5">
        <v>44592</v>
      </c>
      <c r="D2153" s="4" t="s">
        <v>87</v>
      </c>
      <c r="E2153" s="4" t="s">
        <v>88</v>
      </c>
      <c r="F2153" s="4" t="s">
        <v>88</v>
      </c>
      <c r="G2153" s="6">
        <v>27749.2366182855</v>
      </c>
      <c r="H2153" s="6">
        <f t="shared" si="36"/>
        <v>2079149.030883403</v>
      </c>
      <c r="I2153" s="4"/>
      <c r="J2153" s="4" t="s">
        <v>25</v>
      </c>
      <c r="K2153" s="243">
        <v>24566.92</v>
      </c>
      <c r="L2153" s="4" t="s">
        <v>60</v>
      </c>
      <c r="M2153" s="4" t="s">
        <v>61</v>
      </c>
      <c r="N2153" s="4" t="s">
        <v>39</v>
      </c>
    </row>
    <row r="2154" spans="1:14" ht="10.5" hidden="1" x14ac:dyDescent="0.25">
      <c r="A2154" s="8" t="s">
        <v>57</v>
      </c>
      <c r="B2154" s="4" t="s">
        <v>21</v>
      </c>
      <c r="C2154" s="5">
        <v>44592</v>
      </c>
      <c r="D2154" s="4" t="s">
        <v>89</v>
      </c>
      <c r="E2154" s="4" t="s">
        <v>90</v>
      </c>
      <c r="F2154" s="4" t="s">
        <v>90</v>
      </c>
      <c r="G2154" s="6">
        <v>-100076.9475530549</v>
      </c>
      <c r="H2154" s="6">
        <f t="shared" si="36"/>
        <v>1979072.0833303481</v>
      </c>
      <c r="I2154" s="4"/>
      <c r="J2154" s="4" t="s">
        <v>25</v>
      </c>
      <c r="K2154" s="115">
        <v>-88600</v>
      </c>
      <c r="L2154" s="4" t="s">
        <v>60</v>
      </c>
      <c r="M2154" s="4" t="s">
        <v>61</v>
      </c>
      <c r="N2154" s="4" t="s">
        <v>39</v>
      </c>
    </row>
    <row r="2155" spans="1:14" ht="10.5" hidden="1" x14ac:dyDescent="0.25">
      <c r="A2155" s="8" t="s">
        <v>57</v>
      </c>
      <c r="B2155" s="4" t="s">
        <v>64</v>
      </c>
      <c r="C2155" s="5">
        <v>44593</v>
      </c>
      <c r="D2155" s="4" t="s">
        <v>91</v>
      </c>
      <c r="E2155" s="4" t="s">
        <v>66</v>
      </c>
      <c r="F2155" s="4" t="s">
        <v>66</v>
      </c>
      <c r="G2155" s="6">
        <v>7112.8634448333187</v>
      </c>
      <c r="H2155" s="6">
        <f t="shared" si="36"/>
        <v>1986184.9467751815</v>
      </c>
      <c r="I2155" s="4" t="s">
        <v>70</v>
      </c>
      <c r="J2155" s="4" t="s">
        <v>68</v>
      </c>
      <c r="K2155" s="7">
        <v>7128.84</v>
      </c>
      <c r="L2155" s="4" t="s">
        <v>26</v>
      </c>
      <c r="M2155" s="4" t="s">
        <v>27</v>
      </c>
      <c r="N2155" s="4"/>
    </row>
    <row r="2156" spans="1:14" ht="10.5" hidden="1" x14ac:dyDescent="0.25">
      <c r="A2156" s="8" t="s">
        <v>57</v>
      </c>
      <c r="B2156" s="4" t="s">
        <v>21</v>
      </c>
      <c r="C2156" s="5">
        <v>44593</v>
      </c>
      <c r="D2156" s="4" t="s">
        <v>92</v>
      </c>
      <c r="E2156" s="4" t="s">
        <v>88</v>
      </c>
      <c r="F2156" s="4" t="s">
        <v>88</v>
      </c>
      <c r="G2156" s="6">
        <v>-27703.497706287417</v>
      </c>
      <c r="H2156" s="6">
        <f t="shared" si="36"/>
        <v>1958481.4490688941</v>
      </c>
      <c r="I2156" s="4"/>
      <c r="J2156" s="4" t="s">
        <v>25</v>
      </c>
      <c r="K2156" s="243">
        <v>-24566.92</v>
      </c>
      <c r="L2156" s="4" t="s">
        <v>26</v>
      </c>
      <c r="M2156" s="4" t="s">
        <v>61</v>
      </c>
      <c r="N2156" s="4" t="s">
        <v>39</v>
      </c>
    </row>
    <row r="2157" spans="1:14" ht="10.5" hidden="1" x14ac:dyDescent="0.25">
      <c r="A2157" s="8" t="s">
        <v>57</v>
      </c>
      <c r="B2157" s="4" t="s">
        <v>64</v>
      </c>
      <c r="C2157" s="5">
        <v>44607</v>
      </c>
      <c r="D2157" s="4" t="s">
        <v>93</v>
      </c>
      <c r="E2157" s="4" t="s">
        <v>66</v>
      </c>
      <c r="F2157" s="4" t="s">
        <v>66</v>
      </c>
      <c r="G2157" s="6">
        <v>269.76406955122917</v>
      </c>
      <c r="H2157" s="6">
        <f t="shared" si="36"/>
        <v>1958751.2131384453</v>
      </c>
      <c r="I2157" s="4" t="s">
        <v>94</v>
      </c>
      <c r="J2157" s="4" t="s">
        <v>68</v>
      </c>
      <c r="K2157" s="7">
        <v>270.37</v>
      </c>
      <c r="L2157" s="4" t="s">
        <v>26</v>
      </c>
      <c r="M2157" s="4" t="s">
        <v>27</v>
      </c>
      <c r="N2157" s="4"/>
    </row>
    <row r="2158" spans="1:14" ht="10.5" hidden="1" x14ac:dyDescent="0.25">
      <c r="A2158" s="8" t="s">
        <v>57</v>
      </c>
      <c r="B2158" s="4" t="s">
        <v>64</v>
      </c>
      <c r="C2158" s="5">
        <v>44608</v>
      </c>
      <c r="D2158" s="4" t="s">
        <v>95</v>
      </c>
      <c r="E2158" s="4" t="s">
        <v>66</v>
      </c>
      <c r="F2158" s="4" t="s">
        <v>66</v>
      </c>
      <c r="G2158" s="6">
        <v>2158.1524667652056</v>
      </c>
      <c r="H2158" s="6">
        <f t="shared" si="36"/>
        <v>1960909.3656052104</v>
      </c>
      <c r="I2158" s="4" t="s">
        <v>94</v>
      </c>
      <c r="J2158" s="4" t="s">
        <v>68</v>
      </c>
      <c r="K2158" s="7">
        <v>2163</v>
      </c>
      <c r="L2158" s="4" t="s">
        <v>26</v>
      </c>
      <c r="M2158" s="4" t="s">
        <v>27</v>
      </c>
      <c r="N2158" s="4"/>
    </row>
    <row r="2159" spans="1:14" ht="10.5" hidden="1" x14ac:dyDescent="0.25">
      <c r="A2159" s="8" t="s">
        <v>57</v>
      </c>
      <c r="B2159" s="4" t="s">
        <v>64</v>
      </c>
      <c r="C2159" s="5">
        <v>44614</v>
      </c>
      <c r="D2159" s="4" t="s">
        <v>96</v>
      </c>
      <c r="E2159" s="4" t="s">
        <v>66</v>
      </c>
      <c r="F2159" s="4" t="s">
        <v>66</v>
      </c>
      <c r="G2159" s="6">
        <v>6847.7688868606665</v>
      </c>
      <c r="H2159" s="6">
        <f t="shared" si="36"/>
        <v>1967757.1344920711</v>
      </c>
      <c r="I2159" s="4" t="s">
        <v>97</v>
      </c>
      <c r="J2159" s="4" t="s">
        <v>68</v>
      </c>
      <c r="K2159" s="7">
        <v>6863.15</v>
      </c>
      <c r="L2159" s="4" t="s">
        <v>26</v>
      </c>
      <c r="M2159" s="4" t="s">
        <v>27</v>
      </c>
      <c r="N2159" s="4"/>
    </row>
    <row r="2160" spans="1:14" ht="10.5" hidden="1" x14ac:dyDescent="0.25">
      <c r="A2160" s="8" t="s">
        <v>57</v>
      </c>
      <c r="B2160" s="4" t="s">
        <v>21</v>
      </c>
      <c r="C2160" s="5">
        <v>44620</v>
      </c>
      <c r="D2160" s="4" t="s">
        <v>98</v>
      </c>
      <c r="E2160" s="4" t="s">
        <v>84</v>
      </c>
      <c r="F2160" s="4" t="s">
        <v>84</v>
      </c>
      <c r="G2160" s="6">
        <v>-98630.531075056308</v>
      </c>
      <c r="H2160" s="6">
        <f t="shared" si="36"/>
        <v>1869126.6034170147</v>
      </c>
      <c r="I2160" s="4"/>
      <c r="J2160" s="4" t="s">
        <v>37</v>
      </c>
      <c r="K2160" s="7">
        <v>-98852.07</v>
      </c>
      <c r="L2160" s="4" t="s">
        <v>26</v>
      </c>
      <c r="M2160" s="4" t="s">
        <v>27</v>
      </c>
      <c r="N2160" s="4" t="s">
        <v>80</v>
      </c>
    </row>
    <row r="2161" spans="1:14" ht="10.5" hidden="1" x14ac:dyDescent="0.25">
      <c r="A2161" s="8" t="s">
        <v>57</v>
      </c>
      <c r="B2161" s="4" t="s">
        <v>21</v>
      </c>
      <c r="C2161" s="5">
        <v>44620</v>
      </c>
      <c r="D2161" s="4" t="s">
        <v>99</v>
      </c>
      <c r="E2161" s="4" t="s">
        <v>100</v>
      </c>
      <c r="F2161" s="4" t="s">
        <v>100</v>
      </c>
      <c r="G2161" s="6">
        <v>86095.676233865393</v>
      </c>
      <c r="H2161" s="6">
        <f t="shared" si="36"/>
        <v>1955222.27965088</v>
      </c>
      <c r="I2161" s="4"/>
      <c r="J2161" s="4" t="s">
        <v>37</v>
      </c>
      <c r="K2161" s="7">
        <v>86289.06</v>
      </c>
      <c r="L2161" s="4" t="s">
        <v>26</v>
      </c>
      <c r="M2161" s="4" t="s">
        <v>27</v>
      </c>
      <c r="N2161" s="4" t="s">
        <v>80</v>
      </c>
    </row>
    <row r="2162" spans="1:14" ht="10.5" hidden="1" x14ac:dyDescent="0.25">
      <c r="A2162" s="8" t="s">
        <v>57</v>
      </c>
      <c r="B2162" s="4" t="s">
        <v>21</v>
      </c>
      <c r="C2162" s="5">
        <v>44620</v>
      </c>
      <c r="D2162" s="4" t="s">
        <v>101</v>
      </c>
      <c r="E2162" s="4" t="s">
        <v>88</v>
      </c>
      <c r="F2162" s="4" t="s">
        <v>88</v>
      </c>
      <c r="G2162" s="6">
        <v>55406.984135826388</v>
      </c>
      <c r="H2162" s="6">
        <f t="shared" si="36"/>
        <v>2010629.2637867064</v>
      </c>
      <c r="I2162" s="4"/>
      <c r="J2162" s="4" t="s">
        <v>25</v>
      </c>
      <c r="K2162" s="243">
        <v>49133.83</v>
      </c>
      <c r="L2162" s="4" t="s">
        <v>26</v>
      </c>
      <c r="M2162" s="4" t="s">
        <v>61</v>
      </c>
      <c r="N2162" s="4" t="s">
        <v>39</v>
      </c>
    </row>
    <row r="2163" spans="1:14" ht="10.5" x14ac:dyDescent="0.25">
      <c r="A2163" s="8" t="s">
        <v>57</v>
      </c>
      <c r="B2163" s="4" t="s">
        <v>21</v>
      </c>
      <c r="C2163" s="5">
        <v>44620</v>
      </c>
      <c r="D2163" s="4" t="s">
        <v>35</v>
      </c>
      <c r="E2163" s="4" t="s">
        <v>36</v>
      </c>
      <c r="F2163" s="4" t="s">
        <v>36</v>
      </c>
      <c r="G2163" s="6">
        <v>5406.0732075466476</v>
      </c>
      <c r="H2163" s="6">
        <f t="shared" si="36"/>
        <v>2016035.3369942531</v>
      </c>
      <c r="I2163" s="4"/>
      <c r="J2163" s="4" t="s">
        <v>37</v>
      </c>
      <c r="K2163" s="7">
        <v>4794</v>
      </c>
      <c r="L2163" s="4" t="s">
        <v>26</v>
      </c>
      <c r="M2163" s="4" t="s">
        <v>38</v>
      </c>
      <c r="N2163" s="4" t="s">
        <v>39</v>
      </c>
    </row>
    <row r="2164" spans="1:14" ht="10.5" hidden="1" x14ac:dyDescent="0.25">
      <c r="A2164" s="8" t="s">
        <v>57</v>
      </c>
      <c r="B2164" s="4" t="s">
        <v>21</v>
      </c>
      <c r="C2164" s="5">
        <v>44621</v>
      </c>
      <c r="D2164" s="4" t="s">
        <v>102</v>
      </c>
      <c r="E2164" s="4" t="s">
        <v>88</v>
      </c>
      <c r="F2164" s="4" t="s">
        <v>88</v>
      </c>
      <c r="G2164" s="6">
        <v>-54501.900704685184</v>
      </c>
      <c r="H2164" s="6">
        <f t="shared" si="36"/>
        <v>1961533.436289568</v>
      </c>
      <c r="I2164" s="4"/>
      <c r="J2164" s="4" t="s">
        <v>25</v>
      </c>
      <c r="K2164" s="243">
        <v>-49133.83</v>
      </c>
      <c r="L2164" s="4" t="s">
        <v>42</v>
      </c>
      <c r="M2164" s="4" t="s">
        <v>61</v>
      </c>
      <c r="N2164" s="4" t="s">
        <v>39</v>
      </c>
    </row>
    <row r="2165" spans="1:14" ht="10.5" hidden="1" x14ac:dyDescent="0.25">
      <c r="A2165" s="8" t="s">
        <v>57</v>
      </c>
      <c r="B2165" s="4" t="s">
        <v>64</v>
      </c>
      <c r="C2165" s="5">
        <v>44644</v>
      </c>
      <c r="D2165" s="4" t="s">
        <v>103</v>
      </c>
      <c r="E2165" s="4" t="s">
        <v>104</v>
      </c>
      <c r="F2165" s="4" t="s">
        <v>104</v>
      </c>
      <c r="G2165" s="6">
        <v>983.38898908483839</v>
      </c>
      <c r="H2165" s="6">
        <f t="shared" si="36"/>
        <v>1962516.8252786528</v>
      </c>
      <c r="I2165" s="4" t="s">
        <v>105</v>
      </c>
      <c r="J2165" s="4" t="s">
        <v>68</v>
      </c>
      <c r="K2165" s="7">
        <v>982.8</v>
      </c>
      <c r="L2165" s="4" t="s">
        <v>42</v>
      </c>
      <c r="M2165" s="4" t="s">
        <v>27</v>
      </c>
      <c r="N2165" s="4"/>
    </row>
    <row r="2166" spans="1:14" ht="10.5" hidden="1" x14ac:dyDescent="0.25">
      <c r="A2166" s="8" t="s">
        <v>57</v>
      </c>
      <c r="B2166" s="4" t="s">
        <v>64</v>
      </c>
      <c r="C2166" s="5">
        <v>44650</v>
      </c>
      <c r="D2166" s="4" t="s">
        <v>106</v>
      </c>
      <c r="E2166" s="4" t="s">
        <v>66</v>
      </c>
      <c r="F2166" s="4" t="s">
        <v>66</v>
      </c>
      <c r="G2166" s="6">
        <v>1082.1481396980594</v>
      </c>
      <c r="H2166" s="6">
        <f t="shared" si="36"/>
        <v>1963598.9734183508</v>
      </c>
      <c r="I2166" s="4" t="s">
        <v>94</v>
      </c>
      <c r="J2166" s="4" t="s">
        <v>68</v>
      </c>
      <c r="K2166" s="7">
        <v>1081.5</v>
      </c>
      <c r="L2166" s="4" t="s">
        <v>42</v>
      </c>
      <c r="M2166" s="4" t="s">
        <v>27</v>
      </c>
      <c r="N2166" s="4"/>
    </row>
    <row r="2167" spans="1:14" ht="10.5" hidden="1" x14ac:dyDescent="0.25">
      <c r="A2167" s="8" t="s">
        <v>57</v>
      </c>
      <c r="B2167" s="4" t="s">
        <v>64</v>
      </c>
      <c r="C2167" s="5">
        <v>44650</v>
      </c>
      <c r="D2167" s="4" t="s">
        <v>107</v>
      </c>
      <c r="E2167" s="4" t="s">
        <v>108</v>
      </c>
      <c r="F2167" s="4" t="s">
        <v>108</v>
      </c>
      <c r="G2167" s="6">
        <v>1943.0637748309398</v>
      </c>
      <c r="H2167" s="6">
        <f t="shared" si="36"/>
        <v>1965542.0371931817</v>
      </c>
      <c r="I2167" s="4" t="s">
        <v>70</v>
      </c>
      <c r="J2167" s="4" t="s">
        <v>68</v>
      </c>
      <c r="K2167" s="7">
        <v>1941.9</v>
      </c>
      <c r="L2167" s="4" t="s">
        <v>42</v>
      </c>
      <c r="M2167" s="4" t="s">
        <v>27</v>
      </c>
      <c r="N2167" s="4"/>
    </row>
    <row r="2168" spans="1:14" ht="10.5" hidden="1" x14ac:dyDescent="0.25">
      <c r="A2168" s="8" t="s">
        <v>57</v>
      </c>
      <c r="B2168" s="4" t="s">
        <v>21</v>
      </c>
      <c r="C2168" s="5">
        <v>44651</v>
      </c>
      <c r="D2168" s="4" t="s">
        <v>109</v>
      </c>
      <c r="E2168" s="4" t="s">
        <v>100</v>
      </c>
      <c r="F2168" s="4" t="s">
        <v>100</v>
      </c>
      <c r="G2168" s="6">
        <v>-86340.772774197147</v>
      </c>
      <c r="H2168" s="6">
        <f t="shared" si="36"/>
        <v>1879201.2644189845</v>
      </c>
      <c r="I2168" s="4"/>
      <c r="J2168" s="4" t="s">
        <v>37</v>
      </c>
      <c r="K2168" s="7">
        <v>-86289.06</v>
      </c>
      <c r="L2168" s="4" t="s">
        <v>42</v>
      </c>
      <c r="M2168" s="4" t="s">
        <v>27</v>
      </c>
      <c r="N2168" s="4" t="s">
        <v>80</v>
      </c>
    </row>
    <row r="2169" spans="1:14" ht="10.5" hidden="1" x14ac:dyDescent="0.25">
      <c r="A2169" s="8" t="s">
        <v>57</v>
      </c>
      <c r="B2169" s="4" t="s">
        <v>21</v>
      </c>
      <c r="C2169" s="5">
        <v>44651</v>
      </c>
      <c r="D2169" s="4" t="s">
        <v>110</v>
      </c>
      <c r="E2169" s="4" t="s">
        <v>111</v>
      </c>
      <c r="F2169" s="4" t="s">
        <v>111</v>
      </c>
      <c r="G2169" s="6">
        <v>91725.617962881268</v>
      </c>
      <c r="H2169" s="6">
        <f t="shared" si="36"/>
        <v>1970926.8823818658</v>
      </c>
      <c r="I2169" s="4"/>
      <c r="J2169" s="4" t="s">
        <v>37</v>
      </c>
      <c r="K2169" s="7">
        <v>91670.68</v>
      </c>
      <c r="L2169" s="4" t="s">
        <v>42</v>
      </c>
      <c r="M2169" s="4" t="s">
        <v>27</v>
      </c>
      <c r="N2169" s="4" t="s">
        <v>80</v>
      </c>
    </row>
    <row r="2170" spans="1:14" ht="10.5" hidden="1" x14ac:dyDescent="0.25">
      <c r="A2170" s="8" t="s">
        <v>57</v>
      </c>
      <c r="B2170" s="4" t="s">
        <v>21</v>
      </c>
      <c r="C2170" s="5">
        <v>44651</v>
      </c>
      <c r="D2170" s="4" t="s">
        <v>112</v>
      </c>
      <c r="E2170" s="4" t="s">
        <v>113</v>
      </c>
      <c r="F2170" s="4" t="s">
        <v>114</v>
      </c>
      <c r="G2170" s="6">
        <v>81752.856603298118</v>
      </c>
      <c r="H2170" s="6">
        <f t="shared" si="36"/>
        <v>2052679.7389851639</v>
      </c>
      <c r="I2170" s="4"/>
      <c r="J2170" s="4" t="s">
        <v>25</v>
      </c>
      <c r="K2170" s="243">
        <v>73700.75</v>
      </c>
      <c r="L2170" s="4" t="s">
        <v>42</v>
      </c>
      <c r="M2170" s="4" t="s">
        <v>61</v>
      </c>
      <c r="N2170" s="4" t="s">
        <v>39</v>
      </c>
    </row>
    <row r="2171" spans="1:14" ht="10.5" x14ac:dyDescent="0.25">
      <c r="A2171" s="8" t="s">
        <v>57</v>
      </c>
      <c r="B2171" s="4" t="s">
        <v>21</v>
      </c>
      <c r="C2171" s="5">
        <v>44651</v>
      </c>
      <c r="D2171" s="4" t="s">
        <v>40</v>
      </c>
      <c r="E2171" s="4" t="s">
        <v>41</v>
      </c>
      <c r="F2171" s="4" t="s">
        <v>41</v>
      </c>
      <c r="G2171" s="6">
        <v>3893.4817715908775</v>
      </c>
      <c r="H2171" s="6">
        <f t="shared" si="36"/>
        <v>2056573.2207567547</v>
      </c>
      <c r="I2171" s="4"/>
      <c r="J2171" s="4" t="s">
        <v>25</v>
      </c>
      <c r="K2171" s="7">
        <v>3510</v>
      </c>
      <c r="L2171" s="4" t="s">
        <v>42</v>
      </c>
      <c r="M2171" s="4" t="s">
        <v>38</v>
      </c>
      <c r="N2171" s="4" t="s">
        <v>39</v>
      </c>
    </row>
    <row r="2172" spans="1:14" ht="10.5" hidden="1" x14ac:dyDescent="0.25">
      <c r="A2172" s="8" t="s">
        <v>57</v>
      </c>
      <c r="B2172" s="4" t="s">
        <v>21</v>
      </c>
      <c r="C2172" s="5">
        <v>44651</v>
      </c>
      <c r="D2172" s="4" t="s">
        <v>115</v>
      </c>
      <c r="E2172" s="4" t="s">
        <v>116</v>
      </c>
      <c r="F2172" s="4" t="s">
        <v>116</v>
      </c>
      <c r="G2172" s="6">
        <v>22216</v>
      </c>
      <c r="H2172" s="6">
        <f t="shared" si="36"/>
        <v>2078789.2207567547</v>
      </c>
      <c r="I2172" s="4"/>
      <c r="J2172" s="4" t="s">
        <v>25</v>
      </c>
      <c r="K2172" s="7">
        <v>22216</v>
      </c>
      <c r="L2172" s="4" t="s">
        <v>42</v>
      </c>
      <c r="M2172" s="4" t="s">
        <v>117</v>
      </c>
      <c r="N2172" s="4" t="s">
        <v>118</v>
      </c>
    </row>
    <row r="2173" spans="1:14" ht="10.5" hidden="1" x14ac:dyDescent="0.25">
      <c r="A2173" s="8" t="s">
        <v>57</v>
      </c>
      <c r="B2173" s="4" t="s">
        <v>21</v>
      </c>
      <c r="C2173" s="5">
        <v>44652</v>
      </c>
      <c r="D2173" s="4" t="s">
        <v>119</v>
      </c>
      <c r="E2173" s="4" t="s">
        <v>113</v>
      </c>
      <c r="F2173" s="4" t="s">
        <v>114</v>
      </c>
      <c r="G2173" s="6">
        <v>-79011.763309859074</v>
      </c>
      <c r="H2173" s="6">
        <f t="shared" si="36"/>
        <v>1999777.4574468958</v>
      </c>
      <c r="I2173" s="4"/>
      <c r="J2173" s="4" t="s">
        <v>25</v>
      </c>
      <c r="K2173" s="243">
        <v>-73700.75</v>
      </c>
      <c r="L2173" s="4" t="s">
        <v>45</v>
      </c>
      <c r="M2173" s="4" t="s">
        <v>61</v>
      </c>
      <c r="N2173" s="4" t="s">
        <v>39</v>
      </c>
    </row>
    <row r="2174" spans="1:14" ht="10.5" hidden="1" x14ac:dyDescent="0.25">
      <c r="A2174" s="8" t="s">
        <v>57</v>
      </c>
      <c r="B2174" s="4" t="s">
        <v>64</v>
      </c>
      <c r="C2174" s="5">
        <v>44656</v>
      </c>
      <c r="D2174" s="4" t="s">
        <v>120</v>
      </c>
      <c r="E2174" s="4" t="s">
        <v>66</v>
      </c>
      <c r="F2174" s="4" t="s">
        <v>66</v>
      </c>
      <c r="G2174" s="6">
        <v>3246.0661048566144</v>
      </c>
      <c r="H2174" s="6">
        <f t="shared" si="36"/>
        <v>2003023.5235517523</v>
      </c>
      <c r="I2174" s="4" t="s">
        <v>121</v>
      </c>
      <c r="J2174" s="4" t="s">
        <v>68</v>
      </c>
      <c r="K2174" s="7">
        <v>3266.81</v>
      </c>
      <c r="L2174" s="4" t="s">
        <v>45</v>
      </c>
      <c r="M2174" s="4" t="s">
        <v>27</v>
      </c>
      <c r="N2174" s="4"/>
    </row>
    <row r="2175" spans="1:14" ht="10.5" hidden="1" x14ac:dyDescent="0.25">
      <c r="A2175" s="8" t="s">
        <v>57</v>
      </c>
      <c r="B2175" s="4" t="s">
        <v>64</v>
      </c>
      <c r="C2175" s="5">
        <v>44659</v>
      </c>
      <c r="D2175" s="4" t="s">
        <v>122</v>
      </c>
      <c r="E2175" s="4" t="s">
        <v>66</v>
      </c>
      <c r="F2175" s="4" t="s">
        <v>66</v>
      </c>
      <c r="G2175" s="6">
        <v>606.52402509006561</v>
      </c>
      <c r="H2175" s="6">
        <f t="shared" si="36"/>
        <v>2003630.0475768424</v>
      </c>
      <c r="I2175" s="4" t="s">
        <v>82</v>
      </c>
      <c r="J2175" s="4" t="s">
        <v>68</v>
      </c>
      <c r="K2175" s="7">
        <v>610.4</v>
      </c>
      <c r="L2175" s="4" t="s">
        <v>45</v>
      </c>
      <c r="M2175" s="4" t="s">
        <v>27</v>
      </c>
      <c r="N2175" s="4"/>
    </row>
    <row r="2176" spans="1:14" ht="10.5" hidden="1" x14ac:dyDescent="0.25">
      <c r="A2176" s="8" t="s">
        <v>57</v>
      </c>
      <c r="B2176" s="4" t="s">
        <v>64</v>
      </c>
      <c r="C2176" s="5">
        <v>44677</v>
      </c>
      <c r="D2176" s="4" t="s">
        <v>123</v>
      </c>
      <c r="E2176" s="4" t="s">
        <v>66</v>
      </c>
      <c r="F2176" s="4" t="s">
        <v>66</v>
      </c>
      <c r="G2176" s="6">
        <v>5641.9453054741034</v>
      </c>
      <c r="H2176" s="6">
        <f t="shared" si="36"/>
        <v>2009271.9928823165</v>
      </c>
      <c r="I2176" s="4" t="s">
        <v>121</v>
      </c>
      <c r="J2176" s="4" t="s">
        <v>68</v>
      </c>
      <c r="K2176" s="7">
        <v>5678</v>
      </c>
      <c r="L2176" s="4" t="s">
        <v>45</v>
      </c>
      <c r="M2176" s="4" t="s">
        <v>27</v>
      </c>
      <c r="N2176" s="4"/>
    </row>
    <row r="2177" spans="1:14" ht="10.5" hidden="1" x14ac:dyDescent="0.25">
      <c r="A2177" s="8" t="s">
        <v>57</v>
      </c>
      <c r="B2177" s="4" t="s">
        <v>64</v>
      </c>
      <c r="C2177" s="5">
        <v>44677</v>
      </c>
      <c r="D2177" s="4" t="s">
        <v>124</v>
      </c>
      <c r="E2177" s="4" t="s">
        <v>66</v>
      </c>
      <c r="F2177" s="4" t="s">
        <v>66</v>
      </c>
      <c r="G2177" s="6">
        <v>2947.9611363650179</v>
      </c>
      <c r="H2177" s="6">
        <f t="shared" si="36"/>
        <v>2012219.9540186815</v>
      </c>
      <c r="I2177" s="4" t="s">
        <v>125</v>
      </c>
      <c r="J2177" s="4" t="s">
        <v>68</v>
      </c>
      <c r="K2177" s="7">
        <v>2966.8</v>
      </c>
      <c r="L2177" s="4" t="s">
        <v>45</v>
      </c>
      <c r="M2177" s="4" t="s">
        <v>27</v>
      </c>
      <c r="N2177" s="4"/>
    </row>
    <row r="2178" spans="1:14" ht="10.5" hidden="1" x14ac:dyDescent="0.25">
      <c r="A2178" s="8" t="s">
        <v>57</v>
      </c>
      <c r="B2178" s="4" t="s">
        <v>64</v>
      </c>
      <c r="C2178" s="5">
        <v>44677</v>
      </c>
      <c r="D2178" s="4" t="s">
        <v>126</v>
      </c>
      <c r="E2178" s="4" t="s">
        <v>66</v>
      </c>
      <c r="F2178" s="4" t="s">
        <v>66</v>
      </c>
      <c r="G2178" s="6">
        <v>8240.1416043035661</v>
      </c>
      <c r="H2178" s="6">
        <f t="shared" si="36"/>
        <v>2020460.0956229852</v>
      </c>
      <c r="I2178" s="4" t="s">
        <v>125</v>
      </c>
      <c r="J2178" s="4" t="s">
        <v>68</v>
      </c>
      <c r="K2178" s="7">
        <v>8292.7999999999993</v>
      </c>
      <c r="L2178" s="4" t="s">
        <v>45</v>
      </c>
      <c r="M2178" s="4" t="s">
        <v>27</v>
      </c>
      <c r="N2178" s="4"/>
    </row>
    <row r="2179" spans="1:14" ht="10.5" hidden="1" x14ac:dyDescent="0.25">
      <c r="A2179" s="8" t="s">
        <v>57</v>
      </c>
      <c r="B2179" s="4" t="s">
        <v>64</v>
      </c>
      <c r="C2179" s="5">
        <v>44677</v>
      </c>
      <c r="D2179" s="4" t="s">
        <v>127</v>
      </c>
      <c r="E2179" s="4" t="s">
        <v>66</v>
      </c>
      <c r="F2179" s="4" t="s">
        <v>66</v>
      </c>
      <c r="G2179" s="6">
        <v>23807.856554977021</v>
      </c>
      <c r="H2179" s="6">
        <f t="shared" si="36"/>
        <v>2044267.9521779623</v>
      </c>
      <c r="I2179" s="4" t="s">
        <v>125</v>
      </c>
      <c r="J2179" s="4" t="s">
        <v>68</v>
      </c>
      <c r="K2179" s="7">
        <v>23960</v>
      </c>
      <c r="L2179" s="4" t="s">
        <v>45</v>
      </c>
      <c r="M2179" s="4" t="s">
        <v>27</v>
      </c>
      <c r="N2179" s="4"/>
    </row>
    <row r="2180" spans="1:14" ht="10.5" hidden="1" x14ac:dyDescent="0.25">
      <c r="A2180" s="8" t="s">
        <v>57</v>
      </c>
      <c r="B2180" s="4" t="s">
        <v>64</v>
      </c>
      <c r="C2180" s="5">
        <v>44680</v>
      </c>
      <c r="D2180" s="4" t="s">
        <v>128</v>
      </c>
      <c r="E2180" s="4" t="s">
        <v>66</v>
      </c>
      <c r="F2180" s="4" t="s">
        <v>66</v>
      </c>
      <c r="G2180" s="6">
        <v>270.27282900474745</v>
      </c>
      <c r="H2180" s="6">
        <f t="shared" si="36"/>
        <v>2044538.2250069671</v>
      </c>
      <c r="I2180" s="4" t="s">
        <v>129</v>
      </c>
      <c r="J2180" s="4" t="s">
        <v>68</v>
      </c>
      <c r="K2180" s="7">
        <v>272</v>
      </c>
      <c r="L2180" s="4" t="s">
        <v>45</v>
      </c>
      <c r="M2180" s="4" t="s">
        <v>27</v>
      </c>
      <c r="N2180" s="4"/>
    </row>
    <row r="2181" spans="1:14" ht="10.5" hidden="1" x14ac:dyDescent="0.25">
      <c r="A2181" s="8" t="s">
        <v>57</v>
      </c>
      <c r="B2181" s="4" t="s">
        <v>64</v>
      </c>
      <c r="C2181" s="5">
        <v>44680</v>
      </c>
      <c r="D2181" s="4" t="s">
        <v>130</v>
      </c>
      <c r="E2181" s="4" t="s">
        <v>66</v>
      </c>
      <c r="F2181" s="4" t="s">
        <v>66</v>
      </c>
      <c r="G2181" s="6">
        <v>270.27282900474745</v>
      </c>
      <c r="H2181" s="6">
        <f t="shared" si="36"/>
        <v>2044808.4978359719</v>
      </c>
      <c r="I2181" s="4" t="s">
        <v>129</v>
      </c>
      <c r="J2181" s="4" t="s">
        <v>68</v>
      </c>
      <c r="K2181" s="7">
        <v>272</v>
      </c>
      <c r="L2181" s="4" t="s">
        <v>45</v>
      </c>
      <c r="M2181" s="4" t="s">
        <v>27</v>
      </c>
      <c r="N2181" s="4"/>
    </row>
    <row r="2182" spans="1:14" ht="10.5" hidden="1" x14ac:dyDescent="0.25">
      <c r="A2182" s="8" t="s">
        <v>57</v>
      </c>
      <c r="B2182" s="4" t="s">
        <v>64</v>
      </c>
      <c r="C2182" s="5">
        <v>44680</v>
      </c>
      <c r="D2182" s="4" t="s">
        <v>131</v>
      </c>
      <c r="E2182" s="4" t="s">
        <v>66</v>
      </c>
      <c r="F2182" s="4" t="s">
        <v>66</v>
      </c>
      <c r="G2182" s="6">
        <v>270.27282900474745</v>
      </c>
      <c r="H2182" s="6">
        <f t="shared" si="36"/>
        <v>2045078.7706649767</v>
      </c>
      <c r="I2182" s="4" t="s">
        <v>129</v>
      </c>
      <c r="J2182" s="4" t="s">
        <v>68</v>
      </c>
      <c r="K2182" s="7">
        <v>272</v>
      </c>
      <c r="L2182" s="4" t="s">
        <v>45</v>
      </c>
      <c r="M2182" s="4" t="s">
        <v>27</v>
      </c>
      <c r="N2182" s="4"/>
    </row>
    <row r="2183" spans="1:14" ht="10.5" hidden="1" x14ac:dyDescent="0.25">
      <c r="A2183" s="8" t="s">
        <v>57</v>
      </c>
      <c r="B2183" s="4" t="s">
        <v>64</v>
      </c>
      <c r="C2183" s="5">
        <v>44680</v>
      </c>
      <c r="D2183" s="4" t="s">
        <v>132</v>
      </c>
      <c r="E2183" s="4" t="s">
        <v>66</v>
      </c>
      <c r="F2183" s="4" t="s">
        <v>66</v>
      </c>
      <c r="G2183" s="6">
        <v>418.92288495735858</v>
      </c>
      <c r="H2183" s="6">
        <f t="shared" si="36"/>
        <v>2045497.6935499341</v>
      </c>
      <c r="I2183" s="4" t="s">
        <v>129</v>
      </c>
      <c r="J2183" s="4" t="s">
        <v>68</v>
      </c>
      <c r="K2183" s="7">
        <v>421.6</v>
      </c>
      <c r="L2183" s="4" t="s">
        <v>45</v>
      </c>
      <c r="M2183" s="4" t="s">
        <v>27</v>
      </c>
      <c r="N2183" s="4"/>
    </row>
    <row r="2184" spans="1:14" ht="10.5" hidden="1" x14ac:dyDescent="0.25">
      <c r="A2184" s="8" t="s">
        <v>57</v>
      </c>
      <c r="B2184" s="4" t="s">
        <v>64</v>
      </c>
      <c r="C2184" s="5">
        <v>44680</v>
      </c>
      <c r="D2184" s="4" t="s">
        <v>133</v>
      </c>
      <c r="E2184" s="4" t="s">
        <v>66</v>
      </c>
      <c r="F2184" s="4" t="s">
        <v>66</v>
      </c>
      <c r="G2184" s="6">
        <v>702.70935541234337</v>
      </c>
      <c r="H2184" s="6">
        <f t="shared" si="36"/>
        <v>2046200.4029053464</v>
      </c>
      <c r="I2184" s="4" t="s">
        <v>129</v>
      </c>
      <c r="J2184" s="4" t="s">
        <v>68</v>
      </c>
      <c r="K2184" s="7">
        <v>707.2</v>
      </c>
      <c r="L2184" s="4" t="s">
        <v>45</v>
      </c>
      <c r="M2184" s="4" t="s">
        <v>27</v>
      </c>
      <c r="N2184" s="4"/>
    </row>
    <row r="2185" spans="1:14" ht="10.5" hidden="1" x14ac:dyDescent="0.25">
      <c r="A2185" s="8" t="s">
        <v>57</v>
      </c>
      <c r="B2185" s="4" t="s">
        <v>64</v>
      </c>
      <c r="C2185" s="5">
        <v>44680</v>
      </c>
      <c r="D2185" s="4" t="s">
        <v>134</v>
      </c>
      <c r="E2185" s="4" t="s">
        <v>66</v>
      </c>
      <c r="F2185" s="4" t="s">
        <v>66</v>
      </c>
      <c r="G2185" s="6">
        <v>1236.4981926967198</v>
      </c>
      <c r="H2185" s="6">
        <f t="shared" si="36"/>
        <v>2047436.9010980432</v>
      </c>
      <c r="I2185" s="4" t="s">
        <v>129</v>
      </c>
      <c r="J2185" s="4" t="s">
        <v>68</v>
      </c>
      <c r="K2185" s="7">
        <v>1244.4000000000001</v>
      </c>
      <c r="L2185" s="4" t="s">
        <v>45</v>
      </c>
      <c r="M2185" s="4" t="s">
        <v>27</v>
      </c>
      <c r="N2185" s="4"/>
    </row>
    <row r="2186" spans="1:14" ht="10.5" hidden="1" x14ac:dyDescent="0.25">
      <c r="A2186" s="8" t="s">
        <v>57</v>
      </c>
      <c r="B2186" s="4" t="s">
        <v>21</v>
      </c>
      <c r="C2186" s="5">
        <v>44681</v>
      </c>
      <c r="D2186" s="4" t="s">
        <v>135</v>
      </c>
      <c r="E2186" s="4" t="s">
        <v>111</v>
      </c>
      <c r="F2186" s="4" t="s">
        <v>111</v>
      </c>
      <c r="G2186" s="6">
        <v>-91088.580957312224</v>
      </c>
      <c r="H2186" s="6">
        <f t="shared" si="36"/>
        <v>1956348.3201407311</v>
      </c>
      <c r="I2186" s="4"/>
      <c r="J2186" s="4" t="s">
        <v>37</v>
      </c>
      <c r="K2186" s="7">
        <v>-91670.68</v>
      </c>
      <c r="L2186" s="4" t="s">
        <v>45</v>
      </c>
      <c r="M2186" s="4" t="s">
        <v>27</v>
      </c>
      <c r="N2186" s="4" t="s">
        <v>80</v>
      </c>
    </row>
    <row r="2187" spans="1:14" ht="10.5" hidden="1" x14ac:dyDescent="0.25">
      <c r="A2187" s="8" t="s">
        <v>57</v>
      </c>
      <c r="B2187" s="4" t="s">
        <v>21</v>
      </c>
      <c r="C2187" s="5">
        <v>44681</v>
      </c>
      <c r="D2187" s="4" t="s">
        <v>136</v>
      </c>
      <c r="E2187" s="4" t="s">
        <v>137</v>
      </c>
      <c r="F2187" s="4" t="s">
        <v>137</v>
      </c>
      <c r="G2187" s="6">
        <v>66752.221783618123</v>
      </c>
      <c r="H2187" s="6">
        <f t="shared" si="36"/>
        <v>2023100.5419243493</v>
      </c>
      <c r="I2187" s="4"/>
      <c r="J2187" s="4" t="s">
        <v>37</v>
      </c>
      <c r="K2187" s="7">
        <v>67178.8</v>
      </c>
      <c r="L2187" s="4" t="s">
        <v>45</v>
      </c>
      <c r="M2187" s="4" t="s">
        <v>27</v>
      </c>
      <c r="N2187" s="4" t="s">
        <v>80</v>
      </c>
    </row>
    <row r="2188" spans="1:14" ht="10.5" hidden="1" x14ac:dyDescent="0.25">
      <c r="A2188" s="8" t="s">
        <v>57</v>
      </c>
      <c r="B2188" s="4" t="s">
        <v>21</v>
      </c>
      <c r="C2188" s="5">
        <v>44681</v>
      </c>
      <c r="D2188" s="4" t="s">
        <v>138</v>
      </c>
      <c r="E2188" s="4" t="s">
        <v>139</v>
      </c>
      <c r="F2188" s="4" t="s">
        <v>140</v>
      </c>
      <c r="G2188" s="6">
        <v>105349.02132001831</v>
      </c>
      <c r="H2188" s="6">
        <f t="shared" si="36"/>
        <v>2128449.5632443675</v>
      </c>
      <c r="I2188" s="4"/>
      <c r="J2188" s="4" t="s">
        <v>25</v>
      </c>
      <c r="K2188" s="243">
        <v>98267.67</v>
      </c>
      <c r="L2188" s="4" t="s">
        <v>45</v>
      </c>
      <c r="M2188" s="4" t="s">
        <v>61</v>
      </c>
      <c r="N2188" s="4" t="s">
        <v>39</v>
      </c>
    </row>
    <row r="2189" spans="1:14" ht="10.5" hidden="1" x14ac:dyDescent="0.25">
      <c r="A2189" s="8" t="s">
        <v>57</v>
      </c>
      <c r="B2189" s="4" t="s">
        <v>21</v>
      </c>
      <c r="C2189" s="5">
        <v>44682</v>
      </c>
      <c r="D2189" s="4" t="s">
        <v>141</v>
      </c>
      <c r="E2189" s="4" t="s">
        <v>139</v>
      </c>
      <c r="F2189" s="4" t="s">
        <v>140</v>
      </c>
      <c r="G2189" s="6">
        <v>-104489.11516810145</v>
      </c>
      <c r="H2189" s="6">
        <f t="shared" si="36"/>
        <v>2023960.4480762661</v>
      </c>
      <c r="I2189" s="4"/>
      <c r="J2189" s="4" t="s">
        <v>25</v>
      </c>
      <c r="K2189" s="243">
        <v>-98267.67</v>
      </c>
      <c r="L2189" s="4" t="s">
        <v>52</v>
      </c>
      <c r="M2189" s="4" t="s">
        <v>61</v>
      </c>
      <c r="N2189" s="4" t="s">
        <v>39</v>
      </c>
    </row>
    <row r="2190" spans="1:14" ht="10.5" hidden="1" x14ac:dyDescent="0.25">
      <c r="A2190" s="8" t="s">
        <v>57</v>
      </c>
      <c r="B2190" s="4" t="s">
        <v>64</v>
      </c>
      <c r="C2190" s="5">
        <v>44699</v>
      </c>
      <c r="D2190" s="4" t="s">
        <v>142</v>
      </c>
      <c r="E2190" s="4" t="s">
        <v>66</v>
      </c>
      <c r="F2190" s="4" t="s">
        <v>66</v>
      </c>
      <c r="G2190" s="6">
        <v>3268.0902920437129</v>
      </c>
      <c r="H2190" s="6">
        <f t="shared" si="36"/>
        <v>2027228.5383683098</v>
      </c>
      <c r="I2190" s="4" t="s">
        <v>121</v>
      </c>
      <c r="J2190" s="4" t="s">
        <v>68</v>
      </c>
      <c r="K2190" s="7">
        <v>3266.81</v>
      </c>
      <c r="L2190" s="4" t="s">
        <v>52</v>
      </c>
      <c r="M2190" s="4" t="s">
        <v>27</v>
      </c>
      <c r="N2190" s="4"/>
    </row>
    <row r="2191" spans="1:14" ht="10.5" hidden="1" x14ac:dyDescent="0.25">
      <c r="A2191" s="8" t="s">
        <v>57</v>
      </c>
      <c r="B2191" s="4" t="s">
        <v>64</v>
      </c>
      <c r="C2191" s="5">
        <v>44705</v>
      </c>
      <c r="D2191" s="4" t="s">
        <v>143</v>
      </c>
      <c r="E2191" s="4" t="s">
        <v>66</v>
      </c>
      <c r="F2191" s="4" t="s">
        <v>66</v>
      </c>
      <c r="G2191" s="6">
        <v>140.45502401515157</v>
      </c>
      <c r="H2191" s="6">
        <f t="shared" si="36"/>
        <v>2027368.993392325</v>
      </c>
      <c r="I2191" s="4" t="s">
        <v>82</v>
      </c>
      <c r="J2191" s="4" t="s">
        <v>68</v>
      </c>
      <c r="K2191" s="7">
        <v>140.4</v>
      </c>
      <c r="L2191" s="4" t="s">
        <v>52</v>
      </c>
      <c r="M2191" s="4" t="s">
        <v>27</v>
      </c>
      <c r="N2191" s="4"/>
    </row>
    <row r="2192" spans="1:14" ht="10.5" hidden="1" x14ac:dyDescent="0.25">
      <c r="A2192" s="8" t="s">
        <v>57</v>
      </c>
      <c r="B2192" s="4" t="s">
        <v>64</v>
      </c>
      <c r="C2192" s="5">
        <v>44705</v>
      </c>
      <c r="D2192" s="4" t="s">
        <v>144</v>
      </c>
      <c r="E2192" s="4" t="s">
        <v>66</v>
      </c>
      <c r="F2192" s="4" t="s">
        <v>66</v>
      </c>
      <c r="G2192" s="6">
        <v>2817.6738389626457</v>
      </c>
      <c r="H2192" s="6">
        <f t="shared" si="36"/>
        <v>2030186.6672312876</v>
      </c>
      <c r="I2192" s="4" t="s">
        <v>70</v>
      </c>
      <c r="J2192" s="4" t="s">
        <v>68</v>
      </c>
      <c r="K2192" s="7">
        <v>2816.57</v>
      </c>
      <c r="L2192" s="4" t="s">
        <v>52</v>
      </c>
      <c r="M2192" s="4" t="s">
        <v>27</v>
      </c>
      <c r="N2192" s="4"/>
    </row>
    <row r="2193" spans="1:17" ht="10.5" hidden="1" x14ac:dyDescent="0.25">
      <c r="A2193" s="8" t="s">
        <v>57</v>
      </c>
      <c r="B2193" s="4" t="s">
        <v>64</v>
      </c>
      <c r="C2193" s="5">
        <v>44706</v>
      </c>
      <c r="D2193" s="4" t="s">
        <v>145</v>
      </c>
      <c r="E2193" s="4" t="s">
        <v>146</v>
      </c>
      <c r="F2193" s="4" t="s">
        <v>146</v>
      </c>
      <c r="G2193" s="6">
        <v>5680.2252589603322</v>
      </c>
      <c r="H2193" s="6">
        <f t="shared" si="36"/>
        <v>2035866.892490248</v>
      </c>
      <c r="I2193" s="4" t="s">
        <v>121</v>
      </c>
      <c r="J2193" s="4" t="s">
        <v>68</v>
      </c>
      <c r="K2193" s="7">
        <v>5678</v>
      </c>
      <c r="L2193" s="4" t="s">
        <v>52</v>
      </c>
      <c r="M2193" s="4" t="s">
        <v>27</v>
      </c>
      <c r="N2193" s="4"/>
    </row>
    <row r="2194" spans="1:17" ht="10.5" hidden="1" x14ac:dyDescent="0.25">
      <c r="A2194" s="8" t="s">
        <v>57</v>
      </c>
      <c r="B2194" s="4" t="s">
        <v>21</v>
      </c>
      <c r="C2194" s="5">
        <v>44712</v>
      </c>
      <c r="D2194" s="4" t="s">
        <v>147</v>
      </c>
      <c r="E2194" s="4" t="s">
        <v>137</v>
      </c>
      <c r="F2194" s="4" t="s">
        <v>137</v>
      </c>
      <c r="G2194" s="6">
        <v>-67205.127972286777</v>
      </c>
      <c r="H2194" s="6">
        <f t="shared" si="36"/>
        <v>1968661.7645179611</v>
      </c>
      <c r="I2194" s="4"/>
      <c r="J2194" s="4" t="s">
        <v>37</v>
      </c>
      <c r="K2194" s="7">
        <v>-67178.8</v>
      </c>
      <c r="L2194" s="4" t="s">
        <v>52</v>
      </c>
      <c r="M2194" s="4" t="s">
        <v>27</v>
      </c>
      <c r="N2194" s="4" t="s">
        <v>80</v>
      </c>
    </row>
    <row r="2195" spans="1:17" ht="10.5" x14ac:dyDescent="0.25">
      <c r="A2195" s="8" t="s">
        <v>57</v>
      </c>
      <c r="B2195" s="4" t="s">
        <v>21</v>
      </c>
      <c r="C2195" s="5">
        <v>44712</v>
      </c>
      <c r="D2195" s="4" t="s">
        <v>54</v>
      </c>
      <c r="E2195" s="4" t="s">
        <v>55</v>
      </c>
      <c r="F2195" s="4" t="s">
        <v>55</v>
      </c>
      <c r="G2195" s="6">
        <v>8185.3590674623019</v>
      </c>
      <c r="H2195" s="6">
        <f t="shared" si="36"/>
        <v>1976847.1235854235</v>
      </c>
      <c r="I2195" s="4"/>
      <c r="J2195" s="4" t="s">
        <v>25</v>
      </c>
      <c r="K2195" s="7">
        <v>7697.99</v>
      </c>
      <c r="L2195" s="4" t="s">
        <v>52</v>
      </c>
      <c r="M2195" s="4" t="s">
        <v>38</v>
      </c>
      <c r="N2195" s="4" t="s">
        <v>39</v>
      </c>
    </row>
    <row r="2196" spans="1:17" ht="10.5" hidden="1" x14ac:dyDescent="0.25">
      <c r="A2196" s="8" t="s">
        <v>57</v>
      </c>
      <c r="B2196" s="4" t="s">
        <v>64</v>
      </c>
      <c r="C2196" s="5">
        <v>44712</v>
      </c>
      <c r="D2196" s="4" t="s">
        <v>148</v>
      </c>
      <c r="E2196" s="4" t="s">
        <v>66</v>
      </c>
      <c r="F2196" s="4" t="s">
        <v>66</v>
      </c>
      <c r="G2196" s="6">
        <v>2149.181953651786</v>
      </c>
      <c r="H2196" s="6">
        <f t="shared" ref="H2196:H2217" si="37">H2195+G2196</f>
        <v>1978996.3055390753</v>
      </c>
      <c r="I2196" s="4" t="s">
        <v>149</v>
      </c>
      <c r="J2196" s="4" t="s">
        <v>68</v>
      </c>
      <c r="K2196" s="7">
        <v>2148.34</v>
      </c>
      <c r="L2196" s="4" t="s">
        <v>52</v>
      </c>
      <c r="M2196" s="4" t="s">
        <v>27</v>
      </c>
      <c r="N2196" s="4"/>
    </row>
    <row r="2197" spans="1:17" ht="10.5" hidden="1" x14ac:dyDescent="0.25">
      <c r="A2197" s="8" t="s">
        <v>57</v>
      </c>
      <c r="B2197" s="4" t="s">
        <v>21</v>
      </c>
      <c r="C2197" s="5">
        <v>44712</v>
      </c>
      <c r="D2197" s="4" t="s">
        <v>150</v>
      </c>
      <c r="E2197" s="4" t="s">
        <v>151</v>
      </c>
      <c r="F2197" s="4" t="s">
        <v>151</v>
      </c>
      <c r="G2197" s="6">
        <v>69587.451260317001</v>
      </c>
      <c r="H2197" s="6">
        <f t="shared" si="37"/>
        <v>2048583.7567993924</v>
      </c>
      <c r="I2197" s="4"/>
      <c r="J2197" s="4" t="s">
        <v>37</v>
      </c>
      <c r="K2197" s="7">
        <v>69560.19</v>
      </c>
      <c r="L2197" s="4" t="s">
        <v>52</v>
      </c>
      <c r="M2197" s="4" t="s">
        <v>27</v>
      </c>
      <c r="N2197" s="4" t="s">
        <v>80</v>
      </c>
    </row>
    <row r="2198" spans="1:17" ht="10.5" hidden="1" x14ac:dyDescent="0.25">
      <c r="A2198" s="8" t="s">
        <v>57</v>
      </c>
      <c r="B2198" s="4" t="s">
        <v>21</v>
      </c>
      <c r="C2198" s="5">
        <v>44712</v>
      </c>
      <c r="D2198" s="4" t="s">
        <v>152</v>
      </c>
      <c r="E2198" s="4" t="s">
        <v>153</v>
      </c>
      <c r="F2198" s="4" t="s">
        <v>153</v>
      </c>
      <c r="G2198" s="6">
        <v>81135.961938468477</v>
      </c>
      <c r="H2198" s="6">
        <f t="shared" si="37"/>
        <v>2129719.7187378607</v>
      </c>
      <c r="I2198" s="4"/>
      <c r="J2198" s="4" t="s">
        <v>25</v>
      </c>
      <c r="K2198" s="7">
        <v>76305</v>
      </c>
      <c r="L2198" s="4" t="s">
        <v>52</v>
      </c>
      <c r="M2198" s="4" t="s">
        <v>61</v>
      </c>
      <c r="N2198" s="4" t="s">
        <v>39</v>
      </c>
    </row>
    <row r="2199" spans="1:17" ht="10.5" hidden="1" x14ac:dyDescent="0.25">
      <c r="A2199" s="8" t="s">
        <v>57</v>
      </c>
      <c r="B2199" s="4" t="s">
        <v>21</v>
      </c>
      <c r="C2199" s="5">
        <v>44712</v>
      </c>
      <c r="D2199" s="4" t="s">
        <v>154</v>
      </c>
      <c r="E2199" s="4" t="s">
        <v>155</v>
      </c>
      <c r="F2199" s="4" t="s">
        <v>155</v>
      </c>
      <c r="G2199" s="6">
        <v>-112607.84715509634</v>
      </c>
      <c r="H2199" s="6">
        <f t="shared" si="37"/>
        <v>2017111.8715827644</v>
      </c>
      <c r="I2199" s="4"/>
      <c r="J2199" s="4" t="s">
        <v>25</v>
      </c>
      <c r="K2199" s="243">
        <v>-105903</v>
      </c>
      <c r="L2199" s="4" t="s">
        <v>52</v>
      </c>
      <c r="M2199" s="4" t="s">
        <v>61</v>
      </c>
      <c r="N2199" s="4" t="s">
        <v>39</v>
      </c>
    </row>
    <row r="2200" spans="1:17" ht="10.5" hidden="1" x14ac:dyDescent="0.25">
      <c r="A2200" s="8" t="s">
        <v>57</v>
      </c>
      <c r="B2200" s="4" t="s">
        <v>21</v>
      </c>
      <c r="C2200" s="5">
        <v>44712</v>
      </c>
      <c r="D2200" s="4" t="s">
        <v>156</v>
      </c>
      <c r="E2200" s="4" t="s">
        <v>157</v>
      </c>
      <c r="F2200" s="4" t="s">
        <v>158</v>
      </c>
      <c r="G2200" s="6">
        <v>130611.38598529271</v>
      </c>
      <c r="H2200" s="6">
        <f t="shared" si="37"/>
        <v>2147723.2575680572</v>
      </c>
      <c r="I2200" s="4"/>
      <c r="J2200" s="4" t="s">
        <v>25</v>
      </c>
      <c r="K2200" s="243">
        <v>122834.58</v>
      </c>
      <c r="L2200" s="4" t="s">
        <v>52</v>
      </c>
      <c r="M2200" s="4" t="s">
        <v>61</v>
      </c>
      <c r="N2200" s="4" t="s">
        <v>39</v>
      </c>
    </row>
    <row r="2201" spans="1:17" ht="10.5" hidden="1" x14ac:dyDescent="0.25">
      <c r="A2201" s="8" t="s">
        <v>57</v>
      </c>
      <c r="B2201" s="4" t="s">
        <v>64</v>
      </c>
      <c r="C2201" s="5">
        <v>44713</v>
      </c>
      <c r="D2201" s="4" t="s">
        <v>159</v>
      </c>
      <c r="E2201" s="4" t="s">
        <v>66</v>
      </c>
      <c r="F2201" s="4" t="s">
        <v>66</v>
      </c>
      <c r="G2201" s="6">
        <v>2504.5728070285049</v>
      </c>
      <c r="H2201" s="6">
        <f t="shared" si="37"/>
        <v>2150227.8303750856</v>
      </c>
      <c r="I2201" s="4" t="s">
        <v>67</v>
      </c>
      <c r="J2201" s="4" t="s">
        <v>68</v>
      </c>
      <c r="K2201" s="243">
        <v>2500</v>
      </c>
      <c r="L2201" s="4" t="s">
        <v>160</v>
      </c>
      <c r="M2201" s="4" t="s">
        <v>27</v>
      </c>
      <c r="N2201" s="4"/>
    </row>
    <row r="2202" spans="1:17" ht="10.5" hidden="1" x14ac:dyDescent="0.25">
      <c r="A2202" s="8" t="s">
        <v>57</v>
      </c>
      <c r="B2202" s="4" t="s">
        <v>21</v>
      </c>
      <c r="C2202" s="5">
        <v>44713</v>
      </c>
      <c r="D2202" s="4" t="s">
        <v>161</v>
      </c>
      <c r="E2202" s="4" t="s">
        <v>157</v>
      </c>
      <c r="F2202" s="4" t="s">
        <v>158</v>
      </c>
      <c r="G2202" s="6">
        <v>-129578.45262128317</v>
      </c>
      <c r="H2202" s="6">
        <f t="shared" si="37"/>
        <v>2020649.3777538023</v>
      </c>
      <c r="I2202" s="4"/>
      <c r="J2202" s="4" t="s">
        <v>25</v>
      </c>
      <c r="K2202" s="243">
        <v>-122834.58</v>
      </c>
      <c r="L2202" s="4" t="s">
        <v>160</v>
      </c>
      <c r="M2202" s="4" t="s">
        <v>61</v>
      </c>
      <c r="N2202" s="4" t="s">
        <v>39</v>
      </c>
      <c r="Q2202" s="4" t="s">
        <v>3653</v>
      </c>
    </row>
    <row r="2203" spans="1:17" ht="10.5" hidden="1" x14ac:dyDescent="0.25">
      <c r="A2203" s="8" t="s">
        <v>57</v>
      </c>
      <c r="B2203" s="4" t="s">
        <v>64</v>
      </c>
      <c r="C2203" s="5">
        <v>44714</v>
      </c>
      <c r="D2203" s="4" t="s">
        <v>162</v>
      </c>
      <c r="E2203" s="4" t="s">
        <v>66</v>
      </c>
      <c r="F2203" s="4" t="s">
        <v>66</v>
      </c>
      <c r="G2203" s="6">
        <v>6031.0113193246398</v>
      </c>
      <c r="H2203" s="6">
        <f t="shared" si="37"/>
        <v>2026680.3890731269</v>
      </c>
      <c r="I2203" s="4" t="s">
        <v>73</v>
      </c>
      <c r="J2203" s="4" t="s">
        <v>68</v>
      </c>
      <c r="K2203" s="7">
        <v>6020</v>
      </c>
      <c r="L2203" s="4" t="s">
        <v>160</v>
      </c>
      <c r="M2203" s="4" t="s">
        <v>27</v>
      </c>
      <c r="N2203" s="4"/>
    </row>
    <row r="2204" spans="1:17" ht="10.5" hidden="1" x14ac:dyDescent="0.25">
      <c r="A2204" s="8" t="s">
        <v>57</v>
      </c>
      <c r="B2204" s="4" t="s">
        <v>64</v>
      </c>
      <c r="C2204" s="5">
        <v>44714</v>
      </c>
      <c r="D2204" s="4" t="s">
        <v>163</v>
      </c>
      <c r="E2204" s="4" t="s">
        <v>66</v>
      </c>
      <c r="F2204" s="4" t="s">
        <v>66</v>
      </c>
      <c r="G2204" s="6">
        <v>600.13571772894227</v>
      </c>
      <c r="H2204" s="6">
        <f t="shared" si="37"/>
        <v>2027280.5247908558</v>
      </c>
      <c r="I2204" s="4" t="s">
        <v>164</v>
      </c>
      <c r="J2204" s="4" t="s">
        <v>68</v>
      </c>
      <c r="K2204" s="7">
        <v>599.04</v>
      </c>
      <c r="L2204" s="4" t="s">
        <v>160</v>
      </c>
      <c r="M2204" s="4" t="s">
        <v>27</v>
      </c>
      <c r="N2204" s="4"/>
    </row>
    <row r="2205" spans="1:17" ht="10.5" hidden="1" x14ac:dyDescent="0.25">
      <c r="A2205" s="8" t="s">
        <v>57</v>
      </c>
      <c r="B2205" s="4" t="s">
        <v>64</v>
      </c>
      <c r="C2205" s="5">
        <v>44725</v>
      </c>
      <c r="D2205" s="4" t="s">
        <v>165</v>
      </c>
      <c r="E2205" s="4" t="s">
        <v>66</v>
      </c>
      <c r="F2205" s="4" t="s">
        <v>66</v>
      </c>
      <c r="G2205" s="6">
        <v>1928.3407321698428</v>
      </c>
      <c r="H2205" s="6">
        <f t="shared" si="37"/>
        <v>2029208.8655230256</v>
      </c>
      <c r="I2205" s="4" t="s">
        <v>70</v>
      </c>
      <c r="J2205" s="4" t="s">
        <v>68</v>
      </c>
      <c r="K2205" s="7">
        <v>1924.82</v>
      </c>
      <c r="L2205" s="4" t="s">
        <v>160</v>
      </c>
      <c r="M2205" s="4" t="s">
        <v>27</v>
      </c>
      <c r="N2205" s="4"/>
    </row>
    <row r="2206" spans="1:17" ht="10.5" hidden="1" x14ac:dyDescent="0.25">
      <c r="A2206" s="8" t="s">
        <v>57</v>
      </c>
      <c r="B2206" s="4" t="s">
        <v>64</v>
      </c>
      <c r="C2206" s="5">
        <v>44725</v>
      </c>
      <c r="D2206" s="4" t="s">
        <v>166</v>
      </c>
      <c r="E2206" s="4" t="s">
        <v>66</v>
      </c>
      <c r="F2206" s="4" t="s">
        <v>66</v>
      </c>
      <c r="G2206" s="6">
        <v>8040.8007591790501</v>
      </c>
      <c r="H2206" s="6">
        <f t="shared" si="37"/>
        <v>2037249.6662822047</v>
      </c>
      <c r="I2206" s="4" t="s">
        <v>70</v>
      </c>
      <c r="J2206" s="4" t="s">
        <v>68</v>
      </c>
      <c r="K2206" s="7">
        <v>8026.12</v>
      </c>
      <c r="L2206" s="4" t="s">
        <v>160</v>
      </c>
      <c r="M2206" s="4" t="s">
        <v>27</v>
      </c>
      <c r="N2206" s="4"/>
    </row>
    <row r="2207" spans="1:17" ht="10.5" hidden="1" x14ac:dyDescent="0.25">
      <c r="A2207" s="8" t="s">
        <v>57</v>
      </c>
      <c r="B2207" s="4" t="s">
        <v>64</v>
      </c>
      <c r="C2207" s="5">
        <v>44736</v>
      </c>
      <c r="D2207" s="4" t="s">
        <v>167</v>
      </c>
      <c r="E2207" s="4" t="s">
        <v>66</v>
      </c>
      <c r="F2207" s="4" t="s">
        <v>66</v>
      </c>
      <c r="G2207" s="6">
        <v>1754.2027940427649</v>
      </c>
      <c r="H2207" s="6">
        <f t="shared" si="37"/>
        <v>2039003.8690762473</v>
      </c>
      <c r="I2207" s="4" t="s">
        <v>129</v>
      </c>
      <c r="J2207" s="4" t="s">
        <v>68</v>
      </c>
      <c r="K2207" s="7">
        <v>1751</v>
      </c>
      <c r="L2207" s="4" t="s">
        <v>160</v>
      </c>
      <c r="M2207" s="4" t="s">
        <v>27</v>
      </c>
      <c r="N2207" s="4"/>
    </row>
    <row r="2208" spans="1:17" ht="10.5" hidden="1" x14ac:dyDescent="0.25">
      <c r="A2208" s="8" t="s">
        <v>57</v>
      </c>
      <c r="B2208" s="4" t="s">
        <v>64</v>
      </c>
      <c r="C2208" s="5">
        <v>44736</v>
      </c>
      <c r="D2208" s="4" t="s">
        <v>168</v>
      </c>
      <c r="E2208" s="4" t="s">
        <v>66</v>
      </c>
      <c r="F2208" s="4" t="s">
        <v>66</v>
      </c>
      <c r="G2208" s="6">
        <v>438.55069851069123</v>
      </c>
      <c r="H2208" s="6">
        <f t="shared" si="37"/>
        <v>2039442.4197747579</v>
      </c>
      <c r="I2208" s="4" t="s">
        <v>129</v>
      </c>
      <c r="J2208" s="4" t="s">
        <v>68</v>
      </c>
      <c r="K2208" s="7">
        <v>437.75</v>
      </c>
      <c r="L2208" s="4" t="s">
        <v>160</v>
      </c>
      <c r="M2208" s="4" t="s">
        <v>27</v>
      </c>
      <c r="N2208" s="4"/>
    </row>
    <row r="2209" spans="1:17" ht="10.5" hidden="1" x14ac:dyDescent="0.25">
      <c r="A2209" s="8" t="s">
        <v>57</v>
      </c>
      <c r="B2209" s="4" t="s">
        <v>64</v>
      </c>
      <c r="C2209" s="5">
        <v>44736</v>
      </c>
      <c r="D2209" s="4" t="s">
        <v>169</v>
      </c>
      <c r="E2209" s="4" t="s">
        <v>66</v>
      </c>
      <c r="F2209" s="4" t="s">
        <v>66</v>
      </c>
      <c r="G2209" s="6">
        <v>340.62190175587671</v>
      </c>
      <c r="H2209" s="6">
        <f t="shared" si="37"/>
        <v>2039783.0416765139</v>
      </c>
      <c r="I2209" s="4" t="s">
        <v>129</v>
      </c>
      <c r="J2209" s="4" t="s">
        <v>68</v>
      </c>
      <c r="K2209" s="7">
        <v>340</v>
      </c>
      <c r="L2209" s="4" t="s">
        <v>160</v>
      </c>
      <c r="M2209" s="4" t="s">
        <v>27</v>
      </c>
      <c r="N2209" s="4"/>
    </row>
    <row r="2210" spans="1:17" ht="10.5" hidden="1" x14ac:dyDescent="0.25">
      <c r="A2210" s="8" t="s">
        <v>57</v>
      </c>
      <c r="B2210" s="4" t="s">
        <v>64</v>
      </c>
      <c r="C2210" s="5">
        <v>44736</v>
      </c>
      <c r="D2210" s="4" t="s">
        <v>170</v>
      </c>
      <c r="E2210" s="4" t="s">
        <v>66</v>
      </c>
      <c r="F2210" s="4" t="s">
        <v>66</v>
      </c>
      <c r="G2210" s="6">
        <v>651.43938710811415</v>
      </c>
      <c r="H2210" s="6">
        <f t="shared" si="37"/>
        <v>2040434.481063622</v>
      </c>
      <c r="I2210" s="4" t="s">
        <v>129</v>
      </c>
      <c r="J2210" s="4" t="s">
        <v>68</v>
      </c>
      <c r="K2210" s="7">
        <v>650.25</v>
      </c>
      <c r="L2210" s="4" t="s">
        <v>160</v>
      </c>
      <c r="M2210" s="4" t="s">
        <v>27</v>
      </c>
      <c r="N2210" s="4"/>
    </row>
    <row r="2211" spans="1:17" ht="10.5" hidden="1" x14ac:dyDescent="0.25">
      <c r="A2211" s="8" t="s">
        <v>57</v>
      </c>
      <c r="B2211" s="4" t="s">
        <v>64</v>
      </c>
      <c r="C2211" s="5">
        <v>44736</v>
      </c>
      <c r="D2211" s="4" t="s">
        <v>171</v>
      </c>
      <c r="E2211" s="4" t="s">
        <v>66</v>
      </c>
      <c r="F2211" s="4" t="s">
        <v>66</v>
      </c>
      <c r="G2211" s="6">
        <v>340.62190175587671</v>
      </c>
      <c r="H2211" s="6">
        <f t="shared" si="37"/>
        <v>2040775.102965378</v>
      </c>
      <c r="I2211" s="4" t="s">
        <v>129</v>
      </c>
      <c r="J2211" s="4" t="s">
        <v>68</v>
      </c>
      <c r="K2211" s="7">
        <v>340</v>
      </c>
      <c r="L2211" s="4" t="s">
        <v>160</v>
      </c>
      <c r="M2211" s="4" t="s">
        <v>27</v>
      </c>
      <c r="N2211" s="4"/>
    </row>
    <row r="2212" spans="1:17" ht="10.5" hidden="1" x14ac:dyDescent="0.25">
      <c r="A2212" s="8" t="s">
        <v>57</v>
      </c>
      <c r="B2212" s="4" t="s">
        <v>64</v>
      </c>
      <c r="C2212" s="5">
        <v>44736</v>
      </c>
      <c r="D2212" s="4" t="s">
        <v>172</v>
      </c>
      <c r="E2212" s="4" t="s">
        <v>66</v>
      </c>
      <c r="F2212" s="4" t="s">
        <v>66</v>
      </c>
      <c r="G2212" s="6">
        <v>340.62190175587671</v>
      </c>
      <c r="H2212" s="6">
        <f t="shared" si="37"/>
        <v>2041115.7248671339</v>
      </c>
      <c r="I2212" s="4" t="s">
        <v>129</v>
      </c>
      <c r="J2212" s="4" t="s">
        <v>68</v>
      </c>
      <c r="K2212" s="7">
        <v>340</v>
      </c>
      <c r="L2212" s="4" t="s">
        <v>160</v>
      </c>
      <c r="M2212" s="4" t="s">
        <v>27</v>
      </c>
      <c r="N2212" s="4"/>
    </row>
    <row r="2213" spans="1:17" ht="10.5" hidden="1" x14ac:dyDescent="0.25">
      <c r="A2213" s="8" t="s">
        <v>57</v>
      </c>
      <c r="B2213" s="4" t="s">
        <v>21</v>
      </c>
      <c r="C2213" s="5">
        <v>44742</v>
      </c>
      <c r="D2213" s="4" t="s">
        <v>173</v>
      </c>
      <c r="E2213" s="4" t="s">
        <v>151</v>
      </c>
      <c r="F2213" s="4" t="s">
        <v>151</v>
      </c>
      <c r="G2213" s="6">
        <v>-69687.424130294457</v>
      </c>
      <c r="H2213" s="6">
        <f t="shared" si="37"/>
        <v>1971428.3007368394</v>
      </c>
      <c r="I2213" s="4"/>
      <c r="J2213" s="4" t="s">
        <v>37</v>
      </c>
      <c r="K2213" s="7">
        <v>-69560.19</v>
      </c>
      <c r="L2213" s="4" t="s">
        <v>160</v>
      </c>
      <c r="M2213" s="4" t="s">
        <v>27</v>
      </c>
      <c r="N2213" s="4" t="s">
        <v>80</v>
      </c>
    </row>
    <row r="2214" spans="1:17" ht="10.5" hidden="1" x14ac:dyDescent="0.25">
      <c r="A2214" s="8" t="s">
        <v>57</v>
      </c>
      <c r="B2214" s="4" t="s">
        <v>64</v>
      </c>
      <c r="C2214" s="5">
        <v>44742</v>
      </c>
      <c r="D2214" s="4" t="s">
        <v>174</v>
      </c>
      <c r="E2214" s="4" t="s">
        <v>66</v>
      </c>
      <c r="F2214" s="4" t="s">
        <v>66</v>
      </c>
      <c r="G2214" s="6">
        <v>9.4672852105677485</v>
      </c>
      <c r="H2214" s="6">
        <f t="shared" si="37"/>
        <v>1971437.7680220499</v>
      </c>
      <c r="I2214" s="4" t="s">
        <v>82</v>
      </c>
      <c r="J2214" s="4" t="s">
        <v>68</v>
      </c>
      <c r="K2214" s="7">
        <v>9.4499999999999993</v>
      </c>
      <c r="L2214" s="4" t="s">
        <v>160</v>
      </c>
      <c r="M2214" s="4" t="s">
        <v>27</v>
      </c>
      <c r="N2214" s="4"/>
    </row>
    <row r="2215" spans="1:17" ht="10.5" hidden="1" x14ac:dyDescent="0.25">
      <c r="A2215" s="8" t="s">
        <v>57</v>
      </c>
      <c r="B2215" s="4" t="s">
        <v>64</v>
      </c>
      <c r="C2215" s="5">
        <v>44742</v>
      </c>
      <c r="D2215" s="4" t="s">
        <v>175</v>
      </c>
      <c r="E2215" s="4" t="s">
        <v>66</v>
      </c>
      <c r="F2215" s="4" t="s">
        <v>66</v>
      </c>
      <c r="G2215" s="6">
        <v>164.57047000422901</v>
      </c>
      <c r="H2215" s="6">
        <f t="shared" si="37"/>
        <v>1971602.3384920543</v>
      </c>
      <c r="I2215" s="4" t="s">
        <v>82</v>
      </c>
      <c r="J2215" s="4" t="s">
        <v>68</v>
      </c>
      <c r="K2215" s="7">
        <v>164.27</v>
      </c>
      <c r="L2215" s="4" t="s">
        <v>160</v>
      </c>
      <c r="M2215" s="4" t="s">
        <v>27</v>
      </c>
      <c r="N2215" s="4"/>
    </row>
    <row r="2216" spans="1:17" ht="10.5" hidden="1" x14ac:dyDescent="0.25">
      <c r="A2216" s="8" t="s">
        <v>57</v>
      </c>
      <c r="B2216" s="4" t="s">
        <v>21</v>
      </c>
      <c r="C2216" s="5">
        <v>44742</v>
      </c>
      <c r="D2216" s="4" t="s">
        <v>176</v>
      </c>
      <c r="E2216" s="4" t="s">
        <v>177</v>
      </c>
      <c r="F2216" s="4" t="s">
        <v>177</v>
      </c>
      <c r="G2216" s="6">
        <v>154725.87590942802</v>
      </c>
      <c r="H2216" s="6">
        <f t="shared" si="37"/>
        <v>2126328.2144014821</v>
      </c>
      <c r="I2216" s="4"/>
      <c r="J2216" s="4" t="s">
        <v>37</v>
      </c>
      <c r="K2216" s="7">
        <v>154443.38</v>
      </c>
      <c r="L2216" s="4" t="s">
        <v>160</v>
      </c>
      <c r="M2216" s="4" t="s">
        <v>27</v>
      </c>
      <c r="N2216" s="4" t="s">
        <v>80</v>
      </c>
    </row>
    <row r="2217" spans="1:17" ht="10.5" hidden="1" x14ac:dyDescent="0.25">
      <c r="A2217" s="8" t="s">
        <v>57</v>
      </c>
      <c r="B2217" s="4" t="s">
        <v>21</v>
      </c>
      <c r="C2217" s="5">
        <v>44742</v>
      </c>
      <c r="D2217" s="4" t="s">
        <v>178</v>
      </c>
      <c r="E2217" s="4" t="s">
        <v>179</v>
      </c>
      <c r="F2217" s="93" t="s">
        <v>180</v>
      </c>
      <c r="G2217" s="114">
        <v>9162.9848639831525</v>
      </c>
      <c r="H2217" s="6">
        <f t="shared" si="37"/>
        <v>2135491.1992654651</v>
      </c>
      <c r="I2217" s="4"/>
      <c r="J2217" s="4" t="s">
        <v>25</v>
      </c>
      <c r="K2217" s="7">
        <v>8686.1</v>
      </c>
      <c r="L2217" s="4" t="s">
        <v>160</v>
      </c>
      <c r="M2217" s="4" t="s">
        <v>61</v>
      </c>
      <c r="N2217" s="4" t="s">
        <v>181</v>
      </c>
      <c r="Q2217" s="4" t="s">
        <v>3654</v>
      </c>
    </row>
    <row r="2218" spans="1:17" ht="10.5" hidden="1" x14ac:dyDescent="0.25">
      <c r="A2218" s="9" t="s">
        <v>182</v>
      </c>
      <c r="B2218" s="10"/>
      <c r="C2218" s="11"/>
      <c r="D2218" s="10"/>
      <c r="E2218" s="10"/>
      <c r="F2218" s="10"/>
      <c r="G2218" s="12">
        <f>SUM(G1811:G2217)</f>
        <v>2135491.1992654651</v>
      </c>
      <c r="H2218" s="12">
        <f>H2217</f>
        <v>2135491.1992654651</v>
      </c>
      <c r="I2218" s="10"/>
      <c r="J2218" s="10"/>
      <c r="K2218" s="13"/>
      <c r="L2218" s="10"/>
      <c r="M2218" s="10"/>
      <c r="N2218" s="10"/>
    </row>
    <row r="2219" spans="1:17" ht="10.5" hidden="1" x14ac:dyDescent="0.25">
      <c r="A2219" s="8" t="s">
        <v>183</v>
      </c>
      <c r="B2219" s="4"/>
      <c r="C2219" s="5"/>
      <c r="D2219" s="4"/>
      <c r="E2219" s="4"/>
      <c r="F2219" s="4"/>
      <c r="G2219" s="6">
        <v>0</v>
      </c>
      <c r="H2219" s="6">
        <v>0</v>
      </c>
      <c r="I2219" s="4"/>
      <c r="J2219" s="4"/>
      <c r="K2219" s="7">
        <v>0</v>
      </c>
      <c r="L2219" s="4"/>
      <c r="M2219" s="4"/>
      <c r="N2219" s="4"/>
    </row>
    <row r="2220" spans="1:17" ht="10.5" x14ac:dyDescent="0.25">
      <c r="A2220" s="8" t="s">
        <v>183</v>
      </c>
      <c r="B2220" s="4" t="s">
        <v>21</v>
      </c>
      <c r="C2220" s="5">
        <v>43830</v>
      </c>
      <c r="D2220" s="4" t="s">
        <v>3588</v>
      </c>
      <c r="E2220" s="4" t="s">
        <v>1207</v>
      </c>
      <c r="F2220" s="4"/>
      <c r="G2220" s="6">
        <v>6212.9675999999999</v>
      </c>
      <c r="H2220" s="6">
        <f t="shared" ref="H2220:H2283" si="38">H2219+G2220</f>
        <v>6212.9675999999999</v>
      </c>
      <c r="I2220" s="4"/>
      <c r="J2220" s="4" t="s">
        <v>1176</v>
      </c>
      <c r="K2220" s="7">
        <v>5640</v>
      </c>
      <c r="L2220" s="4" t="s">
        <v>1025</v>
      </c>
      <c r="M2220" s="4" t="s">
        <v>38</v>
      </c>
      <c r="N2220" s="4"/>
    </row>
    <row r="2221" spans="1:17" ht="10.5" x14ac:dyDescent="0.25">
      <c r="A2221" s="8" t="s">
        <v>183</v>
      </c>
      <c r="B2221" s="4" t="s">
        <v>21</v>
      </c>
      <c r="C2221" s="5">
        <v>43830</v>
      </c>
      <c r="D2221" s="4" t="s">
        <v>1206</v>
      </c>
      <c r="E2221" s="4" t="s">
        <v>1207</v>
      </c>
      <c r="F2221" s="4"/>
      <c r="G2221" s="6">
        <v>5741.1566030000004</v>
      </c>
      <c r="H2221" s="6">
        <f t="shared" si="38"/>
        <v>11954.124202999999</v>
      </c>
      <c r="I2221" s="4"/>
      <c r="J2221" s="4" t="s">
        <v>1176</v>
      </c>
      <c r="K2221" s="7">
        <v>5211.7</v>
      </c>
      <c r="L2221" s="4" t="s">
        <v>1025</v>
      </c>
      <c r="M2221" s="4" t="s">
        <v>38</v>
      </c>
      <c r="N2221" s="4"/>
    </row>
    <row r="2222" spans="1:17" ht="10.5" x14ac:dyDescent="0.25">
      <c r="A2222" s="8" t="s">
        <v>183</v>
      </c>
      <c r="B2222" s="4" t="s">
        <v>21</v>
      </c>
      <c r="C2222" s="5">
        <v>43830</v>
      </c>
      <c r="D2222" s="4" t="s">
        <v>1210</v>
      </c>
      <c r="E2222" s="4"/>
      <c r="F2222" s="4" t="s">
        <v>1211</v>
      </c>
      <c r="G2222" s="6">
        <v>-11954.124202999999</v>
      </c>
      <c r="H2222" s="6">
        <f t="shared" si="38"/>
        <v>0</v>
      </c>
      <c r="I2222" s="4"/>
      <c r="J2222" s="4" t="s">
        <v>68</v>
      </c>
      <c r="K2222" s="7">
        <v>-10851.7</v>
      </c>
      <c r="L2222" s="4" t="s">
        <v>1025</v>
      </c>
      <c r="M2222" s="4" t="s">
        <v>38</v>
      </c>
      <c r="N2222" s="4"/>
    </row>
    <row r="2223" spans="1:17" ht="10.5" hidden="1" x14ac:dyDescent="0.25">
      <c r="A2223" s="8" t="s">
        <v>183</v>
      </c>
      <c r="B2223" s="4" t="s">
        <v>21</v>
      </c>
      <c r="C2223" s="5">
        <v>43830</v>
      </c>
      <c r="D2223" s="4" t="s">
        <v>1220</v>
      </c>
      <c r="E2223" s="4" t="s">
        <v>1221</v>
      </c>
      <c r="F2223" s="4" t="s">
        <v>1221</v>
      </c>
      <c r="G2223" s="6">
        <v>52487.371564005574</v>
      </c>
      <c r="H2223" s="6">
        <f t="shared" si="38"/>
        <v>52487.371564005574</v>
      </c>
      <c r="I2223" s="4"/>
      <c r="J2223" s="4" t="s">
        <v>25</v>
      </c>
      <c r="K2223" s="7">
        <v>3760889</v>
      </c>
      <c r="L2223" s="4" t="s">
        <v>1025</v>
      </c>
      <c r="M2223" s="4" t="s">
        <v>204</v>
      </c>
      <c r="N2223" s="4"/>
    </row>
    <row r="2224" spans="1:17" ht="10.5" hidden="1" x14ac:dyDescent="0.25">
      <c r="A2224" s="8" t="s">
        <v>183</v>
      </c>
      <c r="B2224" s="4" t="s">
        <v>21</v>
      </c>
      <c r="C2224" s="5">
        <v>43830</v>
      </c>
      <c r="D2224" s="4" t="s">
        <v>1023</v>
      </c>
      <c r="E2224" s="4" t="s">
        <v>1024</v>
      </c>
      <c r="F2224" s="4"/>
      <c r="G2224" s="6">
        <v>-103150.74065939715</v>
      </c>
      <c r="H2224" s="6">
        <f t="shared" si="38"/>
        <v>-50663.369095391579</v>
      </c>
      <c r="I2224" s="4"/>
      <c r="J2224" s="4" t="s">
        <v>68</v>
      </c>
      <c r="K2224" s="7">
        <v>-136914</v>
      </c>
      <c r="L2224" s="4" t="s">
        <v>1025</v>
      </c>
      <c r="M2224" s="4" t="s">
        <v>212</v>
      </c>
      <c r="N2224" s="4" t="s">
        <v>1026</v>
      </c>
    </row>
    <row r="2225" spans="1:14" ht="10.5" hidden="1" x14ac:dyDescent="0.25">
      <c r="A2225" s="8" t="s">
        <v>183</v>
      </c>
      <c r="B2225" s="4" t="s">
        <v>21</v>
      </c>
      <c r="C2225" s="5">
        <v>43830</v>
      </c>
      <c r="D2225" s="4" t="s">
        <v>1039</v>
      </c>
      <c r="E2225" s="4" t="s">
        <v>1024</v>
      </c>
      <c r="F2225" s="4"/>
      <c r="G2225" s="6">
        <v>26502.243609495315</v>
      </c>
      <c r="H2225" s="6">
        <f t="shared" si="38"/>
        <v>-24161.125485896264</v>
      </c>
      <c r="I2225" s="4"/>
      <c r="J2225" s="4" t="s">
        <v>68</v>
      </c>
      <c r="K2225" s="7">
        <v>1898971</v>
      </c>
      <c r="L2225" s="4" t="s">
        <v>1025</v>
      </c>
      <c r="M2225" s="4" t="s">
        <v>204</v>
      </c>
      <c r="N2225" s="4" t="s">
        <v>1026</v>
      </c>
    </row>
    <row r="2226" spans="1:14" ht="10.5" x14ac:dyDescent="0.25">
      <c r="A2226" s="8" t="s">
        <v>183</v>
      </c>
      <c r="B2226" s="4" t="s">
        <v>21</v>
      </c>
      <c r="C2226" s="5">
        <v>43921</v>
      </c>
      <c r="D2226" s="4" t="s">
        <v>3589</v>
      </c>
      <c r="E2226" s="4" t="s">
        <v>1629</v>
      </c>
      <c r="F2226" s="4" t="s">
        <v>3590</v>
      </c>
      <c r="G2226" s="6">
        <v>4768.3125</v>
      </c>
      <c r="H2226" s="6">
        <f t="shared" si="38"/>
        <v>-19392.812985896264</v>
      </c>
      <c r="I2226" s="4"/>
      <c r="J2226" s="4" t="s">
        <v>25</v>
      </c>
      <c r="K2226" s="7">
        <v>4325</v>
      </c>
      <c r="L2226" s="4" t="s">
        <v>1049</v>
      </c>
      <c r="M2226" s="4" t="s">
        <v>38</v>
      </c>
      <c r="N2226" s="4"/>
    </row>
    <row r="2227" spans="1:14" ht="10.5" hidden="1" x14ac:dyDescent="0.25">
      <c r="A2227" s="8" t="s">
        <v>183</v>
      </c>
      <c r="B2227" s="4" t="s">
        <v>21</v>
      </c>
      <c r="C2227" s="5">
        <v>43921</v>
      </c>
      <c r="D2227" s="4" t="s">
        <v>1644</v>
      </c>
      <c r="E2227" s="4" t="s">
        <v>1645</v>
      </c>
      <c r="F2227" s="4" t="s">
        <v>1645</v>
      </c>
      <c r="G2227" s="6">
        <v>2266.5194999999999</v>
      </c>
      <c r="H2227" s="6">
        <f t="shared" si="38"/>
        <v>-17126.293485896265</v>
      </c>
      <c r="I2227" s="4"/>
      <c r="J2227" s="4" t="s">
        <v>25</v>
      </c>
      <c r="K2227" s="7">
        <v>164464</v>
      </c>
      <c r="L2227" s="4" t="s">
        <v>1049</v>
      </c>
      <c r="M2227" s="4" t="s">
        <v>204</v>
      </c>
      <c r="N2227" s="4"/>
    </row>
    <row r="2228" spans="1:14" ht="10.5" hidden="1" x14ac:dyDescent="0.25">
      <c r="A2228" s="8" t="s">
        <v>183</v>
      </c>
      <c r="B2228" s="4" t="s">
        <v>21</v>
      </c>
      <c r="C2228" s="5">
        <v>43921</v>
      </c>
      <c r="D2228" s="4" t="s">
        <v>1646</v>
      </c>
      <c r="E2228" s="4" t="s">
        <v>1647</v>
      </c>
      <c r="F2228" s="4" t="s">
        <v>1645</v>
      </c>
      <c r="G2228" s="6">
        <v>-2266.5194999999999</v>
      </c>
      <c r="H2228" s="6">
        <f t="shared" si="38"/>
        <v>-19392.812985896264</v>
      </c>
      <c r="I2228" s="4"/>
      <c r="J2228" s="4" t="s">
        <v>68</v>
      </c>
      <c r="K2228" s="7">
        <v>-164464</v>
      </c>
      <c r="L2228" s="4" t="s">
        <v>1049</v>
      </c>
      <c r="M2228" s="4" t="s">
        <v>204</v>
      </c>
      <c r="N2228" s="4"/>
    </row>
    <row r="2229" spans="1:14" ht="10.5" hidden="1" x14ac:dyDescent="0.25">
      <c r="A2229" s="8" t="s">
        <v>183</v>
      </c>
      <c r="B2229" s="4" t="s">
        <v>21</v>
      </c>
      <c r="C2229" s="5">
        <v>43921</v>
      </c>
      <c r="D2229" s="4" t="s">
        <v>1648</v>
      </c>
      <c r="E2229" s="4" t="s">
        <v>1649</v>
      </c>
      <c r="F2229" s="4" t="s">
        <v>1650</v>
      </c>
      <c r="G2229" s="6">
        <v>2266.5194999999999</v>
      </c>
      <c r="H2229" s="6">
        <f t="shared" si="38"/>
        <v>-17126.293485896265</v>
      </c>
      <c r="I2229" s="4"/>
      <c r="J2229" s="4" t="s">
        <v>68</v>
      </c>
      <c r="K2229" s="7">
        <v>164464</v>
      </c>
      <c r="L2229" s="4" t="s">
        <v>1049</v>
      </c>
      <c r="M2229" s="4" t="s">
        <v>204</v>
      </c>
      <c r="N2229" s="4"/>
    </row>
    <row r="2230" spans="1:14" ht="10.5" hidden="1" x14ac:dyDescent="0.25">
      <c r="A2230" s="8" t="s">
        <v>183</v>
      </c>
      <c r="B2230" s="4" t="s">
        <v>21</v>
      </c>
      <c r="C2230" s="5">
        <v>43921</v>
      </c>
      <c r="D2230" s="4" t="s">
        <v>1651</v>
      </c>
      <c r="E2230" s="4" t="s">
        <v>1652</v>
      </c>
      <c r="F2230" s="4" t="s">
        <v>1652</v>
      </c>
      <c r="G2230" s="6">
        <v>51253.998468749996</v>
      </c>
      <c r="H2230" s="6">
        <f t="shared" si="38"/>
        <v>34127.704982853727</v>
      </c>
      <c r="I2230" s="4"/>
      <c r="J2230" s="4" t="s">
        <v>25</v>
      </c>
      <c r="K2230" s="7">
        <v>3719111</v>
      </c>
      <c r="L2230" s="4" t="s">
        <v>1049</v>
      </c>
      <c r="M2230" s="4" t="s">
        <v>204</v>
      </c>
      <c r="N2230" s="4"/>
    </row>
    <row r="2231" spans="1:14" ht="10.5" x14ac:dyDescent="0.25">
      <c r="A2231" s="8" t="s">
        <v>183</v>
      </c>
      <c r="B2231" s="4" t="s">
        <v>21</v>
      </c>
      <c r="C2231" s="5">
        <v>43951</v>
      </c>
      <c r="D2231" s="4" t="s">
        <v>3591</v>
      </c>
      <c r="E2231" s="4" t="s">
        <v>1629</v>
      </c>
      <c r="F2231" s="4" t="s">
        <v>3592</v>
      </c>
      <c r="G2231" s="6">
        <v>2141.1869999999999</v>
      </c>
      <c r="H2231" s="6">
        <f t="shared" si="38"/>
        <v>36268.891982853725</v>
      </c>
      <c r="I2231" s="4"/>
      <c r="J2231" s="4" t="s">
        <v>25</v>
      </c>
      <c r="K2231" s="7">
        <v>1959</v>
      </c>
      <c r="L2231" s="4" t="s">
        <v>1655</v>
      </c>
      <c r="M2231" s="4" t="s">
        <v>38</v>
      </c>
      <c r="N2231" s="4"/>
    </row>
    <row r="2232" spans="1:14" ht="10.5" x14ac:dyDescent="0.25">
      <c r="A2232" s="8" t="s">
        <v>183</v>
      </c>
      <c r="B2232" s="4" t="s">
        <v>21</v>
      </c>
      <c r="C2232" s="5">
        <v>43982</v>
      </c>
      <c r="D2232" s="4" t="s">
        <v>3593</v>
      </c>
      <c r="E2232" s="4" t="s">
        <v>3594</v>
      </c>
      <c r="F2232" s="4" t="s">
        <v>3594</v>
      </c>
      <c r="G2232" s="6">
        <v>1814.26812</v>
      </c>
      <c r="H2232" s="6">
        <f t="shared" si="38"/>
        <v>38083.160102853726</v>
      </c>
      <c r="I2232" s="4"/>
      <c r="J2232" s="4" t="s">
        <v>25</v>
      </c>
      <c r="K2232" s="7">
        <v>1673</v>
      </c>
      <c r="L2232" s="4" t="s">
        <v>1749</v>
      </c>
      <c r="M2232" s="4" t="s">
        <v>38</v>
      </c>
      <c r="N2232" s="4"/>
    </row>
    <row r="2233" spans="1:14" ht="10.5" x14ac:dyDescent="0.25">
      <c r="A2233" s="8" t="s">
        <v>183</v>
      </c>
      <c r="B2233" s="4" t="s">
        <v>21</v>
      </c>
      <c r="C2233" s="5">
        <v>43982</v>
      </c>
      <c r="D2233" s="4" t="s">
        <v>1826</v>
      </c>
      <c r="E2233" s="4" t="s">
        <v>1827</v>
      </c>
      <c r="F2233" s="4" t="s">
        <v>1828</v>
      </c>
      <c r="G2233" s="6">
        <v>202.79028</v>
      </c>
      <c r="H2233" s="6">
        <f t="shared" si="38"/>
        <v>38285.950382853727</v>
      </c>
      <c r="I2233" s="4"/>
      <c r="J2233" s="4" t="s">
        <v>25</v>
      </c>
      <c r="K2233" s="7">
        <v>187</v>
      </c>
      <c r="L2233" s="4" t="s">
        <v>1749</v>
      </c>
      <c r="M2233" s="4" t="s">
        <v>38</v>
      </c>
      <c r="N2233" s="4"/>
    </row>
    <row r="2234" spans="1:14" ht="10.5" x14ac:dyDescent="0.25">
      <c r="A2234" s="8" t="s">
        <v>183</v>
      </c>
      <c r="B2234" s="4" t="s">
        <v>21</v>
      </c>
      <c r="C2234" s="5">
        <v>43982</v>
      </c>
      <c r="D2234" s="4" t="s">
        <v>3331</v>
      </c>
      <c r="E2234" s="4" t="s">
        <v>3332</v>
      </c>
      <c r="F2234" s="4" t="s">
        <v>1828</v>
      </c>
      <c r="G2234" s="6">
        <v>-202.79028</v>
      </c>
      <c r="H2234" s="6">
        <f t="shared" si="38"/>
        <v>38083.160102853726</v>
      </c>
      <c r="I2234" s="4"/>
      <c r="J2234" s="4" t="s">
        <v>25</v>
      </c>
      <c r="K2234" s="7">
        <v>-187</v>
      </c>
      <c r="L2234" s="4" t="s">
        <v>1749</v>
      </c>
      <c r="M2234" s="4" t="s">
        <v>38</v>
      </c>
      <c r="N2234" s="4"/>
    </row>
    <row r="2235" spans="1:14" ht="10.5" x14ac:dyDescent="0.25">
      <c r="A2235" s="8" t="s">
        <v>183</v>
      </c>
      <c r="B2235" s="4" t="s">
        <v>21</v>
      </c>
      <c r="C2235" s="5">
        <v>43982</v>
      </c>
      <c r="D2235" s="4" t="s">
        <v>3331</v>
      </c>
      <c r="E2235" s="4" t="s">
        <v>3332</v>
      </c>
      <c r="F2235" s="4" t="s">
        <v>1828</v>
      </c>
      <c r="G2235" s="6">
        <v>202.79028</v>
      </c>
      <c r="H2235" s="6">
        <f t="shared" si="38"/>
        <v>38285.950382853727</v>
      </c>
      <c r="I2235" s="4"/>
      <c r="J2235" s="4" t="s">
        <v>25</v>
      </c>
      <c r="K2235" s="7">
        <v>187</v>
      </c>
      <c r="L2235" s="4" t="s">
        <v>1749</v>
      </c>
      <c r="M2235" s="4" t="s">
        <v>38</v>
      </c>
      <c r="N2235" s="4"/>
    </row>
    <row r="2236" spans="1:14" ht="10.5" x14ac:dyDescent="0.25">
      <c r="A2236" s="8" t="s">
        <v>183</v>
      </c>
      <c r="B2236" s="4" t="s">
        <v>21</v>
      </c>
      <c r="C2236" s="5">
        <v>43983</v>
      </c>
      <c r="D2236" s="4" t="s">
        <v>1830</v>
      </c>
      <c r="E2236" s="4" t="s">
        <v>1827</v>
      </c>
      <c r="F2236" s="4" t="s">
        <v>1828</v>
      </c>
      <c r="G2236" s="6">
        <v>-207.59244000000001</v>
      </c>
      <c r="H2236" s="6">
        <f t="shared" si="38"/>
        <v>38078.357942853727</v>
      </c>
      <c r="I2236" s="4"/>
      <c r="J2236" s="4" t="s">
        <v>25</v>
      </c>
      <c r="K2236" s="7">
        <v>-187</v>
      </c>
      <c r="L2236" s="4" t="s">
        <v>1831</v>
      </c>
      <c r="M2236" s="4" t="s">
        <v>38</v>
      </c>
      <c r="N2236" s="4"/>
    </row>
    <row r="2237" spans="1:14" ht="10.5" x14ac:dyDescent="0.25">
      <c r="A2237" s="8" t="s">
        <v>183</v>
      </c>
      <c r="B2237" s="4" t="s">
        <v>21</v>
      </c>
      <c r="C2237" s="5">
        <v>44012</v>
      </c>
      <c r="D2237" s="4" t="s">
        <v>1836</v>
      </c>
      <c r="E2237" s="4" t="s">
        <v>1834</v>
      </c>
      <c r="F2237" s="4" t="s">
        <v>1837</v>
      </c>
      <c r="G2237" s="6">
        <v>106.57152000000001</v>
      </c>
      <c r="H2237" s="6">
        <f t="shared" si="38"/>
        <v>38184.929462853725</v>
      </c>
      <c r="I2237" s="4"/>
      <c r="J2237" s="4" t="s">
        <v>25</v>
      </c>
      <c r="K2237" s="7">
        <v>96</v>
      </c>
      <c r="L2237" s="4" t="s">
        <v>1831</v>
      </c>
      <c r="M2237" s="4" t="s">
        <v>38</v>
      </c>
      <c r="N2237" s="4"/>
    </row>
    <row r="2238" spans="1:14" ht="10.5" x14ac:dyDescent="0.25">
      <c r="A2238" s="8" t="s">
        <v>183</v>
      </c>
      <c r="B2238" s="4" t="s">
        <v>21</v>
      </c>
      <c r="C2238" s="5">
        <v>44042</v>
      </c>
      <c r="D2238" s="4" t="s">
        <v>1848</v>
      </c>
      <c r="E2238" s="4" t="s">
        <v>1849</v>
      </c>
      <c r="F2238" s="4" t="s">
        <v>1849</v>
      </c>
      <c r="G2238" s="6">
        <v>-107.96949888</v>
      </c>
      <c r="H2238" s="6">
        <f t="shared" si="38"/>
        <v>38076.959963973728</v>
      </c>
      <c r="I2238" s="4"/>
      <c r="J2238" s="4" t="s">
        <v>25</v>
      </c>
      <c r="K2238" s="7">
        <v>-96</v>
      </c>
      <c r="L2238" s="4" t="s">
        <v>1842</v>
      </c>
      <c r="M2238" s="4" t="s">
        <v>38</v>
      </c>
      <c r="N2238" s="4"/>
    </row>
    <row r="2239" spans="1:14" ht="10.5" x14ac:dyDescent="0.25">
      <c r="A2239" s="8" t="s">
        <v>183</v>
      </c>
      <c r="B2239" s="4" t="s">
        <v>21</v>
      </c>
      <c r="C2239" s="5">
        <v>44042</v>
      </c>
      <c r="D2239" s="4" t="s">
        <v>1850</v>
      </c>
      <c r="E2239" s="4" t="s">
        <v>1849</v>
      </c>
      <c r="F2239" s="4" t="s">
        <v>1849</v>
      </c>
      <c r="G2239" s="6">
        <v>107.96949888</v>
      </c>
      <c r="H2239" s="6">
        <f t="shared" si="38"/>
        <v>38184.929462853725</v>
      </c>
      <c r="I2239" s="4"/>
      <c r="J2239" s="4" t="s">
        <v>25</v>
      </c>
      <c r="K2239" s="7">
        <v>96</v>
      </c>
      <c r="L2239" s="4" t="s">
        <v>1842</v>
      </c>
      <c r="M2239" s="4" t="s">
        <v>38</v>
      </c>
      <c r="N2239" s="4"/>
    </row>
    <row r="2240" spans="1:14" ht="10.5" x14ac:dyDescent="0.25">
      <c r="A2240" s="8" t="s">
        <v>183</v>
      </c>
      <c r="B2240" s="4" t="s">
        <v>21</v>
      </c>
      <c r="C2240" s="5">
        <v>44043</v>
      </c>
      <c r="D2240" s="4" t="s">
        <v>1853</v>
      </c>
      <c r="E2240" s="4" t="s">
        <v>1854</v>
      </c>
      <c r="F2240" s="4" t="s">
        <v>1854</v>
      </c>
      <c r="G2240" s="6">
        <v>118.09163940000001</v>
      </c>
      <c r="H2240" s="6">
        <f t="shared" si="38"/>
        <v>38303.021102253726</v>
      </c>
      <c r="I2240" s="4"/>
      <c r="J2240" s="4" t="s">
        <v>25</v>
      </c>
      <c r="K2240" s="7">
        <v>105</v>
      </c>
      <c r="L2240" s="4" t="s">
        <v>1842</v>
      </c>
      <c r="M2240" s="4" t="s">
        <v>38</v>
      </c>
      <c r="N2240" s="4"/>
    </row>
    <row r="2241" spans="1:16" ht="10.5" x14ac:dyDescent="0.25">
      <c r="A2241" s="8" t="s">
        <v>183</v>
      </c>
      <c r="B2241" s="4" t="s">
        <v>21</v>
      </c>
      <c r="C2241" s="5">
        <v>44074</v>
      </c>
      <c r="D2241" s="4" t="s">
        <v>3595</v>
      </c>
      <c r="E2241" s="4" t="s">
        <v>1865</v>
      </c>
      <c r="F2241" s="4" t="s">
        <v>3596</v>
      </c>
      <c r="G2241" s="6">
        <v>2262.81991178</v>
      </c>
      <c r="H2241" s="6">
        <f t="shared" si="38"/>
        <v>40565.841014033729</v>
      </c>
      <c r="I2241" s="4"/>
      <c r="J2241" s="4" t="s">
        <v>25</v>
      </c>
      <c r="K2241" s="7">
        <v>1931</v>
      </c>
      <c r="L2241" s="4" t="s">
        <v>1861</v>
      </c>
      <c r="M2241" s="4" t="s">
        <v>38</v>
      </c>
      <c r="N2241" s="4"/>
    </row>
    <row r="2242" spans="1:16" ht="10.5" x14ac:dyDescent="0.25">
      <c r="A2242" s="8" t="s">
        <v>183</v>
      </c>
      <c r="B2242" s="4" t="s">
        <v>21</v>
      </c>
      <c r="C2242" s="5">
        <v>44104</v>
      </c>
      <c r="D2242" s="4" t="s">
        <v>3597</v>
      </c>
      <c r="E2242" s="4" t="s">
        <v>1880</v>
      </c>
      <c r="F2242" s="4" t="s">
        <v>3598</v>
      </c>
      <c r="G2242" s="6">
        <v>1617.6979692</v>
      </c>
      <c r="H2242" s="6">
        <f t="shared" si="38"/>
        <v>42183.538983233731</v>
      </c>
      <c r="I2242" s="4"/>
      <c r="J2242" s="4" t="s">
        <v>25</v>
      </c>
      <c r="K2242" s="7">
        <v>1355</v>
      </c>
      <c r="L2242" s="4" t="s">
        <v>1052</v>
      </c>
      <c r="M2242" s="4" t="s">
        <v>38</v>
      </c>
      <c r="N2242" s="4"/>
    </row>
    <row r="2243" spans="1:16" ht="10.5" x14ac:dyDescent="0.25">
      <c r="A2243" s="8" t="s">
        <v>183</v>
      </c>
      <c r="B2243" s="4" t="s">
        <v>21</v>
      </c>
      <c r="C2243" s="5">
        <v>44135</v>
      </c>
      <c r="D2243" s="4" t="s">
        <v>3599</v>
      </c>
      <c r="E2243" s="4" t="s">
        <v>1890</v>
      </c>
      <c r="F2243" s="4" t="s">
        <v>3600</v>
      </c>
      <c r="G2243" s="6">
        <v>1879.0431491500001</v>
      </c>
      <c r="H2243" s="6">
        <f t="shared" si="38"/>
        <v>44062.58213238373</v>
      </c>
      <c r="I2243" s="4"/>
      <c r="J2243" s="4" t="s">
        <v>68</v>
      </c>
      <c r="K2243" s="7">
        <v>1615</v>
      </c>
      <c r="L2243" s="4" t="s">
        <v>1888</v>
      </c>
      <c r="M2243" s="4" t="s">
        <v>38</v>
      </c>
      <c r="N2243" s="4"/>
    </row>
    <row r="2244" spans="1:16" ht="10.5" x14ac:dyDescent="0.25">
      <c r="A2244" s="8" t="s">
        <v>183</v>
      </c>
      <c r="B2244" s="4" t="s">
        <v>21</v>
      </c>
      <c r="C2244" s="5">
        <v>44165</v>
      </c>
      <c r="D2244" s="4" t="s">
        <v>3601</v>
      </c>
      <c r="E2244" s="4" t="s">
        <v>3602</v>
      </c>
      <c r="F2244" s="4" t="s">
        <v>3602</v>
      </c>
      <c r="G2244" s="6">
        <v>2226.8041235999999</v>
      </c>
      <c r="H2244" s="6">
        <f t="shared" si="38"/>
        <v>46289.386255983729</v>
      </c>
      <c r="I2244" s="4"/>
      <c r="J2244" s="4" t="s">
        <v>68</v>
      </c>
      <c r="K2244" s="7">
        <v>1890</v>
      </c>
      <c r="L2244" s="4" t="s">
        <v>1896</v>
      </c>
      <c r="M2244" s="4" t="s">
        <v>38</v>
      </c>
      <c r="N2244" s="4"/>
    </row>
    <row r="2245" spans="1:16" ht="10.5" x14ac:dyDescent="0.25">
      <c r="A2245" s="8" t="s">
        <v>183</v>
      </c>
      <c r="B2245" s="4" t="s">
        <v>21</v>
      </c>
      <c r="C2245" s="5">
        <v>44195</v>
      </c>
      <c r="D2245" s="4" t="s">
        <v>1914</v>
      </c>
      <c r="E2245" s="4" t="s">
        <v>1915</v>
      </c>
      <c r="F2245" s="4" t="s">
        <v>1915</v>
      </c>
      <c r="G2245" s="6">
        <v>1699.9437778399999</v>
      </c>
      <c r="H2245" s="6">
        <f t="shared" si="38"/>
        <v>47989.330033823731</v>
      </c>
      <c r="I2245" s="4"/>
      <c r="J2245" s="4" t="s">
        <v>68</v>
      </c>
      <c r="K2245" s="7">
        <v>1421</v>
      </c>
      <c r="L2245" s="4" t="s">
        <v>1056</v>
      </c>
      <c r="M2245" s="4" t="s">
        <v>38</v>
      </c>
      <c r="N2245" s="4"/>
    </row>
    <row r="2246" spans="1:16" ht="10.5" hidden="1" x14ac:dyDescent="0.25">
      <c r="A2246" s="8" t="s">
        <v>183</v>
      </c>
      <c r="B2246" s="4" t="s">
        <v>21</v>
      </c>
      <c r="C2246" s="5">
        <v>44195</v>
      </c>
      <c r="D2246" s="4" t="s">
        <v>1916</v>
      </c>
      <c r="E2246" s="4" t="s">
        <v>1917</v>
      </c>
      <c r="F2246" s="4" t="s">
        <v>1918</v>
      </c>
      <c r="G2246" s="6">
        <v>78249.651318296514</v>
      </c>
      <c r="H2246" s="6">
        <f t="shared" si="38"/>
        <v>126238.98135212024</v>
      </c>
      <c r="I2246" s="4"/>
      <c r="J2246" s="4" t="s">
        <v>25</v>
      </c>
      <c r="K2246" s="7">
        <v>5783348</v>
      </c>
      <c r="L2246" s="4" t="s">
        <v>1056</v>
      </c>
      <c r="M2246" s="4" t="s">
        <v>204</v>
      </c>
      <c r="N2246" s="4"/>
    </row>
    <row r="2247" spans="1:16" ht="10.5" hidden="1" x14ac:dyDescent="0.25">
      <c r="A2247" s="8" t="s">
        <v>183</v>
      </c>
      <c r="B2247" s="4" t="s">
        <v>21</v>
      </c>
      <c r="C2247" s="5">
        <v>44195</v>
      </c>
      <c r="D2247" s="4" t="s">
        <v>1919</v>
      </c>
      <c r="E2247" s="4" t="s">
        <v>1920</v>
      </c>
      <c r="F2247" s="4" t="s">
        <v>1920</v>
      </c>
      <c r="G2247" s="6">
        <v>28269.00092766713</v>
      </c>
      <c r="H2247" s="6">
        <f t="shared" si="38"/>
        <v>154507.98227978736</v>
      </c>
      <c r="I2247" s="4"/>
      <c r="J2247" s="4" t="s">
        <v>25</v>
      </c>
      <c r="K2247" s="7">
        <v>36737</v>
      </c>
      <c r="L2247" s="4" t="s">
        <v>1056</v>
      </c>
      <c r="M2247" s="4" t="s">
        <v>212</v>
      </c>
      <c r="N2247" s="4"/>
    </row>
    <row r="2248" spans="1:16" ht="10.5" hidden="1" x14ac:dyDescent="0.25">
      <c r="A2248" s="8" t="s">
        <v>183</v>
      </c>
      <c r="B2248" s="4" t="s">
        <v>21</v>
      </c>
      <c r="C2248" s="5">
        <v>44195</v>
      </c>
      <c r="D2248" s="4" t="s">
        <v>1053</v>
      </c>
      <c r="E2248" s="4" t="s">
        <v>1054</v>
      </c>
      <c r="F2248" s="4" t="s">
        <v>1921</v>
      </c>
      <c r="G2248" s="6">
        <v>-20000.000046927998</v>
      </c>
      <c r="H2248" s="6">
        <f t="shared" si="38"/>
        <v>134507.98223285936</v>
      </c>
      <c r="I2248" s="4"/>
      <c r="J2248" s="4" t="s">
        <v>68</v>
      </c>
      <c r="K2248" s="7">
        <v>-20000</v>
      </c>
      <c r="L2248" s="4" t="s">
        <v>1056</v>
      </c>
      <c r="M2248" s="4" t="s">
        <v>27</v>
      </c>
      <c r="N2248" s="4"/>
    </row>
    <row r="2249" spans="1:16" ht="10.5" hidden="1" x14ac:dyDescent="0.25">
      <c r="A2249" s="8" t="s">
        <v>183</v>
      </c>
      <c r="B2249" s="4" t="s">
        <v>21</v>
      </c>
      <c r="C2249" s="5">
        <v>44195</v>
      </c>
      <c r="D2249" s="4" t="s">
        <v>1922</v>
      </c>
      <c r="E2249" s="4" t="s">
        <v>1923</v>
      </c>
      <c r="F2249" s="4" t="s">
        <v>1923</v>
      </c>
      <c r="G2249" s="6">
        <v>-2502.2200058712092</v>
      </c>
      <c r="H2249" s="6">
        <f t="shared" si="38"/>
        <v>132005.76222698815</v>
      </c>
      <c r="I2249" s="4"/>
      <c r="J2249" s="4" t="s">
        <v>68</v>
      </c>
      <c r="K2249" s="7">
        <v>-2502.2199999999998</v>
      </c>
      <c r="L2249" s="4" t="s">
        <v>1056</v>
      </c>
      <c r="M2249" s="4" t="s">
        <v>27</v>
      </c>
      <c r="N2249" s="4"/>
    </row>
    <row r="2250" spans="1:16" ht="10.5" x14ac:dyDescent="0.25">
      <c r="A2250" s="8" t="s">
        <v>183</v>
      </c>
      <c r="B2250" s="4" t="s">
        <v>21</v>
      </c>
      <c r="C2250" s="5">
        <v>44196</v>
      </c>
      <c r="D2250" s="4" t="s">
        <v>3603</v>
      </c>
      <c r="E2250" s="4" t="s">
        <v>3604</v>
      </c>
      <c r="F2250" s="4" t="s">
        <v>3604</v>
      </c>
      <c r="G2250" s="6">
        <v>-22642.389784079998</v>
      </c>
      <c r="H2250" s="6">
        <f t="shared" si="38"/>
        <v>109363.37244290815</v>
      </c>
      <c r="I2250" s="4"/>
      <c r="J2250" s="4" t="s">
        <v>68</v>
      </c>
      <c r="K2250" s="7">
        <v>-18927</v>
      </c>
      <c r="L2250" s="4" t="s">
        <v>1056</v>
      </c>
      <c r="M2250" s="4" t="s">
        <v>38</v>
      </c>
      <c r="N2250" s="4"/>
    </row>
    <row r="2251" spans="1:16" ht="10.5" x14ac:dyDescent="0.25">
      <c r="A2251" s="8" t="s">
        <v>183</v>
      </c>
      <c r="B2251" s="4" t="s">
        <v>21</v>
      </c>
      <c r="C2251" s="5">
        <v>44196</v>
      </c>
      <c r="D2251" s="4" t="s">
        <v>3605</v>
      </c>
      <c r="E2251" s="4" t="s">
        <v>3606</v>
      </c>
      <c r="F2251" s="4" t="s">
        <v>3606</v>
      </c>
      <c r="G2251" s="6">
        <v>26097.307187599999</v>
      </c>
      <c r="H2251" s="6">
        <f t="shared" si="38"/>
        <v>135460.67963050815</v>
      </c>
      <c r="I2251" s="4"/>
      <c r="J2251" s="4" t="s">
        <v>68</v>
      </c>
      <c r="K2251" s="7">
        <v>21815</v>
      </c>
      <c r="L2251" s="4" t="s">
        <v>1056</v>
      </c>
      <c r="M2251" s="4" t="s">
        <v>38</v>
      </c>
      <c r="N2251" s="4"/>
    </row>
    <row r="2252" spans="1:16" ht="10.5" hidden="1" x14ac:dyDescent="0.25">
      <c r="A2252" s="8" t="s">
        <v>183</v>
      </c>
      <c r="B2252" s="4" t="s">
        <v>21</v>
      </c>
      <c r="C2252" s="5">
        <v>44196</v>
      </c>
      <c r="D2252" s="4" t="s">
        <v>1944</v>
      </c>
      <c r="E2252" s="4" t="s">
        <v>1945</v>
      </c>
      <c r="F2252" s="4" t="s">
        <v>1945</v>
      </c>
      <c r="G2252" s="6">
        <v>40412.200094823187</v>
      </c>
      <c r="H2252" s="6">
        <f t="shared" si="38"/>
        <v>175872.87972533132</v>
      </c>
      <c r="I2252" s="4"/>
      <c r="J2252" s="4" t="s">
        <v>37</v>
      </c>
      <c r="K2252" s="7">
        <v>40412.199999999997</v>
      </c>
      <c r="L2252" s="4" t="s">
        <v>1056</v>
      </c>
      <c r="M2252" s="4" t="s">
        <v>27</v>
      </c>
      <c r="N2252" s="4"/>
    </row>
    <row r="2253" spans="1:16" ht="10.5" hidden="1" x14ac:dyDescent="0.25">
      <c r="A2253" s="8" t="s">
        <v>183</v>
      </c>
      <c r="B2253" s="4" t="s">
        <v>21</v>
      </c>
      <c r="C2253" s="5">
        <v>44196</v>
      </c>
      <c r="D2253" s="4" t="s">
        <v>1948</v>
      </c>
      <c r="E2253" s="4" t="s">
        <v>1949</v>
      </c>
      <c r="F2253" s="4" t="s">
        <v>1949</v>
      </c>
      <c r="G2253" s="6">
        <v>12460.5998545776</v>
      </c>
      <c r="H2253" s="6">
        <f t="shared" si="38"/>
        <v>188333.47957990892</v>
      </c>
      <c r="I2253" s="4"/>
      <c r="J2253" s="4" t="s">
        <v>25</v>
      </c>
      <c r="K2253" s="7">
        <v>16701.849999999999</v>
      </c>
      <c r="L2253" s="4" t="s">
        <v>1056</v>
      </c>
      <c r="M2253" s="4" t="s">
        <v>197</v>
      </c>
      <c r="N2253" s="4"/>
    </row>
    <row r="2254" spans="1:16" ht="10.5" hidden="1" x14ac:dyDescent="0.25">
      <c r="A2254" s="8" t="s">
        <v>183</v>
      </c>
      <c r="B2254" s="4" t="s">
        <v>21</v>
      </c>
      <c r="C2254" s="5">
        <v>44196</v>
      </c>
      <c r="D2254" s="4" t="s">
        <v>3222</v>
      </c>
      <c r="E2254" s="4" t="s">
        <v>3223</v>
      </c>
      <c r="F2254" s="4" t="s">
        <v>3224</v>
      </c>
      <c r="G2254" s="6">
        <v>11023.219777034266</v>
      </c>
      <c r="H2254" s="6">
        <f t="shared" si="38"/>
        <v>199356.69935694319</v>
      </c>
      <c r="I2254" s="4"/>
      <c r="J2254" s="4" t="s">
        <v>37</v>
      </c>
      <c r="K2254" s="7">
        <v>8276.9699999999993</v>
      </c>
      <c r="L2254" s="4" t="s">
        <v>1056</v>
      </c>
      <c r="M2254" s="4" t="s">
        <v>186</v>
      </c>
      <c r="N2254" s="4" t="s">
        <v>39</v>
      </c>
    </row>
    <row r="2255" spans="1:16" ht="10.5" hidden="1" x14ac:dyDescent="0.25">
      <c r="A2255" s="8" t="s">
        <v>183</v>
      </c>
      <c r="B2255" s="4" t="s">
        <v>21</v>
      </c>
      <c r="C2255" s="5">
        <v>44196</v>
      </c>
      <c r="D2255" s="4" t="s">
        <v>3222</v>
      </c>
      <c r="E2255" s="4" t="s">
        <v>3223</v>
      </c>
      <c r="F2255" s="4" t="s">
        <v>3225</v>
      </c>
      <c r="G2255" s="6">
        <v>85718.156843829856</v>
      </c>
      <c r="H2255" s="6">
        <f t="shared" si="38"/>
        <v>285074.85620077304</v>
      </c>
      <c r="I2255" s="4"/>
      <c r="J2255" s="4" t="s">
        <v>37</v>
      </c>
      <c r="K2255" s="7">
        <v>64362.92</v>
      </c>
      <c r="L2255" s="4" t="s">
        <v>1056</v>
      </c>
      <c r="M2255" s="4" t="s">
        <v>186</v>
      </c>
      <c r="N2255" s="4" t="s">
        <v>39</v>
      </c>
    </row>
    <row r="2256" spans="1:16" ht="10.5" x14ac:dyDescent="0.25">
      <c r="A2256" s="8" t="s">
        <v>183</v>
      </c>
      <c r="B2256" s="4" t="s">
        <v>21</v>
      </c>
      <c r="C2256" s="5">
        <v>44227</v>
      </c>
      <c r="D2256" s="4" t="s">
        <v>3607</v>
      </c>
      <c r="E2256" s="4" t="s">
        <v>3608</v>
      </c>
      <c r="F2256" s="4" t="s">
        <v>3608</v>
      </c>
      <c r="G2256" s="6">
        <v>3042.5815009799999</v>
      </c>
      <c r="H2256" s="6">
        <f t="shared" si="38"/>
        <v>288117.43770175305</v>
      </c>
      <c r="I2256" s="4"/>
      <c r="J2256" s="4" t="s">
        <v>748</v>
      </c>
      <c r="K2256" s="7">
        <v>2493</v>
      </c>
      <c r="L2256" s="4" t="s">
        <v>1958</v>
      </c>
      <c r="M2256" s="4" t="s">
        <v>38</v>
      </c>
      <c r="N2256" s="4"/>
      <c r="P2256" t="s">
        <v>3826</v>
      </c>
    </row>
    <row r="2257" spans="1:17" ht="10.5" x14ac:dyDescent="0.25">
      <c r="A2257" s="8" t="s">
        <v>183</v>
      </c>
      <c r="B2257" s="4" t="s">
        <v>21</v>
      </c>
      <c r="C2257" s="5">
        <v>44255</v>
      </c>
      <c r="D2257" s="4" t="s">
        <v>3609</v>
      </c>
      <c r="E2257" s="4" t="s">
        <v>3610</v>
      </c>
      <c r="F2257" s="4" t="s">
        <v>3610</v>
      </c>
      <c r="G2257" s="6">
        <v>1586.7828645899999</v>
      </c>
      <c r="H2257" s="6">
        <f t="shared" si="38"/>
        <v>289704.22056634305</v>
      </c>
      <c r="I2257" s="4"/>
      <c r="J2257" s="4" t="s">
        <v>748</v>
      </c>
      <c r="K2257" s="7">
        <v>1311</v>
      </c>
      <c r="L2257" s="4" t="s">
        <v>1971</v>
      </c>
      <c r="M2257" s="4" t="s">
        <v>38</v>
      </c>
      <c r="N2257" s="4"/>
      <c r="P2257" t="s">
        <v>3826</v>
      </c>
    </row>
    <row r="2258" spans="1:17" ht="10.5" x14ac:dyDescent="0.25">
      <c r="A2258" s="8" t="s">
        <v>183</v>
      </c>
      <c r="B2258" s="4" t="s">
        <v>21</v>
      </c>
      <c r="C2258" s="5">
        <v>44286</v>
      </c>
      <c r="D2258" s="4" t="s">
        <v>3611</v>
      </c>
      <c r="E2258" s="4" t="s">
        <v>3612</v>
      </c>
      <c r="F2258" s="4" t="s">
        <v>3610</v>
      </c>
      <c r="G2258" s="6">
        <v>1582.6452306000001</v>
      </c>
      <c r="H2258" s="6">
        <f t="shared" si="38"/>
        <v>291286.86579694308</v>
      </c>
      <c r="I2258" s="4"/>
      <c r="J2258" s="4" t="s">
        <v>748</v>
      </c>
      <c r="K2258" s="7">
        <v>1311</v>
      </c>
      <c r="L2258" s="4" t="s">
        <v>1029</v>
      </c>
      <c r="M2258" s="4" t="s">
        <v>38</v>
      </c>
      <c r="N2258" s="4"/>
      <c r="P2258" t="s">
        <v>3826</v>
      </c>
    </row>
    <row r="2259" spans="1:17" ht="10.5" hidden="1" x14ac:dyDescent="0.25">
      <c r="A2259" s="8" t="s">
        <v>183</v>
      </c>
      <c r="B2259" s="4" t="s">
        <v>21</v>
      </c>
      <c r="C2259" s="5">
        <v>44286</v>
      </c>
      <c r="D2259" s="4" t="s">
        <v>1100</v>
      </c>
      <c r="E2259" s="4" t="s">
        <v>1101</v>
      </c>
      <c r="F2259" s="4" t="s">
        <v>2003</v>
      </c>
      <c r="G2259" s="6">
        <v>30118.297987920996</v>
      </c>
      <c r="H2259" s="6">
        <f t="shared" si="38"/>
        <v>321405.16378486407</v>
      </c>
      <c r="I2259" s="4"/>
      <c r="J2259" s="4" t="s">
        <v>25</v>
      </c>
      <c r="K2259" s="115">
        <v>2215701</v>
      </c>
      <c r="L2259" s="4" t="s">
        <v>1029</v>
      </c>
      <c r="M2259" s="4" t="s">
        <v>204</v>
      </c>
      <c r="N2259" s="4" t="s">
        <v>198</v>
      </c>
    </row>
    <row r="2260" spans="1:17" ht="10.5" hidden="1" x14ac:dyDescent="0.25">
      <c r="A2260" s="8" t="s">
        <v>183</v>
      </c>
      <c r="B2260" s="4" t="s">
        <v>21</v>
      </c>
      <c r="C2260" s="5">
        <v>44286</v>
      </c>
      <c r="D2260" s="4" t="s">
        <v>1100</v>
      </c>
      <c r="E2260" s="4" t="s">
        <v>1101</v>
      </c>
      <c r="F2260" s="4" t="s">
        <v>3613</v>
      </c>
      <c r="G2260" s="6">
        <v>922.83717451044004</v>
      </c>
      <c r="H2260" s="6">
        <f t="shared" si="38"/>
        <v>322328.00095937453</v>
      </c>
      <c r="I2260" s="4"/>
      <c r="J2260" s="4" t="s">
        <v>25</v>
      </c>
      <c r="K2260" s="7">
        <v>67890</v>
      </c>
      <c r="L2260" s="4" t="s">
        <v>1029</v>
      </c>
      <c r="M2260" s="4" t="s">
        <v>204</v>
      </c>
      <c r="N2260" s="4" t="s">
        <v>198</v>
      </c>
    </row>
    <row r="2261" spans="1:17" ht="10.5" hidden="1" x14ac:dyDescent="0.25">
      <c r="A2261" s="8" t="s">
        <v>183</v>
      </c>
      <c r="B2261" s="4" t="s">
        <v>21</v>
      </c>
      <c r="C2261" s="5">
        <v>44286</v>
      </c>
      <c r="D2261" s="4" t="s">
        <v>1100</v>
      </c>
      <c r="E2261" s="4" t="s">
        <v>1101</v>
      </c>
      <c r="F2261" s="4" t="s">
        <v>3614</v>
      </c>
      <c r="G2261" s="6">
        <v>1886.2498235519399</v>
      </c>
      <c r="H2261" s="6">
        <f t="shared" si="38"/>
        <v>324214.25078292645</v>
      </c>
      <c r="I2261" s="4"/>
      <c r="J2261" s="4" t="s">
        <v>25</v>
      </c>
      <c r="K2261" s="7">
        <v>138765</v>
      </c>
      <c r="L2261" s="4" t="s">
        <v>1029</v>
      </c>
      <c r="M2261" s="4" t="s">
        <v>204</v>
      </c>
      <c r="N2261" s="4" t="s">
        <v>198</v>
      </c>
    </row>
    <row r="2262" spans="1:17" ht="10.5" hidden="1" x14ac:dyDescent="0.25">
      <c r="A2262" s="8" t="s">
        <v>183</v>
      </c>
      <c r="B2262" s="4" t="s">
        <v>21</v>
      </c>
      <c r="C2262" s="5">
        <v>44286</v>
      </c>
      <c r="D2262" s="4" t="s">
        <v>2005</v>
      </c>
      <c r="E2262" s="4" t="s">
        <v>2006</v>
      </c>
      <c r="F2262" s="4" t="s">
        <v>2007</v>
      </c>
      <c r="G2262" s="6">
        <v>5072.4081441879998</v>
      </c>
      <c r="H2262" s="6">
        <f t="shared" si="38"/>
        <v>329286.65892711445</v>
      </c>
      <c r="I2262" s="4"/>
      <c r="J2262" s="4" t="s">
        <v>25</v>
      </c>
      <c r="K2262" s="7">
        <v>6687</v>
      </c>
      <c r="L2262" s="4" t="s">
        <v>1029</v>
      </c>
      <c r="M2262" s="4" t="s">
        <v>201</v>
      </c>
      <c r="N2262" s="4" t="s">
        <v>198</v>
      </c>
    </row>
    <row r="2263" spans="1:17" ht="10.5" hidden="1" x14ac:dyDescent="0.25">
      <c r="A2263" s="8" t="s">
        <v>183</v>
      </c>
      <c r="B2263" s="4" t="s">
        <v>21</v>
      </c>
      <c r="C2263" s="5">
        <v>44286</v>
      </c>
      <c r="D2263" s="4" t="s">
        <v>1027</v>
      </c>
      <c r="E2263" s="4" t="s">
        <v>1028</v>
      </c>
      <c r="F2263" s="93" t="s">
        <v>1028</v>
      </c>
      <c r="G2263" s="6">
        <v>27750.191379420103</v>
      </c>
      <c r="H2263" s="6">
        <f t="shared" si="38"/>
        <v>357036.85030653456</v>
      </c>
      <c r="I2263" s="4"/>
      <c r="J2263" s="4" t="s">
        <v>25</v>
      </c>
      <c r="K2263" s="115">
        <v>35358.86</v>
      </c>
      <c r="L2263" s="4" t="s">
        <v>1029</v>
      </c>
      <c r="M2263" s="4" t="s">
        <v>212</v>
      </c>
      <c r="N2263" s="4" t="s">
        <v>118</v>
      </c>
    </row>
    <row r="2264" spans="1:17" ht="10.5" hidden="1" x14ac:dyDescent="0.25">
      <c r="A2264" s="8" t="s">
        <v>183</v>
      </c>
      <c r="B2264" s="4" t="s">
        <v>21</v>
      </c>
      <c r="C2264" s="5">
        <v>44286</v>
      </c>
      <c r="D2264" s="4" t="s">
        <v>2013</v>
      </c>
      <c r="E2264" s="4" t="s">
        <v>2014</v>
      </c>
      <c r="F2264" s="4" t="s">
        <v>2014</v>
      </c>
      <c r="G2264" s="6">
        <v>27330.552840193519</v>
      </c>
      <c r="H2264" s="6">
        <f t="shared" si="38"/>
        <v>384367.40314672806</v>
      </c>
      <c r="I2264" s="4"/>
      <c r="J2264" s="4" t="s">
        <v>25</v>
      </c>
      <c r="K2264" s="7">
        <v>19626.990000000002</v>
      </c>
      <c r="L2264" s="4" t="s">
        <v>1029</v>
      </c>
      <c r="M2264" s="4" t="s">
        <v>186</v>
      </c>
      <c r="N2264" s="4" t="s">
        <v>118</v>
      </c>
    </row>
    <row r="2265" spans="1:17" ht="10.5" hidden="1" x14ac:dyDescent="0.25">
      <c r="A2265" s="8" t="s">
        <v>183</v>
      </c>
      <c r="B2265" s="4" t="s">
        <v>21</v>
      </c>
      <c r="C2265" s="5">
        <v>44286</v>
      </c>
      <c r="D2265" s="4" t="s">
        <v>2015</v>
      </c>
      <c r="E2265" s="4" t="s">
        <v>1113</v>
      </c>
      <c r="F2265" s="4" t="s">
        <v>1113</v>
      </c>
      <c r="G2265" s="6">
        <v>-772614.56561379996</v>
      </c>
      <c r="H2265" s="6">
        <f t="shared" si="38"/>
        <v>-388247.1624670719</v>
      </c>
      <c r="I2265" s="4"/>
      <c r="J2265" s="4" t="s">
        <v>25</v>
      </c>
      <c r="K2265" s="7">
        <v>-640003</v>
      </c>
      <c r="L2265" s="4" t="s">
        <v>1029</v>
      </c>
      <c r="M2265" s="4" t="s">
        <v>61</v>
      </c>
      <c r="N2265" s="4" t="s">
        <v>118</v>
      </c>
      <c r="Q2265" s="4" t="s">
        <v>3653</v>
      </c>
    </row>
    <row r="2266" spans="1:17" ht="10.5" hidden="1" x14ac:dyDescent="0.25">
      <c r="A2266" s="8" t="s">
        <v>183</v>
      </c>
      <c r="B2266" s="4" t="s">
        <v>21</v>
      </c>
      <c r="C2266" s="5">
        <v>44286</v>
      </c>
      <c r="D2266" s="4" t="s">
        <v>1112</v>
      </c>
      <c r="E2266" s="4" t="s">
        <v>1113</v>
      </c>
      <c r="F2266" s="4" t="s">
        <v>1113</v>
      </c>
      <c r="G2266" s="6">
        <v>16360.360040181044</v>
      </c>
      <c r="H2266" s="6">
        <f t="shared" si="38"/>
        <v>-371886.80242689088</v>
      </c>
      <c r="I2266" s="4"/>
      <c r="J2266" s="4" t="s">
        <v>25</v>
      </c>
      <c r="K2266" s="7">
        <v>16360.36</v>
      </c>
      <c r="L2266" s="4" t="s">
        <v>1029</v>
      </c>
      <c r="M2266" s="4" t="s">
        <v>27</v>
      </c>
      <c r="N2266" s="4" t="s">
        <v>118</v>
      </c>
    </row>
    <row r="2267" spans="1:17" ht="10.5" x14ac:dyDescent="0.25">
      <c r="A2267" s="8" t="s">
        <v>183</v>
      </c>
      <c r="B2267" s="4" t="s">
        <v>21</v>
      </c>
      <c r="C2267" s="5">
        <v>44287</v>
      </c>
      <c r="D2267" s="4" t="s">
        <v>3615</v>
      </c>
      <c r="E2267" s="4" t="s">
        <v>3612</v>
      </c>
      <c r="F2267" s="4" t="s">
        <v>3610</v>
      </c>
      <c r="G2267" s="6">
        <v>-1541.5010220755287</v>
      </c>
      <c r="H2267" s="6">
        <f t="shared" si="38"/>
        <v>-373428.30344896641</v>
      </c>
      <c r="I2267" s="4"/>
      <c r="J2267" s="4" t="s">
        <v>748</v>
      </c>
      <c r="K2267" s="7">
        <v>-1311</v>
      </c>
      <c r="L2267" s="4" t="s">
        <v>1999</v>
      </c>
      <c r="M2267" s="4" t="s">
        <v>38</v>
      </c>
      <c r="N2267" s="4"/>
      <c r="P2267" t="s">
        <v>3826</v>
      </c>
    </row>
    <row r="2268" spans="1:17" ht="10.5" x14ac:dyDescent="0.25">
      <c r="A2268" s="8" t="s">
        <v>183</v>
      </c>
      <c r="B2268" s="4" t="s">
        <v>21</v>
      </c>
      <c r="C2268" s="5">
        <v>44316</v>
      </c>
      <c r="D2268" s="4" t="s">
        <v>2030</v>
      </c>
      <c r="E2268" s="4" t="s">
        <v>2031</v>
      </c>
      <c r="F2268" s="4" t="s">
        <v>3230</v>
      </c>
      <c r="G2268" s="6">
        <v>4907.0369932819822</v>
      </c>
      <c r="H2268" s="6">
        <f t="shared" si="38"/>
        <v>-368521.26645568444</v>
      </c>
      <c r="I2268" s="4"/>
      <c r="J2268" s="4" t="s">
        <v>748</v>
      </c>
      <c r="K2268" s="7">
        <v>4054</v>
      </c>
      <c r="L2268" s="4" t="s">
        <v>2033</v>
      </c>
      <c r="M2268" s="4" t="s">
        <v>38</v>
      </c>
      <c r="N2268" s="4"/>
      <c r="P2268" t="s">
        <v>3826</v>
      </c>
    </row>
    <row r="2269" spans="1:17" ht="10.5" x14ac:dyDescent="0.25">
      <c r="A2269" s="8" t="s">
        <v>183</v>
      </c>
      <c r="B2269" s="4" t="s">
        <v>21</v>
      </c>
      <c r="C2269" s="5">
        <v>44316</v>
      </c>
      <c r="D2269" s="4" t="s">
        <v>2030</v>
      </c>
      <c r="E2269" s="4" t="s">
        <v>2031</v>
      </c>
      <c r="F2269" s="4" t="s">
        <v>3616</v>
      </c>
      <c r="G2269" s="6">
        <v>2441.414310668416</v>
      </c>
      <c r="H2269" s="6">
        <f t="shared" si="38"/>
        <v>-366079.85214501602</v>
      </c>
      <c r="I2269" s="4"/>
      <c r="J2269" s="4" t="s">
        <v>748</v>
      </c>
      <c r="K2269" s="7">
        <v>2017</v>
      </c>
      <c r="L2269" s="4" t="s">
        <v>2033</v>
      </c>
      <c r="M2269" s="4" t="s">
        <v>38</v>
      </c>
      <c r="N2269" s="4"/>
      <c r="P2269" t="s">
        <v>3826</v>
      </c>
    </row>
    <row r="2270" spans="1:17" ht="10.5" x14ac:dyDescent="0.25">
      <c r="A2270" s="8" t="s">
        <v>183</v>
      </c>
      <c r="B2270" s="4" t="s">
        <v>21</v>
      </c>
      <c r="C2270" s="5">
        <v>44347</v>
      </c>
      <c r="D2270" s="4" t="s">
        <v>2046</v>
      </c>
      <c r="E2270" s="4" t="s">
        <v>2047</v>
      </c>
      <c r="F2270" s="4" t="s">
        <v>3617</v>
      </c>
      <c r="G2270" s="6">
        <v>3579.2077920904835</v>
      </c>
      <c r="H2270" s="6">
        <f t="shared" si="38"/>
        <v>-362500.64435292553</v>
      </c>
      <c r="I2270" s="4"/>
      <c r="J2270" s="4" t="s">
        <v>748</v>
      </c>
      <c r="K2270" s="7">
        <v>2957</v>
      </c>
      <c r="L2270" s="4" t="s">
        <v>2033</v>
      </c>
      <c r="M2270" s="4" t="s">
        <v>38</v>
      </c>
      <c r="N2270" s="4"/>
      <c r="P2270" t="s">
        <v>3826</v>
      </c>
    </row>
    <row r="2271" spans="1:17" ht="10.5" hidden="1" x14ac:dyDescent="0.25">
      <c r="A2271" s="8" t="s">
        <v>183</v>
      </c>
      <c r="B2271" s="4" t="s">
        <v>21</v>
      </c>
      <c r="C2271" s="5">
        <v>44377</v>
      </c>
      <c r="D2271" s="4" t="s">
        <v>2063</v>
      </c>
      <c r="E2271" s="4" t="s">
        <v>2064</v>
      </c>
      <c r="F2271" s="4" t="s">
        <v>3618</v>
      </c>
      <c r="G2271" s="6">
        <v>2186.6296651541916</v>
      </c>
      <c r="H2271" s="6">
        <f t="shared" si="38"/>
        <v>-360314.01468777133</v>
      </c>
      <c r="I2271" s="4"/>
      <c r="J2271" s="4" t="s">
        <v>25</v>
      </c>
      <c r="K2271" s="7">
        <v>2867.4</v>
      </c>
      <c r="L2271" s="4" t="s">
        <v>1031</v>
      </c>
      <c r="M2271" s="4" t="s">
        <v>197</v>
      </c>
      <c r="N2271" s="4" t="s">
        <v>198</v>
      </c>
    </row>
    <row r="2272" spans="1:17" ht="10.5" hidden="1" x14ac:dyDescent="0.25">
      <c r="A2272" s="8" t="s">
        <v>183</v>
      </c>
      <c r="B2272" s="4" t="s">
        <v>21</v>
      </c>
      <c r="C2272" s="5">
        <v>44377</v>
      </c>
      <c r="D2272" s="4" t="s">
        <v>2063</v>
      </c>
      <c r="E2272" s="4" t="s">
        <v>2064</v>
      </c>
      <c r="F2272" s="4" t="s">
        <v>3619</v>
      </c>
      <c r="G2272" s="6">
        <v>1590.2004799589636</v>
      </c>
      <c r="H2272" s="6">
        <f t="shared" si="38"/>
        <v>-358723.81420781236</v>
      </c>
      <c r="I2272" s="4"/>
      <c r="J2272" s="4" t="s">
        <v>25</v>
      </c>
      <c r="K2272" s="7">
        <v>2085.2800000000002</v>
      </c>
      <c r="L2272" s="4" t="s">
        <v>1031</v>
      </c>
      <c r="M2272" s="4" t="s">
        <v>197</v>
      </c>
      <c r="N2272" s="4" t="s">
        <v>198</v>
      </c>
    </row>
    <row r="2273" spans="1:17" ht="10.5" x14ac:dyDescent="0.25">
      <c r="A2273" s="8" t="s">
        <v>183</v>
      </c>
      <c r="B2273" s="4" t="s">
        <v>21</v>
      </c>
      <c r="C2273" s="5">
        <v>44377</v>
      </c>
      <c r="D2273" s="4" t="s">
        <v>2066</v>
      </c>
      <c r="E2273" s="4" t="s">
        <v>2067</v>
      </c>
      <c r="F2273" s="4" t="s">
        <v>3620</v>
      </c>
      <c r="G2273" s="6">
        <v>2803.6187209698655</v>
      </c>
      <c r="H2273" s="6">
        <f t="shared" si="38"/>
        <v>-355920.19548684248</v>
      </c>
      <c r="I2273" s="4"/>
      <c r="J2273" s="4" t="s">
        <v>748</v>
      </c>
      <c r="K2273" s="7">
        <v>2325</v>
      </c>
      <c r="L2273" s="4" t="s">
        <v>1031</v>
      </c>
      <c r="M2273" s="4" t="s">
        <v>38</v>
      </c>
      <c r="N2273" s="4" t="s">
        <v>39</v>
      </c>
      <c r="P2273" t="s">
        <v>3826</v>
      </c>
    </row>
    <row r="2274" spans="1:17" ht="10.5" x14ac:dyDescent="0.25">
      <c r="A2274" s="8" t="s">
        <v>183</v>
      </c>
      <c r="B2274" s="4" t="s">
        <v>21</v>
      </c>
      <c r="C2274" s="5">
        <v>44377</v>
      </c>
      <c r="D2274" s="4" t="s">
        <v>2070</v>
      </c>
      <c r="E2274" s="4" t="s">
        <v>2071</v>
      </c>
      <c r="F2274" s="4" t="s">
        <v>3620</v>
      </c>
      <c r="G2274" s="6">
        <v>-2803.6187209698655</v>
      </c>
      <c r="H2274" s="6">
        <f t="shared" si="38"/>
        <v>-358723.81420781236</v>
      </c>
      <c r="I2274" s="4"/>
      <c r="J2274" s="4" t="s">
        <v>748</v>
      </c>
      <c r="K2274" s="7">
        <v>-2325</v>
      </c>
      <c r="L2274" s="4" t="s">
        <v>1031</v>
      </c>
      <c r="M2274" s="4" t="s">
        <v>38</v>
      </c>
      <c r="N2274" s="4" t="s">
        <v>39</v>
      </c>
      <c r="P2274" t="s">
        <v>3826</v>
      </c>
    </row>
    <row r="2275" spans="1:17" ht="10.5" x14ac:dyDescent="0.25">
      <c r="A2275" s="8" t="s">
        <v>183</v>
      </c>
      <c r="B2275" s="4" t="s">
        <v>21</v>
      </c>
      <c r="C2275" s="5">
        <v>44377</v>
      </c>
      <c r="D2275" s="4" t="s">
        <v>2072</v>
      </c>
      <c r="E2275" s="4" t="s">
        <v>2073</v>
      </c>
      <c r="F2275" s="4" t="s">
        <v>3620</v>
      </c>
      <c r="G2275" s="6">
        <v>4045.6519607973755</v>
      </c>
      <c r="H2275" s="6">
        <f t="shared" si="38"/>
        <v>-354678.16224701499</v>
      </c>
      <c r="I2275" s="4"/>
      <c r="J2275" s="4" t="s">
        <v>748</v>
      </c>
      <c r="K2275" s="7">
        <v>3355</v>
      </c>
      <c r="L2275" s="4" t="s">
        <v>1031</v>
      </c>
      <c r="M2275" s="4" t="s">
        <v>38</v>
      </c>
      <c r="N2275" s="4" t="s">
        <v>39</v>
      </c>
      <c r="P2275" t="s">
        <v>3826</v>
      </c>
    </row>
    <row r="2276" spans="1:17" ht="10.5" hidden="1" x14ac:dyDescent="0.25">
      <c r="A2276" s="8" t="s">
        <v>183</v>
      </c>
      <c r="B2276" s="4" t="s">
        <v>21</v>
      </c>
      <c r="C2276" s="5">
        <v>44377</v>
      </c>
      <c r="D2276" s="4" t="s">
        <v>2076</v>
      </c>
      <c r="E2276" s="4" t="s">
        <v>2077</v>
      </c>
      <c r="F2276" s="4" t="s">
        <v>2078</v>
      </c>
      <c r="G2276" s="6">
        <v>5565.81623632024</v>
      </c>
      <c r="H2276" s="6">
        <f t="shared" si="38"/>
        <v>-349112.34601069475</v>
      </c>
      <c r="I2276" s="4"/>
      <c r="J2276" s="4" t="s">
        <v>25</v>
      </c>
      <c r="K2276" s="7">
        <v>7365</v>
      </c>
      <c r="L2276" s="4" t="s">
        <v>1031</v>
      </c>
      <c r="M2276" s="4" t="s">
        <v>201</v>
      </c>
      <c r="N2276" s="4" t="s">
        <v>198</v>
      </c>
    </row>
    <row r="2277" spans="1:17" ht="10.5" hidden="1" x14ac:dyDescent="0.25">
      <c r="A2277" s="8" t="s">
        <v>183</v>
      </c>
      <c r="B2277" s="4" t="s">
        <v>21</v>
      </c>
      <c r="C2277" s="5">
        <v>44377</v>
      </c>
      <c r="D2277" s="4" t="s">
        <v>2079</v>
      </c>
      <c r="E2277" s="4" t="s">
        <v>2080</v>
      </c>
      <c r="F2277" s="4" t="s">
        <v>2080</v>
      </c>
      <c r="G2277" s="6">
        <v>28538.42804544168</v>
      </c>
      <c r="H2277" s="6">
        <f t="shared" si="38"/>
        <v>-320573.91796525306</v>
      </c>
      <c r="I2277" s="4"/>
      <c r="J2277" s="4" t="s">
        <v>25</v>
      </c>
      <c r="K2277" s="115">
        <v>2100419</v>
      </c>
      <c r="L2277" s="4" t="s">
        <v>1031</v>
      </c>
      <c r="M2277" s="4" t="s">
        <v>204</v>
      </c>
      <c r="N2277" s="4" t="s">
        <v>198</v>
      </c>
    </row>
    <row r="2278" spans="1:17" ht="10.5" hidden="1" x14ac:dyDescent="0.25">
      <c r="A2278" s="8" t="s">
        <v>183</v>
      </c>
      <c r="B2278" s="4" t="s">
        <v>21</v>
      </c>
      <c r="C2278" s="5">
        <v>44377</v>
      </c>
      <c r="D2278" s="4" t="s">
        <v>1030</v>
      </c>
      <c r="E2278" s="4" t="s">
        <v>1028</v>
      </c>
      <c r="F2278" s="93" t="s">
        <v>1028</v>
      </c>
      <c r="G2278" s="6">
        <v>15320.502336812411</v>
      </c>
      <c r="H2278" s="6">
        <f t="shared" si="38"/>
        <v>-305253.41562844062</v>
      </c>
      <c r="I2278" s="4"/>
      <c r="J2278" s="4" t="s">
        <v>25</v>
      </c>
      <c r="K2278" s="115">
        <v>18713.2</v>
      </c>
      <c r="L2278" s="4" t="s">
        <v>1031</v>
      </c>
      <c r="M2278" s="4" t="s">
        <v>212</v>
      </c>
      <c r="N2278" s="4" t="s">
        <v>118</v>
      </c>
    </row>
    <row r="2279" spans="1:17" ht="10.5" hidden="1" x14ac:dyDescent="0.25">
      <c r="A2279" s="8" t="s">
        <v>183</v>
      </c>
      <c r="B2279" s="4" t="s">
        <v>21</v>
      </c>
      <c r="C2279" s="5">
        <v>44377</v>
      </c>
      <c r="D2279" s="4" t="s">
        <v>2083</v>
      </c>
      <c r="E2279" s="4" t="s">
        <v>2014</v>
      </c>
      <c r="F2279" s="4" t="s">
        <v>2014</v>
      </c>
      <c r="G2279" s="6">
        <v>26721.403575004966</v>
      </c>
      <c r="H2279" s="6">
        <f t="shared" si="38"/>
        <v>-278532.01205343567</v>
      </c>
      <c r="I2279" s="4"/>
      <c r="J2279" s="4" t="s">
        <v>25</v>
      </c>
      <c r="K2279" s="7">
        <v>19484.88</v>
      </c>
      <c r="L2279" s="4" t="s">
        <v>1031</v>
      </c>
      <c r="M2279" s="4" t="s">
        <v>186</v>
      </c>
      <c r="N2279" s="4" t="s">
        <v>118</v>
      </c>
    </row>
    <row r="2280" spans="1:17" ht="10.5" hidden="1" x14ac:dyDescent="0.25">
      <c r="A2280" s="8" t="s">
        <v>183</v>
      </c>
      <c r="B2280" s="4" t="s">
        <v>21</v>
      </c>
      <c r="C2280" s="5">
        <v>44377</v>
      </c>
      <c r="D2280" s="4" t="s">
        <v>2084</v>
      </c>
      <c r="E2280" s="4" t="s">
        <v>1113</v>
      </c>
      <c r="F2280" s="4" t="s">
        <v>1113</v>
      </c>
      <c r="G2280" s="6">
        <v>497917.8614141905</v>
      </c>
      <c r="H2280" s="6">
        <f t="shared" si="38"/>
        <v>219385.84936075483</v>
      </c>
      <c r="I2280" s="4"/>
      <c r="J2280" s="4" t="s">
        <v>25</v>
      </c>
      <c r="K2280" s="7">
        <v>412916</v>
      </c>
      <c r="L2280" s="4" t="s">
        <v>1031</v>
      </c>
      <c r="M2280" s="4" t="s">
        <v>61</v>
      </c>
      <c r="N2280" s="4" t="s">
        <v>118</v>
      </c>
      <c r="Q2280" s="4" t="s">
        <v>3653</v>
      </c>
    </row>
    <row r="2281" spans="1:17" ht="10.5" hidden="1" x14ac:dyDescent="0.25">
      <c r="A2281" s="8" t="s">
        <v>183</v>
      </c>
      <c r="B2281" s="4" t="s">
        <v>21</v>
      </c>
      <c r="C2281" s="5">
        <v>44377</v>
      </c>
      <c r="D2281" s="4" t="s">
        <v>1122</v>
      </c>
      <c r="E2281" s="4" t="s">
        <v>1113</v>
      </c>
      <c r="F2281" s="4" t="s">
        <v>1113</v>
      </c>
      <c r="G2281" s="6">
        <v>-2617.6924439165932</v>
      </c>
      <c r="H2281" s="6">
        <f t="shared" si="38"/>
        <v>216768.15691683823</v>
      </c>
      <c r="I2281" s="4"/>
      <c r="J2281" s="4" t="s">
        <v>25</v>
      </c>
      <c r="K2281" s="7">
        <v>-2604.62</v>
      </c>
      <c r="L2281" s="4" t="s">
        <v>1031</v>
      </c>
      <c r="M2281" s="4" t="s">
        <v>27</v>
      </c>
      <c r="N2281" s="4" t="s">
        <v>118</v>
      </c>
    </row>
    <row r="2282" spans="1:17" ht="10.5" x14ac:dyDescent="0.25">
      <c r="A2282" s="8" t="s">
        <v>183</v>
      </c>
      <c r="B2282" s="4" t="s">
        <v>21</v>
      </c>
      <c r="C2282" s="5">
        <v>44408</v>
      </c>
      <c r="D2282" s="4" t="s">
        <v>2091</v>
      </c>
      <c r="E2282" s="4" t="s">
        <v>2092</v>
      </c>
      <c r="F2282" s="4" t="s">
        <v>2092</v>
      </c>
      <c r="G2282" s="6">
        <v>3685.7722055360477</v>
      </c>
      <c r="H2282" s="6">
        <f t="shared" si="38"/>
        <v>220453.92912237428</v>
      </c>
      <c r="I2282" s="4"/>
      <c r="J2282" s="4" t="s">
        <v>748</v>
      </c>
      <c r="K2282" s="7">
        <v>3109</v>
      </c>
      <c r="L2282" s="4" t="s">
        <v>2086</v>
      </c>
      <c r="M2282" s="4" t="s">
        <v>38</v>
      </c>
      <c r="N2282" s="4" t="s">
        <v>39</v>
      </c>
      <c r="P2282" t="s">
        <v>3826</v>
      </c>
    </row>
    <row r="2283" spans="1:17" ht="10.5" x14ac:dyDescent="0.25">
      <c r="A2283" s="8" t="s">
        <v>183</v>
      </c>
      <c r="B2283" s="4" t="s">
        <v>21</v>
      </c>
      <c r="C2283" s="5">
        <v>44439</v>
      </c>
      <c r="D2283" s="4" t="s">
        <v>2103</v>
      </c>
      <c r="E2283" s="4" t="s">
        <v>2104</v>
      </c>
      <c r="F2283" s="4" t="s">
        <v>2104</v>
      </c>
      <c r="G2283" s="6">
        <v>2304.3112409526375</v>
      </c>
      <c r="H2283" s="6">
        <f t="shared" si="38"/>
        <v>222758.24036332691</v>
      </c>
      <c r="I2283" s="4"/>
      <c r="J2283" s="4" t="s">
        <v>748</v>
      </c>
      <c r="K2283" s="7">
        <v>1945</v>
      </c>
      <c r="L2283" s="4" t="s">
        <v>2097</v>
      </c>
      <c r="M2283" s="4" t="s">
        <v>38</v>
      </c>
      <c r="N2283" s="4" t="s">
        <v>39</v>
      </c>
      <c r="P2283" t="s">
        <v>3826</v>
      </c>
    </row>
    <row r="2284" spans="1:17" ht="10.5" x14ac:dyDescent="0.25">
      <c r="A2284" s="8" t="s">
        <v>183</v>
      </c>
      <c r="B2284" s="4" t="s">
        <v>21</v>
      </c>
      <c r="C2284" s="5">
        <v>44469</v>
      </c>
      <c r="D2284" s="4" t="s">
        <v>2115</v>
      </c>
      <c r="E2284" s="4" t="s">
        <v>2116</v>
      </c>
      <c r="F2284" s="4" t="s">
        <v>2116</v>
      </c>
      <c r="G2284" s="6">
        <v>2865.4086751210721</v>
      </c>
      <c r="H2284" s="6">
        <f t="shared" ref="H2284:H2324" si="39">H2283+G2284</f>
        <v>225623.649038448</v>
      </c>
      <c r="I2284" s="4"/>
      <c r="J2284" s="4" t="s">
        <v>748</v>
      </c>
      <c r="K2284" s="7">
        <v>2420</v>
      </c>
      <c r="L2284" s="4" t="s">
        <v>1033</v>
      </c>
      <c r="M2284" s="4" t="s">
        <v>38</v>
      </c>
      <c r="N2284" s="4" t="s">
        <v>39</v>
      </c>
      <c r="P2284" t="s">
        <v>3826</v>
      </c>
    </row>
    <row r="2285" spans="1:17" ht="10.5" hidden="1" x14ac:dyDescent="0.25">
      <c r="A2285" s="8" t="s">
        <v>183</v>
      </c>
      <c r="B2285" s="4" t="s">
        <v>21</v>
      </c>
      <c r="C2285" s="5">
        <v>44469</v>
      </c>
      <c r="D2285" s="4" t="s">
        <v>2118</v>
      </c>
      <c r="E2285" s="4" t="s">
        <v>2119</v>
      </c>
      <c r="F2285" s="4" t="s">
        <v>2120</v>
      </c>
      <c r="G2285" s="6">
        <v>5827.93339137166</v>
      </c>
      <c r="H2285" s="6">
        <f t="shared" si="39"/>
        <v>231451.58242981965</v>
      </c>
      <c r="I2285" s="4"/>
      <c r="J2285" s="4" t="s">
        <v>25</v>
      </c>
      <c r="K2285" s="7">
        <v>7740</v>
      </c>
      <c r="L2285" s="4" t="s">
        <v>1033</v>
      </c>
      <c r="M2285" s="4" t="s">
        <v>201</v>
      </c>
      <c r="N2285" s="4" t="s">
        <v>198</v>
      </c>
    </row>
    <row r="2286" spans="1:17" ht="10.5" hidden="1" x14ac:dyDescent="0.25">
      <c r="A2286" s="8" t="s">
        <v>183</v>
      </c>
      <c r="B2286" s="4" t="s">
        <v>21</v>
      </c>
      <c r="C2286" s="5">
        <v>44469</v>
      </c>
      <c r="D2286" s="4" t="s">
        <v>2121</v>
      </c>
      <c r="E2286" s="4" t="s">
        <v>2122</v>
      </c>
      <c r="F2286" s="4" t="s">
        <v>2122</v>
      </c>
      <c r="G2286" s="6">
        <v>29128.93597106864</v>
      </c>
      <c r="H2286" s="6">
        <f t="shared" si="39"/>
        <v>260580.51840088831</v>
      </c>
      <c r="I2286" s="4"/>
      <c r="J2286" s="4" t="s">
        <v>25</v>
      </c>
      <c r="K2286" s="115">
        <v>2124843</v>
      </c>
      <c r="L2286" s="4" t="s">
        <v>1033</v>
      </c>
      <c r="M2286" s="4" t="s">
        <v>204</v>
      </c>
      <c r="N2286" s="4" t="s">
        <v>198</v>
      </c>
    </row>
    <row r="2287" spans="1:17" ht="10.5" hidden="1" x14ac:dyDescent="0.25">
      <c r="A2287" s="8" t="s">
        <v>183</v>
      </c>
      <c r="B2287" s="4" t="s">
        <v>21</v>
      </c>
      <c r="C2287" s="5">
        <v>44469</v>
      </c>
      <c r="D2287" s="4" t="s">
        <v>1032</v>
      </c>
      <c r="E2287" s="4" t="s">
        <v>1028</v>
      </c>
      <c r="F2287" s="93" t="s">
        <v>1028</v>
      </c>
      <c r="G2287" s="6">
        <v>-4055.6834999451717</v>
      </c>
      <c r="H2287" s="6">
        <f t="shared" si="39"/>
        <v>256524.83490094313</v>
      </c>
      <c r="I2287" s="4"/>
      <c r="J2287" s="4" t="s">
        <v>25</v>
      </c>
      <c r="K2287" s="115">
        <v>-5089.38</v>
      </c>
      <c r="L2287" s="4" t="s">
        <v>1033</v>
      </c>
      <c r="M2287" s="4" t="s">
        <v>212</v>
      </c>
      <c r="N2287" s="4" t="s">
        <v>118</v>
      </c>
    </row>
    <row r="2288" spans="1:17" ht="10.5" hidden="1" x14ac:dyDescent="0.25">
      <c r="A2288" s="8" t="s">
        <v>183</v>
      </c>
      <c r="B2288" s="4" t="s">
        <v>21</v>
      </c>
      <c r="C2288" s="5">
        <v>44469</v>
      </c>
      <c r="D2288" s="4" t="s">
        <v>2124</v>
      </c>
      <c r="E2288" s="4" t="s">
        <v>2014</v>
      </c>
      <c r="F2288" s="4" t="s">
        <v>2014</v>
      </c>
      <c r="G2288" s="6">
        <v>23326.991838549606</v>
      </c>
      <c r="H2288" s="6">
        <f t="shared" si="39"/>
        <v>279851.82673949271</v>
      </c>
      <c r="I2288" s="4"/>
      <c r="J2288" s="4" t="s">
        <v>25</v>
      </c>
      <c r="K2288" s="7">
        <v>16908.96</v>
      </c>
      <c r="L2288" s="4" t="s">
        <v>1033</v>
      </c>
      <c r="M2288" s="4" t="s">
        <v>186</v>
      </c>
      <c r="N2288" s="4" t="s">
        <v>118</v>
      </c>
    </row>
    <row r="2289" spans="1:17" ht="10.5" hidden="1" x14ac:dyDescent="0.25">
      <c r="A2289" s="8" t="s">
        <v>183</v>
      </c>
      <c r="B2289" s="4" t="s">
        <v>21</v>
      </c>
      <c r="C2289" s="5">
        <v>44469</v>
      </c>
      <c r="D2289" s="4" t="s">
        <v>2125</v>
      </c>
      <c r="E2289" s="4" t="s">
        <v>1113</v>
      </c>
      <c r="F2289" s="4" t="s">
        <v>1113</v>
      </c>
      <c r="G2289" s="6">
        <v>105155.76216425719</v>
      </c>
      <c r="H2289" s="6">
        <f t="shared" si="39"/>
        <v>385007.58890374989</v>
      </c>
      <c r="I2289" s="4"/>
      <c r="J2289" s="4" t="s">
        <v>25</v>
      </c>
      <c r="K2289" s="7">
        <v>88810</v>
      </c>
      <c r="L2289" s="4" t="s">
        <v>1033</v>
      </c>
      <c r="M2289" s="4" t="s">
        <v>61</v>
      </c>
      <c r="N2289" s="4" t="s">
        <v>118</v>
      </c>
      <c r="Q2289" s="4" t="s">
        <v>3653</v>
      </c>
    </row>
    <row r="2290" spans="1:17" ht="10.5" hidden="1" x14ac:dyDescent="0.25">
      <c r="A2290" s="8" t="s">
        <v>183</v>
      </c>
      <c r="B2290" s="4" t="s">
        <v>21</v>
      </c>
      <c r="C2290" s="5">
        <v>44469</v>
      </c>
      <c r="D2290" s="4" t="s">
        <v>1130</v>
      </c>
      <c r="E2290" s="4" t="s">
        <v>1113</v>
      </c>
      <c r="F2290" s="4" t="s">
        <v>1113</v>
      </c>
      <c r="G2290" s="6">
        <v>40218.857085159536</v>
      </c>
      <c r="H2290" s="6">
        <f t="shared" si="39"/>
        <v>425226.4459889094</v>
      </c>
      <c r="I2290" s="4"/>
      <c r="J2290" s="4" t="s">
        <v>25</v>
      </c>
      <c r="K2290" s="7">
        <v>39934.730000000003</v>
      </c>
      <c r="L2290" s="4" t="s">
        <v>1033</v>
      </c>
      <c r="M2290" s="4" t="s">
        <v>27</v>
      </c>
      <c r="N2290" s="4" t="s">
        <v>118</v>
      </c>
    </row>
    <row r="2291" spans="1:17" ht="10.5" x14ac:dyDescent="0.25">
      <c r="A2291" s="8" t="s">
        <v>183</v>
      </c>
      <c r="B2291" s="4" t="s">
        <v>21</v>
      </c>
      <c r="C2291" s="5">
        <v>44530</v>
      </c>
      <c r="D2291" s="4" t="s">
        <v>2137</v>
      </c>
      <c r="E2291" s="4" t="s">
        <v>2138</v>
      </c>
      <c r="F2291" s="4" t="s">
        <v>2138</v>
      </c>
      <c r="G2291" s="6">
        <v>5472.9640098374048</v>
      </c>
      <c r="H2291" s="6">
        <f t="shared" si="39"/>
        <v>430699.40999874682</v>
      </c>
      <c r="I2291" s="4"/>
      <c r="J2291" s="4" t="s">
        <v>748</v>
      </c>
      <c r="K2291" s="7">
        <v>4782</v>
      </c>
      <c r="L2291" s="4" t="s">
        <v>1133</v>
      </c>
      <c r="M2291" s="4" t="s">
        <v>38</v>
      </c>
      <c r="N2291" s="4" t="s">
        <v>39</v>
      </c>
      <c r="P2291" t="s">
        <v>3826</v>
      </c>
    </row>
    <row r="2292" spans="1:17" ht="10.5" hidden="1" x14ac:dyDescent="0.25">
      <c r="A2292" s="8" t="s">
        <v>183</v>
      </c>
      <c r="B2292" s="4" t="s">
        <v>21</v>
      </c>
      <c r="C2292" s="5">
        <v>44545</v>
      </c>
      <c r="D2292" s="4" t="s">
        <v>3621</v>
      </c>
      <c r="E2292" s="4" t="s">
        <v>3622</v>
      </c>
      <c r="F2292" s="4" t="s">
        <v>3622</v>
      </c>
      <c r="G2292" s="6">
        <v>1351.6414371482888</v>
      </c>
      <c r="H2292" s="6">
        <f t="shared" si="39"/>
        <v>432051.05143589509</v>
      </c>
      <c r="I2292" s="4"/>
      <c r="J2292" s="4" t="s">
        <v>25</v>
      </c>
      <c r="K2292" s="7">
        <v>1726.26</v>
      </c>
      <c r="L2292" s="4" t="s">
        <v>1036</v>
      </c>
      <c r="M2292" s="4" t="s">
        <v>212</v>
      </c>
      <c r="N2292" s="4" t="s">
        <v>28</v>
      </c>
    </row>
    <row r="2293" spans="1:17" ht="10.5" x14ac:dyDescent="0.25">
      <c r="A2293" s="8" t="s">
        <v>183</v>
      </c>
      <c r="B2293" s="4" t="s">
        <v>21</v>
      </c>
      <c r="C2293" s="5">
        <v>44561</v>
      </c>
      <c r="D2293" s="4" t="s">
        <v>2147</v>
      </c>
      <c r="E2293" s="4" t="s">
        <v>2148</v>
      </c>
      <c r="F2293" s="4" t="s">
        <v>2148</v>
      </c>
      <c r="G2293" s="6">
        <v>6057.6315115835832</v>
      </c>
      <c r="H2293" s="6">
        <f t="shared" si="39"/>
        <v>438108.68294747866</v>
      </c>
      <c r="I2293" s="4"/>
      <c r="J2293" s="4" t="s">
        <v>748</v>
      </c>
      <c r="K2293" s="7">
        <v>5340</v>
      </c>
      <c r="L2293" s="4" t="s">
        <v>1036</v>
      </c>
      <c r="M2293" s="4" t="s">
        <v>38</v>
      </c>
      <c r="N2293" s="4" t="s">
        <v>39</v>
      </c>
      <c r="P2293" t="s">
        <v>3826</v>
      </c>
    </row>
    <row r="2294" spans="1:17" ht="10.5" hidden="1" x14ac:dyDescent="0.25">
      <c r="A2294" s="8" t="s">
        <v>183</v>
      </c>
      <c r="B2294" s="4" t="s">
        <v>21</v>
      </c>
      <c r="C2294" s="5">
        <v>44561</v>
      </c>
      <c r="D2294" s="4" t="s">
        <v>2149</v>
      </c>
      <c r="E2294" s="4" t="s">
        <v>2150</v>
      </c>
      <c r="F2294" s="4" t="s">
        <v>2150</v>
      </c>
      <c r="G2294" s="6">
        <v>99331.125361516271</v>
      </c>
      <c r="H2294" s="6">
        <f t="shared" si="39"/>
        <v>537439.80830899498</v>
      </c>
      <c r="I2294" s="4"/>
      <c r="J2294" s="4" t="s">
        <v>37</v>
      </c>
      <c r="K2294" s="7">
        <v>74376</v>
      </c>
      <c r="L2294" s="4" t="s">
        <v>1036</v>
      </c>
      <c r="M2294" s="4" t="s">
        <v>186</v>
      </c>
      <c r="N2294" s="4" t="s">
        <v>39</v>
      </c>
    </row>
    <row r="2295" spans="1:17" ht="10.5" hidden="1" x14ac:dyDescent="0.25">
      <c r="A2295" s="8" t="s">
        <v>183</v>
      </c>
      <c r="B2295" s="4" t="s">
        <v>21</v>
      </c>
      <c r="C2295" s="5">
        <v>44561</v>
      </c>
      <c r="D2295" s="4" t="s">
        <v>2151</v>
      </c>
      <c r="E2295" s="4" t="s">
        <v>2152</v>
      </c>
      <c r="F2295" s="4" t="s">
        <v>2152</v>
      </c>
      <c r="G2295" s="6">
        <v>23486.605789970778</v>
      </c>
      <c r="H2295" s="6">
        <f t="shared" si="39"/>
        <v>560926.4140989657</v>
      </c>
      <c r="I2295" s="4"/>
      <c r="J2295" s="4" t="s">
        <v>37</v>
      </c>
      <c r="K2295" s="7">
        <v>213072</v>
      </c>
      <c r="L2295" s="4" t="s">
        <v>1036</v>
      </c>
      <c r="M2295" s="4" t="s">
        <v>193</v>
      </c>
      <c r="N2295" s="4" t="s">
        <v>39</v>
      </c>
    </row>
    <row r="2296" spans="1:17" ht="10.5" hidden="1" x14ac:dyDescent="0.25">
      <c r="A2296" s="8" t="s">
        <v>183</v>
      </c>
      <c r="B2296" s="4" t="s">
        <v>21</v>
      </c>
      <c r="C2296" s="5">
        <v>44561</v>
      </c>
      <c r="D2296" s="4" t="s">
        <v>2153</v>
      </c>
      <c r="E2296" s="4" t="s">
        <v>2154</v>
      </c>
      <c r="F2296" s="4" t="s">
        <v>2155</v>
      </c>
      <c r="G2296" s="6">
        <v>6904.2592505424182</v>
      </c>
      <c r="H2296" s="6">
        <f t="shared" si="39"/>
        <v>567830.67334950808</v>
      </c>
      <c r="I2296" s="4"/>
      <c r="J2296" s="4" t="s">
        <v>25</v>
      </c>
      <c r="K2296" s="7">
        <v>9334</v>
      </c>
      <c r="L2296" s="4" t="s">
        <v>1036</v>
      </c>
      <c r="M2296" s="4" t="s">
        <v>201</v>
      </c>
      <c r="N2296" s="4" t="s">
        <v>198</v>
      </c>
    </row>
    <row r="2297" spans="1:17" ht="10.5" hidden="1" x14ac:dyDescent="0.25">
      <c r="A2297" s="8" t="s">
        <v>183</v>
      </c>
      <c r="B2297" s="4" t="s">
        <v>21</v>
      </c>
      <c r="C2297" s="5">
        <v>44561</v>
      </c>
      <c r="D2297" s="4" t="s">
        <v>2159</v>
      </c>
      <c r="E2297" s="4" t="s">
        <v>2160</v>
      </c>
      <c r="F2297" s="4" t="s">
        <v>2160</v>
      </c>
      <c r="G2297" s="6">
        <v>32677.787050284471</v>
      </c>
      <c r="H2297" s="6">
        <f t="shared" si="39"/>
        <v>600508.46039979253</v>
      </c>
      <c r="I2297" s="4"/>
      <c r="J2297" s="4" t="s">
        <v>25</v>
      </c>
      <c r="K2297" s="115">
        <v>2445634</v>
      </c>
      <c r="L2297" s="4" t="s">
        <v>1036</v>
      </c>
      <c r="M2297" s="4" t="s">
        <v>204</v>
      </c>
      <c r="N2297" s="4" t="s">
        <v>198</v>
      </c>
    </row>
    <row r="2298" spans="1:17" ht="10.5" hidden="1" x14ac:dyDescent="0.25">
      <c r="A2298" s="8" t="s">
        <v>183</v>
      </c>
      <c r="B2298" s="4" t="s">
        <v>21</v>
      </c>
      <c r="C2298" s="5">
        <v>44561</v>
      </c>
      <c r="D2298" s="4" t="s">
        <v>2161</v>
      </c>
      <c r="E2298" s="4" t="s">
        <v>185</v>
      </c>
      <c r="F2298" s="4" t="s">
        <v>185</v>
      </c>
      <c r="G2298" s="6">
        <v>-1408.9805482467418</v>
      </c>
      <c r="H2298" s="6">
        <f t="shared" si="39"/>
        <v>599099.47985154577</v>
      </c>
      <c r="I2298" s="4"/>
      <c r="J2298" s="4" t="s">
        <v>37</v>
      </c>
      <c r="K2298" s="7">
        <v>-1055</v>
      </c>
      <c r="L2298" s="4" t="s">
        <v>1036</v>
      </c>
      <c r="M2298" s="4" t="s">
        <v>186</v>
      </c>
      <c r="N2298" s="4" t="s">
        <v>39</v>
      </c>
    </row>
    <row r="2299" spans="1:17" ht="10.5" hidden="1" x14ac:dyDescent="0.25">
      <c r="A2299" s="8" t="s">
        <v>183</v>
      </c>
      <c r="B2299" s="4" t="s">
        <v>21</v>
      </c>
      <c r="C2299" s="5">
        <v>44561</v>
      </c>
      <c r="D2299" s="4" t="s">
        <v>2162</v>
      </c>
      <c r="E2299" s="4" t="s">
        <v>2163</v>
      </c>
      <c r="F2299" s="4" t="s">
        <v>2164</v>
      </c>
      <c r="G2299" s="6">
        <v>1996.8970934056049</v>
      </c>
      <c r="H2299" s="6">
        <f t="shared" si="39"/>
        <v>601096.37694495136</v>
      </c>
      <c r="I2299" s="4"/>
      <c r="J2299" s="4" t="s">
        <v>37</v>
      </c>
      <c r="K2299" s="7">
        <v>18116</v>
      </c>
      <c r="L2299" s="4" t="s">
        <v>1036</v>
      </c>
      <c r="M2299" s="4" t="s">
        <v>193</v>
      </c>
      <c r="N2299" s="4" t="s">
        <v>39</v>
      </c>
    </row>
    <row r="2300" spans="1:17" ht="10.5" hidden="1" x14ac:dyDescent="0.25">
      <c r="A2300" s="8" t="s">
        <v>183</v>
      </c>
      <c r="B2300" s="4" t="s">
        <v>21</v>
      </c>
      <c r="C2300" s="5">
        <v>44561</v>
      </c>
      <c r="D2300" s="4" t="s">
        <v>2165</v>
      </c>
      <c r="E2300" s="4" t="s">
        <v>2166</v>
      </c>
      <c r="F2300" s="4" t="s">
        <v>2166</v>
      </c>
      <c r="G2300" s="6">
        <v>592961.58344146307</v>
      </c>
      <c r="H2300" s="6">
        <f t="shared" si="39"/>
        <v>1194057.9603864145</v>
      </c>
      <c r="I2300" s="4"/>
      <c r="J2300" s="4" t="s">
        <v>25</v>
      </c>
      <c r="K2300" s="128">
        <v>522715</v>
      </c>
      <c r="L2300" s="4" t="s">
        <v>1036</v>
      </c>
      <c r="M2300" s="4" t="s">
        <v>61</v>
      </c>
      <c r="N2300" s="4" t="s">
        <v>181</v>
      </c>
      <c r="Q2300" s="4" t="s">
        <v>3653</v>
      </c>
    </row>
    <row r="2301" spans="1:17" ht="10.5" hidden="1" x14ac:dyDescent="0.25">
      <c r="A2301" s="8" t="s">
        <v>183</v>
      </c>
      <c r="B2301" s="4" t="s">
        <v>21</v>
      </c>
      <c r="C2301" s="5">
        <v>44561</v>
      </c>
      <c r="D2301" s="4" t="s">
        <v>1138</v>
      </c>
      <c r="E2301" s="4" t="s">
        <v>1035</v>
      </c>
      <c r="F2301" s="4" t="s">
        <v>1035</v>
      </c>
      <c r="G2301" s="6">
        <v>31188.633146233966</v>
      </c>
      <c r="H2301" s="6">
        <f t="shared" si="39"/>
        <v>1225246.5935326484</v>
      </c>
      <c r="I2301" s="4"/>
      <c r="J2301" s="4" t="s">
        <v>25</v>
      </c>
      <c r="K2301" s="7">
        <v>31124</v>
      </c>
      <c r="L2301" s="4" t="s">
        <v>1036</v>
      </c>
      <c r="M2301" s="4" t="s">
        <v>27</v>
      </c>
      <c r="N2301" s="4" t="s">
        <v>118</v>
      </c>
    </row>
    <row r="2302" spans="1:17" ht="10.5" hidden="1" x14ac:dyDescent="0.25">
      <c r="A2302" s="8" t="s">
        <v>183</v>
      </c>
      <c r="B2302" s="4" t="s">
        <v>21</v>
      </c>
      <c r="C2302" s="5">
        <v>44561</v>
      </c>
      <c r="D2302" s="4" t="s">
        <v>1034</v>
      </c>
      <c r="E2302" s="4" t="s">
        <v>1035</v>
      </c>
      <c r="F2302" s="93" t="s">
        <v>1035</v>
      </c>
      <c r="G2302" s="6">
        <v>53440.276875673131</v>
      </c>
      <c r="H2302" s="6">
        <f t="shared" si="39"/>
        <v>1278686.8704083215</v>
      </c>
      <c r="I2302" s="4"/>
      <c r="J2302" s="4" t="s">
        <v>25</v>
      </c>
      <c r="K2302" s="115">
        <v>68251.69</v>
      </c>
      <c r="L2302" s="4" t="s">
        <v>1036</v>
      </c>
      <c r="M2302" s="4" t="s">
        <v>212</v>
      </c>
      <c r="N2302" s="4" t="s">
        <v>118</v>
      </c>
    </row>
    <row r="2303" spans="1:17" ht="10.5" hidden="1" x14ac:dyDescent="0.25">
      <c r="A2303" s="8" t="s">
        <v>183</v>
      </c>
      <c r="B2303" s="4" t="s">
        <v>21</v>
      </c>
      <c r="C2303" s="5">
        <v>44561</v>
      </c>
      <c r="D2303" s="4" t="s">
        <v>2169</v>
      </c>
      <c r="E2303" s="4" t="s">
        <v>2170</v>
      </c>
      <c r="F2303" s="4" t="s">
        <v>2170</v>
      </c>
      <c r="G2303" s="6">
        <v>-85332.062770758785</v>
      </c>
      <c r="H2303" s="6">
        <f t="shared" si="39"/>
        <v>1193354.8076375627</v>
      </c>
      <c r="I2303" s="4"/>
      <c r="J2303" s="4" t="s">
        <v>37</v>
      </c>
      <c r="K2303" s="128">
        <v>-75223</v>
      </c>
      <c r="L2303" s="4" t="s">
        <v>1036</v>
      </c>
      <c r="M2303" s="4" t="s">
        <v>61</v>
      </c>
      <c r="N2303" s="4" t="s">
        <v>181</v>
      </c>
      <c r="Q2303" s="4" t="s">
        <v>3653</v>
      </c>
    </row>
    <row r="2304" spans="1:17" ht="10.5" hidden="1" x14ac:dyDescent="0.25">
      <c r="A2304" s="8" t="s">
        <v>183</v>
      </c>
      <c r="B2304" s="4" t="s">
        <v>21</v>
      </c>
      <c r="C2304" s="5">
        <v>44561</v>
      </c>
      <c r="D2304" s="4" t="s">
        <v>1155</v>
      </c>
      <c r="E2304" s="4" t="s">
        <v>1156</v>
      </c>
      <c r="F2304" s="4" t="s">
        <v>1156</v>
      </c>
      <c r="G2304" s="6">
        <v>-11269.353822212672</v>
      </c>
      <c r="H2304" s="6">
        <f t="shared" si="39"/>
        <v>1182085.4538153501</v>
      </c>
      <c r="I2304" s="4"/>
      <c r="J2304" s="4" t="s">
        <v>68</v>
      </c>
      <c r="K2304" s="7">
        <v>-11246</v>
      </c>
      <c r="L2304" s="4" t="s">
        <v>1036</v>
      </c>
      <c r="M2304" s="4" t="s">
        <v>27</v>
      </c>
      <c r="N2304" s="4" t="s">
        <v>1026</v>
      </c>
    </row>
    <row r="2305" spans="1:17" ht="10.5" hidden="1" x14ac:dyDescent="0.25">
      <c r="A2305" s="8" t="s">
        <v>183</v>
      </c>
      <c r="B2305" s="4" t="s">
        <v>21</v>
      </c>
      <c r="C2305" s="5">
        <v>44561</v>
      </c>
      <c r="D2305" s="4" t="s">
        <v>1037</v>
      </c>
      <c r="E2305" s="4" t="s">
        <v>1028</v>
      </c>
      <c r="F2305" s="93" t="s">
        <v>1028</v>
      </c>
      <c r="G2305" s="6">
        <v>-38352.866885970099</v>
      </c>
      <c r="H2305" s="6">
        <f t="shared" si="39"/>
        <v>1143732.58692938</v>
      </c>
      <c r="I2305" s="4"/>
      <c r="J2305" s="4" t="s">
        <v>25</v>
      </c>
      <c r="K2305" s="115">
        <v>-48982.68</v>
      </c>
      <c r="L2305" s="4" t="s">
        <v>1036</v>
      </c>
      <c r="M2305" s="4" t="s">
        <v>212</v>
      </c>
      <c r="N2305" s="4" t="s">
        <v>118</v>
      </c>
    </row>
    <row r="2306" spans="1:17" ht="10.5" hidden="1" x14ac:dyDescent="0.25">
      <c r="A2306" s="8" t="s">
        <v>183</v>
      </c>
      <c r="B2306" s="4" t="s">
        <v>21</v>
      </c>
      <c r="C2306" s="5">
        <v>44561</v>
      </c>
      <c r="D2306" s="4" t="s">
        <v>2172</v>
      </c>
      <c r="E2306" s="4" t="s">
        <v>2014</v>
      </c>
      <c r="F2306" s="4" t="s">
        <v>2014</v>
      </c>
      <c r="G2306" s="6">
        <v>-74817.307835675369</v>
      </c>
      <c r="H2306" s="6">
        <f t="shared" si="39"/>
        <v>1068915.2790937047</v>
      </c>
      <c r="I2306" s="4"/>
      <c r="J2306" s="4" t="s">
        <v>25</v>
      </c>
      <c r="K2306" s="7">
        <v>-56020.83</v>
      </c>
      <c r="L2306" s="4" t="s">
        <v>1036</v>
      </c>
      <c r="M2306" s="4" t="s">
        <v>186</v>
      </c>
      <c r="N2306" s="4" t="s">
        <v>118</v>
      </c>
    </row>
    <row r="2307" spans="1:17" ht="10.5" hidden="1" x14ac:dyDescent="0.25">
      <c r="A2307" s="8" t="s">
        <v>183</v>
      </c>
      <c r="B2307" s="4" t="s">
        <v>21</v>
      </c>
      <c r="C2307" s="5">
        <v>44561</v>
      </c>
      <c r="D2307" s="4" t="s">
        <v>2173</v>
      </c>
      <c r="E2307" s="4" t="s">
        <v>1113</v>
      </c>
      <c r="F2307" s="4" t="s">
        <v>1113</v>
      </c>
      <c r="G2307" s="6">
        <v>156859.75890023282</v>
      </c>
      <c r="H2307" s="6">
        <f t="shared" si="39"/>
        <v>1225775.0379939375</v>
      </c>
      <c r="I2307" s="4"/>
      <c r="J2307" s="4" t="s">
        <v>25</v>
      </c>
      <c r="K2307" s="7">
        <v>138277</v>
      </c>
      <c r="L2307" s="4" t="s">
        <v>1036</v>
      </c>
      <c r="M2307" s="4" t="s">
        <v>61</v>
      </c>
      <c r="N2307" s="4" t="s">
        <v>118</v>
      </c>
      <c r="Q2307" s="4" t="s">
        <v>3653</v>
      </c>
    </row>
    <row r="2308" spans="1:17" ht="10.5" hidden="1" x14ac:dyDescent="0.25">
      <c r="A2308" s="8" t="s">
        <v>183</v>
      </c>
      <c r="B2308" s="4" t="s">
        <v>21</v>
      </c>
      <c r="C2308" s="5">
        <v>44561</v>
      </c>
      <c r="D2308" s="4" t="s">
        <v>1160</v>
      </c>
      <c r="E2308" s="4" t="s">
        <v>1113</v>
      </c>
      <c r="F2308" s="4" t="s">
        <v>1113</v>
      </c>
      <c r="G2308" s="6">
        <v>9660.5498491602284</v>
      </c>
      <c r="H2308" s="6">
        <f t="shared" si="39"/>
        <v>1235435.5878430977</v>
      </c>
      <c r="I2308" s="4"/>
      <c r="J2308" s="4" t="s">
        <v>25</v>
      </c>
      <c r="K2308" s="7">
        <v>9640.5300000000007</v>
      </c>
      <c r="L2308" s="4" t="s">
        <v>1036</v>
      </c>
      <c r="M2308" s="4" t="s">
        <v>27</v>
      </c>
      <c r="N2308" s="4" t="s">
        <v>118</v>
      </c>
    </row>
    <row r="2309" spans="1:17" ht="10.5" hidden="1" x14ac:dyDescent="0.25">
      <c r="A2309" s="8" t="s">
        <v>183</v>
      </c>
      <c r="B2309" s="4" t="s">
        <v>21</v>
      </c>
      <c r="C2309" s="5">
        <v>44562</v>
      </c>
      <c r="D2309" s="4" t="s">
        <v>184</v>
      </c>
      <c r="E2309" s="4" t="s">
        <v>185</v>
      </c>
      <c r="F2309" s="4" t="s">
        <v>185</v>
      </c>
      <c r="G2309" s="6">
        <v>1417.897926380879</v>
      </c>
      <c r="H2309" s="6">
        <f t="shared" si="39"/>
        <v>1236853.4857694786</v>
      </c>
      <c r="I2309" s="4"/>
      <c r="J2309" s="4" t="s">
        <v>37</v>
      </c>
      <c r="K2309" s="7">
        <v>1055</v>
      </c>
      <c r="L2309" s="4" t="s">
        <v>60</v>
      </c>
      <c r="M2309" s="4" t="s">
        <v>186</v>
      </c>
      <c r="N2309" s="4" t="s">
        <v>39</v>
      </c>
    </row>
    <row r="2310" spans="1:17" ht="10.5" hidden="1" x14ac:dyDescent="0.25">
      <c r="A2310" s="8" t="s">
        <v>183</v>
      </c>
      <c r="B2310" s="4" t="s">
        <v>21</v>
      </c>
      <c r="C2310" s="5">
        <v>44592</v>
      </c>
      <c r="D2310" s="4" t="s">
        <v>187</v>
      </c>
      <c r="E2310" s="4" t="s">
        <v>188</v>
      </c>
      <c r="F2310" s="4" t="s">
        <v>188</v>
      </c>
      <c r="G2310" s="6">
        <v>-1417.897926380879</v>
      </c>
      <c r="H2310" s="6">
        <f t="shared" si="39"/>
        <v>1235435.5878430977</v>
      </c>
      <c r="I2310" s="4"/>
      <c r="J2310" s="4" t="s">
        <v>37</v>
      </c>
      <c r="K2310" s="7">
        <v>-1055</v>
      </c>
      <c r="L2310" s="4" t="s">
        <v>60</v>
      </c>
      <c r="M2310" s="4" t="s">
        <v>186</v>
      </c>
      <c r="N2310" s="4" t="s">
        <v>39</v>
      </c>
    </row>
    <row r="2311" spans="1:17" ht="10.5" x14ac:dyDescent="0.25">
      <c r="A2311" s="8" t="s">
        <v>183</v>
      </c>
      <c r="B2311" s="4" t="s">
        <v>21</v>
      </c>
      <c r="C2311" s="5">
        <v>44620</v>
      </c>
      <c r="D2311" s="4" t="s">
        <v>35</v>
      </c>
      <c r="E2311" s="4" t="s">
        <v>36</v>
      </c>
      <c r="F2311" s="4" t="s">
        <v>36</v>
      </c>
      <c r="G2311" s="6">
        <v>6180.785826150016</v>
      </c>
      <c r="H2311" s="6">
        <f t="shared" si="39"/>
        <v>1241616.3736692478</v>
      </c>
      <c r="I2311" s="4"/>
      <c r="J2311" s="4" t="s">
        <v>37</v>
      </c>
      <c r="K2311" s="7">
        <v>5481</v>
      </c>
      <c r="L2311" s="4" t="s">
        <v>26</v>
      </c>
      <c r="M2311" s="4" t="s">
        <v>38</v>
      </c>
      <c r="N2311" s="4" t="s">
        <v>39</v>
      </c>
    </row>
    <row r="2312" spans="1:17" ht="10.5" x14ac:dyDescent="0.25">
      <c r="A2312" s="8" t="s">
        <v>183</v>
      </c>
      <c r="B2312" s="4" t="s">
        <v>21</v>
      </c>
      <c r="C2312" s="5">
        <v>44651</v>
      </c>
      <c r="D2312" s="4" t="s">
        <v>40</v>
      </c>
      <c r="E2312" s="4" t="s">
        <v>41</v>
      </c>
      <c r="F2312" s="4" t="s">
        <v>41</v>
      </c>
      <c r="G2312" s="6">
        <v>4452.5458208449527</v>
      </c>
      <c r="H2312" s="6">
        <f t="shared" si="39"/>
        <v>1246068.9194900929</v>
      </c>
      <c r="I2312" s="4"/>
      <c r="J2312" s="4" t="s">
        <v>25</v>
      </c>
      <c r="K2312" s="7">
        <v>4014</v>
      </c>
      <c r="L2312" s="4" t="s">
        <v>42</v>
      </c>
      <c r="M2312" s="4" t="s">
        <v>38</v>
      </c>
      <c r="N2312" s="4" t="s">
        <v>39</v>
      </c>
    </row>
    <row r="2313" spans="1:17" ht="10.5" hidden="1" x14ac:dyDescent="0.25">
      <c r="A2313" s="8" t="s">
        <v>183</v>
      </c>
      <c r="B2313" s="4" t="s">
        <v>21</v>
      </c>
      <c r="C2313" s="5">
        <v>44651</v>
      </c>
      <c r="D2313" s="4" t="s">
        <v>189</v>
      </c>
      <c r="E2313" s="4" t="s">
        <v>190</v>
      </c>
      <c r="F2313" s="4" t="s">
        <v>190</v>
      </c>
      <c r="G2313" s="6">
        <v>22039.560127769077</v>
      </c>
      <c r="H2313" s="6">
        <f t="shared" si="39"/>
        <v>1268108.479617862</v>
      </c>
      <c r="I2313" s="4"/>
      <c r="J2313" s="4" t="s">
        <v>25</v>
      </c>
      <c r="K2313" s="7">
        <v>16628</v>
      </c>
      <c r="L2313" s="4" t="s">
        <v>42</v>
      </c>
      <c r="M2313" s="4" t="s">
        <v>186</v>
      </c>
      <c r="N2313" s="4" t="s">
        <v>39</v>
      </c>
    </row>
    <row r="2314" spans="1:17" ht="10.5" hidden="1" x14ac:dyDescent="0.25">
      <c r="A2314" s="8" t="s">
        <v>183</v>
      </c>
      <c r="B2314" s="4" t="s">
        <v>21</v>
      </c>
      <c r="C2314" s="5">
        <v>44651</v>
      </c>
      <c r="D2314" s="4" t="s">
        <v>191</v>
      </c>
      <c r="E2314" s="4" t="s">
        <v>192</v>
      </c>
      <c r="F2314" s="4" t="s">
        <v>192</v>
      </c>
      <c r="G2314" s="6">
        <v>5455.9437713087582</v>
      </c>
      <c r="H2314" s="6">
        <f t="shared" si="39"/>
        <v>1273564.4233891708</v>
      </c>
      <c r="I2314" s="4"/>
      <c r="J2314" s="4" t="s">
        <v>25</v>
      </c>
      <c r="K2314" s="7">
        <v>51102</v>
      </c>
      <c r="L2314" s="4" t="s">
        <v>42</v>
      </c>
      <c r="M2314" s="4" t="s">
        <v>193</v>
      </c>
      <c r="N2314" s="4" t="s">
        <v>39</v>
      </c>
    </row>
    <row r="2315" spans="1:17" ht="10.5" hidden="1" x14ac:dyDescent="0.25">
      <c r="A2315" s="8" t="s">
        <v>183</v>
      </c>
      <c r="B2315" s="4" t="s">
        <v>21</v>
      </c>
      <c r="C2315" s="5">
        <v>44651</v>
      </c>
      <c r="D2315" s="4" t="s">
        <v>194</v>
      </c>
      <c r="E2315" s="4" t="s">
        <v>195</v>
      </c>
      <c r="F2315" s="4" t="s">
        <v>196</v>
      </c>
      <c r="G2315" s="6">
        <v>3154.1195664523639</v>
      </c>
      <c r="H2315" s="6">
        <f t="shared" si="39"/>
        <v>1276718.5429556232</v>
      </c>
      <c r="I2315" s="4"/>
      <c r="J2315" s="4" t="s">
        <v>25</v>
      </c>
      <c r="K2315" s="7">
        <v>4204.43</v>
      </c>
      <c r="L2315" s="4" t="s">
        <v>42</v>
      </c>
      <c r="M2315" s="4" t="s">
        <v>197</v>
      </c>
      <c r="N2315" s="4" t="s">
        <v>198</v>
      </c>
    </row>
    <row r="2316" spans="1:17" ht="10.5" hidden="1" x14ac:dyDescent="0.25">
      <c r="A2316" s="8" t="s">
        <v>183</v>
      </c>
      <c r="B2316" s="4" t="s">
        <v>21</v>
      </c>
      <c r="C2316" s="5">
        <v>44651</v>
      </c>
      <c r="D2316" s="4" t="s">
        <v>199</v>
      </c>
      <c r="E2316" s="4" t="s">
        <v>195</v>
      </c>
      <c r="F2316" s="4" t="s">
        <v>200</v>
      </c>
      <c r="G2316" s="6">
        <v>5198.5413652980287</v>
      </c>
      <c r="H2316" s="6">
        <f t="shared" si="39"/>
        <v>1281917.0843209212</v>
      </c>
      <c r="I2316" s="4"/>
      <c r="J2316" s="4" t="s">
        <v>25</v>
      </c>
      <c r="K2316" s="7">
        <v>7027.85</v>
      </c>
      <c r="L2316" s="4" t="s">
        <v>42</v>
      </c>
      <c r="M2316" s="4" t="s">
        <v>201</v>
      </c>
      <c r="N2316" s="4" t="s">
        <v>198</v>
      </c>
    </row>
    <row r="2317" spans="1:17" ht="10.5" hidden="1" x14ac:dyDescent="0.25">
      <c r="A2317" s="8" t="s">
        <v>183</v>
      </c>
      <c r="B2317" s="4" t="s">
        <v>21</v>
      </c>
      <c r="C2317" s="5">
        <v>44651</v>
      </c>
      <c r="D2317" s="4" t="s">
        <v>202</v>
      </c>
      <c r="E2317" s="4" t="s">
        <v>195</v>
      </c>
      <c r="F2317" s="4" t="s">
        <v>203</v>
      </c>
      <c r="G2317" s="6">
        <v>57471.926087034692</v>
      </c>
      <c r="H2317" s="6">
        <f t="shared" si="39"/>
        <v>1339389.0104079559</v>
      </c>
      <c r="I2317" s="4"/>
      <c r="J2317" s="4" t="s">
        <v>25</v>
      </c>
      <c r="K2317" s="7">
        <v>4383688</v>
      </c>
      <c r="L2317" s="4" t="s">
        <v>42</v>
      </c>
      <c r="M2317" s="4" t="s">
        <v>204</v>
      </c>
      <c r="N2317" s="4" t="s">
        <v>198</v>
      </c>
    </row>
    <row r="2318" spans="1:17" ht="10.5" hidden="1" x14ac:dyDescent="0.25">
      <c r="A2318" s="8" t="s">
        <v>183</v>
      </c>
      <c r="B2318" s="4" t="s">
        <v>21</v>
      </c>
      <c r="C2318" s="5">
        <v>44666</v>
      </c>
      <c r="D2318" s="4" t="s">
        <v>205</v>
      </c>
      <c r="E2318" s="4" t="s">
        <v>206</v>
      </c>
      <c r="F2318" s="4" t="s">
        <v>206</v>
      </c>
      <c r="G2318" s="6">
        <v>-52365.559349691153</v>
      </c>
      <c r="H2318" s="6">
        <f t="shared" si="39"/>
        <v>1287023.4510582646</v>
      </c>
      <c r="I2318" s="4"/>
      <c r="J2318" s="4" t="s">
        <v>25</v>
      </c>
      <c r="K2318" s="7">
        <v>-52700.2</v>
      </c>
      <c r="L2318" s="4" t="s">
        <v>45</v>
      </c>
      <c r="M2318" s="4" t="s">
        <v>27</v>
      </c>
      <c r="N2318" s="4" t="s">
        <v>28</v>
      </c>
    </row>
    <row r="2319" spans="1:17" ht="10.5" hidden="1" x14ac:dyDescent="0.25">
      <c r="A2319" s="8" t="s">
        <v>183</v>
      </c>
      <c r="B2319" s="4" t="s">
        <v>21</v>
      </c>
      <c r="C2319" s="5">
        <v>44700</v>
      </c>
      <c r="D2319" s="4" t="s">
        <v>207</v>
      </c>
      <c r="E2319" s="4" t="s">
        <v>208</v>
      </c>
      <c r="F2319" s="4" t="s">
        <v>208</v>
      </c>
      <c r="G2319" s="6">
        <v>-10639.938253344933</v>
      </c>
      <c r="H2319" s="6">
        <f t="shared" si="39"/>
        <v>1276383.5128049196</v>
      </c>
      <c r="I2319" s="4"/>
      <c r="J2319" s="4" t="s">
        <v>25</v>
      </c>
      <c r="K2319" s="7">
        <v>-10635.77</v>
      </c>
      <c r="L2319" s="4" t="s">
        <v>52</v>
      </c>
      <c r="M2319" s="4" t="s">
        <v>27</v>
      </c>
      <c r="N2319" s="4" t="s">
        <v>28</v>
      </c>
    </row>
    <row r="2320" spans="1:17" ht="10.5" x14ac:dyDescent="0.25">
      <c r="A2320" s="8" t="s">
        <v>183</v>
      </c>
      <c r="B2320" s="4" t="s">
        <v>21</v>
      </c>
      <c r="C2320" s="5">
        <v>44712</v>
      </c>
      <c r="D2320" s="4" t="s">
        <v>54</v>
      </c>
      <c r="E2320" s="4" t="s">
        <v>55</v>
      </c>
      <c r="F2320" s="4" t="s">
        <v>55</v>
      </c>
      <c r="G2320" s="6">
        <v>9262.0892657210261</v>
      </c>
      <c r="H2320" s="6">
        <f t="shared" si="39"/>
        <v>1285645.6020706405</v>
      </c>
      <c r="I2320" s="4"/>
      <c r="J2320" s="4" t="s">
        <v>25</v>
      </c>
      <c r="K2320" s="7">
        <v>8710.61</v>
      </c>
      <c r="L2320" s="4" t="s">
        <v>52</v>
      </c>
      <c r="M2320" s="4" t="s">
        <v>38</v>
      </c>
      <c r="N2320" s="4" t="s">
        <v>39</v>
      </c>
    </row>
    <row r="2321" spans="1:14" ht="10.5" hidden="1" x14ac:dyDescent="0.25">
      <c r="A2321" s="8" t="s">
        <v>183</v>
      </c>
      <c r="B2321" s="4" t="s">
        <v>21</v>
      </c>
      <c r="C2321" s="5">
        <v>44722</v>
      </c>
      <c r="D2321" s="4" t="s">
        <v>209</v>
      </c>
      <c r="E2321" s="4" t="s">
        <v>210</v>
      </c>
      <c r="F2321" s="4" t="s">
        <v>211</v>
      </c>
      <c r="G2321" s="6">
        <v>-14555.7963868032</v>
      </c>
      <c r="H2321" s="6">
        <f t="shared" si="39"/>
        <v>1271089.8056838373</v>
      </c>
      <c r="I2321" s="4"/>
      <c r="J2321" s="4" t="s">
        <v>25</v>
      </c>
      <c r="K2321" s="7">
        <v>-18623</v>
      </c>
      <c r="L2321" s="4" t="s">
        <v>160</v>
      </c>
      <c r="M2321" s="4" t="s">
        <v>212</v>
      </c>
      <c r="N2321" s="4" t="s">
        <v>53</v>
      </c>
    </row>
    <row r="2322" spans="1:14" ht="10.5" hidden="1" x14ac:dyDescent="0.25">
      <c r="A2322" s="8" t="s">
        <v>183</v>
      </c>
      <c r="B2322" s="4" t="s">
        <v>21</v>
      </c>
      <c r="C2322" s="5">
        <v>44722</v>
      </c>
      <c r="D2322" s="4" t="s">
        <v>209</v>
      </c>
      <c r="E2322" s="4" t="s">
        <v>210</v>
      </c>
      <c r="F2322" s="4" t="s">
        <v>213</v>
      </c>
      <c r="G2322" s="6">
        <v>-4.470770301912383</v>
      </c>
      <c r="H2322" s="6">
        <f t="shared" si="39"/>
        <v>1271085.3349135353</v>
      </c>
      <c r="I2322" s="4"/>
      <c r="J2322" s="4" t="s">
        <v>25</v>
      </c>
      <c r="K2322" s="7">
        <v>-5.72</v>
      </c>
      <c r="L2322" s="4" t="s">
        <v>160</v>
      </c>
      <c r="M2322" s="4" t="s">
        <v>212</v>
      </c>
      <c r="N2322" s="4" t="s">
        <v>53</v>
      </c>
    </row>
    <row r="2323" spans="1:14" ht="10.5" hidden="1" x14ac:dyDescent="0.25">
      <c r="A2323" s="8" t="s">
        <v>183</v>
      </c>
      <c r="B2323" s="4" t="s">
        <v>21</v>
      </c>
      <c r="C2323" s="5">
        <v>44722</v>
      </c>
      <c r="D2323" s="4" t="s">
        <v>209</v>
      </c>
      <c r="E2323" s="4" t="s">
        <v>210</v>
      </c>
      <c r="F2323" s="4" t="s">
        <v>214</v>
      </c>
      <c r="G2323" s="6">
        <v>-14545.635545207946</v>
      </c>
      <c r="H2323" s="6">
        <f t="shared" si="39"/>
        <v>1256539.6993683274</v>
      </c>
      <c r="I2323" s="4"/>
      <c r="J2323" s="4" t="s">
        <v>25</v>
      </c>
      <c r="K2323" s="7">
        <v>-18610</v>
      </c>
      <c r="L2323" s="4" t="s">
        <v>160</v>
      </c>
      <c r="M2323" s="4" t="s">
        <v>212</v>
      </c>
      <c r="N2323" s="4" t="s">
        <v>53</v>
      </c>
    </row>
    <row r="2324" spans="1:14" ht="10.5" hidden="1" x14ac:dyDescent="0.25">
      <c r="A2324" s="8" t="s">
        <v>183</v>
      </c>
      <c r="B2324" s="4" t="s">
        <v>21</v>
      </c>
      <c r="C2324" s="5">
        <v>44722</v>
      </c>
      <c r="D2324" s="4" t="s">
        <v>209</v>
      </c>
      <c r="E2324" s="4" t="s">
        <v>210</v>
      </c>
      <c r="F2324" s="4" t="s">
        <v>215</v>
      </c>
      <c r="G2324" s="6">
        <v>-3.1889410545109307</v>
      </c>
      <c r="H2324" s="6">
        <f t="shared" si="39"/>
        <v>1256536.5104272729</v>
      </c>
      <c r="I2324" s="4"/>
      <c r="J2324" s="4" t="s">
        <v>25</v>
      </c>
      <c r="K2324" s="7">
        <v>-4.08</v>
      </c>
      <c r="L2324" s="4" t="s">
        <v>160</v>
      </c>
      <c r="M2324" s="4" t="s">
        <v>212</v>
      </c>
      <c r="N2324" s="4" t="s">
        <v>53</v>
      </c>
    </row>
    <row r="2325" spans="1:14" ht="10.5" hidden="1" x14ac:dyDescent="0.25">
      <c r="A2325" s="9" t="s">
        <v>216</v>
      </c>
      <c r="B2325" s="10"/>
      <c r="C2325" s="11"/>
      <c r="D2325" s="10"/>
      <c r="E2325" s="10"/>
      <c r="F2325" s="10"/>
      <c r="G2325" s="12">
        <f>SUM(G2219:G2324)</f>
        <v>1256536.5104272729</v>
      </c>
      <c r="H2325" s="12">
        <f>H2324</f>
        <v>1256536.5104272729</v>
      </c>
      <c r="I2325" s="10"/>
      <c r="J2325" s="10"/>
      <c r="K2325" s="13"/>
      <c r="L2325" s="10"/>
      <c r="M2325" s="10"/>
      <c r="N2325" s="10"/>
    </row>
    <row r="2326" spans="1:14" ht="10.5" hidden="1" x14ac:dyDescent="0.25">
      <c r="A2326" s="8" t="s">
        <v>3623</v>
      </c>
      <c r="B2326" s="4"/>
      <c r="C2326" s="5"/>
      <c r="D2326" s="4"/>
      <c r="E2326" s="4"/>
      <c r="F2326" s="4"/>
      <c r="G2326" s="6">
        <v>0</v>
      </c>
      <c r="H2326" s="6">
        <v>0</v>
      </c>
      <c r="I2326" s="4"/>
      <c r="J2326" s="4"/>
      <c r="K2326" s="7">
        <v>0</v>
      </c>
      <c r="L2326" s="4"/>
      <c r="M2326" s="4"/>
      <c r="N2326" s="4"/>
    </row>
    <row r="2327" spans="1:14" ht="10.5" hidden="1" x14ac:dyDescent="0.25">
      <c r="A2327" s="8" t="s">
        <v>3623</v>
      </c>
      <c r="B2327" s="4" t="s">
        <v>21</v>
      </c>
      <c r="C2327" s="5">
        <v>43830</v>
      </c>
      <c r="D2327" s="4" t="s">
        <v>1217</v>
      </c>
      <c r="E2327" s="4" t="s">
        <v>1218</v>
      </c>
      <c r="F2327" s="4" t="s">
        <v>1219</v>
      </c>
      <c r="G2327" s="6">
        <v>-4626.6779999999999</v>
      </c>
      <c r="H2327" s="6">
        <f t="shared" ref="H2327:H2356" si="40">H2326+G2327</f>
        <v>-4626.6779999999999</v>
      </c>
      <c r="I2327" s="4"/>
      <c r="J2327" s="4" t="s">
        <v>1176</v>
      </c>
      <c r="K2327" s="7">
        <v>-4200</v>
      </c>
      <c r="L2327" s="4" t="s">
        <v>1025</v>
      </c>
      <c r="M2327" s="4" t="s">
        <v>61</v>
      </c>
      <c r="N2327" s="4"/>
    </row>
    <row r="2328" spans="1:14" ht="10.5" hidden="1" x14ac:dyDescent="0.25">
      <c r="A2328" s="8" t="s">
        <v>3623</v>
      </c>
      <c r="B2328" s="4" t="s">
        <v>21</v>
      </c>
      <c r="C2328" s="5">
        <v>43830</v>
      </c>
      <c r="D2328" s="4" t="s">
        <v>3624</v>
      </c>
      <c r="E2328" s="4" t="s">
        <v>1024</v>
      </c>
      <c r="F2328" s="4"/>
      <c r="G2328" s="6">
        <v>-25728.73604</v>
      </c>
      <c r="H2328" s="6">
        <f t="shared" si="40"/>
        <v>-30355.41404</v>
      </c>
      <c r="I2328" s="4"/>
      <c r="J2328" s="4" t="s">
        <v>68</v>
      </c>
      <c r="K2328" s="7">
        <v>-23356</v>
      </c>
      <c r="L2328" s="4" t="s">
        <v>1025</v>
      </c>
      <c r="M2328" s="4" t="s">
        <v>201</v>
      </c>
      <c r="N2328" s="4" t="s">
        <v>1026</v>
      </c>
    </row>
    <row r="2329" spans="1:14" ht="10.5" hidden="1" x14ac:dyDescent="0.25">
      <c r="A2329" s="8" t="s">
        <v>3623</v>
      </c>
      <c r="B2329" s="4" t="s">
        <v>21</v>
      </c>
      <c r="C2329" s="5">
        <v>43830</v>
      </c>
      <c r="D2329" s="4" t="s">
        <v>1023</v>
      </c>
      <c r="E2329" s="4" t="s">
        <v>1024</v>
      </c>
      <c r="F2329" s="4"/>
      <c r="G2329" s="6">
        <v>-61811.7896391865</v>
      </c>
      <c r="H2329" s="6">
        <f t="shared" si="40"/>
        <v>-92167.203679186496</v>
      </c>
      <c r="I2329" s="4"/>
      <c r="J2329" s="4" t="s">
        <v>68</v>
      </c>
      <c r="K2329" s="7">
        <v>-82044</v>
      </c>
      <c r="L2329" s="4" t="s">
        <v>1025</v>
      </c>
      <c r="M2329" s="4" t="s">
        <v>212</v>
      </c>
      <c r="N2329" s="4" t="s">
        <v>1026</v>
      </c>
    </row>
    <row r="2330" spans="1:14" ht="10.5" hidden="1" x14ac:dyDescent="0.25">
      <c r="A2330" s="8" t="s">
        <v>3623</v>
      </c>
      <c r="B2330" s="4" t="s">
        <v>21</v>
      </c>
      <c r="C2330" s="5">
        <v>43830</v>
      </c>
      <c r="D2330" s="4" t="s">
        <v>1039</v>
      </c>
      <c r="E2330" s="4" t="s">
        <v>1024</v>
      </c>
      <c r="F2330" s="4"/>
      <c r="G2330" s="6">
        <v>-36295.23035786549</v>
      </c>
      <c r="H2330" s="6">
        <f t="shared" si="40"/>
        <v>-128462.43403705198</v>
      </c>
      <c r="I2330" s="4"/>
      <c r="J2330" s="4" t="s">
        <v>68</v>
      </c>
      <c r="K2330" s="7">
        <v>-2600670</v>
      </c>
      <c r="L2330" s="4" t="s">
        <v>1025</v>
      </c>
      <c r="M2330" s="4" t="s">
        <v>204</v>
      </c>
      <c r="N2330" s="4" t="s">
        <v>1026</v>
      </c>
    </row>
    <row r="2331" spans="1:14" ht="10.5" hidden="1" x14ac:dyDescent="0.25">
      <c r="A2331" s="8" t="s">
        <v>3623</v>
      </c>
      <c r="B2331" s="4" t="s">
        <v>21</v>
      </c>
      <c r="C2331" s="5">
        <v>43831</v>
      </c>
      <c r="D2331" s="4" t="s">
        <v>3625</v>
      </c>
      <c r="E2331" s="4" t="s">
        <v>3626</v>
      </c>
      <c r="F2331" s="4" t="s">
        <v>3627</v>
      </c>
      <c r="G2331" s="6">
        <v>574.50924374637179</v>
      </c>
      <c r="H2331" s="6">
        <f t="shared" si="40"/>
        <v>-127887.9247933056</v>
      </c>
      <c r="I2331" s="4"/>
      <c r="J2331" s="4" t="s">
        <v>68</v>
      </c>
      <c r="K2331" s="7">
        <v>40958</v>
      </c>
      <c r="L2331" s="4" t="s">
        <v>1237</v>
      </c>
      <c r="M2331" s="4" t="s">
        <v>204</v>
      </c>
      <c r="N2331" s="4"/>
    </row>
    <row r="2332" spans="1:14" ht="10.5" hidden="1" x14ac:dyDescent="0.25">
      <c r="A2332" s="8" t="s">
        <v>3623</v>
      </c>
      <c r="B2332" s="4" t="s">
        <v>21</v>
      </c>
      <c r="C2332" s="5">
        <v>43921</v>
      </c>
      <c r="D2332" s="4" t="s">
        <v>3628</v>
      </c>
      <c r="E2332" s="4" t="s">
        <v>3629</v>
      </c>
      <c r="F2332" s="4" t="s">
        <v>3629</v>
      </c>
      <c r="G2332" s="6">
        <v>-48351.763687500003</v>
      </c>
      <c r="H2332" s="6">
        <f t="shared" si="40"/>
        <v>-176239.68848080561</v>
      </c>
      <c r="I2332" s="4"/>
      <c r="J2332" s="4" t="s">
        <v>68</v>
      </c>
      <c r="K2332" s="7">
        <v>-3508518</v>
      </c>
      <c r="L2332" s="4" t="s">
        <v>1049</v>
      </c>
      <c r="M2332" s="4" t="s">
        <v>204</v>
      </c>
      <c r="N2332" s="4"/>
    </row>
    <row r="2333" spans="1:14" ht="10.5" hidden="1" x14ac:dyDescent="0.25">
      <c r="A2333" s="8" t="s">
        <v>3623</v>
      </c>
      <c r="B2333" s="4" t="s">
        <v>21</v>
      </c>
      <c r="C2333" s="5">
        <v>44195</v>
      </c>
      <c r="D2333" s="4" t="s">
        <v>3630</v>
      </c>
      <c r="E2333" s="4" t="s">
        <v>3631</v>
      </c>
      <c r="F2333" s="4" t="s">
        <v>3631</v>
      </c>
      <c r="G2333" s="6">
        <v>-13016.492057195484</v>
      </c>
      <c r="H2333" s="6">
        <f t="shared" si="40"/>
        <v>-189256.18053800109</v>
      </c>
      <c r="I2333" s="4"/>
      <c r="J2333" s="4" t="s">
        <v>68</v>
      </c>
      <c r="K2333" s="7">
        <v>-962035</v>
      </c>
      <c r="L2333" s="4" t="s">
        <v>1056</v>
      </c>
      <c r="M2333" s="4" t="s">
        <v>204</v>
      </c>
      <c r="N2333" s="4"/>
    </row>
    <row r="2334" spans="1:14" ht="10.5" hidden="1" x14ac:dyDescent="0.25">
      <c r="A2334" s="8" t="s">
        <v>3623</v>
      </c>
      <c r="B2334" s="4" t="s">
        <v>21</v>
      </c>
      <c r="C2334" s="5">
        <v>44195</v>
      </c>
      <c r="D2334" s="4" t="s">
        <v>1931</v>
      </c>
      <c r="E2334" s="4" t="s">
        <v>1932</v>
      </c>
      <c r="F2334" s="4" t="s">
        <v>1933</v>
      </c>
      <c r="G2334" s="6">
        <v>-1004789.99171056</v>
      </c>
      <c r="H2334" s="6">
        <f t="shared" si="40"/>
        <v>-1194046.1722485612</v>
      </c>
      <c r="I2334" s="4"/>
      <c r="J2334" s="4" t="s">
        <v>37</v>
      </c>
      <c r="K2334" s="7">
        <v>-839914</v>
      </c>
      <c r="L2334" s="4" t="s">
        <v>1056</v>
      </c>
      <c r="M2334" s="4" t="s">
        <v>61</v>
      </c>
      <c r="N2334" s="4"/>
    </row>
    <row r="2335" spans="1:14" ht="10.5" hidden="1" x14ac:dyDescent="0.25">
      <c r="A2335" s="8" t="s">
        <v>3623</v>
      </c>
      <c r="B2335" s="4" t="s">
        <v>21</v>
      </c>
      <c r="C2335" s="5">
        <v>44196</v>
      </c>
      <c r="D2335" s="4" t="s">
        <v>1951</v>
      </c>
      <c r="E2335" s="4" t="s">
        <v>1952</v>
      </c>
      <c r="F2335" s="4" t="s">
        <v>3632</v>
      </c>
      <c r="G2335" s="6">
        <v>-26188.3217707232</v>
      </c>
      <c r="H2335" s="6">
        <f t="shared" si="40"/>
        <v>-1220234.4940192844</v>
      </c>
      <c r="I2335" s="4"/>
      <c r="J2335" s="4" t="s">
        <v>68</v>
      </c>
      <c r="K2335" s="7">
        <v>-35500</v>
      </c>
      <c r="L2335" s="4" t="s">
        <v>1056</v>
      </c>
      <c r="M2335" s="4" t="s">
        <v>201</v>
      </c>
      <c r="N2335" s="4"/>
    </row>
    <row r="2336" spans="1:14" ht="10.5" hidden="1" x14ac:dyDescent="0.25">
      <c r="A2336" s="8" t="s">
        <v>3623</v>
      </c>
      <c r="B2336" s="4" t="s">
        <v>21</v>
      </c>
      <c r="C2336" s="5">
        <v>44196</v>
      </c>
      <c r="D2336" s="4" t="s">
        <v>1951</v>
      </c>
      <c r="E2336" s="4" t="s">
        <v>1952</v>
      </c>
      <c r="F2336" s="4" t="s">
        <v>3631</v>
      </c>
      <c r="G2336" s="6">
        <v>19770.334173268799</v>
      </c>
      <c r="H2336" s="6">
        <f t="shared" si="40"/>
        <v>-1200464.1598460155</v>
      </c>
      <c r="I2336" s="4"/>
      <c r="J2336" s="4" t="s">
        <v>68</v>
      </c>
      <c r="K2336" s="7">
        <v>26800</v>
      </c>
      <c r="L2336" s="4" t="s">
        <v>1056</v>
      </c>
      <c r="M2336" s="4" t="s">
        <v>201</v>
      </c>
      <c r="N2336" s="4"/>
    </row>
    <row r="2337" spans="1:14" ht="10.5" hidden="1" x14ac:dyDescent="0.25">
      <c r="A2337" s="8" t="s">
        <v>3623</v>
      </c>
      <c r="B2337" s="4" t="s">
        <v>21</v>
      </c>
      <c r="C2337" s="5">
        <v>44196</v>
      </c>
      <c r="D2337" s="4" t="s">
        <v>1953</v>
      </c>
      <c r="E2337" s="4" t="s">
        <v>1954</v>
      </c>
      <c r="F2337" s="4" t="s">
        <v>3633</v>
      </c>
      <c r="G2337" s="6">
        <v>19770.334173268799</v>
      </c>
      <c r="H2337" s="6">
        <f t="shared" si="40"/>
        <v>-1180693.8256727466</v>
      </c>
      <c r="I2337" s="4"/>
      <c r="J2337" s="4" t="s">
        <v>25</v>
      </c>
      <c r="K2337" s="7">
        <v>26800</v>
      </c>
      <c r="L2337" s="4" t="s">
        <v>1056</v>
      </c>
      <c r="M2337" s="4" t="s">
        <v>201</v>
      </c>
      <c r="N2337" s="4" t="s">
        <v>198</v>
      </c>
    </row>
    <row r="2338" spans="1:14" ht="10.5" hidden="1" x14ac:dyDescent="0.25">
      <c r="A2338" s="8" t="s">
        <v>3623</v>
      </c>
      <c r="B2338" s="4" t="s">
        <v>21</v>
      </c>
      <c r="C2338" s="5">
        <v>44196</v>
      </c>
      <c r="D2338" s="4" t="s">
        <v>3634</v>
      </c>
      <c r="E2338" s="4" t="s">
        <v>3635</v>
      </c>
      <c r="F2338" s="4" t="s">
        <v>3636</v>
      </c>
      <c r="G2338" s="6">
        <v>-19770.334173268799</v>
      </c>
      <c r="H2338" s="6">
        <f t="shared" si="40"/>
        <v>-1200464.1598460155</v>
      </c>
      <c r="I2338" s="4"/>
      <c r="J2338" s="4" t="s">
        <v>68</v>
      </c>
      <c r="K2338" s="7">
        <v>-26800</v>
      </c>
      <c r="L2338" s="4" t="s">
        <v>1056</v>
      </c>
      <c r="M2338" s="4" t="s">
        <v>201</v>
      </c>
      <c r="N2338" s="4" t="s">
        <v>198</v>
      </c>
    </row>
    <row r="2339" spans="1:14" ht="10.5" hidden="1" x14ac:dyDescent="0.25">
      <c r="A2339" s="8" t="s">
        <v>3623</v>
      </c>
      <c r="B2339" s="4" t="s">
        <v>21</v>
      </c>
      <c r="C2339" s="5">
        <v>44196</v>
      </c>
      <c r="D2339" s="4" t="s">
        <v>3634</v>
      </c>
      <c r="E2339" s="4" t="s">
        <v>3635</v>
      </c>
      <c r="F2339" s="4" t="s">
        <v>3636</v>
      </c>
      <c r="G2339" s="6">
        <v>-19770.334173268799</v>
      </c>
      <c r="H2339" s="6">
        <f t="shared" si="40"/>
        <v>-1220234.4940192844</v>
      </c>
      <c r="I2339" s="4"/>
      <c r="J2339" s="4" t="s">
        <v>68</v>
      </c>
      <c r="K2339" s="7">
        <v>-26800</v>
      </c>
      <c r="L2339" s="4" t="s">
        <v>1056</v>
      </c>
      <c r="M2339" s="4" t="s">
        <v>201</v>
      </c>
      <c r="N2339" s="4" t="s">
        <v>198</v>
      </c>
    </row>
    <row r="2340" spans="1:14" ht="10.5" hidden="1" x14ac:dyDescent="0.25">
      <c r="A2340" s="8" t="s">
        <v>3623</v>
      </c>
      <c r="B2340" s="4" t="s">
        <v>21</v>
      </c>
      <c r="C2340" s="5">
        <v>44196</v>
      </c>
      <c r="D2340" s="4" t="s">
        <v>3637</v>
      </c>
      <c r="E2340" s="4" t="s">
        <v>3638</v>
      </c>
      <c r="F2340" s="4" t="s">
        <v>3639</v>
      </c>
      <c r="G2340" s="6">
        <v>1004789.99171056</v>
      </c>
      <c r="H2340" s="6">
        <f t="shared" si="40"/>
        <v>-215444.50230872433</v>
      </c>
      <c r="I2340" s="4"/>
      <c r="J2340" s="4" t="s">
        <v>37</v>
      </c>
      <c r="K2340" s="7">
        <v>839914</v>
      </c>
      <c r="L2340" s="4" t="s">
        <v>1056</v>
      </c>
      <c r="M2340" s="4" t="s">
        <v>61</v>
      </c>
      <c r="N2340" s="4" t="s">
        <v>181</v>
      </c>
    </row>
    <row r="2341" spans="1:14" ht="10.5" hidden="1" x14ac:dyDescent="0.25">
      <c r="A2341" s="8" t="s">
        <v>3623</v>
      </c>
      <c r="B2341" s="4" t="s">
        <v>21</v>
      </c>
      <c r="C2341" s="5">
        <v>44196</v>
      </c>
      <c r="D2341" s="4" t="s">
        <v>3640</v>
      </c>
      <c r="E2341" s="4" t="s">
        <v>1024</v>
      </c>
      <c r="F2341" s="4"/>
      <c r="G2341" s="6">
        <v>27940.80709024</v>
      </c>
      <c r="H2341" s="6">
        <f t="shared" si="40"/>
        <v>-187503.69521848432</v>
      </c>
      <c r="I2341" s="4"/>
      <c r="J2341" s="4" t="s">
        <v>68</v>
      </c>
      <c r="K2341" s="7">
        <v>23356</v>
      </c>
      <c r="L2341" s="4" t="s">
        <v>1056</v>
      </c>
      <c r="M2341" s="4" t="s">
        <v>201</v>
      </c>
      <c r="N2341" s="4" t="s">
        <v>1026</v>
      </c>
    </row>
    <row r="2342" spans="1:14" ht="10.5" hidden="1" x14ac:dyDescent="0.25">
      <c r="A2342" s="8" t="s">
        <v>3623</v>
      </c>
      <c r="B2342" s="4" t="s">
        <v>21</v>
      </c>
      <c r="C2342" s="5">
        <v>44196</v>
      </c>
      <c r="D2342" s="4" t="s">
        <v>3641</v>
      </c>
      <c r="E2342" s="4" t="s">
        <v>1024</v>
      </c>
      <c r="F2342" s="4"/>
      <c r="G2342" s="6">
        <v>63132.588728244606</v>
      </c>
      <c r="H2342" s="6">
        <f t="shared" si="40"/>
        <v>-124371.10649023972</v>
      </c>
      <c r="I2342" s="4"/>
      <c r="J2342" s="4" t="s">
        <v>68</v>
      </c>
      <c r="K2342" s="7">
        <v>82044</v>
      </c>
      <c r="L2342" s="4" t="s">
        <v>1056</v>
      </c>
      <c r="M2342" s="4" t="s">
        <v>212</v>
      </c>
      <c r="N2342" s="4" t="s">
        <v>1026</v>
      </c>
    </row>
    <row r="2343" spans="1:14" ht="10.5" hidden="1" x14ac:dyDescent="0.25">
      <c r="A2343" s="8" t="s">
        <v>3623</v>
      </c>
      <c r="B2343" s="4" t="s">
        <v>21</v>
      </c>
      <c r="C2343" s="5">
        <v>44196</v>
      </c>
      <c r="D2343" s="4" t="s">
        <v>1082</v>
      </c>
      <c r="E2343" s="4" t="s">
        <v>1024</v>
      </c>
      <c r="F2343" s="4"/>
      <c r="G2343" s="6">
        <v>35187.49359263081</v>
      </c>
      <c r="H2343" s="6">
        <f t="shared" si="40"/>
        <v>-89183.612897608909</v>
      </c>
      <c r="I2343" s="4"/>
      <c r="J2343" s="4" t="s">
        <v>68</v>
      </c>
      <c r="K2343" s="7">
        <v>2600670</v>
      </c>
      <c r="L2343" s="4" t="s">
        <v>1056</v>
      </c>
      <c r="M2343" s="4" t="s">
        <v>204</v>
      </c>
      <c r="N2343" s="4" t="s">
        <v>1026</v>
      </c>
    </row>
    <row r="2344" spans="1:14" ht="10.5" hidden="1" x14ac:dyDescent="0.25">
      <c r="A2344" s="8" t="s">
        <v>3623</v>
      </c>
      <c r="B2344" s="4" t="s">
        <v>21</v>
      </c>
      <c r="C2344" s="5">
        <v>44286</v>
      </c>
      <c r="D2344" s="4" t="s">
        <v>1100</v>
      </c>
      <c r="E2344" s="4" t="s">
        <v>1101</v>
      </c>
      <c r="F2344" s="4" t="s">
        <v>3642</v>
      </c>
      <c r="G2344" s="6">
        <v>-5719.6273630261094</v>
      </c>
      <c r="H2344" s="6">
        <f t="shared" si="40"/>
        <v>-94903.240260635022</v>
      </c>
      <c r="I2344" s="4"/>
      <c r="J2344" s="4" t="s">
        <v>25</v>
      </c>
      <c r="K2344" s="7">
        <v>-420773.58</v>
      </c>
      <c r="L2344" s="4" t="s">
        <v>1029</v>
      </c>
      <c r="M2344" s="4" t="s">
        <v>204</v>
      </c>
      <c r="N2344" s="4" t="s">
        <v>198</v>
      </c>
    </row>
    <row r="2345" spans="1:14" ht="10.5" hidden="1" x14ac:dyDescent="0.25">
      <c r="A2345" s="8" t="s">
        <v>3623</v>
      </c>
      <c r="B2345" s="4" t="s">
        <v>21</v>
      </c>
      <c r="C2345" s="5">
        <v>44286</v>
      </c>
      <c r="D2345" s="4" t="s">
        <v>1027</v>
      </c>
      <c r="E2345" s="4" t="s">
        <v>1028</v>
      </c>
      <c r="F2345" s="4" t="s">
        <v>1028</v>
      </c>
      <c r="G2345" s="6">
        <v>-14550.822078447718</v>
      </c>
      <c r="H2345" s="6">
        <f t="shared" si="40"/>
        <v>-109454.06233908274</v>
      </c>
      <c r="I2345" s="4"/>
      <c r="J2345" s="4" t="s">
        <v>25</v>
      </c>
      <c r="K2345" s="7">
        <v>-18540.43</v>
      </c>
      <c r="L2345" s="4" t="s">
        <v>1029</v>
      </c>
      <c r="M2345" s="4" t="s">
        <v>212</v>
      </c>
      <c r="N2345" s="4" t="s">
        <v>118</v>
      </c>
    </row>
    <row r="2346" spans="1:14" ht="10.5" hidden="1" x14ac:dyDescent="0.25">
      <c r="A2346" s="8" t="s">
        <v>3623</v>
      </c>
      <c r="B2346" s="4" t="s">
        <v>21</v>
      </c>
      <c r="C2346" s="5">
        <v>44377</v>
      </c>
      <c r="D2346" s="4" t="s">
        <v>3643</v>
      </c>
      <c r="E2346" s="4" t="s">
        <v>3644</v>
      </c>
      <c r="F2346" s="4" t="s">
        <v>3644</v>
      </c>
      <c r="G2346" s="6">
        <v>-5725.908515896238</v>
      </c>
      <c r="H2346" s="6">
        <f t="shared" si="40"/>
        <v>-115179.97085497898</v>
      </c>
      <c r="I2346" s="4"/>
      <c r="J2346" s="4" t="s">
        <v>25</v>
      </c>
      <c r="K2346" s="7">
        <v>-421425</v>
      </c>
      <c r="L2346" s="4" t="s">
        <v>1031</v>
      </c>
      <c r="M2346" s="4" t="s">
        <v>204</v>
      </c>
      <c r="N2346" s="4" t="s">
        <v>198</v>
      </c>
    </row>
    <row r="2347" spans="1:14" ht="10.5" hidden="1" x14ac:dyDescent="0.25">
      <c r="A2347" s="8" t="s">
        <v>3623</v>
      </c>
      <c r="B2347" s="4" t="s">
        <v>21</v>
      </c>
      <c r="C2347" s="5">
        <v>44377</v>
      </c>
      <c r="D2347" s="4" t="s">
        <v>1030</v>
      </c>
      <c r="E2347" s="4" t="s">
        <v>1028</v>
      </c>
      <c r="F2347" s="4" t="s">
        <v>1028</v>
      </c>
      <c r="G2347" s="6">
        <v>-8033.3083312546396</v>
      </c>
      <c r="H2347" s="6">
        <f t="shared" si="40"/>
        <v>-123213.27918623362</v>
      </c>
      <c r="I2347" s="4"/>
      <c r="J2347" s="4" t="s">
        <v>25</v>
      </c>
      <c r="K2347" s="7">
        <v>-9812.27</v>
      </c>
      <c r="L2347" s="4" t="s">
        <v>1031</v>
      </c>
      <c r="M2347" s="4" t="s">
        <v>212</v>
      </c>
      <c r="N2347" s="4" t="s">
        <v>118</v>
      </c>
    </row>
    <row r="2348" spans="1:14" ht="10.5" hidden="1" x14ac:dyDescent="0.25">
      <c r="A2348" s="8" t="s">
        <v>3623</v>
      </c>
      <c r="B2348" s="4" t="s">
        <v>21</v>
      </c>
      <c r="C2348" s="5">
        <v>44469</v>
      </c>
      <c r="D2348" s="4" t="s">
        <v>3645</v>
      </c>
      <c r="E2348" s="4" t="s">
        <v>3646</v>
      </c>
      <c r="F2348" s="4" t="s">
        <v>3646</v>
      </c>
      <c r="G2348" s="6">
        <v>-5844.3817391994789</v>
      </c>
      <c r="H2348" s="6">
        <f t="shared" si="40"/>
        <v>-129057.6609254331</v>
      </c>
      <c r="I2348" s="4"/>
      <c r="J2348" s="4" t="s">
        <v>25</v>
      </c>
      <c r="K2348" s="7">
        <v>-426325</v>
      </c>
      <c r="L2348" s="4" t="s">
        <v>1033</v>
      </c>
      <c r="M2348" s="4" t="s">
        <v>204</v>
      </c>
      <c r="N2348" s="4" t="s">
        <v>198</v>
      </c>
    </row>
    <row r="2349" spans="1:14" ht="10.5" hidden="1" x14ac:dyDescent="0.25">
      <c r="A2349" s="8" t="s">
        <v>3623</v>
      </c>
      <c r="B2349" s="4" t="s">
        <v>21</v>
      </c>
      <c r="C2349" s="5">
        <v>44469</v>
      </c>
      <c r="D2349" s="4" t="s">
        <v>1032</v>
      </c>
      <c r="E2349" s="4" t="s">
        <v>1028</v>
      </c>
      <c r="F2349" s="4" t="s">
        <v>1028</v>
      </c>
      <c r="G2349" s="6">
        <v>2126.6005096148615</v>
      </c>
      <c r="H2349" s="6">
        <f t="shared" si="40"/>
        <v>-126931.06041581824</v>
      </c>
      <c r="I2349" s="4"/>
      <c r="J2349" s="4" t="s">
        <v>25</v>
      </c>
      <c r="K2349" s="7">
        <v>2668.62</v>
      </c>
      <c r="L2349" s="4" t="s">
        <v>1033</v>
      </c>
      <c r="M2349" s="4" t="s">
        <v>212</v>
      </c>
      <c r="N2349" s="4" t="s">
        <v>118</v>
      </c>
    </row>
    <row r="2350" spans="1:14" ht="10.5" hidden="1" x14ac:dyDescent="0.25">
      <c r="A2350" s="8" t="s">
        <v>3623</v>
      </c>
      <c r="B2350" s="4" t="s">
        <v>21</v>
      </c>
      <c r="C2350" s="5">
        <v>44469</v>
      </c>
      <c r="D2350" s="4" t="s">
        <v>1130</v>
      </c>
      <c r="E2350" s="4" t="s">
        <v>1113</v>
      </c>
      <c r="F2350" s="4" t="s">
        <v>1113</v>
      </c>
      <c r="G2350" s="6">
        <v>89402.12345575988</v>
      </c>
      <c r="H2350" s="6">
        <f t="shared" si="40"/>
        <v>-37528.93696005836</v>
      </c>
      <c r="I2350" s="4"/>
      <c r="J2350" s="4" t="s">
        <v>25</v>
      </c>
      <c r="K2350" s="7">
        <v>88770.54</v>
      </c>
      <c r="L2350" s="4" t="s">
        <v>1033</v>
      </c>
      <c r="M2350" s="4" t="s">
        <v>27</v>
      </c>
      <c r="N2350" s="4" t="s">
        <v>118</v>
      </c>
    </row>
    <row r="2351" spans="1:14" ht="10.5" hidden="1" x14ac:dyDescent="0.25">
      <c r="A2351" s="8" t="s">
        <v>3623</v>
      </c>
      <c r="B2351" s="4" t="s">
        <v>21</v>
      </c>
      <c r="C2351" s="5">
        <v>44561</v>
      </c>
      <c r="D2351" s="4" t="s">
        <v>3647</v>
      </c>
      <c r="E2351" s="4" t="s">
        <v>3648</v>
      </c>
      <c r="F2351" s="4" t="s">
        <v>3648</v>
      </c>
      <c r="G2351" s="6">
        <v>-17883.798075180381</v>
      </c>
      <c r="H2351" s="6">
        <f t="shared" si="40"/>
        <v>-55412.735035238744</v>
      </c>
      <c r="I2351" s="4"/>
      <c r="J2351" s="4" t="s">
        <v>25</v>
      </c>
      <c r="K2351" s="7">
        <v>-1338439</v>
      </c>
      <c r="L2351" s="4" t="s">
        <v>1036</v>
      </c>
      <c r="M2351" s="4" t="s">
        <v>204</v>
      </c>
      <c r="N2351" s="4" t="s">
        <v>198</v>
      </c>
    </row>
    <row r="2352" spans="1:14" ht="10.5" hidden="1" x14ac:dyDescent="0.25">
      <c r="A2352" s="8" t="s">
        <v>3623</v>
      </c>
      <c r="B2352" s="4" t="s">
        <v>21</v>
      </c>
      <c r="C2352" s="5">
        <v>44561</v>
      </c>
      <c r="D2352" s="4" t="s">
        <v>1034</v>
      </c>
      <c r="E2352" s="4" t="s">
        <v>1035</v>
      </c>
      <c r="F2352" s="4" t="s">
        <v>1035</v>
      </c>
      <c r="G2352" s="6">
        <v>-28730.151698591351</v>
      </c>
      <c r="H2352" s="6">
        <f t="shared" si="40"/>
        <v>-84142.886733830092</v>
      </c>
      <c r="I2352" s="4"/>
      <c r="J2352" s="4" t="s">
        <v>25</v>
      </c>
      <c r="K2352" s="7">
        <v>-36692.949999999997</v>
      </c>
      <c r="L2352" s="4" t="s">
        <v>1036</v>
      </c>
      <c r="M2352" s="4" t="s">
        <v>212</v>
      </c>
      <c r="N2352" s="4" t="s">
        <v>118</v>
      </c>
    </row>
    <row r="2353" spans="1:17" ht="10.5" hidden="1" x14ac:dyDescent="0.25">
      <c r="A2353" s="8" t="s">
        <v>3623</v>
      </c>
      <c r="B2353" s="4" t="s">
        <v>21</v>
      </c>
      <c r="C2353" s="5">
        <v>44561</v>
      </c>
      <c r="D2353" s="4" t="s">
        <v>3649</v>
      </c>
      <c r="E2353" s="4" t="s">
        <v>3644</v>
      </c>
      <c r="F2353" s="4" t="s">
        <v>3644</v>
      </c>
      <c r="G2353" s="6">
        <v>5630.9473975525907</v>
      </c>
      <c r="H2353" s="6">
        <f t="shared" si="40"/>
        <v>-78511.939336277501</v>
      </c>
      <c r="I2353" s="4"/>
      <c r="J2353" s="4" t="s">
        <v>25</v>
      </c>
      <c r="K2353" s="7">
        <v>421425</v>
      </c>
      <c r="L2353" s="4" t="s">
        <v>1036</v>
      </c>
      <c r="M2353" s="4" t="s">
        <v>204</v>
      </c>
      <c r="N2353" s="4" t="s">
        <v>198</v>
      </c>
    </row>
    <row r="2354" spans="1:17" ht="10.5" hidden="1" x14ac:dyDescent="0.25">
      <c r="A2354" s="8" t="s">
        <v>3623</v>
      </c>
      <c r="B2354" s="4" t="s">
        <v>21</v>
      </c>
      <c r="C2354" s="5">
        <v>44561</v>
      </c>
      <c r="D2354" s="4" t="s">
        <v>3650</v>
      </c>
      <c r="E2354" s="4" t="s">
        <v>3646</v>
      </c>
      <c r="F2354" s="4" t="s">
        <v>3646</v>
      </c>
      <c r="G2354" s="6">
        <v>5696.4196458720016</v>
      </c>
      <c r="H2354" s="6">
        <f t="shared" si="40"/>
        <v>-72815.519690405505</v>
      </c>
      <c r="I2354" s="4"/>
      <c r="J2354" s="4" t="s">
        <v>25</v>
      </c>
      <c r="K2354" s="7">
        <v>426325</v>
      </c>
      <c r="L2354" s="4" t="s">
        <v>1036</v>
      </c>
      <c r="M2354" s="4" t="s">
        <v>204</v>
      </c>
      <c r="N2354" s="4" t="s">
        <v>198</v>
      </c>
    </row>
    <row r="2355" spans="1:17" ht="10.5" hidden="1" x14ac:dyDescent="0.25">
      <c r="A2355" s="8" t="s">
        <v>3623</v>
      </c>
      <c r="B2355" s="4" t="s">
        <v>21</v>
      </c>
      <c r="C2355" s="5">
        <v>44561</v>
      </c>
      <c r="D2355" s="4" t="s">
        <v>1037</v>
      </c>
      <c r="E2355" s="4" t="s">
        <v>1028</v>
      </c>
      <c r="F2355" s="4" t="s">
        <v>1028</v>
      </c>
      <c r="G2355" s="6">
        <v>20110.334945507409</v>
      </c>
      <c r="H2355" s="6">
        <f t="shared" si="40"/>
        <v>-52705.184744898099</v>
      </c>
      <c r="I2355" s="4"/>
      <c r="J2355" s="4" t="s">
        <v>25</v>
      </c>
      <c r="K2355" s="7">
        <v>25684.080000000002</v>
      </c>
      <c r="L2355" s="4" t="s">
        <v>1036</v>
      </c>
      <c r="M2355" s="4" t="s">
        <v>212</v>
      </c>
      <c r="N2355" s="4" t="s">
        <v>118</v>
      </c>
    </row>
    <row r="2356" spans="1:17" ht="10.5" hidden="1" x14ac:dyDescent="0.25">
      <c r="A2356" s="8" t="s">
        <v>3623</v>
      </c>
      <c r="B2356" s="4" t="s">
        <v>21</v>
      </c>
      <c r="C2356" s="5">
        <v>44561</v>
      </c>
      <c r="D2356" s="4" t="s">
        <v>1160</v>
      </c>
      <c r="E2356" s="4" t="s">
        <v>1113</v>
      </c>
      <c r="F2356" s="4" t="s">
        <v>1113</v>
      </c>
      <c r="G2356" s="6">
        <v>65752.721349907952</v>
      </c>
      <c r="H2356" s="6">
        <f t="shared" si="40"/>
        <v>13047.536605009853</v>
      </c>
      <c r="I2356" s="4"/>
      <c r="J2356" s="4" t="s">
        <v>25</v>
      </c>
      <c r="K2356" s="7">
        <v>65616.460000000006</v>
      </c>
      <c r="L2356" s="4" t="s">
        <v>1036</v>
      </c>
      <c r="M2356" s="4" t="s">
        <v>27</v>
      </c>
      <c r="N2356" s="4" t="s">
        <v>118</v>
      </c>
    </row>
    <row r="2357" spans="1:17" ht="10.5" hidden="1" x14ac:dyDescent="0.25">
      <c r="A2357" s="9" t="s">
        <v>3651</v>
      </c>
      <c r="B2357" s="10"/>
      <c r="C2357" s="11"/>
      <c r="D2357" s="10"/>
      <c r="E2357" s="10"/>
      <c r="F2357" s="10"/>
      <c r="G2357" s="12">
        <f>SUM(G2326:G2356)</f>
        <v>13047.536605009853</v>
      </c>
      <c r="H2357" s="12">
        <f>H2356</f>
        <v>13047.536605009853</v>
      </c>
      <c r="I2357" s="10"/>
      <c r="J2357" s="10"/>
      <c r="K2357" s="13"/>
      <c r="L2357" s="10"/>
      <c r="M2357" s="10"/>
      <c r="N2357" s="10"/>
    </row>
    <row r="2358" spans="1:17" ht="10.5" hidden="1" x14ac:dyDescent="0.2">
      <c r="A2358" s="10" t="s">
        <v>217</v>
      </c>
      <c r="B2358" s="10"/>
      <c r="C2358" s="11"/>
      <c r="D2358" s="10"/>
      <c r="E2358" s="10"/>
      <c r="F2358" s="10"/>
      <c r="G2358" s="12">
        <f>SUM(G1657,G1810,G2218,G2325,G2357)</f>
        <v>3493074.7628016677</v>
      </c>
      <c r="H2358" s="12">
        <f>H1657+H1810+H2218+H2325+H2357</f>
        <v>3493074.7628016677</v>
      </c>
      <c r="I2358" s="10"/>
      <c r="J2358" s="10"/>
      <c r="K2358" s="13"/>
      <c r="L2358" s="10"/>
      <c r="M2358" s="10"/>
      <c r="N2358" s="10"/>
    </row>
    <row r="2359" spans="1:17" ht="10.5" hidden="1" x14ac:dyDescent="0.2">
      <c r="A2359" s="10" t="s">
        <v>218</v>
      </c>
      <c r="B2359" s="10"/>
      <c r="C2359" s="11"/>
      <c r="D2359" s="10"/>
      <c r="E2359" s="10"/>
      <c r="F2359" s="10"/>
      <c r="G2359" s="12">
        <f>SUM(G89,G1263,G1656,G2358)</f>
        <v>24444570.257724263</v>
      </c>
      <c r="H2359" s="12">
        <f>0+H89+H1263+H1656+H2358</f>
        <v>24444570.257724263</v>
      </c>
      <c r="I2359" s="10"/>
      <c r="J2359" s="10"/>
      <c r="K2359" s="13"/>
      <c r="L2359" s="10"/>
      <c r="M2359" s="10"/>
      <c r="N2359" s="10"/>
    </row>
    <row r="2363" spans="1:17" x14ac:dyDescent="0.2">
      <c r="L2363" t="s">
        <v>3850</v>
      </c>
    </row>
    <row r="2364" spans="1:17" x14ac:dyDescent="0.2">
      <c r="G2364" s="25">
        <f>G2042+G2077+G2116+G2137+G2140</f>
        <v>356991.29447586427</v>
      </c>
      <c r="J2364" t="s">
        <v>3849</v>
      </c>
      <c r="K2364" s="25">
        <f>K2042+K2077+K2116+K2137+K2140</f>
        <v>298713</v>
      </c>
      <c r="L2364" s="26">
        <f>'France RTP'!H23</f>
        <v>265205</v>
      </c>
      <c r="M2364" s="244">
        <f>K2364-L2364</f>
        <v>33508</v>
      </c>
      <c r="O2364" t="s">
        <v>3851</v>
      </c>
      <c r="P2364" s="26">
        <f>L2364</f>
        <v>265205</v>
      </c>
    </row>
    <row r="2365" spans="1:17" x14ac:dyDescent="0.2">
      <c r="K2365" s="24">
        <v>192810</v>
      </c>
      <c r="P2365" s="24">
        <v>188900</v>
      </c>
    </row>
    <row r="2366" spans="1:17" x14ac:dyDescent="0.2">
      <c r="K2366" s="25">
        <f>K2364-K2365</f>
        <v>105903</v>
      </c>
      <c r="P2366" s="26">
        <f>P2364-P2365</f>
        <v>76305</v>
      </c>
      <c r="Q2366" t="s">
        <v>3852</v>
      </c>
    </row>
    <row r="2370" spans="12:13" x14ac:dyDescent="0.2">
      <c r="L2370" t="s">
        <v>3853</v>
      </c>
    </row>
    <row r="2371" spans="12:13" x14ac:dyDescent="0.2">
      <c r="L2371" s="90" t="s">
        <v>3854</v>
      </c>
      <c r="M2371" s="25">
        <f>-M2364</f>
        <v>-33508</v>
      </c>
    </row>
    <row r="2372" spans="12:13" x14ac:dyDescent="0.2">
      <c r="L2372" t="s">
        <v>3855</v>
      </c>
      <c r="M2372" s="24">
        <v>120398</v>
      </c>
    </row>
    <row r="2374" spans="12:13" x14ac:dyDescent="0.2">
      <c r="L2374" t="s">
        <v>3856</v>
      </c>
      <c r="M2374" s="25">
        <f>SUM(M2371:M2373)</f>
        <v>86890</v>
      </c>
    </row>
    <row r="2375" spans="12:13" x14ac:dyDescent="0.2">
      <c r="L2375" t="s">
        <v>3857</v>
      </c>
      <c r="M2375" s="83">
        <f>K2198</f>
        <v>76305</v>
      </c>
    </row>
    <row r="2376" spans="12:13" x14ac:dyDescent="0.2">
      <c r="L2376" t="s">
        <v>3858</v>
      </c>
      <c r="M2376" s="25">
        <f>M2374-M2375</f>
        <v>10585</v>
      </c>
    </row>
  </sheetData>
  <autoFilter ref="A7:Q2359" xr:uid="{8E9E8CD8-E46C-4B80-91CC-5F7CF358C2A4}">
    <filterColumn colId="0">
      <filters>
        <filter val="940000 - Income Tax"/>
        <filter val="940100 - State income tax"/>
        <filter val="940125 - Foreign income tax"/>
        <filter val="940150 - Federal Income Tax"/>
        <filter val="940175 - Deferred Tax Expense"/>
      </filters>
    </filterColumn>
    <filterColumn colId="12">
      <filters>
        <filter val="204 : Ivalua Germany"/>
      </filters>
    </filterColumn>
  </autoFilter>
  <mergeCells count="6">
    <mergeCell ref="A6:N6"/>
    <mergeCell ref="A1:N1"/>
    <mergeCell ref="A2:N2"/>
    <mergeCell ref="A3:N3"/>
    <mergeCell ref="A4:N4"/>
    <mergeCell ref="A5:N5"/>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3A820-E1C7-4002-825A-36AFF3E60187}">
  <sheetPr codeName="Sheet34" filterMode="1"/>
  <dimension ref="A1:P337"/>
  <sheetViews>
    <sheetView topLeftCell="E1" workbookViewId="0">
      <selection activeCell="Q47" sqref="Q47"/>
    </sheetView>
  </sheetViews>
  <sheetFormatPr defaultRowHeight="10" x14ac:dyDescent="0.2"/>
  <cols>
    <col min="3" max="3" width="14.44140625" customWidth="1"/>
    <col min="4" max="4" width="26.6640625" customWidth="1"/>
    <col min="5" max="5" width="34.44140625" customWidth="1"/>
    <col min="6" max="6" width="58" customWidth="1"/>
    <col min="7" max="7" width="15.109375" customWidth="1"/>
    <col min="8" max="8" width="12.109375" customWidth="1"/>
    <col min="11" max="11" width="18" customWidth="1"/>
  </cols>
  <sheetData>
    <row r="1" spans="1:14" ht="15.5" x14ac:dyDescent="0.35">
      <c r="A1" s="832" t="s">
        <v>0</v>
      </c>
      <c r="B1" s="832"/>
      <c r="C1" s="832"/>
      <c r="D1" s="832"/>
      <c r="E1" s="832"/>
      <c r="F1" s="832"/>
      <c r="G1" s="832"/>
      <c r="H1" s="832"/>
      <c r="I1" s="832"/>
      <c r="J1" s="832"/>
      <c r="K1" s="832"/>
      <c r="L1" s="832"/>
      <c r="M1" s="832"/>
      <c r="N1" s="832"/>
    </row>
    <row r="2" spans="1:14" ht="15.5" x14ac:dyDescent="0.35">
      <c r="A2" s="832" t="s">
        <v>1</v>
      </c>
      <c r="B2" s="832"/>
      <c r="C2" s="832"/>
      <c r="D2" s="832"/>
      <c r="E2" s="832"/>
      <c r="F2" s="832"/>
      <c r="G2" s="832"/>
      <c r="H2" s="832"/>
      <c r="I2" s="832"/>
      <c r="J2" s="832"/>
      <c r="K2" s="832"/>
      <c r="L2" s="832"/>
      <c r="M2" s="832"/>
      <c r="N2" s="832"/>
    </row>
    <row r="3" spans="1:14" ht="18" x14ac:dyDescent="0.4">
      <c r="A3" s="812" t="s">
        <v>2</v>
      </c>
      <c r="B3" s="812"/>
      <c r="C3" s="812"/>
      <c r="D3" s="812"/>
      <c r="E3" s="812"/>
      <c r="F3" s="812"/>
      <c r="G3" s="812"/>
      <c r="H3" s="812"/>
      <c r="I3" s="812"/>
      <c r="J3" s="812"/>
      <c r="K3" s="812"/>
      <c r="L3" s="812"/>
      <c r="M3" s="812"/>
      <c r="N3" s="812"/>
    </row>
    <row r="4" spans="1:14" ht="18" x14ac:dyDescent="0.4">
      <c r="A4" s="812" t="s">
        <v>3682</v>
      </c>
      <c r="B4" s="812"/>
      <c r="C4" s="812"/>
      <c r="D4" s="812"/>
      <c r="E4" s="812"/>
      <c r="F4" s="812"/>
      <c r="G4" s="812"/>
      <c r="H4" s="812"/>
      <c r="I4" s="812"/>
      <c r="J4" s="812"/>
      <c r="K4" s="812"/>
      <c r="L4" s="812"/>
      <c r="M4" s="812"/>
      <c r="N4" s="812"/>
    </row>
    <row r="5" spans="1:14" ht="18" x14ac:dyDescent="0.4">
      <c r="A5" s="812" t="s">
        <v>4</v>
      </c>
      <c r="B5" s="812"/>
      <c r="C5" s="812"/>
      <c r="D5" s="812"/>
      <c r="E5" s="812"/>
      <c r="F5" s="812"/>
      <c r="G5" s="812"/>
      <c r="H5" s="812"/>
      <c r="I5" s="812"/>
      <c r="J5" s="812"/>
      <c r="K5" s="812"/>
      <c r="L5" s="812"/>
      <c r="M5" s="812"/>
      <c r="N5" s="812"/>
    </row>
    <row r="6" spans="1:14" ht="18" x14ac:dyDescent="0.4">
      <c r="A6" s="812" t="s">
        <v>4</v>
      </c>
      <c r="B6" s="812"/>
      <c r="C6" s="812"/>
      <c r="D6" s="812"/>
      <c r="E6" s="812"/>
      <c r="F6" s="812"/>
      <c r="G6" s="812"/>
      <c r="H6" s="812"/>
      <c r="I6" s="812"/>
      <c r="J6" s="812"/>
      <c r="K6" s="812"/>
      <c r="L6" s="812"/>
      <c r="M6" s="812"/>
      <c r="N6" s="812"/>
    </row>
    <row r="7" spans="1:14" x14ac:dyDescent="0.2">
      <c r="A7" s="1" t="s">
        <v>5</v>
      </c>
      <c r="B7" s="1" t="s">
        <v>6</v>
      </c>
      <c r="C7" s="1" t="s">
        <v>7</v>
      </c>
      <c r="D7" s="1" t="s">
        <v>8</v>
      </c>
      <c r="E7" s="1" t="s">
        <v>9</v>
      </c>
      <c r="F7" s="1" t="s">
        <v>10</v>
      </c>
      <c r="G7" s="2" t="s">
        <v>11</v>
      </c>
      <c r="H7" s="2" t="s">
        <v>12</v>
      </c>
      <c r="I7" s="1" t="s">
        <v>13</v>
      </c>
      <c r="J7" s="1" t="s">
        <v>14</v>
      </c>
      <c r="K7" s="2" t="s">
        <v>15</v>
      </c>
      <c r="L7" s="1" t="s">
        <v>16</v>
      </c>
      <c r="M7" s="1" t="s">
        <v>17</v>
      </c>
      <c r="N7" s="1" t="s">
        <v>18</v>
      </c>
    </row>
    <row r="8" spans="1:14" ht="10.5" hidden="1" x14ac:dyDescent="0.2">
      <c r="A8" s="3" t="s">
        <v>239</v>
      </c>
      <c r="B8" s="4"/>
      <c r="C8" s="5"/>
      <c r="D8" s="4"/>
      <c r="E8" s="4"/>
      <c r="F8" s="4"/>
      <c r="G8" s="6">
        <v>0</v>
      </c>
      <c r="H8" s="6">
        <v>0</v>
      </c>
      <c r="I8" s="4"/>
      <c r="J8" s="4"/>
      <c r="K8" s="7">
        <v>0</v>
      </c>
      <c r="L8" s="4"/>
      <c r="M8" s="4"/>
      <c r="N8" s="4"/>
    </row>
    <row r="9" spans="1:14" ht="10.5" hidden="1" x14ac:dyDescent="0.25">
      <c r="A9" s="8" t="s">
        <v>470</v>
      </c>
      <c r="B9" s="4"/>
      <c r="C9" s="5"/>
      <c r="D9" s="4"/>
      <c r="E9" s="4"/>
      <c r="F9" s="4"/>
      <c r="G9" s="6">
        <v>0</v>
      </c>
      <c r="H9" s="6">
        <v>-465321.27076507249</v>
      </c>
      <c r="I9" s="4"/>
      <c r="J9" s="4"/>
      <c r="K9" s="7">
        <v>0</v>
      </c>
      <c r="L9" s="4"/>
      <c r="M9" s="4"/>
      <c r="N9" s="4"/>
    </row>
    <row r="10" spans="1:14" hidden="1" x14ac:dyDescent="0.2">
      <c r="A10" s="22"/>
      <c r="B10" s="4" t="s">
        <v>21</v>
      </c>
      <c r="C10" s="5">
        <v>44197</v>
      </c>
      <c r="D10" s="4" t="s">
        <v>2311</v>
      </c>
      <c r="E10" s="4" t="s">
        <v>2307</v>
      </c>
      <c r="F10" s="4" t="s">
        <v>2296</v>
      </c>
      <c r="G10" s="6">
        <v>91361.860474141402</v>
      </c>
      <c r="H10" s="6">
        <f t="shared" ref="H10:H73" si="0">H9+G10</f>
        <v>-373959.41029093112</v>
      </c>
      <c r="I10" s="4"/>
      <c r="J10" s="4" t="s">
        <v>68</v>
      </c>
      <c r="K10" s="7">
        <v>-87175.66</v>
      </c>
      <c r="L10" s="4" t="s">
        <v>1958</v>
      </c>
      <c r="M10" s="4" t="s">
        <v>61</v>
      </c>
      <c r="N10" s="4"/>
    </row>
    <row r="11" spans="1:14" hidden="1" x14ac:dyDescent="0.2">
      <c r="A11" s="22"/>
      <c r="B11" s="4" t="s">
        <v>21</v>
      </c>
      <c r="C11" s="5">
        <v>44227</v>
      </c>
      <c r="D11" s="4" t="s">
        <v>2312</v>
      </c>
      <c r="E11" s="4" t="s">
        <v>2307</v>
      </c>
      <c r="F11" s="4" t="s">
        <v>2296</v>
      </c>
      <c r="G11" s="6">
        <v>-84539.143584212405</v>
      </c>
      <c r="H11" s="6">
        <f t="shared" si="0"/>
        <v>-458498.55387514352</v>
      </c>
      <c r="I11" s="4"/>
      <c r="J11" s="4" t="s">
        <v>68</v>
      </c>
      <c r="K11" s="7">
        <v>80665.56</v>
      </c>
      <c r="L11" s="4" t="s">
        <v>1958</v>
      </c>
      <c r="M11" s="4" t="s">
        <v>61</v>
      </c>
      <c r="N11" s="4"/>
    </row>
    <row r="12" spans="1:14" hidden="1" x14ac:dyDescent="0.2">
      <c r="A12" s="22"/>
      <c r="B12" s="4" t="s">
        <v>21</v>
      </c>
      <c r="C12" s="5">
        <v>44227</v>
      </c>
      <c r="D12" s="4" t="s">
        <v>2313</v>
      </c>
      <c r="E12" s="4" t="s">
        <v>2314</v>
      </c>
      <c r="F12" s="4" t="s">
        <v>2296</v>
      </c>
      <c r="G12" s="6">
        <v>-51544.970566722201</v>
      </c>
      <c r="H12" s="6">
        <f t="shared" si="0"/>
        <v>-510043.52444186574</v>
      </c>
      <c r="I12" s="4"/>
      <c r="J12" s="4" t="s">
        <v>68</v>
      </c>
      <c r="K12" s="7">
        <v>49183.18</v>
      </c>
      <c r="L12" s="4" t="s">
        <v>1958</v>
      </c>
      <c r="M12" s="4" t="s">
        <v>61</v>
      </c>
      <c r="N12" s="4"/>
    </row>
    <row r="13" spans="1:14" hidden="1" x14ac:dyDescent="0.2">
      <c r="A13" s="22"/>
      <c r="B13" s="4" t="s">
        <v>21</v>
      </c>
      <c r="C13" s="5">
        <v>44228</v>
      </c>
      <c r="D13" s="4" t="s">
        <v>2315</v>
      </c>
      <c r="E13" s="4" t="s">
        <v>2307</v>
      </c>
      <c r="F13" s="4" t="s">
        <v>2296</v>
      </c>
      <c r="G13" s="6">
        <v>84539.143584212405</v>
      </c>
      <c r="H13" s="6">
        <f t="shared" si="0"/>
        <v>-425504.38085765333</v>
      </c>
      <c r="I13" s="4"/>
      <c r="J13" s="4" t="s">
        <v>68</v>
      </c>
      <c r="K13" s="7">
        <v>-80665.56</v>
      </c>
      <c r="L13" s="4" t="s">
        <v>1971</v>
      </c>
      <c r="M13" s="4" t="s">
        <v>61</v>
      </c>
      <c r="N13" s="4"/>
    </row>
    <row r="14" spans="1:14" hidden="1" x14ac:dyDescent="0.2">
      <c r="A14" s="22"/>
      <c r="B14" s="4" t="s">
        <v>21</v>
      </c>
      <c r="C14" s="5">
        <v>44228</v>
      </c>
      <c r="D14" s="4" t="s">
        <v>2316</v>
      </c>
      <c r="E14" s="4" t="s">
        <v>2314</v>
      </c>
      <c r="F14" s="4" t="s">
        <v>2296</v>
      </c>
      <c r="G14" s="6">
        <v>51544.970566722201</v>
      </c>
      <c r="H14" s="6">
        <f t="shared" si="0"/>
        <v>-373959.41029093112</v>
      </c>
      <c r="I14" s="4"/>
      <c r="J14" s="4" t="s">
        <v>68</v>
      </c>
      <c r="K14" s="7">
        <v>-49183.18</v>
      </c>
      <c r="L14" s="4" t="s">
        <v>1971</v>
      </c>
      <c r="M14" s="4" t="s">
        <v>61</v>
      </c>
      <c r="N14" s="4"/>
    </row>
    <row r="15" spans="1:14" hidden="1" x14ac:dyDescent="0.2">
      <c r="A15" s="22"/>
      <c r="B15" s="4" t="s">
        <v>21</v>
      </c>
      <c r="C15" s="5">
        <v>44255</v>
      </c>
      <c r="D15" s="4" t="s">
        <v>2317</v>
      </c>
      <c r="E15" s="4" t="s">
        <v>2318</v>
      </c>
      <c r="F15" s="4" t="s">
        <v>2296</v>
      </c>
      <c r="G15" s="6">
        <v>-103089.9201730386</v>
      </c>
      <c r="H15" s="6">
        <f t="shared" si="0"/>
        <v>-477049.33046396973</v>
      </c>
      <c r="I15" s="4"/>
      <c r="J15" s="4" t="s">
        <v>68</v>
      </c>
      <c r="K15" s="7">
        <v>98366.34</v>
      </c>
      <c r="L15" s="4" t="s">
        <v>1971</v>
      </c>
      <c r="M15" s="4" t="s">
        <v>61</v>
      </c>
      <c r="N15" s="4"/>
    </row>
    <row r="16" spans="1:14" hidden="1" x14ac:dyDescent="0.2">
      <c r="A16" s="22"/>
      <c r="B16" s="4" t="s">
        <v>21</v>
      </c>
      <c r="C16" s="5">
        <v>44255</v>
      </c>
      <c r="D16" s="4" t="s">
        <v>2319</v>
      </c>
      <c r="E16" s="4" t="s">
        <v>2307</v>
      </c>
      <c r="F16" s="4" t="s">
        <v>2296</v>
      </c>
      <c r="G16" s="6">
        <v>-84539.143584212405</v>
      </c>
      <c r="H16" s="6">
        <f t="shared" si="0"/>
        <v>-561588.47404818214</v>
      </c>
      <c r="I16" s="4"/>
      <c r="J16" s="4" t="s">
        <v>68</v>
      </c>
      <c r="K16" s="7">
        <v>80665.56</v>
      </c>
      <c r="L16" s="4" t="s">
        <v>1971</v>
      </c>
      <c r="M16" s="4" t="s">
        <v>61</v>
      </c>
      <c r="N16" s="4"/>
    </row>
    <row r="17" spans="1:14" hidden="1" x14ac:dyDescent="0.2">
      <c r="A17" s="22"/>
      <c r="B17" s="4" t="s">
        <v>21</v>
      </c>
      <c r="C17" s="5">
        <v>44256</v>
      </c>
      <c r="D17" s="4" t="s">
        <v>2320</v>
      </c>
      <c r="E17" s="4" t="s">
        <v>2318</v>
      </c>
      <c r="F17" s="4" t="s">
        <v>2296</v>
      </c>
      <c r="G17" s="6">
        <v>103089.9201730386</v>
      </c>
      <c r="H17" s="6">
        <f t="shared" si="0"/>
        <v>-458498.55387514352</v>
      </c>
      <c r="I17" s="4"/>
      <c r="J17" s="4" t="s">
        <v>68</v>
      </c>
      <c r="K17" s="7">
        <v>-98366.34</v>
      </c>
      <c r="L17" s="4" t="s">
        <v>1029</v>
      </c>
      <c r="M17" s="4" t="s">
        <v>61</v>
      </c>
      <c r="N17" s="4"/>
    </row>
    <row r="18" spans="1:14" hidden="1" x14ac:dyDescent="0.2">
      <c r="A18" s="22"/>
      <c r="B18" s="4" t="s">
        <v>21</v>
      </c>
      <c r="C18" s="5">
        <v>44256</v>
      </c>
      <c r="D18" s="4" t="s">
        <v>2321</v>
      </c>
      <c r="E18" s="4" t="s">
        <v>2307</v>
      </c>
      <c r="F18" s="4" t="s">
        <v>2296</v>
      </c>
      <c r="G18" s="6">
        <v>84539.143584212405</v>
      </c>
      <c r="H18" s="6">
        <f t="shared" si="0"/>
        <v>-373959.41029093112</v>
      </c>
      <c r="I18" s="4"/>
      <c r="J18" s="4" t="s">
        <v>68</v>
      </c>
      <c r="K18" s="7">
        <v>-80665.56</v>
      </c>
      <c r="L18" s="4" t="s">
        <v>1029</v>
      </c>
      <c r="M18" s="4" t="s">
        <v>61</v>
      </c>
      <c r="N18" s="4"/>
    </row>
    <row r="19" spans="1:14" hidden="1" x14ac:dyDescent="0.2">
      <c r="A19" s="22"/>
      <c r="B19" s="4" t="s">
        <v>249</v>
      </c>
      <c r="C19" s="5">
        <v>44266</v>
      </c>
      <c r="D19" s="4" t="s">
        <v>2322</v>
      </c>
      <c r="E19" s="4" t="s">
        <v>2323</v>
      </c>
      <c r="F19" s="4" t="s">
        <v>2323</v>
      </c>
      <c r="G19" s="6">
        <v>58355.86578778</v>
      </c>
      <c r="H19" s="6">
        <f t="shared" si="0"/>
        <v>-315603.54450315109</v>
      </c>
      <c r="I19" s="4" t="s">
        <v>252</v>
      </c>
      <c r="J19" s="4" t="s">
        <v>68</v>
      </c>
      <c r="K19" s="7">
        <v>-55682</v>
      </c>
      <c r="L19" s="4" t="s">
        <v>1029</v>
      </c>
      <c r="M19" s="4" t="s">
        <v>61</v>
      </c>
      <c r="N19" s="4"/>
    </row>
    <row r="20" spans="1:14" hidden="1" x14ac:dyDescent="0.2">
      <c r="A20" s="22"/>
      <c r="B20" s="4" t="s">
        <v>21</v>
      </c>
      <c r="C20" s="5">
        <v>44286</v>
      </c>
      <c r="D20" s="4" t="s">
        <v>2324</v>
      </c>
      <c r="E20" s="4" t="s">
        <v>2325</v>
      </c>
      <c r="F20" s="4" t="s">
        <v>2325</v>
      </c>
      <c r="G20" s="6">
        <v>41.679766933300002</v>
      </c>
      <c r="H20" s="6">
        <f t="shared" si="0"/>
        <v>-315561.86473621777</v>
      </c>
      <c r="I20" s="4"/>
      <c r="J20" s="4" t="s">
        <v>68</v>
      </c>
      <c r="K20" s="7">
        <v>-39.770000000000003</v>
      </c>
      <c r="L20" s="4" t="s">
        <v>1029</v>
      </c>
      <c r="M20" s="4" t="s">
        <v>61</v>
      </c>
      <c r="N20" s="4"/>
    </row>
    <row r="21" spans="1:14" hidden="1" x14ac:dyDescent="0.2">
      <c r="A21" s="22"/>
      <c r="B21" s="4" t="s">
        <v>21</v>
      </c>
      <c r="C21" s="5">
        <v>44286</v>
      </c>
      <c r="D21" s="4" t="s">
        <v>2326</v>
      </c>
      <c r="E21" s="4" t="s">
        <v>2307</v>
      </c>
      <c r="F21" s="4" t="s">
        <v>2296</v>
      </c>
      <c r="G21" s="6">
        <v>-84539.143584212405</v>
      </c>
      <c r="H21" s="6">
        <f t="shared" si="0"/>
        <v>-400101.00832043018</v>
      </c>
      <c r="I21" s="4"/>
      <c r="J21" s="4" t="s">
        <v>68</v>
      </c>
      <c r="K21" s="7">
        <v>80665.56</v>
      </c>
      <c r="L21" s="4" t="s">
        <v>1029</v>
      </c>
      <c r="M21" s="4" t="s">
        <v>61</v>
      </c>
      <c r="N21" s="4"/>
    </row>
    <row r="22" spans="1:14" hidden="1" x14ac:dyDescent="0.2">
      <c r="A22" s="22"/>
      <c r="B22" s="4" t="s">
        <v>21</v>
      </c>
      <c r="C22" s="5">
        <v>44286</v>
      </c>
      <c r="D22" s="4" t="s">
        <v>2327</v>
      </c>
      <c r="E22" s="4" t="s">
        <v>2328</v>
      </c>
      <c r="F22" s="4" t="s">
        <v>2328</v>
      </c>
      <c r="G22" s="6">
        <v>-128493.65951736319</v>
      </c>
      <c r="H22" s="6">
        <f t="shared" si="0"/>
        <v>-528594.66783779336</v>
      </c>
      <c r="I22" s="4"/>
      <c r="J22" s="4" t="s">
        <v>68</v>
      </c>
      <c r="K22" s="7">
        <v>122606.08</v>
      </c>
      <c r="L22" s="4" t="s">
        <v>1029</v>
      </c>
      <c r="M22" s="4" t="s">
        <v>61</v>
      </c>
      <c r="N22" s="4"/>
    </row>
    <row r="23" spans="1:14" hidden="1" x14ac:dyDescent="0.2">
      <c r="A23" s="22"/>
      <c r="B23" s="4" t="s">
        <v>21</v>
      </c>
      <c r="C23" s="5">
        <v>44286</v>
      </c>
      <c r="D23" s="4" t="s">
        <v>2329</v>
      </c>
      <c r="E23" s="4" t="s">
        <v>2330</v>
      </c>
      <c r="F23" s="4" t="s">
        <v>2330</v>
      </c>
      <c r="G23" s="6">
        <v>194218.18740474191</v>
      </c>
      <c r="H23" s="6">
        <f t="shared" si="0"/>
        <v>-334376.48043305147</v>
      </c>
      <c r="I23" s="4"/>
      <c r="J23" s="4" t="s">
        <v>68</v>
      </c>
      <c r="K23" s="7">
        <v>-185319.11</v>
      </c>
      <c r="L23" s="4" t="s">
        <v>1029</v>
      </c>
      <c r="M23" s="4" t="s">
        <v>61</v>
      </c>
      <c r="N23" s="4"/>
    </row>
    <row r="24" spans="1:14" hidden="1" x14ac:dyDescent="0.2">
      <c r="A24" s="22"/>
      <c r="B24" s="4" t="s">
        <v>21</v>
      </c>
      <c r="C24" s="5">
        <v>44287</v>
      </c>
      <c r="D24" s="4" t="s">
        <v>2331</v>
      </c>
      <c r="E24" s="4" t="s">
        <v>2307</v>
      </c>
      <c r="F24" s="4" t="s">
        <v>2296</v>
      </c>
      <c r="G24" s="6">
        <v>84539.143584212405</v>
      </c>
      <c r="H24" s="6">
        <f t="shared" si="0"/>
        <v>-249837.33684883907</v>
      </c>
      <c r="I24" s="4"/>
      <c r="J24" s="4" t="s">
        <v>68</v>
      </c>
      <c r="K24" s="7">
        <v>-80665.56</v>
      </c>
      <c r="L24" s="4" t="s">
        <v>1999</v>
      </c>
      <c r="M24" s="4" t="s">
        <v>61</v>
      </c>
      <c r="N24" s="4"/>
    </row>
    <row r="25" spans="1:14" hidden="1" x14ac:dyDescent="0.2">
      <c r="A25" s="22"/>
      <c r="B25" s="4" t="s">
        <v>21</v>
      </c>
      <c r="C25" s="5">
        <v>44287</v>
      </c>
      <c r="D25" s="4" t="s">
        <v>2332</v>
      </c>
      <c r="E25" s="4" t="s">
        <v>2328</v>
      </c>
      <c r="F25" s="4" t="s">
        <v>2328</v>
      </c>
      <c r="G25" s="6">
        <v>128493.65951736319</v>
      </c>
      <c r="H25" s="6">
        <f t="shared" si="0"/>
        <v>-121343.67733147588</v>
      </c>
      <c r="I25" s="4"/>
      <c r="J25" s="4" t="s">
        <v>68</v>
      </c>
      <c r="K25" s="7">
        <v>-122606.08</v>
      </c>
      <c r="L25" s="4" t="s">
        <v>1999</v>
      </c>
      <c r="M25" s="4" t="s">
        <v>61</v>
      </c>
      <c r="N25" s="4"/>
    </row>
    <row r="26" spans="1:14" hidden="1" x14ac:dyDescent="0.2">
      <c r="A26" s="22"/>
      <c r="B26" s="4" t="s">
        <v>21</v>
      </c>
      <c r="C26" s="5">
        <v>44287</v>
      </c>
      <c r="D26" s="4" t="s">
        <v>2333</v>
      </c>
      <c r="E26" s="4" t="s">
        <v>2330</v>
      </c>
      <c r="F26" s="4" t="s">
        <v>2330</v>
      </c>
      <c r="G26" s="6">
        <v>-194218.18740474191</v>
      </c>
      <c r="H26" s="6">
        <f t="shared" si="0"/>
        <v>-315561.86473621777</v>
      </c>
      <c r="I26" s="4"/>
      <c r="J26" s="4" t="s">
        <v>68</v>
      </c>
      <c r="K26" s="7">
        <v>185319.11</v>
      </c>
      <c r="L26" s="4" t="s">
        <v>1999</v>
      </c>
      <c r="M26" s="4" t="s">
        <v>61</v>
      </c>
      <c r="N26" s="4"/>
    </row>
    <row r="27" spans="1:14" hidden="1" x14ac:dyDescent="0.2">
      <c r="A27" s="22"/>
      <c r="B27" s="4" t="s">
        <v>21</v>
      </c>
      <c r="C27" s="5">
        <v>44316</v>
      </c>
      <c r="D27" s="4" t="s">
        <v>2334</v>
      </c>
      <c r="E27" s="4" t="s">
        <v>2335</v>
      </c>
      <c r="F27" s="4" t="s">
        <v>2335</v>
      </c>
      <c r="G27" s="6">
        <v>158551.30064267921</v>
      </c>
      <c r="H27" s="6">
        <f t="shared" si="0"/>
        <v>-157010.56409353856</v>
      </c>
      <c r="I27" s="4"/>
      <c r="J27" s="4" t="s">
        <v>68</v>
      </c>
      <c r="K27" s="7">
        <v>-151286.48000000001</v>
      </c>
      <c r="L27" s="4" t="s">
        <v>1999</v>
      </c>
      <c r="M27" s="4" t="s">
        <v>61</v>
      </c>
      <c r="N27" s="4"/>
    </row>
    <row r="28" spans="1:14" hidden="1" x14ac:dyDescent="0.2">
      <c r="A28" s="22"/>
      <c r="B28" s="4" t="s">
        <v>21</v>
      </c>
      <c r="C28" s="5">
        <v>44316</v>
      </c>
      <c r="D28" s="4" t="s">
        <v>2336</v>
      </c>
      <c r="E28" s="4" t="s">
        <v>2337</v>
      </c>
      <c r="F28" s="4" t="s">
        <v>2337</v>
      </c>
      <c r="G28" s="6">
        <v>-515.99278978150005</v>
      </c>
      <c r="H28" s="6">
        <f t="shared" si="0"/>
        <v>-157526.55688332007</v>
      </c>
      <c r="I28" s="4"/>
      <c r="J28" s="4" t="s">
        <v>68</v>
      </c>
      <c r="K28" s="7">
        <v>492.35</v>
      </c>
      <c r="L28" s="4" t="s">
        <v>1999</v>
      </c>
      <c r="M28" s="4" t="s">
        <v>61</v>
      </c>
      <c r="N28" s="4"/>
    </row>
    <row r="29" spans="1:14" hidden="1" x14ac:dyDescent="0.2">
      <c r="A29" s="22"/>
      <c r="B29" s="4" t="s">
        <v>21</v>
      </c>
      <c r="C29" s="5">
        <v>44316</v>
      </c>
      <c r="D29" s="4" t="s">
        <v>2338</v>
      </c>
      <c r="E29" s="4" t="s">
        <v>2339</v>
      </c>
      <c r="F29" s="4" t="s">
        <v>2339</v>
      </c>
      <c r="G29" s="6">
        <v>16627.2506287631</v>
      </c>
      <c r="H29" s="6">
        <f t="shared" si="0"/>
        <v>-140899.30625455696</v>
      </c>
      <c r="I29" s="4"/>
      <c r="J29" s="4" t="s">
        <v>68</v>
      </c>
      <c r="K29" s="7">
        <v>-15865.39</v>
      </c>
      <c r="L29" s="4" t="s">
        <v>1999</v>
      </c>
      <c r="M29" s="4" t="s">
        <v>61</v>
      </c>
      <c r="N29" s="4"/>
    </row>
    <row r="30" spans="1:14" hidden="1" x14ac:dyDescent="0.2">
      <c r="A30" s="22"/>
      <c r="B30" s="4" t="s">
        <v>21</v>
      </c>
      <c r="C30" s="5">
        <v>44316</v>
      </c>
      <c r="D30" s="4" t="s">
        <v>2340</v>
      </c>
      <c r="E30" s="4" t="s">
        <v>2341</v>
      </c>
      <c r="F30" s="4" t="s">
        <v>2341</v>
      </c>
      <c r="G30" s="6">
        <v>-263028.31759034441</v>
      </c>
      <c r="H30" s="6">
        <f t="shared" si="0"/>
        <v>-403927.62384490133</v>
      </c>
      <c r="I30" s="4"/>
      <c r="J30" s="4" t="s">
        <v>68</v>
      </c>
      <c r="K30" s="7">
        <v>250976.36</v>
      </c>
      <c r="L30" s="4" t="s">
        <v>1999</v>
      </c>
      <c r="M30" s="4" t="s">
        <v>61</v>
      </c>
      <c r="N30" s="4"/>
    </row>
    <row r="31" spans="1:14" hidden="1" x14ac:dyDescent="0.2">
      <c r="A31" s="22"/>
      <c r="B31" s="4" t="s">
        <v>21</v>
      </c>
      <c r="C31" s="5">
        <v>44317</v>
      </c>
      <c r="D31" s="4" t="s">
        <v>2342</v>
      </c>
      <c r="E31" s="4" t="s">
        <v>2341</v>
      </c>
      <c r="F31" s="4" t="s">
        <v>2341</v>
      </c>
      <c r="G31" s="6">
        <v>263028.31759034441</v>
      </c>
      <c r="H31" s="6">
        <f t="shared" si="0"/>
        <v>-140899.30625455693</v>
      </c>
      <c r="I31" s="4"/>
      <c r="J31" s="4" t="s">
        <v>68</v>
      </c>
      <c r="K31" s="7">
        <v>-250976.36</v>
      </c>
      <c r="L31" s="4" t="s">
        <v>2033</v>
      </c>
      <c r="M31" s="4" t="s">
        <v>61</v>
      </c>
      <c r="N31" s="4"/>
    </row>
    <row r="32" spans="1:14" hidden="1" x14ac:dyDescent="0.2">
      <c r="A32" s="22"/>
      <c r="B32" s="4" t="s">
        <v>249</v>
      </c>
      <c r="C32" s="5">
        <v>44322</v>
      </c>
      <c r="D32" s="4" t="s">
        <v>2343</v>
      </c>
      <c r="E32" s="4" t="s">
        <v>2344</v>
      </c>
      <c r="F32" s="4" t="s">
        <v>2344</v>
      </c>
      <c r="G32" s="6">
        <v>1650.4852339094</v>
      </c>
      <c r="H32" s="6">
        <f t="shared" si="0"/>
        <v>-139248.82102064753</v>
      </c>
      <c r="I32" s="4" t="s">
        <v>252</v>
      </c>
      <c r="J32" s="4" t="s">
        <v>68</v>
      </c>
      <c r="K32" s="7">
        <v>-1574.86</v>
      </c>
      <c r="L32" s="4" t="s">
        <v>2033</v>
      </c>
      <c r="M32" s="4" t="s">
        <v>61</v>
      </c>
      <c r="N32" s="4"/>
    </row>
    <row r="33" spans="1:14" hidden="1" x14ac:dyDescent="0.2">
      <c r="A33" s="22"/>
      <c r="B33" s="4" t="s">
        <v>249</v>
      </c>
      <c r="C33" s="5">
        <v>44323</v>
      </c>
      <c r="D33" s="4" t="s">
        <v>2345</v>
      </c>
      <c r="E33" s="4" t="s">
        <v>2346</v>
      </c>
      <c r="F33" s="4" t="s">
        <v>2346</v>
      </c>
      <c r="G33" s="6">
        <v>74232.325160990003</v>
      </c>
      <c r="H33" s="6">
        <f t="shared" si="0"/>
        <v>-65016.495859657531</v>
      </c>
      <c r="I33" s="4" t="s">
        <v>252</v>
      </c>
      <c r="J33" s="4" t="s">
        <v>68</v>
      </c>
      <c r="K33" s="7">
        <v>-70831</v>
      </c>
      <c r="L33" s="4" t="s">
        <v>2033</v>
      </c>
      <c r="M33" s="4" t="s">
        <v>61</v>
      </c>
      <c r="N33" s="4"/>
    </row>
    <row r="34" spans="1:14" hidden="1" x14ac:dyDescent="0.2">
      <c r="A34" s="22"/>
      <c r="B34" s="4" t="s">
        <v>249</v>
      </c>
      <c r="C34" s="5">
        <v>44333</v>
      </c>
      <c r="D34" s="4" t="s">
        <v>2347</v>
      </c>
      <c r="E34" s="4" t="s">
        <v>2348</v>
      </c>
      <c r="F34" s="4" t="s">
        <v>2348</v>
      </c>
      <c r="G34" s="6">
        <v>38294.6613966</v>
      </c>
      <c r="H34" s="6">
        <f t="shared" si="0"/>
        <v>-26721.83446305753</v>
      </c>
      <c r="I34" s="4" t="s">
        <v>252</v>
      </c>
      <c r="J34" s="4" t="s">
        <v>68</v>
      </c>
      <c r="K34" s="7">
        <v>-36540</v>
      </c>
      <c r="L34" s="4" t="s">
        <v>2033</v>
      </c>
      <c r="M34" s="4" t="s">
        <v>61</v>
      </c>
      <c r="N34" s="4"/>
    </row>
    <row r="35" spans="1:14" hidden="1" x14ac:dyDescent="0.2">
      <c r="A35" s="22"/>
      <c r="B35" s="4" t="s">
        <v>249</v>
      </c>
      <c r="C35" s="5">
        <v>44341</v>
      </c>
      <c r="D35" s="4" t="s">
        <v>2349</v>
      </c>
      <c r="E35" s="4" t="s">
        <v>2350</v>
      </c>
      <c r="F35" s="4" t="s">
        <v>2350</v>
      </c>
      <c r="G35" s="6">
        <v>436.1126832777</v>
      </c>
      <c r="H35" s="6">
        <f t="shared" si="0"/>
        <v>-26285.721779779829</v>
      </c>
      <c r="I35" s="4" t="s">
        <v>252</v>
      </c>
      <c r="J35" s="4" t="s">
        <v>68</v>
      </c>
      <c r="K35" s="7">
        <v>-416.13</v>
      </c>
      <c r="L35" s="4" t="s">
        <v>2033</v>
      </c>
      <c r="M35" s="4" t="s">
        <v>61</v>
      </c>
      <c r="N35" s="4"/>
    </row>
    <row r="36" spans="1:14" hidden="1" x14ac:dyDescent="0.2">
      <c r="A36" s="22"/>
      <c r="B36" s="4" t="s">
        <v>21</v>
      </c>
      <c r="C36" s="5">
        <v>44347</v>
      </c>
      <c r="D36" s="4" t="s">
        <v>2351</v>
      </c>
      <c r="E36" s="4" t="s">
        <v>2352</v>
      </c>
      <c r="F36" s="4" t="s">
        <v>2353</v>
      </c>
      <c r="G36" s="6">
        <v>-238.12069009090001</v>
      </c>
      <c r="H36" s="6">
        <f t="shared" si="0"/>
        <v>-26523.842469870728</v>
      </c>
      <c r="I36" s="4"/>
      <c r="J36" s="4" t="s">
        <v>68</v>
      </c>
      <c r="K36" s="7">
        <v>227.21</v>
      </c>
      <c r="L36" s="4" t="s">
        <v>2033</v>
      </c>
      <c r="M36" s="4" t="s">
        <v>61</v>
      </c>
      <c r="N36" s="4"/>
    </row>
    <row r="37" spans="1:14" hidden="1" x14ac:dyDescent="0.2">
      <c r="A37" s="22"/>
      <c r="B37" s="4" t="s">
        <v>21</v>
      </c>
      <c r="C37" s="5">
        <v>44347</v>
      </c>
      <c r="D37" s="4" t="s">
        <v>2351</v>
      </c>
      <c r="E37" s="4" t="s">
        <v>2352</v>
      </c>
      <c r="F37" s="4" t="s">
        <v>2353</v>
      </c>
      <c r="G37" s="6">
        <v>-17.124651538599998</v>
      </c>
      <c r="H37" s="6">
        <f t="shared" si="0"/>
        <v>-26540.967121409329</v>
      </c>
      <c r="I37" s="4"/>
      <c r="J37" s="4" t="s">
        <v>68</v>
      </c>
      <c r="K37" s="7">
        <v>16.34</v>
      </c>
      <c r="L37" s="4" t="s">
        <v>2033</v>
      </c>
      <c r="M37" s="4" t="s">
        <v>61</v>
      </c>
      <c r="N37" s="4"/>
    </row>
    <row r="38" spans="1:14" hidden="1" x14ac:dyDescent="0.2">
      <c r="A38" s="22"/>
      <c r="B38" s="4" t="s">
        <v>21</v>
      </c>
      <c r="C38" s="5">
        <v>44347</v>
      </c>
      <c r="D38" s="4" t="s">
        <v>2351</v>
      </c>
      <c r="E38" s="4" t="s">
        <v>2352</v>
      </c>
      <c r="F38" s="4" t="s">
        <v>2353</v>
      </c>
      <c r="G38" s="6">
        <v>-7.4199836532000001</v>
      </c>
      <c r="H38" s="6">
        <f t="shared" si="0"/>
        <v>-26548.387105062528</v>
      </c>
      <c r="I38" s="4"/>
      <c r="J38" s="4" t="s">
        <v>68</v>
      </c>
      <c r="K38" s="7">
        <v>7.08</v>
      </c>
      <c r="L38" s="4" t="s">
        <v>2033</v>
      </c>
      <c r="M38" s="4" t="s">
        <v>61</v>
      </c>
      <c r="N38" s="4"/>
    </row>
    <row r="39" spans="1:14" hidden="1" x14ac:dyDescent="0.2">
      <c r="A39" s="22"/>
      <c r="B39" s="4" t="s">
        <v>21</v>
      </c>
      <c r="C39" s="5">
        <v>44347</v>
      </c>
      <c r="D39" s="4" t="s">
        <v>2351</v>
      </c>
      <c r="E39" s="4" t="s">
        <v>2352</v>
      </c>
      <c r="F39" s="4" t="s">
        <v>2354</v>
      </c>
      <c r="G39" s="6">
        <v>-8092.4668326843002</v>
      </c>
      <c r="H39" s="6">
        <f t="shared" si="0"/>
        <v>-34640.853937746826</v>
      </c>
      <c r="I39" s="4"/>
      <c r="J39" s="4" t="s">
        <v>68</v>
      </c>
      <c r="K39" s="7">
        <v>7721.67</v>
      </c>
      <c r="L39" s="4" t="s">
        <v>2033</v>
      </c>
      <c r="M39" s="4" t="s">
        <v>61</v>
      </c>
      <c r="N39" s="4"/>
    </row>
    <row r="40" spans="1:14" hidden="1" x14ac:dyDescent="0.2">
      <c r="A40" s="22"/>
      <c r="B40" s="4" t="s">
        <v>21</v>
      </c>
      <c r="C40" s="5">
        <v>44347</v>
      </c>
      <c r="D40" s="4" t="s">
        <v>2351</v>
      </c>
      <c r="E40" s="4" t="s">
        <v>2352</v>
      </c>
      <c r="F40" s="4" t="s">
        <v>2355</v>
      </c>
      <c r="G40" s="6">
        <v>-5355.3208006825998</v>
      </c>
      <c r="H40" s="6">
        <f t="shared" si="0"/>
        <v>-39996.174738429429</v>
      </c>
      <c r="I40" s="4"/>
      <c r="J40" s="4" t="s">
        <v>68</v>
      </c>
      <c r="K40" s="7">
        <v>5109.9399999999996</v>
      </c>
      <c r="L40" s="4" t="s">
        <v>2033</v>
      </c>
      <c r="M40" s="4" t="s">
        <v>61</v>
      </c>
      <c r="N40" s="4"/>
    </row>
    <row r="41" spans="1:14" hidden="1" x14ac:dyDescent="0.2">
      <c r="A41" s="22"/>
      <c r="B41" s="4" t="s">
        <v>21</v>
      </c>
      <c r="C41" s="5">
        <v>44347</v>
      </c>
      <c r="D41" s="4" t="s">
        <v>2351</v>
      </c>
      <c r="E41" s="4" t="s">
        <v>2352</v>
      </c>
      <c r="F41" s="4" t="s">
        <v>2356</v>
      </c>
      <c r="G41" s="6">
        <v>-13090.821442390001</v>
      </c>
      <c r="H41" s="6">
        <f t="shared" si="0"/>
        <v>-53086.996180819428</v>
      </c>
      <c r="I41" s="4"/>
      <c r="J41" s="4" t="s">
        <v>68</v>
      </c>
      <c r="K41" s="7">
        <v>12491</v>
      </c>
      <c r="L41" s="4" t="s">
        <v>2033</v>
      </c>
      <c r="M41" s="4" t="s">
        <v>61</v>
      </c>
      <c r="N41" s="4"/>
    </row>
    <row r="42" spans="1:14" hidden="1" x14ac:dyDescent="0.2">
      <c r="A42" s="22"/>
      <c r="B42" s="4" t="s">
        <v>21</v>
      </c>
      <c r="C42" s="5">
        <v>44347</v>
      </c>
      <c r="D42" s="4" t="s">
        <v>2351</v>
      </c>
      <c r="E42" s="4" t="s">
        <v>2352</v>
      </c>
      <c r="F42" s="4" t="s">
        <v>2357</v>
      </c>
      <c r="G42" s="6">
        <v>-1650.4537933007</v>
      </c>
      <c r="H42" s="6">
        <f t="shared" si="0"/>
        <v>-54737.449974120129</v>
      </c>
      <c r="I42" s="4"/>
      <c r="J42" s="4" t="s">
        <v>68</v>
      </c>
      <c r="K42" s="7">
        <v>1574.83</v>
      </c>
      <c r="L42" s="4" t="s">
        <v>2033</v>
      </c>
      <c r="M42" s="4" t="s">
        <v>61</v>
      </c>
      <c r="N42" s="4"/>
    </row>
    <row r="43" spans="1:14" hidden="1" x14ac:dyDescent="0.2">
      <c r="A43" s="22"/>
      <c r="B43" s="4" t="s">
        <v>21</v>
      </c>
      <c r="C43" s="5">
        <v>44347</v>
      </c>
      <c r="D43" s="4" t="s">
        <v>2351</v>
      </c>
      <c r="E43" s="4" t="s">
        <v>2352</v>
      </c>
      <c r="F43" s="4" t="s">
        <v>2354</v>
      </c>
      <c r="G43" s="6">
        <v>-252.51000867260001</v>
      </c>
      <c r="H43" s="6">
        <f t="shared" si="0"/>
        <v>-54989.95998279273</v>
      </c>
      <c r="I43" s="4"/>
      <c r="J43" s="4" t="s">
        <v>68</v>
      </c>
      <c r="K43" s="7">
        <v>240.94</v>
      </c>
      <c r="L43" s="4" t="s">
        <v>2033</v>
      </c>
      <c r="M43" s="4" t="s">
        <v>61</v>
      </c>
      <c r="N43" s="4"/>
    </row>
    <row r="44" spans="1:14" hidden="1" x14ac:dyDescent="0.2">
      <c r="A44" s="22"/>
      <c r="B44" s="4" t="s">
        <v>21</v>
      </c>
      <c r="C44" s="5">
        <v>44347</v>
      </c>
      <c r="D44" s="4" t="s">
        <v>2351</v>
      </c>
      <c r="E44" s="4" t="s">
        <v>2352</v>
      </c>
      <c r="F44" s="4" t="s">
        <v>2355</v>
      </c>
      <c r="G44" s="6">
        <v>-167.1068352405</v>
      </c>
      <c r="H44" s="6">
        <f t="shared" si="0"/>
        <v>-55157.066818033229</v>
      </c>
      <c r="I44" s="4"/>
      <c r="J44" s="4" t="s">
        <v>68</v>
      </c>
      <c r="K44" s="7">
        <v>159.44999999999999</v>
      </c>
      <c r="L44" s="4" t="s">
        <v>2033</v>
      </c>
      <c r="M44" s="4" t="s">
        <v>61</v>
      </c>
      <c r="N44" s="4"/>
    </row>
    <row r="45" spans="1:14" hidden="1" x14ac:dyDescent="0.2">
      <c r="A45" s="22"/>
      <c r="B45" s="4" t="s">
        <v>21</v>
      </c>
      <c r="C45" s="5">
        <v>44347</v>
      </c>
      <c r="D45" s="4" t="s">
        <v>2351</v>
      </c>
      <c r="E45" s="4" t="s">
        <v>2352</v>
      </c>
      <c r="F45" s="4" t="s">
        <v>2356</v>
      </c>
      <c r="G45" s="6">
        <v>-408.46590802750001</v>
      </c>
      <c r="H45" s="6">
        <f t="shared" si="0"/>
        <v>-55565.53272606073</v>
      </c>
      <c r="I45" s="4"/>
      <c r="J45" s="4" t="s">
        <v>68</v>
      </c>
      <c r="K45" s="7">
        <v>389.75</v>
      </c>
      <c r="L45" s="4" t="s">
        <v>2033</v>
      </c>
      <c r="M45" s="4" t="s">
        <v>61</v>
      </c>
      <c r="N45" s="4"/>
    </row>
    <row r="46" spans="1:14" hidden="1" x14ac:dyDescent="0.2">
      <c r="A46" s="22"/>
      <c r="B46" s="4" t="s">
        <v>21</v>
      </c>
      <c r="C46" s="5">
        <v>44347</v>
      </c>
      <c r="D46" s="4" t="s">
        <v>2351</v>
      </c>
      <c r="E46" s="4" t="s">
        <v>2352</v>
      </c>
      <c r="F46" s="4" t="s">
        <v>2354</v>
      </c>
      <c r="G46" s="6">
        <v>-582.0075878486</v>
      </c>
      <c r="H46" s="6">
        <f t="shared" si="0"/>
        <v>-56147.540313909332</v>
      </c>
      <c r="I46" s="4"/>
      <c r="J46" s="4" t="s">
        <v>68</v>
      </c>
      <c r="K46" s="7">
        <v>555.34</v>
      </c>
      <c r="L46" s="4" t="s">
        <v>2033</v>
      </c>
      <c r="M46" s="4" t="s">
        <v>61</v>
      </c>
      <c r="N46" s="4"/>
    </row>
    <row r="47" spans="1:14" hidden="1" x14ac:dyDescent="0.2">
      <c r="A47" s="22"/>
      <c r="B47" s="4" t="s">
        <v>21</v>
      </c>
      <c r="C47" s="5">
        <v>44347</v>
      </c>
      <c r="D47" s="4" t="s">
        <v>2351</v>
      </c>
      <c r="E47" s="4" t="s">
        <v>2352</v>
      </c>
      <c r="F47" s="4" t="s">
        <v>2355</v>
      </c>
      <c r="G47" s="6">
        <v>-385.18937738659997</v>
      </c>
      <c r="H47" s="6">
        <f t="shared" si="0"/>
        <v>-56532.729691295935</v>
      </c>
      <c r="I47" s="4"/>
      <c r="J47" s="4" t="s">
        <v>68</v>
      </c>
      <c r="K47" s="7">
        <v>367.54</v>
      </c>
      <c r="L47" s="4" t="s">
        <v>2033</v>
      </c>
      <c r="M47" s="4" t="s">
        <v>61</v>
      </c>
      <c r="N47" s="4"/>
    </row>
    <row r="48" spans="1:14" hidden="1" x14ac:dyDescent="0.2">
      <c r="A48" s="22"/>
      <c r="B48" s="4" t="s">
        <v>21</v>
      </c>
      <c r="C48" s="5">
        <v>44347</v>
      </c>
      <c r="D48" s="4" t="s">
        <v>2351</v>
      </c>
      <c r="E48" s="4" t="s">
        <v>2352</v>
      </c>
      <c r="F48" s="4" t="s">
        <v>2356</v>
      </c>
      <c r="G48" s="6">
        <v>-941.50998792730002</v>
      </c>
      <c r="H48" s="6">
        <f t="shared" si="0"/>
        <v>-57474.239679223232</v>
      </c>
      <c r="I48" s="4"/>
      <c r="J48" s="4" t="s">
        <v>68</v>
      </c>
      <c r="K48" s="7">
        <v>898.37</v>
      </c>
      <c r="L48" s="4" t="s">
        <v>2033</v>
      </c>
      <c r="M48" s="4" t="s">
        <v>61</v>
      </c>
      <c r="N48" s="4"/>
    </row>
    <row r="49" spans="1:14" hidden="1" x14ac:dyDescent="0.2">
      <c r="A49" s="22"/>
      <c r="B49" s="4" t="s">
        <v>21</v>
      </c>
      <c r="C49" s="5">
        <v>44347</v>
      </c>
      <c r="D49" s="4" t="s">
        <v>2358</v>
      </c>
      <c r="E49" s="4" t="s">
        <v>2359</v>
      </c>
      <c r="F49" s="4" t="s">
        <v>2359</v>
      </c>
      <c r="G49" s="6">
        <v>-292315.29699540889</v>
      </c>
      <c r="H49" s="6">
        <f t="shared" si="0"/>
        <v>-349789.53667463211</v>
      </c>
      <c r="I49" s="4"/>
      <c r="J49" s="4" t="s">
        <v>68</v>
      </c>
      <c r="K49" s="7">
        <v>278921.40999999997</v>
      </c>
      <c r="L49" s="4" t="s">
        <v>2033</v>
      </c>
      <c r="M49" s="4" t="s">
        <v>61</v>
      </c>
      <c r="N49" s="4"/>
    </row>
    <row r="50" spans="1:14" hidden="1" x14ac:dyDescent="0.2">
      <c r="A50" s="22"/>
      <c r="B50" s="4" t="s">
        <v>21</v>
      </c>
      <c r="C50" s="5">
        <v>44347</v>
      </c>
      <c r="D50" s="4" t="s">
        <v>2360</v>
      </c>
      <c r="E50" s="4" t="s">
        <v>2361</v>
      </c>
      <c r="F50" s="4" t="s">
        <v>2361</v>
      </c>
      <c r="G50" s="6">
        <v>-38294.6613966</v>
      </c>
      <c r="H50" s="6">
        <f t="shared" si="0"/>
        <v>-388084.19807123212</v>
      </c>
      <c r="I50" s="4"/>
      <c r="J50" s="4" t="s">
        <v>68</v>
      </c>
      <c r="K50" s="7">
        <v>36540</v>
      </c>
      <c r="L50" s="4" t="s">
        <v>2033</v>
      </c>
      <c r="M50" s="4" t="s">
        <v>61</v>
      </c>
      <c r="N50" s="4"/>
    </row>
    <row r="51" spans="1:14" hidden="1" x14ac:dyDescent="0.2">
      <c r="A51" s="22"/>
      <c r="B51" s="4" t="s">
        <v>21</v>
      </c>
      <c r="C51" s="5">
        <v>44347</v>
      </c>
      <c r="D51" s="4" t="s">
        <v>2362</v>
      </c>
      <c r="E51" s="4" t="s">
        <v>2363</v>
      </c>
      <c r="F51" s="4" t="s">
        <v>2363</v>
      </c>
      <c r="G51" s="6">
        <v>4265.2748970536004</v>
      </c>
      <c r="H51" s="6">
        <f t="shared" si="0"/>
        <v>-383818.92317417852</v>
      </c>
      <c r="I51" s="4"/>
      <c r="J51" s="4" t="s">
        <v>68</v>
      </c>
      <c r="K51" s="7">
        <v>-4069.84</v>
      </c>
      <c r="L51" s="4" t="s">
        <v>2033</v>
      </c>
      <c r="M51" s="4" t="s">
        <v>61</v>
      </c>
      <c r="N51" s="4"/>
    </row>
    <row r="52" spans="1:14" hidden="1" x14ac:dyDescent="0.2">
      <c r="A52" s="22"/>
      <c r="B52" s="4" t="s">
        <v>21</v>
      </c>
      <c r="C52" s="5">
        <v>44348</v>
      </c>
      <c r="D52" s="4" t="s">
        <v>2364</v>
      </c>
      <c r="E52" s="4" t="s">
        <v>2359</v>
      </c>
      <c r="F52" s="4" t="s">
        <v>2359</v>
      </c>
      <c r="G52" s="6">
        <v>292315.29699540889</v>
      </c>
      <c r="H52" s="6">
        <f t="shared" si="0"/>
        <v>-91503.626178769628</v>
      </c>
      <c r="I52" s="4"/>
      <c r="J52" s="4" t="s">
        <v>68</v>
      </c>
      <c r="K52" s="7">
        <v>-278921.40999999997</v>
      </c>
      <c r="L52" s="4" t="s">
        <v>1031</v>
      </c>
      <c r="M52" s="4" t="s">
        <v>61</v>
      </c>
      <c r="N52" s="4"/>
    </row>
    <row r="53" spans="1:14" hidden="1" x14ac:dyDescent="0.2">
      <c r="A53" s="22"/>
      <c r="B53" s="4" t="s">
        <v>249</v>
      </c>
      <c r="C53" s="5">
        <v>44351</v>
      </c>
      <c r="D53" s="4" t="s">
        <v>2365</v>
      </c>
      <c r="E53" s="4" t="s">
        <v>2366</v>
      </c>
      <c r="F53" s="4" t="s">
        <v>2366</v>
      </c>
      <c r="G53" s="6">
        <v>3544.1426157075002</v>
      </c>
      <c r="H53" s="6">
        <f t="shared" si="0"/>
        <v>-87959.483563062124</v>
      </c>
      <c r="I53" s="4" t="s">
        <v>252</v>
      </c>
      <c r="J53" s="4" t="s">
        <v>68</v>
      </c>
      <c r="K53" s="7">
        <v>-3381.75</v>
      </c>
      <c r="L53" s="4" t="s">
        <v>1031</v>
      </c>
      <c r="M53" s="4" t="s">
        <v>61</v>
      </c>
      <c r="N53" s="4"/>
    </row>
    <row r="54" spans="1:14" hidden="1" x14ac:dyDescent="0.2">
      <c r="A54" s="22"/>
      <c r="B54" s="4" t="s">
        <v>21</v>
      </c>
      <c r="C54" s="5">
        <v>44377</v>
      </c>
      <c r="D54" s="4" t="s">
        <v>2367</v>
      </c>
      <c r="E54" s="4" t="s">
        <v>2368</v>
      </c>
      <c r="F54" s="4" t="s">
        <v>2369</v>
      </c>
      <c r="G54" s="6">
        <v>-7.4199836532000001</v>
      </c>
      <c r="H54" s="6">
        <f t="shared" si="0"/>
        <v>-87966.90354671533</v>
      </c>
      <c r="I54" s="4"/>
      <c r="J54" s="4" t="s">
        <v>68</v>
      </c>
      <c r="K54" s="7">
        <v>7.08</v>
      </c>
      <c r="L54" s="4" t="s">
        <v>1031</v>
      </c>
      <c r="M54" s="4" t="s">
        <v>61</v>
      </c>
      <c r="N54" s="4" t="s">
        <v>39</v>
      </c>
    </row>
    <row r="55" spans="1:14" hidden="1" x14ac:dyDescent="0.2">
      <c r="A55" s="22"/>
      <c r="B55" s="4" t="s">
        <v>21</v>
      </c>
      <c r="C55" s="5">
        <v>44377</v>
      </c>
      <c r="D55" s="4" t="s">
        <v>2367</v>
      </c>
      <c r="E55" s="4" t="s">
        <v>2368</v>
      </c>
      <c r="F55" s="4" t="s">
        <v>2369</v>
      </c>
      <c r="G55" s="6">
        <v>-243.30839052639999</v>
      </c>
      <c r="H55" s="6">
        <f t="shared" si="0"/>
        <v>-88210.211937241736</v>
      </c>
      <c r="I55" s="4"/>
      <c r="J55" s="4" t="s">
        <v>68</v>
      </c>
      <c r="K55" s="7">
        <v>232.16</v>
      </c>
      <c r="L55" s="4" t="s">
        <v>1031</v>
      </c>
      <c r="M55" s="4" t="s">
        <v>61</v>
      </c>
      <c r="N55" s="4" t="s">
        <v>39</v>
      </c>
    </row>
    <row r="56" spans="1:14" hidden="1" x14ac:dyDescent="0.2">
      <c r="A56" s="22"/>
      <c r="B56" s="4" t="s">
        <v>21</v>
      </c>
      <c r="C56" s="5">
        <v>44377</v>
      </c>
      <c r="D56" s="4" t="s">
        <v>2367</v>
      </c>
      <c r="E56" s="4" t="s">
        <v>2368</v>
      </c>
      <c r="F56" s="4" t="s">
        <v>2369</v>
      </c>
      <c r="G56" s="6">
        <v>-16.988408900900001</v>
      </c>
      <c r="H56" s="6">
        <f t="shared" si="0"/>
        <v>-88227.200346142636</v>
      </c>
      <c r="I56" s="4"/>
      <c r="J56" s="4" t="s">
        <v>68</v>
      </c>
      <c r="K56" s="7">
        <v>16.21</v>
      </c>
      <c r="L56" s="4" t="s">
        <v>1031</v>
      </c>
      <c r="M56" s="4" t="s">
        <v>61</v>
      </c>
      <c r="N56" s="4" t="s">
        <v>39</v>
      </c>
    </row>
    <row r="57" spans="1:14" hidden="1" x14ac:dyDescent="0.2">
      <c r="A57" s="22"/>
      <c r="B57" s="4" t="s">
        <v>21</v>
      </c>
      <c r="C57" s="5">
        <v>44377</v>
      </c>
      <c r="D57" s="4" t="s">
        <v>2367</v>
      </c>
      <c r="E57" s="4" t="s">
        <v>2368</v>
      </c>
      <c r="F57" s="4" t="s">
        <v>2370</v>
      </c>
      <c r="G57" s="6">
        <v>-3544.1216553016998</v>
      </c>
      <c r="H57" s="6">
        <f t="shared" si="0"/>
        <v>-91771.322001444336</v>
      </c>
      <c r="I57" s="4"/>
      <c r="J57" s="4" t="s">
        <v>68</v>
      </c>
      <c r="K57" s="7">
        <v>3381.73</v>
      </c>
      <c r="L57" s="4" t="s">
        <v>1031</v>
      </c>
      <c r="M57" s="4" t="s">
        <v>61</v>
      </c>
      <c r="N57" s="4" t="s">
        <v>39</v>
      </c>
    </row>
    <row r="58" spans="1:14" hidden="1" x14ac:dyDescent="0.2">
      <c r="A58" s="22"/>
      <c r="B58" s="4" t="s">
        <v>21</v>
      </c>
      <c r="C58" s="5">
        <v>44377</v>
      </c>
      <c r="D58" s="4" t="s">
        <v>2367</v>
      </c>
      <c r="E58" s="4" t="s">
        <v>2368</v>
      </c>
      <c r="F58" s="4" t="s">
        <v>2371</v>
      </c>
      <c r="G58" s="6">
        <v>-167.1068352405</v>
      </c>
      <c r="H58" s="6">
        <f t="shared" si="0"/>
        <v>-91938.428836684834</v>
      </c>
      <c r="I58" s="4"/>
      <c r="J58" s="4" t="s">
        <v>68</v>
      </c>
      <c r="K58" s="7">
        <v>159.44999999999999</v>
      </c>
      <c r="L58" s="4" t="s">
        <v>1031</v>
      </c>
      <c r="M58" s="4" t="s">
        <v>61</v>
      </c>
      <c r="N58" s="4" t="s">
        <v>39</v>
      </c>
    </row>
    <row r="59" spans="1:14" hidden="1" x14ac:dyDescent="0.2">
      <c r="A59" s="22"/>
      <c r="B59" s="4" t="s">
        <v>21</v>
      </c>
      <c r="C59" s="5">
        <v>44377</v>
      </c>
      <c r="D59" s="4" t="s">
        <v>2367</v>
      </c>
      <c r="E59" s="4" t="s">
        <v>2368</v>
      </c>
      <c r="F59" s="4" t="s">
        <v>2371</v>
      </c>
      <c r="G59" s="6">
        <v>-382.3806830094</v>
      </c>
      <c r="H59" s="6">
        <f t="shared" si="0"/>
        <v>-92320.80951969423</v>
      </c>
      <c r="I59" s="4"/>
      <c r="J59" s="4" t="s">
        <v>68</v>
      </c>
      <c r="K59" s="7">
        <v>364.86</v>
      </c>
      <c r="L59" s="4" t="s">
        <v>1031</v>
      </c>
      <c r="M59" s="4" t="s">
        <v>61</v>
      </c>
      <c r="N59" s="4" t="s">
        <v>39</v>
      </c>
    </row>
    <row r="60" spans="1:14" hidden="1" x14ac:dyDescent="0.2">
      <c r="A60" s="22"/>
      <c r="B60" s="4" t="s">
        <v>21</v>
      </c>
      <c r="C60" s="5">
        <v>44377</v>
      </c>
      <c r="D60" s="4" t="s">
        <v>2367</v>
      </c>
      <c r="E60" s="4" t="s">
        <v>2368</v>
      </c>
      <c r="F60" s="4" t="s">
        <v>2371</v>
      </c>
      <c r="G60" s="6">
        <v>-5473.1287614815001</v>
      </c>
      <c r="H60" s="6">
        <f t="shared" si="0"/>
        <v>-97793.938281175724</v>
      </c>
      <c r="I60" s="4"/>
      <c r="J60" s="4" t="s">
        <v>68</v>
      </c>
      <c r="K60" s="7">
        <v>5222.3500000000004</v>
      </c>
      <c r="L60" s="4" t="s">
        <v>1031</v>
      </c>
      <c r="M60" s="4" t="s">
        <v>61</v>
      </c>
      <c r="N60" s="4" t="s">
        <v>39</v>
      </c>
    </row>
    <row r="61" spans="1:14" hidden="1" x14ac:dyDescent="0.2">
      <c r="A61" s="22"/>
      <c r="B61" s="4" t="s">
        <v>21</v>
      </c>
      <c r="C61" s="5">
        <v>44377</v>
      </c>
      <c r="D61" s="4" t="s">
        <v>2367</v>
      </c>
      <c r="E61" s="4" t="s">
        <v>2368</v>
      </c>
      <c r="F61" s="4" t="s">
        <v>2372</v>
      </c>
      <c r="G61" s="6">
        <v>-408.46590802750001</v>
      </c>
      <c r="H61" s="6">
        <f t="shared" si="0"/>
        <v>-98202.404189203226</v>
      </c>
      <c r="I61" s="4"/>
      <c r="J61" s="4" t="s">
        <v>68</v>
      </c>
      <c r="K61" s="7">
        <v>389.75</v>
      </c>
      <c r="L61" s="4" t="s">
        <v>1031</v>
      </c>
      <c r="M61" s="4" t="s">
        <v>61</v>
      </c>
      <c r="N61" s="4" t="s">
        <v>39</v>
      </c>
    </row>
    <row r="62" spans="1:14" hidden="1" x14ac:dyDescent="0.2">
      <c r="A62" s="22"/>
      <c r="B62" s="4" t="s">
        <v>21</v>
      </c>
      <c r="C62" s="5">
        <v>44377</v>
      </c>
      <c r="D62" s="4" t="s">
        <v>2367</v>
      </c>
      <c r="E62" s="4" t="s">
        <v>2368</v>
      </c>
      <c r="F62" s="4" t="s">
        <v>2372</v>
      </c>
      <c r="G62" s="6">
        <v>-934.66641543360004</v>
      </c>
      <c r="H62" s="6">
        <f t="shared" si="0"/>
        <v>-99137.070604636829</v>
      </c>
      <c r="I62" s="4"/>
      <c r="J62" s="4" t="s">
        <v>68</v>
      </c>
      <c r="K62" s="7">
        <v>891.84</v>
      </c>
      <c r="L62" s="4" t="s">
        <v>1031</v>
      </c>
      <c r="M62" s="4" t="s">
        <v>61</v>
      </c>
      <c r="N62" s="4" t="s">
        <v>39</v>
      </c>
    </row>
    <row r="63" spans="1:14" hidden="1" x14ac:dyDescent="0.2">
      <c r="A63" s="22"/>
      <c r="B63" s="4" t="s">
        <v>21</v>
      </c>
      <c r="C63" s="5">
        <v>44377</v>
      </c>
      <c r="D63" s="4" t="s">
        <v>2367</v>
      </c>
      <c r="E63" s="4" t="s">
        <v>2368</v>
      </c>
      <c r="F63" s="4" t="s">
        <v>2372</v>
      </c>
      <c r="G63" s="6">
        <v>-13378.827898284901</v>
      </c>
      <c r="H63" s="6">
        <f t="shared" si="0"/>
        <v>-112515.89850292173</v>
      </c>
      <c r="I63" s="4"/>
      <c r="J63" s="4" t="s">
        <v>68</v>
      </c>
      <c r="K63" s="7">
        <v>12765.81</v>
      </c>
      <c r="L63" s="4" t="s">
        <v>1031</v>
      </c>
      <c r="M63" s="4" t="s">
        <v>61</v>
      </c>
      <c r="N63" s="4" t="s">
        <v>39</v>
      </c>
    </row>
    <row r="64" spans="1:14" hidden="1" x14ac:dyDescent="0.2">
      <c r="A64" s="22"/>
      <c r="B64" s="4" t="s">
        <v>21</v>
      </c>
      <c r="C64" s="5">
        <v>44377</v>
      </c>
      <c r="D64" s="4" t="s">
        <v>2367</v>
      </c>
      <c r="E64" s="4" t="s">
        <v>2368</v>
      </c>
      <c r="F64" s="4" t="s">
        <v>2373</v>
      </c>
      <c r="G64" s="6">
        <v>-252.51000867260001</v>
      </c>
      <c r="H64" s="6">
        <f t="shared" si="0"/>
        <v>-112768.40851159433</v>
      </c>
      <c r="I64" s="4"/>
      <c r="J64" s="4" t="s">
        <v>68</v>
      </c>
      <c r="K64" s="7">
        <v>240.94</v>
      </c>
      <c r="L64" s="4" t="s">
        <v>1031</v>
      </c>
      <c r="M64" s="4" t="s">
        <v>61</v>
      </c>
      <c r="N64" s="4" t="s">
        <v>39</v>
      </c>
    </row>
    <row r="65" spans="1:14" hidden="1" x14ac:dyDescent="0.2">
      <c r="A65" s="22"/>
      <c r="B65" s="4" t="s">
        <v>21</v>
      </c>
      <c r="C65" s="5">
        <v>44377</v>
      </c>
      <c r="D65" s="4" t="s">
        <v>2367</v>
      </c>
      <c r="E65" s="4" t="s">
        <v>2368</v>
      </c>
      <c r="F65" s="4" t="s">
        <v>2373</v>
      </c>
      <c r="G65" s="6">
        <v>-577.76310567409996</v>
      </c>
      <c r="H65" s="6">
        <f t="shared" si="0"/>
        <v>-113346.17161726842</v>
      </c>
      <c r="I65" s="4"/>
      <c r="J65" s="4" t="s">
        <v>68</v>
      </c>
      <c r="K65" s="7">
        <v>551.29</v>
      </c>
      <c r="L65" s="4" t="s">
        <v>1031</v>
      </c>
      <c r="M65" s="4" t="s">
        <v>61</v>
      </c>
      <c r="N65" s="4" t="s">
        <v>39</v>
      </c>
    </row>
    <row r="66" spans="1:14" hidden="1" x14ac:dyDescent="0.2">
      <c r="A66" s="22"/>
      <c r="B66" s="4" t="s">
        <v>21</v>
      </c>
      <c r="C66" s="5">
        <v>44377</v>
      </c>
      <c r="D66" s="4" t="s">
        <v>2367</v>
      </c>
      <c r="E66" s="4" t="s">
        <v>2368</v>
      </c>
      <c r="F66" s="4" t="s">
        <v>2373</v>
      </c>
      <c r="G66" s="6">
        <v>-8270.5149997524004</v>
      </c>
      <c r="H66" s="6">
        <f t="shared" si="0"/>
        <v>-121616.68661702082</v>
      </c>
      <c r="I66" s="4"/>
      <c r="J66" s="4" t="s">
        <v>68</v>
      </c>
      <c r="K66" s="7">
        <v>7891.56</v>
      </c>
      <c r="L66" s="4" t="s">
        <v>1031</v>
      </c>
      <c r="M66" s="4" t="s">
        <v>61</v>
      </c>
      <c r="N66" s="4" t="s">
        <v>39</v>
      </c>
    </row>
    <row r="67" spans="1:14" hidden="1" x14ac:dyDescent="0.2">
      <c r="A67" s="22"/>
      <c r="B67" s="4" t="s">
        <v>21</v>
      </c>
      <c r="C67" s="5">
        <v>44377</v>
      </c>
      <c r="D67" s="4" t="s">
        <v>2374</v>
      </c>
      <c r="E67" s="4" t="s">
        <v>2375</v>
      </c>
      <c r="F67" s="4" t="s">
        <v>2375</v>
      </c>
      <c r="G67" s="6">
        <v>-223603.07286529819</v>
      </c>
      <c r="H67" s="6">
        <f t="shared" si="0"/>
        <v>-345219.759482319</v>
      </c>
      <c r="I67" s="4"/>
      <c r="J67" s="4" t="s">
        <v>68</v>
      </c>
      <c r="K67" s="7">
        <v>213357.58</v>
      </c>
      <c r="L67" s="4" t="s">
        <v>1031</v>
      </c>
      <c r="M67" s="4" t="s">
        <v>61</v>
      </c>
      <c r="N67" s="4" t="s">
        <v>39</v>
      </c>
    </row>
    <row r="68" spans="1:14" hidden="1" x14ac:dyDescent="0.2">
      <c r="A68" s="22"/>
      <c r="B68" s="4" t="s">
        <v>21</v>
      </c>
      <c r="C68" s="5">
        <v>44378</v>
      </c>
      <c r="D68" s="4" t="s">
        <v>2376</v>
      </c>
      <c r="E68" s="4" t="s">
        <v>2375</v>
      </c>
      <c r="F68" s="4" t="s">
        <v>2375</v>
      </c>
      <c r="G68" s="6">
        <v>223603.07286529819</v>
      </c>
      <c r="H68" s="6">
        <f t="shared" si="0"/>
        <v>-121616.68661702081</v>
      </c>
      <c r="I68" s="4"/>
      <c r="J68" s="4" t="s">
        <v>68</v>
      </c>
      <c r="K68" s="7">
        <v>-213357.58</v>
      </c>
      <c r="L68" s="4" t="s">
        <v>2086</v>
      </c>
      <c r="M68" s="4" t="s">
        <v>61</v>
      </c>
      <c r="N68" s="4" t="s">
        <v>39</v>
      </c>
    </row>
    <row r="69" spans="1:14" hidden="1" x14ac:dyDescent="0.2">
      <c r="A69" s="22"/>
      <c r="B69" s="4" t="s">
        <v>249</v>
      </c>
      <c r="C69" s="5">
        <v>44383</v>
      </c>
      <c r="D69" s="4" t="s">
        <v>2377</v>
      </c>
      <c r="E69" s="4" t="s">
        <v>2378</v>
      </c>
      <c r="F69" s="4" t="s">
        <v>2378</v>
      </c>
      <c r="G69" s="6">
        <v>1649.5315354454999</v>
      </c>
      <c r="H69" s="6">
        <f t="shared" si="0"/>
        <v>-119967.15508157531</v>
      </c>
      <c r="I69" s="4" t="s">
        <v>252</v>
      </c>
      <c r="J69" s="4" t="s">
        <v>68</v>
      </c>
      <c r="K69" s="7">
        <v>-1573.95</v>
      </c>
      <c r="L69" s="4" t="s">
        <v>2086</v>
      </c>
      <c r="M69" s="4" t="s">
        <v>61</v>
      </c>
      <c r="N69" s="4"/>
    </row>
    <row r="70" spans="1:14" hidden="1" x14ac:dyDescent="0.2">
      <c r="A70" s="22"/>
      <c r="B70" s="4" t="s">
        <v>249</v>
      </c>
      <c r="C70" s="5">
        <v>44403</v>
      </c>
      <c r="D70" s="4" t="s">
        <v>2379</v>
      </c>
      <c r="E70" s="4" t="s">
        <v>2380</v>
      </c>
      <c r="F70" s="4" t="s">
        <v>2380</v>
      </c>
      <c r="G70" s="6">
        <v>2906.1288235613001</v>
      </c>
      <c r="H70" s="6">
        <f t="shared" si="0"/>
        <v>-117061.02625801401</v>
      </c>
      <c r="I70" s="4" t="s">
        <v>252</v>
      </c>
      <c r="J70" s="4" t="s">
        <v>68</v>
      </c>
      <c r="K70" s="7">
        <v>-2772.97</v>
      </c>
      <c r="L70" s="4" t="s">
        <v>2086</v>
      </c>
      <c r="M70" s="4" t="s">
        <v>61</v>
      </c>
      <c r="N70" s="4"/>
    </row>
    <row r="71" spans="1:14" hidden="1" x14ac:dyDescent="0.2">
      <c r="A71" s="22"/>
      <c r="B71" s="4" t="s">
        <v>21</v>
      </c>
      <c r="C71" s="5">
        <v>44408</v>
      </c>
      <c r="D71" s="4" t="s">
        <v>2381</v>
      </c>
      <c r="E71" s="4" t="s">
        <v>2382</v>
      </c>
      <c r="F71" s="4" t="s">
        <v>2383</v>
      </c>
      <c r="G71" s="6">
        <v>-17.5333794517</v>
      </c>
      <c r="H71" s="6">
        <f t="shared" si="0"/>
        <v>-117078.55963746572</v>
      </c>
      <c r="I71" s="4"/>
      <c r="J71" s="4" t="s">
        <v>68</v>
      </c>
      <c r="K71" s="7">
        <v>16.73</v>
      </c>
      <c r="L71" s="4" t="s">
        <v>2086</v>
      </c>
      <c r="M71" s="4" t="s">
        <v>61</v>
      </c>
      <c r="N71" s="4" t="s">
        <v>39</v>
      </c>
    </row>
    <row r="72" spans="1:14" hidden="1" x14ac:dyDescent="0.2">
      <c r="A72" s="22"/>
      <c r="B72" s="4" t="s">
        <v>21</v>
      </c>
      <c r="C72" s="5">
        <v>44408</v>
      </c>
      <c r="D72" s="4" t="s">
        <v>2381</v>
      </c>
      <c r="E72" s="4" t="s">
        <v>2382</v>
      </c>
      <c r="F72" s="4" t="s">
        <v>2383</v>
      </c>
      <c r="G72" s="6">
        <v>-23.381332669900001</v>
      </c>
      <c r="H72" s="6">
        <f t="shared" si="0"/>
        <v>-117101.94097013562</v>
      </c>
      <c r="I72" s="4"/>
      <c r="J72" s="4" t="s">
        <v>68</v>
      </c>
      <c r="K72" s="7">
        <v>22.31</v>
      </c>
      <c r="L72" s="4" t="s">
        <v>2086</v>
      </c>
      <c r="M72" s="4" t="s">
        <v>61</v>
      </c>
      <c r="N72" s="4" t="s">
        <v>39</v>
      </c>
    </row>
    <row r="73" spans="1:14" hidden="1" x14ac:dyDescent="0.2">
      <c r="A73" s="22"/>
      <c r="B73" s="4" t="s">
        <v>21</v>
      </c>
      <c r="C73" s="5">
        <v>44408</v>
      </c>
      <c r="D73" s="4" t="s">
        <v>2381</v>
      </c>
      <c r="E73" s="4" t="s">
        <v>2382</v>
      </c>
      <c r="F73" s="4" t="s">
        <v>2383</v>
      </c>
      <c r="G73" s="6">
        <v>-412.94095466580001</v>
      </c>
      <c r="H73" s="6">
        <f t="shared" si="0"/>
        <v>-117514.88192480142</v>
      </c>
      <c r="I73" s="4"/>
      <c r="J73" s="4" t="s">
        <v>68</v>
      </c>
      <c r="K73" s="7">
        <v>394.02</v>
      </c>
      <c r="L73" s="4" t="s">
        <v>2086</v>
      </c>
      <c r="M73" s="4" t="s">
        <v>61</v>
      </c>
      <c r="N73" s="4" t="s">
        <v>39</v>
      </c>
    </row>
    <row r="74" spans="1:14" hidden="1" x14ac:dyDescent="0.2">
      <c r="A74" s="22"/>
      <c r="B74" s="4" t="s">
        <v>21</v>
      </c>
      <c r="C74" s="5">
        <v>44408</v>
      </c>
      <c r="D74" s="4" t="s">
        <v>2381</v>
      </c>
      <c r="E74" s="4" t="s">
        <v>2382</v>
      </c>
      <c r="F74" s="4" t="s">
        <v>2384</v>
      </c>
      <c r="G74" s="6">
        <v>-1019.2311726337</v>
      </c>
      <c r="H74" s="6">
        <f t="shared" ref="H74:H137" si="1">H73+G74</f>
        <v>-118534.11309743513</v>
      </c>
      <c r="I74" s="4"/>
      <c r="J74" s="4" t="s">
        <v>68</v>
      </c>
      <c r="K74" s="7">
        <v>972.53</v>
      </c>
      <c r="L74" s="4" t="s">
        <v>2086</v>
      </c>
      <c r="M74" s="4" t="s">
        <v>61</v>
      </c>
      <c r="N74" s="4" t="s">
        <v>39</v>
      </c>
    </row>
    <row r="75" spans="1:14" hidden="1" x14ac:dyDescent="0.2">
      <c r="A75" s="22"/>
      <c r="B75" s="4" t="s">
        <v>21</v>
      </c>
      <c r="C75" s="5">
        <v>44408</v>
      </c>
      <c r="D75" s="4" t="s">
        <v>2381</v>
      </c>
      <c r="E75" s="4" t="s">
        <v>2382</v>
      </c>
      <c r="F75" s="4" t="s">
        <v>2384</v>
      </c>
      <c r="G75" s="6">
        <v>-630.27940240600003</v>
      </c>
      <c r="H75" s="6">
        <f t="shared" si="1"/>
        <v>-119164.39249984112</v>
      </c>
      <c r="I75" s="4"/>
      <c r="J75" s="4" t="s">
        <v>68</v>
      </c>
      <c r="K75" s="7">
        <v>601.4</v>
      </c>
      <c r="L75" s="4" t="s">
        <v>2086</v>
      </c>
      <c r="M75" s="4" t="s">
        <v>61</v>
      </c>
      <c r="N75" s="4" t="s">
        <v>39</v>
      </c>
    </row>
    <row r="76" spans="1:14" hidden="1" x14ac:dyDescent="0.2">
      <c r="A76" s="22"/>
      <c r="B76" s="4" t="s">
        <v>21</v>
      </c>
      <c r="C76" s="5">
        <v>44408</v>
      </c>
      <c r="D76" s="4" t="s">
        <v>2381</v>
      </c>
      <c r="E76" s="4" t="s">
        <v>2382</v>
      </c>
      <c r="F76" s="4" t="s">
        <v>2385</v>
      </c>
      <c r="G76" s="6">
        <v>-394.47483715599998</v>
      </c>
      <c r="H76" s="6">
        <f t="shared" si="1"/>
        <v>-119558.86733699712</v>
      </c>
      <c r="I76" s="4"/>
      <c r="J76" s="4" t="s">
        <v>68</v>
      </c>
      <c r="K76" s="7">
        <v>376.4</v>
      </c>
      <c r="L76" s="4" t="s">
        <v>2086</v>
      </c>
      <c r="M76" s="4" t="s">
        <v>61</v>
      </c>
      <c r="N76" s="4" t="s">
        <v>39</v>
      </c>
    </row>
    <row r="77" spans="1:14" hidden="1" x14ac:dyDescent="0.2">
      <c r="A77" s="22"/>
      <c r="B77" s="4" t="s">
        <v>21</v>
      </c>
      <c r="C77" s="5">
        <v>44408</v>
      </c>
      <c r="D77" s="4" t="s">
        <v>2381</v>
      </c>
      <c r="E77" s="4" t="s">
        <v>2382</v>
      </c>
      <c r="F77" s="4" t="s">
        <v>2385</v>
      </c>
      <c r="G77" s="6">
        <v>-9288.7819937192999</v>
      </c>
      <c r="H77" s="6">
        <f t="shared" si="1"/>
        <v>-128847.64933071642</v>
      </c>
      <c r="I77" s="4"/>
      <c r="J77" s="4" t="s">
        <v>68</v>
      </c>
      <c r="K77" s="7">
        <v>8863.17</v>
      </c>
      <c r="L77" s="4" t="s">
        <v>2086</v>
      </c>
      <c r="M77" s="4" t="s">
        <v>61</v>
      </c>
      <c r="N77" s="4" t="s">
        <v>39</v>
      </c>
    </row>
    <row r="78" spans="1:14" hidden="1" x14ac:dyDescent="0.2">
      <c r="A78" s="22"/>
      <c r="B78" s="4" t="s">
        <v>21</v>
      </c>
      <c r="C78" s="5">
        <v>44408</v>
      </c>
      <c r="D78" s="4" t="s">
        <v>2381</v>
      </c>
      <c r="E78" s="4" t="s">
        <v>2382</v>
      </c>
      <c r="F78" s="4" t="s">
        <v>2385</v>
      </c>
      <c r="G78" s="6">
        <v>-526.33675004379995</v>
      </c>
      <c r="H78" s="6">
        <f t="shared" si="1"/>
        <v>-129373.98608076022</v>
      </c>
      <c r="I78" s="4"/>
      <c r="J78" s="4" t="s">
        <v>68</v>
      </c>
      <c r="K78" s="7">
        <v>502.22</v>
      </c>
      <c r="L78" s="4" t="s">
        <v>2086</v>
      </c>
      <c r="M78" s="4" t="s">
        <v>61</v>
      </c>
      <c r="N78" s="4" t="s">
        <v>39</v>
      </c>
    </row>
    <row r="79" spans="1:14" hidden="1" x14ac:dyDescent="0.2">
      <c r="A79" s="22"/>
      <c r="B79" s="4" t="s">
        <v>21</v>
      </c>
      <c r="C79" s="5">
        <v>44408</v>
      </c>
      <c r="D79" s="4" t="s">
        <v>2381</v>
      </c>
      <c r="E79" s="4" t="s">
        <v>2382</v>
      </c>
      <c r="F79" s="4" t="s">
        <v>2386</v>
      </c>
      <c r="G79" s="6">
        <v>-964.28346882899996</v>
      </c>
      <c r="H79" s="6">
        <f t="shared" si="1"/>
        <v>-130338.26954958923</v>
      </c>
      <c r="I79" s="4"/>
      <c r="J79" s="4" t="s">
        <v>68</v>
      </c>
      <c r="K79" s="7">
        <v>920.1</v>
      </c>
      <c r="L79" s="4" t="s">
        <v>2086</v>
      </c>
      <c r="M79" s="4" t="s">
        <v>61</v>
      </c>
      <c r="N79" s="4" t="s">
        <v>39</v>
      </c>
    </row>
    <row r="80" spans="1:14" hidden="1" x14ac:dyDescent="0.2">
      <c r="A80" s="22"/>
      <c r="B80" s="4" t="s">
        <v>21</v>
      </c>
      <c r="C80" s="5">
        <v>44408</v>
      </c>
      <c r="D80" s="4" t="s">
        <v>2381</v>
      </c>
      <c r="E80" s="4" t="s">
        <v>2382</v>
      </c>
      <c r="F80" s="4" t="s">
        <v>2386</v>
      </c>
      <c r="G80" s="6">
        <v>-22705.778790966</v>
      </c>
      <c r="H80" s="6">
        <f t="shared" si="1"/>
        <v>-153044.04834055522</v>
      </c>
      <c r="I80" s="4"/>
      <c r="J80" s="4" t="s">
        <v>68</v>
      </c>
      <c r="K80" s="7">
        <v>21665.4</v>
      </c>
      <c r="L80" s="4" t="s">
        <v>2086</v>
      </c>
      <c r="M80" s="4" t="s">
        <v>61</v>
      </c>
      <c r="N80" s="4" t="s">
        <v>39</v>
      </c>
    </row>
    <row r="81" spans="1:14" hidden="1" x14ac:dyDescent="0.2">
      <c r="A81" s="22"/>
      <c r="B81" s="4" t="s">
        <v>21</v>
      </c>
      <c r="C81" s="5">
        <v>44408</v>
      </c>
      <c r="D81" s="4" t="s">
        <v>2381</v>
      </c>
      <c r="E81" s="4" t="s">
        <v>2382</v>
      </c>
      <c r="F81" s="4" t="s">
        <v>2386</v>
      </c>
      <c r="G81" s="6">
        <v>-1286.5706684098</v>
      </c>
      <c r="H81" s="6">
        <f t="shared" si="1"/>
        <v>-154330.61900896503</v>
      </c>
      <c r="I81" s="4"/>
      <c r="J81" s="4" t="s">
        <v>68</v>
      </c>
      <c r="K81" s="7">
        <v>1227.6199999999999</v>
      </c>
      <c r="L81" s="4" t="s">
        <v>2086</v>
      </c>
      <c r="M81" s="4" t="s">
        <v>61</v>
      </c>
      <c r="N81" s="4" t="s">
        <v>39</v>
      </c>
    </row>
    <row r="82" spans="1:14" hidden="1" x14ac:dyDescent="0.2">
      <c r="A82" s="22"/>
      <c r="B82" s="4" t="s">
        <v>21</v>
      </c>
      <c r="C82" s="5">
        <v>44408</v>
      </c>
      <c r="D82" s="4" t="s">
        <v>2381</v>
      </c>
      <c r="E82" s="4" t="s">
        <v>2382</v>
      </c>
      <c r="F82" s="4" t="s">
        <v>2387</v>
      </c>
      <c r="G82" s="6">
        <v>-596.09298054620001</v>
      </c>
      <c r="H82" s="6">
        <f t="shared" si="1"/>
        <v>-154926.71198951124</v>
      </c>
      <c r="I82" s="4"/>
      <c r="J82" s="4" t="s">
        <v>68</v>
      </c>
      <c r="K82" s="7">
        <v>568.78</v>
      </c>
      <c r="L82" s="4" t="s">
        <v>2086</v>
      </c>
      <c r="M82" s="4" t="s">
        <v>61</v>
      </c>
      <c r="N82" s="4" t="s">
        <v>39</v>
      </c>
    </row>
    <row r="83" spans="1:14" hidden="1" x14ac:dyDescent="0.2">
      <c r="A83" s="22"/>
      <c r="B83" s="4" t="s">
        <v>21</v>
      </c>
      <c r="C83" s="5">
        <v>44408</v>
      </c>
      <c r="D83" s="4" t="s">
        <v>2381</v>
      </c>
      <c r="E83" s="4" t="s">
        <v>2382</v>
      </c>
      <c r="F83" s="4" t="s">
        <v>2387</v>
      </c>
      <c r="G83" s="6">
        <v>-14036.2824668106</v>
      </c>
      <c r="H83" s="6">
        <f t="shared" si="1"/>
        <v>-168962.99445632185</v>
      </c>
      <c r="I83" s="4"/>
      <c r="J83" s="4" t="s">
        <v>68</v>
      </c>
      <c r="K83" s="7">
        <v>13393.14</v>
      </c>
      <c r="L83" s="4" t="s">
        <v>2086</v>
      </c>
      <c r="M83" s="4" t="s">
        <v>61</v>
      </c>
      <c r="N83" s="4" t="s">
        <v>39</v>
      </c>
    </row>
    <row r="84" spans="1:14" hidden="1" x14ac:dyDescent="0.2">
      <c r="A84" s="22"/>
      <c r="B84" s="4" t="s">
        <v>21</v>
      </c>
      <c r="C84" s="5">
        <v>44408</v>
      </c>
      <c r="D84" s="4" t="s">
        <v>2381</v>
      </c>
      <c r="E84" s="4" t="s">
        <v>2382</v>
      </c>
      <c r="F84" s="4" t="s">
        <v>2387</v>
      </c>
      <c r="G84" s="6">
        <v>-795.33211787810001</v>
      </c>
      <c r="H84" s="6">
        <f t="shared" si="1"/>
        <v>-169758.32657419995</v>
      </c>
      <c r="I84" s="4"/>
      <c r="J84" s="4" t="s">
        <v>68</v>
      </c>
      <c r="K84" s="7">
        <v>758.89</v>
      </c>
      <c r="L84" s="4" t="s">
        <v>2086</v>
      </c>
      <c r="M84" s="4" t="s">
        <v>61</v>
      </c>
      <c r="N84" s="4" t="s">
        <v>39</v>
      </c>
    </row>
    <row r="85" spans="1:14" hidden="1" x14ac:dyDescent="0.2">
      <c r="A85" s="22"/>
      <c r="B85" s="4" t="s">
        <v>21</v>
      </c>
      <c r="C85" s="5">
        <v>44408</v>
      </c>
      <c r="D85" s="4" t="s">
        <v>2388</v>
      </c>
      <c r="E85" s="4" t="s">
        <v>2389</v>
      </c>
      <c r="F85" s="4" t="s">
        <v>2389</v>
      </c>
      <c r="G85" s="6">
        <v>-8.4365633345000006</v>
      </c>
      <c r="H85" s="6">
        <f t="shared" si="1"/>
        <v>-169766.76313753444</v>
      </c>
      <c r="I85" s="4"/>
      <c r="J85" s="4" t="s">
        <v>68</v>
      </c>
      <c r="K85" s="7">
        <v>8.0500000000000007</v>
      </c>
      <c r="L85" s="4" t="s">
        <v>2086</v>
      </c>
      <c r="M85" s="4" t="s">
        <v>61</v>
      </c>
      <c r="N85" s="4" t="s">
        <v>39</v>
      </c>
    </row>
    <row r="86" spans="1:14" hidden="1" x14ac:dyDescent="0.2">
      <c r="A86" s="22"/>
      <c r="B86" s="4" t="s">
        <v>21</v>
      </c>
      <c r="C86" s="5">
        <v>44408</v>
      </c>
      <c r="D86" s="4" t="s">
        <v>2388</v>
      </c>
      <c r="E86" s="4" t="s">
        <v>2389</v>
      </c>
      <c r="F86" s="4" t="s">
        <v>2389</v>
      </c>
      <c r="G86" s="6">
        <v>-286.5392274889</v>
      </c>
      <c r="H86" s="6">
        <f t="shared" si="1"/>
        <v>-170053.30236502332</v>
      </c>
      <c r="I86" s="4"/>
      <c r="J86" s="4" t="s">
        <v>68</v>
      </c>
      <c r="K86" s="7">
        <v>273.41000000000003</v>
      </c>
      <c r="L86" s="4" t="s">
        <v>2086</v>
      </c>
      <c r="M86" s="4" t="s">
        <v>61</v>
      </c>
      <c r="N86" s="4" t="s">
        <v>39</v>
      </c>
    </row>
    <row r="87" spans="1:14" hidden="1" x14ac:dyDescent="0.2">
      <c r="A87" s="22"/>
      <c r="B87" s="4" t="s">
        <v>21</v>
      </c>
      <c r="C87" s="5">
        <v>44408</v>
      </c>
      <c r="D87" s="4" t="s">
        <v>2388</v>
      </c>
      <c r="E87" s="4" t="s">
        <v>2389</v>
      </c>
      <c r="F87" s="4" t="s">
        <v>2389</v>
      </c>
      <c r="G87" s="6">
        <v>-189.61831106970001</v>
      </c>
      <c r="H87" s="6">
        <f t="shared" si="1"/>
        <v>-170242.92067609302</v>
      </c>
      <c r="I87" s="4"/>
      <c r="J87" s="4" t="s">
        <v>68</v>
      </c>
      <c r="K87" s="7">
        <v>180.93</v>
      </c>
      <c r="L87" s="4" t="s">
        <v>2086</v>
      </c>
      <c r="M87" s="4" t="s">
        <v>61</v>
      </c>
      <c r="N87" s="4" t="s">
        <v>39</v>
      </c>
    </row>
    <row r="88" spans="1:14" hidden="1" x14ac:dyDescent="0.2">
      <c r="A88" s="22"/>
      <c r="B88" s="4" t="s">
        <v>21</v>
      </c>
      <c r="C88" s="5">
        <v>44408</v>
      </c>
      <c r="D88" s="4" t="s">
        <v>2388</v>
      </c>
      <c r="E88" s="4" t="s">
        <v>2389</v>
      </c>
      <c r="F88" s="4" t="s">
        <v>2389</v>
      </c>
      <c r="G88" s="6">
        <v>-463.51841386119997</v>
      </c>
      <c r="H88" s="6">
        <f t="shared" si="1"/>
        <v>-170706.43908995422</v>
      </c>
      <c r="I88" s="4"/>
      <c r="J88" s="4" t="s">
        <v>68</v>
      </c>
      <c r="K88" s="7">
        <v>442.28</v>
      </c>
      <c r="L88" s="4" t="s">
        <v>2086</v>
      </c>
      <c r="M88" s="4" t="s">
        <v>61</v>
      </c>
      <c r="N88" s="4" t="s">
        <v>39</v>
      </c>
    </row>
    <row r="89" spans="1:14" hidden="1" x14ac:dyDescent="0.2">
      <c r="A89" s="22"/>
      <c r="B89" s="4" t="s">
        <v>21</v>
      </c>
      <c r="C89" s="5">
        <v>44408</v>
      </c>
      <c r="D89" s="4" t="s">
        <v>2390</v>
      </c>
      <c r="E89" s="4" t="s">
        <v>2391</v>
      </c>
      <c r="F89" s="4" t="s">
        <v>2391</v>
      </c>
      <c r="G89" s="6">
        <v>-246203.92386482941</v>
      </c>
      <c r="H89" s="6">
        <f t="shared" si="1"/>
        <v>-416910.3629547836</v>
      </c>
      <c r="I89" s="4"/>
      <c r="J89" s="4" t="s">
        <v>68</v>
      </c>
      <c r="K89" s="7">
        <v>234922.86</v>
      </c>
      <c r="L89" s="4" t="s">
        <v>2086</v>
      </c>
      <c r="M89" s="4" t="s">
        <v>61</v>
      </c>
      <c r="N89" s="4" t="s">
        <v>39</v>
      </c>
    </row>
    <row r="90" spans="1:14" hidden="1" x14ac:dyDescent="0.2">
      <c r="A90" s="22"/>
      <c r="B90" s="4" t="s">
        <v>21</v>
      </c>
      <c r="C90" s="5">
        <v>44409</v>
      </c>
      <c r="D90" s="4" t="s">
        <v>2392</v>
      </c>
      <c r="E90" s="4" t="s">
        <v>2391</v>
      </c>
      <c r="F90" s="4" t="s">
        <v>2391</v>
      </c>
      <c r="G90" s="6">
        <v>246203.92386482941</v>
      </c>
      <c r="H90" s="6">
        <f t="shared" si="1"/>
        <v>-170706.43908995419</v>
      </c>
      <c r="I90" s="4"/>
      <c r="J90" s="4" t="s">
        <v>68</v>
      </c>
      <c r="K90" s="7">
        <v>-234922.86</v>
      </c>
      <c r="L90" s="4" t="s">
        <v>2097</v>
      </c>
      <c r="M90" s="4" t="s">
        <v>61</v>
      </c>
      <c r="N90" s="4" t="s">
        <v>39</v>
      </c>
    </row>
    <row r="91" spans="1:14" hidden="1" x14ac:dyDescent="0.2">
      <c r="A91" s="22"/>
      <c r="B91" s="4" t="s">
        <v>249</v>
      </c>
      <c r="C91" s="5">
        <v>44412</v>
      </c>
      <c r="D91" s="4" t="s">
        <v>2393</v>
      </c>
      <c r="E91" s="4" t="s">
        <v>2394</v>
      </c>
      <c r="F91" s="4" t="s">
        <v>2394</v>
      </c>
      <c r="G91" s="6">
        <v>4990.1905316466</v>
      </c>
      <c r="H91" s="6">
        <f t="shared" si="1"/>
        <v>-165716.24855830759</v>
      </c>
      <c r="I91" s="4" t="s">
        <v>252</v>
      </c>
      <c r="J91" s="4" t="s">
        <v>68</v>
      </c>
      <c r="K91" s="7">
        <v>-4761.54</v>
      </c>
      <c r="L91" s="4" t="s">
        <v>2097</v>
      </c>
      <c r="M91" s="4" t="s">
        <v>61</v>
      </c>
      <c r="N91" s="4"/>
    </row>
    <row r="92" spans="1:14" hidden="1" x14ac:dyDescent="0.2">
      <c r="A92" s="22"/>
      <c r="B92" s="4" t="s">
        <v>249</v>
      </c>
      <c r="C92" s="5">
        <v>44414</v>
      </c>
      <c r="D92" s="4" t="s">
        <v>2395</v>
      </c>
      <c r="E92" s="4" t="s">
        <v>2396</v>
      </c>
      <c r="F92" s="4" t="s">
        <v>2396</v>
      </c>
      <c r="G92" s="6">
        <v>20541.197683999999</v>
      </c>
      <c r="H92" s="6">
        <f t="shared" si="1"/>
        <v>-145175.05087430758</v>
      </c>
      <c r="I92" s="4" t="s">
        <v>252</v>
      </c>
      <c r="J92" s="4" t="s">
        <v>68</v>
      </c>
      <c r="K92" s="7">
        <v>-19600</v>
      </c>
      <c r="L92" s="4" t="s">
        <v>2097</v>
      </c>
      <c r="M92" s="4" t="s">
        <v>61</v>
      </c>
      <c r="N92" s="4"/>
    </row>
    <row r="93" spans="1:14" hidden="1" x14ac:dyDescent="0.2">
      <c r="A93" s="22"/>
      <c r="B93" s="4" t="s">
        <v>21</v>
      </c>
      <c r="C93" s="5">
        <v>44439</v>
      </c>
      <c r="D93" s="4" t="s">
        <v>2397</v>
      </c>
      <c r="E93" s="4" t="s">
        <v>2398</v>
      </c>
      <c r="F93" s="4" t="s">
        <v>2353</v>
      </c>
      <c r="G93" s="6">
        <v>-256.6811294268</v>
      </c>
      <c r="H93" s="6">
        <f t="shared" si="1"/>
        <v>-145431.73200373439</v>
      </c>
      <c r="I93" s="4"/>
      <c r="J93" s="4" t="s">
        <v>68</v>
      </c>
      <c r="K93" s="7">
        <v>244.92</v>
      </c>
      <c r="L93" s="4" t="s">
        <v>2097</v>
      </c>
      <c r="M93" s="4" t="s">
        <v>61</v>
      </c>
      <c r="N93" s="4" t="s">
        <v>39</v>
      </c>
    </row>
    <row r="94" spans="1:14" hidden="1" x14ac:dyDescent="0.2">
      <c r="A94" s="22"/>
      <c r="B94" s="4" t="s">
        <v>21</v>
      </c>
      <c r="C94" s="5">
        <v>44439</v>
      </c>
      <c r="D94" s="4" t="s">
        <v>2397</v>
      </c>
      <c r="E94" s="4" t="s">
        <v>2398</v>
      </c>
      <c r="F94" s="4" t="s">
        <v>2353</v>
      </c>
      <c r="G94" s="6">
        <v>-8.4365633345000006</v>
      </c>
      <c r="H94" s="6">
        <f t="shared" si="1"/>
        <v>-145440.16856706887</v>
      </c>
      <c r="I94" s="4"/>
      <c r="J94" s="4" t="s">
        <v>68</v>
      </c>
      <c r="K94" s="7">
        <v>8.0500000000000007</v>
      </c>
      <c r="L94" s="4" t="s">
        <v>2097</v>
      </c>
      <c r="M94" s="4" t="s">
        <v>61</v>
      </c>
      <c r="N94" s="4" t="s">
        <v>39</v>
      </c>
    </row>
    <row r="95" spans="1:14" hidden="1" x14ac:dyDescent="0.2">
      <c r="A95" s="22"/>
      <c r="B95" s="4" t="s">
        <v>21</v>
      </c>
      <c r="C95" s="5">
        <v>44439</v>
      </c>
      <c r="D95" s="4" t="s">
        <v>2397</v>
      </c>
      <c r="E95" s="4" t="s">
        <v>2398</v>
      </c>
      <c r="F95" s="4" t="s">
        <v>2353</v>
      </c>
      <c r="G95" s="6">
        <v>-17.082730727000001</v>
      </c>
      <c r="H95" s="6">
        <f t="shared" si="1"/>
        <v>-145457.25129779588</v>
      </c>
      <c r="I95" s="4"/>
      <c r="J95" s="4" t="s">
        <v>68</v>
      </c>
      <c r="K95" s="7">
        <v>16.3</v>
      </c>
      <c r="L95" s="4" t="s">
        <v>2097</v>
      </c>
      <c r="M95" s="4" t="s">
        <v>61</v>
      </c>
      <c r="N95" s="4" t="s">
        <v>39</v>
      </c>
    </row>
    <row r="96" spans="1:14" hidden="1" x14ac:dyDescent="0.2">
      <c r="A96" s="22"/>
      <c r="B96" s="4" t="s">
        <v>21</v>
      </c>
      <c r="C96" s="5">
        <v>44439</v>
      </c>
      <c r="D96" s="4" t="s">
        <v>2397</v>
      </c>
      <c r="E96" s="4" t="s">
        <v>2398</v>
      </c>
      <c r="F96" s="4" t="s">
        <v>2354</v>
      </c>
      <c r="G96" s="6">
        <v>-286.61258890919999</v>
      </c>
      <c r="H96" s="6">
        <f t="shared" si="1"/>
        <v>-145743.86388670508</v>
      </c>
      <c r="I96" s="4"/>
      <c r="J96" s="4" t="s">
        <v>68</v>
      </c>
      <c r="K96" s="7">
        <v>273.48</v>
      </c>
      <c r="L96" s="4" t="s">
        <v>2097</v>
      </c>
      <c r="M96" s="4" t="s">
        <v>61</v>
      </c>
      <c r="N96" s="4" t="s">
        <v>39</v>
      </c>
    </row>
    <row r="97" spans="1:14" hidden="1" x14ac:dyDescent="0.2">
      <c r="A97" s="22"/>
      <c r="B97" s="4" t="s">
        <v>21</v>
      </c>
      <c r="C97" s="5">
        <v>44439</v>
      </c>
      <c r="D97" s="4" t="s">
        <v>2397</v>
      </c>
      <c r="E97" s="4" t="s">
        <v>2398</v>
      </c>
      <c r="F97" s="4" t="s">
        <v>2355</v>
      </c>
      <c r="G97" s="6">
        <v>-189.6811922871</v>
      </c>
      <c r="H97" s="6">
        <f t="shared" si="1"/>
        <v>-145933.54507899217</v>
      </c>
      <c r="I97" s="4"/>
      <c r="J97" s="4" t="s">
        <v>68</v>
      </c>
      <c r="K97" s="7">
        <v>180.99</v>
      </c>
      <c r="L97" s="4" t="s">
        <v>2097</v>
      </c>
      <c r="M97" s="4" t="s">
        <v>61</v>
      </c>
      <c r="N97" s="4" t="s">
        <v>39</v>
      </c>
    </row>
    <row r="98" spans="1:14" hidden="1" x14ac:dyDescent="0.2">
      <c r="A98" s="22"/>
      <c r="B98" s="4" t="s">
        <v>21</v>
      </c>
      <c r="C98" s="5">
        <v>44439</v>
      </c>
      <c r="D98" s="4" t="s">
        <v>2397</v>
      </c>
      <c r="E98" s="4" t="s">
        <v>2398</v>
      </c>
      <c r="F98" s="4" t="s">
        <v>2356</v>
      </c>
      <c r="G98" s="6">
        <v>-463.64417629600001</v>
      </c>
      <c r="H98" s="6">
        <f t="shared" si="1"/>
        <v>-146397.18925528816</v>
      </c>
      <c r="I98" s="4"/>
      <c r="J98" s="4" t="s">
        <v>68</v>
      </c>
      <c r="K98" s="7">
        <v>442.4</v>
      </c>
      <c r="L98" s="4" t="s">
        <v>2097</v>
      </c>
      <c r="M98" s="4" t="s">
        <v>61</v>
      </c>
      <c r="N98" s="4" t="s">
        <v>39</v>
      </c>
    </row>
    <row r="99" spans="1:14" hidden="1" x14ac:dyDescent="0.2">
      <c r="A99" s="22"/>
      <c r="B99" s="4" t="s">
        <v>21</v>
      </c>
      <c r="C99" s="5">
        <v>44439</v>
      </c>
      <c r="D99" s="4" t="s">
        <v>2397</v>
      </c>
      <c r="E99" s="4" t="s">
        <v>2398</v>
      </c>
      <c r="F99" s="4" t="s">
        <v>2354</v>
      </c>
      <c r="G99" s="6">
        <v>-8725.7016523081002</v>
      </c>
      <c r="H99" s="6">
        <f t="shared" si="1"/>
        <v>-155122.89090759627</v>
      </c>
      <c r="I99" s="4"/>
      <c r="J99" s="4" t="s">
        <v>68</v>
      </c>
      <c r="K99" s="7">
        <v>8325.89</v>
      </c>
      <c r="L99" s="4" t="s">
        <v>2097</v>
      </c>
      <c r="M99" s="4" t="s">
        <v>61</v>
      </c>
      <c r="N99" s="4" t="s">
        <v>39</v>
      </c>
    </row>
    <row r="100" spans="1:14" hidden="1" x14ac:dyDescent="0.2">
      <c r="A100" s="22"/>
      <c r="B100" s="4" t="s">
        <v>21</v>
      </c>
      <c r="C100" s="5">
        <v>44439</v>
      </c>
      <c r="D100" s="4" t="s">
        <v>2397</v>
      </c>
      <c r="E100" s="4" t="s">
        <v>2398</v>
      </c>
      <c r="F100" s="4" t="s">
        <v>2355</v>
      </c>
      <c r="G100" s="6">
        <v>-5774.2773918129997</v>
      </c>
      <c r="H100" s="6">
        <f t="shared" si="1"/>
        <v>-160897.16829940927</v>
      </c>
      <c r="I100" s="4"/>
      <c r="J100" s="4" t="s">
        <v>68</v>
      </c>
      <c r="K100" s="7">
        <v>5509.7</v>
      </c>
      <c r="L100" s="4" t="s">
        <v>2097</v>
      </c>
      <c r="M100" s="4" t="s">
        <v>61</v>
      </c>
      <c r="N100" s="4" t="s">
        <v>39</v>
      </c>
    </row>
    <row r="101" spans="1:14" hidden="1" x14ac:dyDescent="0.2">
      <c r="A101" s="22"/>
      <c r="B101" s="4" t="s">
        <v>21</v>
      </c>
      <c r="C101" s="5">
        <v>44439</v>
      </c>
      <c r="D101" s="4" t="s">
        <v>2397</v>
      </c>
      <c r="E101" s="4" t="s">
        <v>2398</v>
      </c>
      <c r="F101" s="4" t="s">
        <v>2356</v>
      </c>
      <c r="G101" s="6">
        <v>-14114.999270792499</v>
      </c>
      <c r="H101" s="6">
        <f t="shared" si="1"/>
        <v>-175012.16757020177</v>
      </c>
      <c r="I101" s="4"/>
      <c r="J101" s="4" t="s">
        <v>68</v>
      </c>
      <c r="K101" s="7">
        <v>13468.25</v>
      </c>
      <c r="L101" s="4" t="s">
        <v>2097</v>
      </c>
      <c r="M101" s="4" t="s">
        <v>61</v>
      </c>
      <c r="N101" s="4" t="s">
        <v>39</v>
      </c>
    </row>
    <row r="102" spans="1:14" hidden="1" x14ac:dyDescent="0.2">
      <c r="A102" s="22"/>
      <c r="B102" s="4" t="s">
        <v>21</v>
      </c>
      <c r="C102" s="5">
        <v>44439</v>
      </c>
      <c r="D102" s="4" t="s">
        <v>2397</v>
      </c>
      <c r="E102" s="4" t="s">
        <v>2398</v>
      </c>
      <c r="F102" s="4" t="s">
        <v>2357</v>
      </c>
      <c r="G102" s="6">
        <v>-4358.9469505737998</v>
      </c>
      <c r="H102" s="6">
        <f t="shared" si="1"/>
        <v>-179371.11452077556</v>
      </c>
      <c r="I102" s="4"/>
      <c r="J102" s="4" t="s">
        <v>68</v>
      </c>
      <c r="K102" s="7">
        <v>4159.22</v>
      </c>
      <c r="L102" s="4" t="s">
        <v>2097</v>
      </c>
      <c r="M102" s="4" t="s">
        <v>61</v>
      </c>
      <c r="N102" s="4" t="s">
        <v>39</v>
      </c>
    </row>
    <row r="103" spans="1:14" hidden="1" x14ac:dyDescent="0.2">
      <c r="A103" s="22"/>
      <c r="B103" s="4" t="s">
        <v>21</v>
      </c>
      <c r="C103" s="5">
        <v>44439</v>
      </c>
      <c r="D103" s="4" t="s">
        <v>2397</v>
      </c>
      <c r="E103" s="4" t="s">
        <v>2398</v>
      </c>
      <c r="F103" s="4" t="s">
        <v>2354</v>
      </c>
      <c r="G103" s="6">
        <v>-581.12725080500002</v>
      </c>
      <c r="H103" s="6">
        <f t="shared" si="1"/>
        <v>-179952.24177158056</v>
      </c>
      <c r="I103" s="4"/>
      <c r="J103" s="4" t="s">
        <v>68</v>
      </c>
      <c r="K103" s="7">
        <v>554.5</v>
      </c>
      <c r="L103" s="4" t="s">
        <v>2097</v>
      </c>
      <c r="M103" s="4" t="s">
        <v>61</v>
      </c>
      <c r="N103" s="4" t="s">
        <v>39</v>
      </c>
    </row>
    <row r="104" spans="1:14" hidden="1" x14ac:dyDescent="0.2">
      <c r="A104" s="22"/>
      <c r="B104" s="4" t="s">
        <v>21</v>
      </c>
      <c r="C104" s="5">
        <v>44439</v>
      </c>
      <c r="D104" s="4" t="s">
        <v>2397</v>
      </c>
      <c r="E104" s="4" t="s">
        <v>2398</v>
      </c>
      <c r="F104" s="4" t="s">
        <v>2355</v>
      </c>
      <c r="G104" s="6">
        <v>-384.59200582130001</v>
      </c>
      <c r="H104" s="6">
        <f t="shared" si="1"/>
        <v>-180336.83377740186</v>
      </c>
      <c r="I104" s="4"/>
      <c r="J104" s="4" t="s">
        <v>68</v>
      </c>
      <c r="K104" s="7">
        <v>366.97</v>
      </c>
      <c r="L104" s="4" t="s">
        <v>2097</v>
      </c>
      <c r="M104" s="4" t="s">
        <v>61</v>
      </c>
      <c r="N104" s="4" t="s">
        <v>39</v>
      </c>
    </row>
    <row r="105" spans="1:14" hidden="1" x14ac:dyDescent="0.2">
      <c r="A105" s="22"/>
      <c r="B105" s="4" t="s">
        <v>21</v>
      </c>
      <c r="C105" s="5">
        <v>44439</v>
      </c>
      <c r="D105" s="4" t="s">
        <v>2397</v>
      </c>
      <c r="E105" s="4" t="s">
        <v>2398</v>
      </c>
      <c r="F105" s="4" t="s">
        <v>2356</v>
      </c>
      <c r="G105" s="6">
        <v>-940.06371992710001</v>
      </c>
      <c r="H105" s="6">
        <f t="shared" si="1"/>
        <v>-181276.89749732896</v>
      </c>
      <c r="I105" s="4"/>
      <c r="J105" s="4" t="s">
        <v>68</v>
      </c>
      <c r="K105" s="7">
        <v>896.99</v>
      </c>
      <c r="L105" s="4" t="s">
        <v>2097</v>
      </c>
      <c r="M105" s="4" t="s">
        <v>61</v>
      </c>
      <c r="N105" s="4" t="s">
        <v>39</v>
      </c>
    </row>
    <row r="106" spans="1:14" hidden="1" x14ac:dyDescent="0.2">
      <c r="A106" s="22"/>
      <c r="B106" s="4" t="s">
        <v>21</v>
      </c>
      <c r="C106" s="5">
        <v>44439</v>
      </c>
      <c r="D106" s="4" t="s">
        <v>2397</v>
      </c>
      <c r="E106" s="4" t="s">
        <v>2398</v>
      </c>
      <c r="F106" s="4" t="s">
        <v>2357</v>
      </c>
      <c r="G106" s="6">
        <v>-631.222620667</v>
      </c>
      <c r="H106" s="6">
        <f t="shared" si="1"/>
        <v>-181908.12011799595</v>
      </c>
      <c r="I106" s="4"/>
      <c r="J106" s="4" t="s">
        <v>68</v>
      </c>
      <c r="K106" s="7">
        <v>602.29999999999995</v>
      </c>
      <c r="L106" s="4" t="s">
        <v>2097</v>
      </c>
      <c r="M106" s="4" t="s">
        <v>61</v>
      </c>
      <c r="N106" s="4" t="s">
        <v>39</v>
      </c>
    </row>
    <row r="107" spans="1:14" hidden="1" x14ac:dyDescent="0.2">
      <c r="A107" s="22"/>
      <c r="B107" s="4" t="s">
        <v>21</v>
      </c>
      <c r="C107" s="5">
        <v>44439</v>
      </c>
      <c r="D107" s="4" t="s">
        <v>2399</v>
      </c>
      <c r="E107" s="4" t="s">
        <v>2400</v>
      </c>
      <c r="F107" s="4" t="s">
        <v>2400</v>
      </c>
      <c r="G107" s="6">
        <v>-278651.59622189618</v>
      </c>
      <c r="H107" s="6">
        <f t="shared" si="1"/>
        <v>-460559.71633989213</v>
      </c>
      <c r="I107" s="4"/>
      <c r="J107" s="4" t="s">
        <v>68</v>
      </c>
      <c r="K107" s="7">
        <v>265883.78000000003</v>
      </c>
      <c r="L107" s="4" t="s">
        <v>2097</v>
      </c>
      <c r="M107" s="4" t="s">
        <v>61</v>
      </c>
      <c r="N107" s="4" t="s">
        <v>39</v>
      </c>
    </row>
    <row r="108" spans="1:14" hidden="1" x14ac:dyDescent="0.2">
      <c r="A108" s="22"/>
      <c r="B108" s="4" t="s">
        <v>21</v>
      </c>
      <c r="C108" s="5">
        <v>44440</v>
      </c>
      <c r="D108" s="4" t="s">
        <v>2401</v>
      </c>
      <c r="E108" s="4" t="s">
        <v>2400</v>
      </c>
      <c r="F108" s="4" t="s">
        <v>2400</v>
      </c>
      <c r="G108" s="6">
        <v>278651.59622189618</v>
      </c>
      <c r="H108" s="6">
        <f t="shared" si="1"/>
        <v>-181908.12011799595</v>
      </c>
      <c r="I108" s="4"/>
      <c r="J108" s="4" t="s">
        <v>68</v>
      </c>
      <c r="K108" s="7">
        <v>-265883.78000000003</v>
      </c>
      <c r="L108" s="4" t="s">
        <v>1033</v>
      </c>
      <c r="M108" s="4" t="s">
        <v>61</v>
      </c>
      <c r="N108" s="4" t="s">
        <v>39</v>
      </c>
    </row>
    <row r="109" spans="1:14" hidden="1" x14ac:dyDescent="0.2">
      <c r="A109" s="22"/>
      <c r="B109" s="4" t="s">
        <v>249</v>
      </c>
      <c r="C109" s="5">
        <v>44445</v>
      </c>
      <c r="D109" s="4" t="s">
        <v>2402</v>
      </c>
      <c r="E109" s="4" t="s">
        <v>2403</v>
      </c>
      <c r="F109" s="4" t="s">
        <v>2403</v>
      </c>
      <c r="G109" s="6">
        <v>2280.7331957066999</v>
      </c>
      <c r="H109" s="6">
        <f t="shared" si="1"/>
        <v>-179627.38692228924</v>
      </c>
      <c r="I109" s="4" t="s">
        <v>252</v>
      </c>
      <c r="J109" s="4" t="s">
        <v>68</v>
      </c>
      <c r="K109" s="7">
        <v>-2176.23</v>
      </c>
      <c r="L109" s="4" t="s">
        <v>1033</v>
      </c>
      <c r="M109" s="4" t="s">
        <v>61</v>
      </c>
      <c r="N109" s="4"/>
    </row>
    <row r="110" spans="1:14" hidden="1" x14ac:dyDescent="0.2">
      <c r="A110" s="22"/>
      <c r="B110" s="4" t="s">
        <v>21</v>
      </c>
      <c r="C110" s="5">
        <v>44469</v>
      </c>
      <c r="D110" s="4" t="s">
        <v>2404</v>
      </c>
      <c r="E110" s="4" t="s">
        <v>2405</v>
      </c>
      <c r="F110" s="4" t="s">
        <v>2353</v>
      </c>
      <c r="G110" s="6">
        <v>-258.80861061550002</v>
      </c>
      <c r="H110" s="6">
        <f t="shared" si="1"/>
        <v>-179886.19553290473</v>
      </c>
      <c r="I110" s="4"/>
      <c r="J110" s="4" t="s">
        <v>68</v>
      </c>
      <c r="K110" s="7">
        <v>246.95</v>
      </c>
      <c r="L110" s="4" t="s">
        <v>1033</v>
      </c>
      <c r="M110" s="4" t="s">
        <v>61</v>
      </c>
      <c r="N110" s="4" t="s">
        <v>39</v>
      </c>
    </row>
    <row r="111" spans="1:14" hidden="1" x14ac:dyDescent="0.2">
      <c r="A111" s="22"/>
      <c r="B111" s="4" t="s">
        <v>21</v>
      </c>
      <c r="C111" s="5">
        <v>44469</v>
      </c>
      <c r="D111" s="4" t="s">
        <v>2404</v>
      </c>
      <c r="E111" s="4" t="s">
        <v>2405</v>
      </c>
      <c r="F111" s="4" t="s">
        <v>2353</v>
      </c>
      <c r="G111" s="6">
        <v>-10.2496384362</v>
      </c>
      <c r="H111" s="6">
        <f t="shared" si="1"/>
        <v>-179896.44517134092</v>
      </c>
      <c r="I111" s="4"/>
      <c r="J111" s="4" t="s">
        <v>68</v>
      </c>
      <c r="K111" s="7">
        <v>9.7799999999999994</v>
      </c>
      <c r="L111" s="4" t="s">
        <v>1033</v>
      </c>
      <c r="M111" s="4" t="s">
        <v>61</v>
      </c>
      <c r="N111" s="4" t="s">
        <v>39</v>
      </c>
    </row>
    <row r="112" spans="1:14" hidden="1" x14ac:dyDescent="0.2">
      <c r="A112" s="22"/>
      <c r="B112" s="4" t="s">
        <v>21</v>
      </c>
      <c r="C112" s="5">
        <v>44469</v>
      </c>
      <c r="D112" s="4" t="s">
        <v>2404</v>
      </c>
      <c r="E112" s="4" t="s">
        <v>2405</v>
      </c>
      <c r="F112" s="4" t="s">
        <v>2353</v>
      </c>
      <c r="G112" s="6">
        <v>-17.239933770499999</v>
      </c>
      <c r="H112" s="6">
        <f t="shared" si="1"/>
        <v>-179913.68510511142</v>
      </c>
      <c r="I112" s="4"/>
      <c r="J112" s="4" t="s">
        <v>68</v>
      </c>
      <c r="K112" s="7">
        <v>16.45</v>
      </c>
      <c r="L112" s="4" t="s">
        <v>1033</v>
      </c>
      <c r="M112" s="4" t="s">
        <v>61</v>
      </c>
      <c r="N112" s="4" t="s">
        <v>39</v>
      </c>
    </row>
    <row r="113" spans="1:14" hidden="1" x14ac:dyDescent="0.2">
      <c r="A113" s="22"/>
      <c r="B113" s="4" t="s">
        <v>21</v>
      </c>
      <c r="C113" s="5">
        <v>44469</v>
      </c>
      <c r="D113" s="4" t="s">
        <v>2404</v>
      </c>
      <c r="E113" s="4" t="s">
        <v>2405</v>
      </c>
      <c r="F113" s="4" t="s">
        <v>2354</v>
      </c>
      <c r="G113" s="6">
        <v>-585.90622332739997</v>
      </c>
      <c r="H113" s="6">
        <f t="shared" si="1"/>
        <v>-180499.59132843881</v>
      </c>
      <c r="I113" s="4"/>
      <c r="J113" s="4" t="s">
        <v>68</v>
      </c>
      <c r="K113" s="7">
        <v>559.05999999999995</v>
      </c>
      <c r="L113" s="4" t="s">
        <v>1033</v>
      </c>
      <c r="M113" s="4" t="s">
        <v>61</v>
      </c>
      <c r="N113" s="4" t="s">
        <v>39</v>
      </c>
    </row>
    <row r="114" spans="1:14" hidden="1" x14ac:dyDescent="0.2">
      <c r="A114" s="22"/>
      <c r="B114" s="4" t="s">
        <v>21</v>
      </c>
      <c r="C114" s="5">
        <v>44469</v>
      </c>
      <c r="D114" s="4" t="s">
        <v>2404</v>
      </c>
      <c r="E114" s="4" t="s">
        <v>2405</v>
      </c>
      <c r="F114" s="4" t="s">
        <v>2355</v>
      </c>
      <c r="G114" s="6">
        <v>-387.74654689419998</v>
      </c>
      <c r="H114" s="6">
        <f t="shared" si="1"/>
        <v>-180887.337875333</v>
      </c>
      <c r="I114" s="4"/>
      <c r="J114" s="4" t="s">
        <v>68</v>
      </c>
      <c r="K114" s="7">
        <v>369.98</v>
      </c>
      <c r="L114" s="4" t="s">
        <v>1033</v>
      </c>
      <c r="M114" s="4" t="s">
        <v>61</v>
      </c>
      <c r="N114" s="4" t="s">
        <v>39</v>
      </c>
    </row>
    <row r="115" spans="1:14" hidden="1" x14ac:dyDescent="0.2">
      <c r="A115" s="22"/>
      <c r="B115" s="4" t="s">
        <v>21</v>
      </c>
      <c r="C115" s="5">
        <v>44469</v>
      </c>
      <c r="D115" s="4" t="s">
        <v>2404</v>
      </c>
      <c r="E115" s="4" t="s">
        <v>2405</v>
      </c>
      <c r="F115" s="4" t="s">
        <v>2356</v>
      </c>
      <c r="G115" s="6">
        <v>-947.82955027599996</v>
      </c>
      <c r="H115" s="6">
        <f t="shared" si="1"/>
        <v>-181835.16742560899</v>
      </c>
      <c r="I115" s="4"/>
      <c r="J115" s="4" t="s">
        <v>68</v>
      </c>
      <c r="K115" s="7">
        <v>904.4</v>
      </c>
      <c r="L115" s="4" t="s">
        <v>1033</v>
      </c>
      <c r="M115" s="4" t="s">
        <v>61</v>
      </c>
      <c r="N115" s="4" t="s">
        <v>39</v>
      </c>
    </row>
    <row r="116" spans="1:14" hidden="1" x14ac:dyDescent="0.2">
      <c r="A116" s="22"/>
      <c r="B116" s="4" t="s">
        <v>21</v>
      </c>
      <c r="C116" s="5">
        <v>44469</v>
      </c>
      <c r="D116" s="4" t="s">
        <v>2404</v>
      </c>
      <c r="E116" s="4" t="s">
        <v>2405</v>
      </c>
      <c r="F116" s="4" t="s">
        <v>2355</v>
      </c>
      <c r="G116" s="6">
        <v>-230.49110237970001</v>
      </c>
      <c r="H116" s="6">
        <f t="shared" si="1"/>
        <v>-182065.65852798868</v>
      </c>
      <c r="I116" s="4"/>
      <c r="J116" s="4" t="s">
        <v>68</v>
      </c>
      <c r="K116" s="7">
        <v>219.93</v>
      </c>
      <c r="L116" s="4" t="s">
        <v>1033</v>
      </c>
      <c r="M116" s="4" t="s">
        <v>61</v>
      </c>
      <c r="N116" s="4" t="s">
        <v>39</v>
      </c>
    </row>
    <row r="117" spans="1:14" hidden="1" x14ac:dyDescent="0.2">
      <c r="A117" s="22"/>
      <c r="B117" s="4" t="s">
        <v>21</v>
      </c>
      <c r="C117" s="5">
        <v>44469</v>
      </c>
      <c r="D117" s="4" t="s">
        <v>2404</v>
      </c>
      <c r="E117" s="4" t="s">
        <v>2405</v>
      </c>
      <c r="F117" s="4" t="s">
        <v>2356</v>
      </c>
      <c r="G117" s="6">
        <v>-563.40522770109999</v>
      </c>
      <c r="H117" s="6">
        <f t="shared" si="1"/>
        <v>-182629.06375568977</v>
      </c>
      <c r="I117" s="4"/>
      <c r="J117" s="4" t="s">
        <v>68</v>
      </c>
      <c r="K117" s="7">
        <v>537.59</v>
      </c>
      <c r="L117" s="4" t="s">
        <v>1033</v>
      </c>
      <c r="M117" s="4" t="s">
        <v>61</v>
      </c>
      <c r="N117" s="4" t="s">
        <v>39</v>
      </c>
    </row>
    <row r="118" spans="1:14" hidden="1" x14ac:dyDescent="0.2">
      <c r="A118" s="22"/>
      <c r="B118" s="4" t="s">
        <v>21</v>
      </c>
      <c r="C118" s="5">
        <v>44469</v>
      </c>
      <c r="D118" s="4" t="s">
        <v>2404</v>
      </c>
      <c r="E118" s="4" t="s">
        <v>2405</v>
      </c>
      <c r="F118" s="4" t="s">
        <v>2354</v>
      </c>
      <c r="G118" s="6">
        <v>-348.28858297570002</v>
      </c>
      <c r="H118" s="6">
        <f t="shared" si="1"/>
        <v>-182977.35233866549</v>
      </c>
      <c r="I118" s="4"/>
      <c r="J118" s="4" t="s">
        <v>68</v>
      </c>
      <c r="K118" s="7">
        <v>332.33</v>
      </c>
      <c r="L118" s="4" t="s">
        <v>1033</v>
      </c>
      <c r="M118" s="4" t="s">
        <v>61</v>
      </c>
      <c r="N118" s="4" t="s">
        <v>39</v>
      </c>
    </row>
    <row r="119" spans="1:14" hidden="1" x14ac:dyDescent="0.2">
      <c r="A119" s="22"/>
      <c r="B119" s="4" t="s">
        <v>21</v>
      </c>
      <c r="C119" s="5">
        <v>44469</v>
      </c>
      <c r="D119" s="4" t="s">
        <v>2404</v>
      </c>
      <c r="E119" s="4" t="s">
        <v>2405</v>
      </c>
      <c r="F119" s="4" t="s">
        <v>2357</v>
      </c>
      <c r="G119" s="6">
        <v>-631.222620667</v>
      </c>
      <c r="H119" s="6">
        <f t="shared" si="1"/>
        <v>-183608.57495933247</v>
      </c>
      <c r="I119" s="4"/>
      <c r="J119" s="4" t="s">
        <v>68</v>
      </c>
      <c r="K119" s="7">
        <v>602.29999999999995</v>
      </c>
      <c r="L119" s="4" t="s">
        <v>1033</v>
      </c>
      <c r="M119" s="4" t="s">
        <v>61</v>
      </c>
      <c r="N119" s="4" t="s">
        <v>39</v>
      </c>
    </row>
    <row r="120" spans="1:14" hidden="1" x14ac:dyDescent="0.2">
      <c r="A120" s="22"/>
      <c r="B120" s="4" t="s">
        <v>21</v>
      </c>
      <c r="C120" s="5">
        <v>44469</v>
      </c>
      <c r="D120" s="4" t="s">
        <v>2404</v>
      </c>
      <c r="E120" s="4" t="s">
        <v>2405</v>
      </c>
      <c r="F120" s="4" t="s">
        <v>2356</v>
      </c>
      <c r="G120" s="6">
        <v>-14233.698048837899</v>
      </c>
      <c r="H120" s="6">
        <f t="shared" si="1"/>
        <v>-197842.27300817036</v>
      </c>
      <c r="I120" s="4"/>
      <c r="J120" s="4" t="s">
        <v>68</v>
      </c>
      <c r="K120" s="7">
        <v>13581.51</v>
      </c>
      <c r="L120" s="4" t="s">
        <v>1033</v>
      </c>
      <c r="M120" s="4" t="s">
        <v>61</v>
      </c>
      <c r="N120" s="4" t="s">
        <v>39</v>
      </c>
    </row>
    <row r="121" spans="1:14" hidden="1" x14ac:dyDescent="0.2">
      <c r="A121" s="22"/>
      <c r="B121" s="4" t="s">
        <v>21</v>
      </c>
      <c r="C121" s="5">
        <v>44469</v>
      </c>
      <c r="D121" s="4" t="s">
        <v>2404</v>
      </c>
      <c r="E121" s="4" t="s">
        <v>2405</v>
      </c>
      <c r="F121" s="4" t="s">
        <v>2354</v>
      </c>
      <c r="G121" s="6">
        <v>-8798.9582705790999</v>
      </c>
      <c r="H121" s="6">
        <f t="shared" si="1"/>
        <v>-206641.23127874947</v>
      </c>
      <c r="I121" s="4"/>
      <c r="J121" s="4" t="s">
        <v>68</v>
      </c>
      <c r="K121" s="7">
        <v>8395.7900000000009</v>
      </c>
      <c r="L121" s="4" t="s">
        <v>1033</v>
      </c>
      <c r="M121" s="4" t="s">
        <v>61</v>
      </c>
      <c r="N121" s="4" t="s">
        <v>39</v>
      </c>
    </row>
    <row r="122" spans="1:14" hidden="1" x14ac:dyDescent="0.2">
      <c r="A122" s="22"/>
      <c r="B122" s="4" t="s">
        <v>21</v>
      </c>
      <c r="C122" s="5">
        <v>44469</v>
      </c>
      <c r="D122" s="4" t="s">
        <v>2404</v>
      </c>
      <c r="E122" s="4" t="s">
        <v>2405</v>
      </c>
      <c r="F122" s="4" t="s">
        <v>2355</v>
      </c>
      <c r="G122" s="6">
        <v>-5822.8740926603004</v>
      </c>
      <c r="H122" s="6">
        <f t="shared" si="1"/>
        <v>-212464.10537140977</v>
      </c>
      <c r="I122" s="4"/>
      <c r="J122" s="4" t="s">
        <v>68</v>
      </c>
      <c r="K122" s="7">
        <v>5556.07</v>
      </c>
      <c r="L122" s="4" t="s">
        <v>1033</v>
      </c>
      <c r="M122" s="4" t="s">
        <v>61</v>
      </c>
      <c r="N122" s="4" t="s">
        <v>39</v>
      </c>
    </row>
    <row r="123" spans="1:14" hidden="1" x14ac:dyDescent="0.2">
      <c r="A123" s="22"/>
      <c r="B123" s="4" t="s">
        <v>21</v>
      </c>
      <c r="C123" s="5">
        <v>44469</v>
      </c>
      <c r="D123" s="4" t="s">
        <v>2404</v>
      </c>
      <c r="E123" s="4" t="s">
        <v>2405</v>
      </c>
      <c r="F123" s="4" t="s">
        <v>2357</v>
      </c>
      <c r="G123" s="6">
        <v>-1649.5105750396999</v>
      </c>
      <c r="H123" s="6">
        <f t="shared" si="1"/>
        <v>-214113.61594644946</v>
      </c>
      <c r="I123" s="4"/>
      <c r="J123" s="4" t="s">
        <v>68</v>
      </c>
      <c r="K123" s="7">
        <v>1573.93</v>
      </c>
      <c r="L123" s="4" t="s">
        <v>1033</v>
      </c>
      <c r="M123" s="4" t="s">
        <v>61</v>
      </c>
      <c r="N123" s="4" t="s">
        <v>39</v>
      </c>
    </row>
    <row r="124" spans="1:14" hidden="1" x14ac:dyDescent="0.2">
      <c r="A124" s="22"/>
      <c r="B124" s="4" t="s">
        <v>21</v>
      </c>
      <c r="C124" s="5">
        <v>44469</v>
      </c>
      <c r="D124" s="4" t="s">
        <v>2406</v>
      </c>
      <c r="E124" s="4" t="s">
        <v>2407</v>
      </c>
      <c r="F124" s="4" t="s">
        <v>2407</v>
      </c>
      <c r="G124" s="6">
        <v>-170285.88950798311</v>
      </c>
      <c r="H124" s="6">
        <f t="shared" si="1"/>
        <v>-384399.50545443257</v>
      </c>
      <c r="I124" s="4"/>
      <c r="J124" s="4" t="s">
        <v>68</v>
      </c>
      <c r="K124" s="7">
        <v>162483.39000000001</v>
      </c>
      <c r="L124" s="4" t="s">
        <v>1033</v>
      </c>
      <c r="M124" s="4" t="s">
        <v>61</v>
      </c>
      <c r="N124" s="4" t="s">
        <v>39</v>
      </c>
    </row>
    <row r="125" spans="1:14" hidden="1" x14ac:dyDescent="0.2">
      <c r="A125" s="22"/>
      <c r="B125" s="4" t="s">
        <v>21</v>
      </c>
      <c r="C125" s="5">
        <v>44469</v>
      </c>
      <c r="D125" s="4" t="s">
        <v>2408</v>
      </c>
      <c r="E125" s="4" t="s">
        <v>2409</v>
      </c>
      <c r="F125" s="4" t="s">
        <v>2409</v>
      </c>
      <c r="G125" s="6">
        <v>32121.821888499999</v>
      </c>
      <c r="H125" s="6">
        <f t="shared" si="1"/>
        <v>-352277.68356593256</v>
      </c>
      <c r="I125" s="4"/>
      <c r="J125" s="4" t="s">
        <v>68</v>
      </c>
      <c r="K125" s="7">
        <v>-30650</v>
      </c>
      <c r="L125" s="4" t="s">
        <v>1033</v>
      </c>
      <c r="M125" s="4" t="s">
        <v>61</v>
      </c>
      <c r="N125" s="4" t="s">
        <v>39</v>
      </c>
    </row>
    <row r="126" spans="1:14" hidden="1" x14ac:dyDescent="0.2">
      <c r="A126" s="22"/>
      <c r="B126" s="4" t="s">
        <v>21</v>
      </c>
      <c r="C126" s="5">
        <v>44469</v>
      </c>
      <c r="D126" s="4" t="s">
        <v>2410</v>
      </c>
      <c r="E126" s="4" t="s">
        <v>2411</v>
      </c>
      <c r="F126" s="4" t="s">
        <v>2411</v>
      </c>
      <c r="G126" s="6">
        <v>-52663.019572500001</v>
      </c>
      <c r="H126" s="6">
        <f t="shared" si="1"/>
        <v>-404940.70313843258</v>
      </c>
      <c r="I126" s="4"/>
      <c r="J126" s="4" t="s">
        <v>68</v>
      </c>
      <c r="K126" s="7">
        <v>50250</v>
      </c>
      <c r="L126" s="4" t="s">
        <v>1033</v>
      </c>
      <c r="M126" s="4" t="s">
        <v>61</v>
      </c>
      <c r="N126" s="4" t="s">
        <v>2412</v>
      </c>
    </row>
    <row r="127" spans="1:14" hidden="1" x14ac:dyDescent="0.2">
      <c r="A127" s="22"/>
      <c r="B127" s="4" t="s">
        <v>21</v>
      </c>
      <c r="C127" s="5">
        <v>44470</v>
      </c>
      <c r="D127" s="4" t="s">
        <v>2413</v>
      </c>
      <c r="E127" s="4" t="s">
        <v>2407</v>
      </c>
      <c r="F127" s="4" t="s">
        <v>2407</v>
      </c>
      <c r="G127" s="6">
        <v>170285.88950798311</v>
      </c>
      <c r="H127" s="6">
        <f t="shared" si="1"/>
        <v>-234654.81363044947</v>
      </c>
      <c r="I127" s="4"/>
      <c r="J127" s="4" t="s">
        <v>68</v>
      </c>
      <c r="K127" s="7">
        <v>-162483.39000000001</v>
      </c>
      <c r="L127" s="4" t="s">
        <v>2127</v>
      </c>
      <c r="M127" s="4" t="s">
        <v>61</v>
      </c>
      <c r="N127" s="4" t="s">
        <v>39</v>
      </c>
    </row>
    <row r="128" spans="1:14" hidden="1" x14ac:dyDescent="0.2">
      <c r="A128" s="22"/>
      <c r="B128" s="4" t="s">
        <v>249</v>
      </c>
      <c r="C128" s="5">
        <v>44475</v>
      </c>
      <c r="D128" s="4" t="s">
        <v>2414</v>
      </c>
      <c r="E128" s="4" t="s">
        <v>2415</v>
      </c>
      <c r="F128" s="4" t="s">
        <v>2415</v>
      </c>
      <c r="G128" s="6">
        <v>3790.1968193937</v>
      </c>
      <c r="H128" s="6">
        <f t="shared" si="1"/>
        <v>-230864.61681105578</v>
      </c>
      <c r="I128" s="4" t="s">
        <v>252</v>
      </c>
      <c r="J128" s="4" t="s">
        <v>68</v>
      </c>
      <c r="K128" s="7">
        <v>-3616.53</v>
      </c>
      <c r="L128" s="4" t="s">
        <v>2127</v>
      </c>
      <c r="M128" s="4" t="s">
        <v>61</v>
      </c>
      <c r="N128" s="4"/>
    </row>
    <row r="129" spans="1:14" hidden="1" x14ac:dyDescent="0.2">
      <c r="A129" s="22"/>
      <c r="B129" s="4" t="s">
        <v>249</v>
      </c>
      <c r="C129" s="5">
        <v>44482</v>
      </c>
      <c r="D129" s="4" t="s">
        <v>2416</v>
      </c>
      <c r="E129" s="4" t="s">
        <v>2417</v>
      </c>
      <c r="F129" s="4" t="s">
        <v>2418</v>
      </c>
      <c r="G129" s="6">
        <v>60786.004756029099</v>
      </c>
      <c r="H129" s="6">
        <f t="shared" si="1"/>
        <v>-170078.61205502669</v>
      </c>
      <c r="I129" s="4" t="s">
        <v>252</v>
      </c>
      <c r="J129" s="4" t="s">
        <v>68</v>
      </c>
      <c r="K129" s="7">
        <v>-58000.79</v>
      </c>
      <c r="L129" s="4" t="s">
        <v>2127</v>
      </c>
      <c r="M129" s="4" t="s">
        <v>61</v>
      </c>
      <c r="N129" s="4"/>
    </row>
    <row r="130" spans="1:14" hidden="1" x14ac:dyDescent="0.2">
      <c r="A130" s="22"/>
      <c r="B130" s="4" t="s">
        <v>249</v>
      </c>
      <c r="C130" s="5">
        <v>44482</v>
      </c>
      <c r="D130" s="4" t="s">
        <v>2416</v>
      </c>
      <c r="E130" s="4" t="s">
        <v>2417</v>
      </c>
      <c r="F130" s="4" t="s">
        <v>2417</v>
      </c>
      <c r="G130" s="6">
        <v>35961.003176248298</v>
      </c>
      <c r="H130" s="6">
        <f t="shared" si="1"/>
        <v>-134117.60887877841</v>
      </c>
      <c r="I130" s="4" t="s">
        <v>252</v>
      </c>
      <c r="J130" s="4" t="s">
        <v>68</v>
      </c>
      <c r="K130" s="7">
        <v>-34313.269999999997</v>
      </c>
      <c r="L130" s="4" t="s">
        <v>2127</v>
      </c>
      <c r="M130" s="4" t="s">
        <v>61</v>
      </c>
      <c r="N130" s="4"/>
    </row>
    <row r="131" spans="1:14" hidden="1" x14ac:dyDescent="0.2">
      <c r="A131" s="22"/>
      <c r="B131" s="4" t="s">
        <v>249</v>
      </c>
      <c r="C131" s="5">
        <v>44494</v>
      </c>
      <c r="D131" s="4" t="s">
        <v>2419</v>
      </c>
      <c r="E131" s="4" t="s">
        <v>2420</v>
      </c>
      <c r="F131" s="4" t="s">
        <v>2420</v>
      </c>
      <c r="G131" s="6">
        <v>896.77000174720001</v>
      </c>
      <c r="H131" s="6">
        <f t="shared" si="1"/>
        <v>-133220.8388770312</v>
      </c>
      <c r="I131" s="4" t="s">
        <v>252</v>
      </c>
      <c r="J131" s="4" t="s">
        <v>68</v>
      </c>
      <c r="K131" s="7">
        <v>-855.68</v>
      </c>
      <c r="L131" s="4" t="s">
        <v>2127</v>
      </c>
      <c r="M131" s="4" t="s">
        <v>61</v>
      </c>
      <c r="N131" s="4"/>
    </row>
    <row r="132" spans="1:14" hidden="1" x14ac:dyDescent="0.2">
      <c r="A132" s="22"/>
      <c r="B132" s="4" t="s">
        <v>21</v>
      </c>
      <c r="C132" s="5">
        <v>44500</v>
      </c>
      <c r="D132" s="4" t="s">
        <v>2421</v>
      </c>
      <c r="E132" s="4" t="s">
        <v>2398</v>
      </c>
      <c r="F132" s="4" t="s">
        <v>2353</v>
      </c>
      <c r="G132" s="6">
        <v>-24.188308293199999</v>
      </c>
      <c r="H132" s="6">
        <f t="shared" si="1"/>
        <v>-133245.0271853244</v>
      </c>
      <c r="I132" s="4"/>
      <c r="J132" s="4" t="s">
        <v>68</v>
      </c>
      <c r="K132" s="7">
        <v>23.08</v>
      </c>
      <c r="L132" s="4" t="s">
        <v>2127</v>
      </c>
      <c r="M132" s="4" t="s">
        <v>61</v>
      </c>
      <c r="N132" s="4" t="s">
        <v>39</v>
      </c>
    </row>
    <row r="133" spans="1:14" hidden="1" x14ac:dyDescent="0.2">
      <c r="A133" s="22"/>
      <c r="B133" s="4" t="s">
        <v>21</v>
      </c>
      <c r="C133" s="5">
        <v>44500</v>
      </c>
      <c r="D133" s="4" t="s">
        <v>2421</v>
      </c>
      <c r="E133" s="4" t="s">
        <v>2398</v>
      </c>
      <c r="F133" s="4" t="s">
        <v>2353</v>
      </c>
      <c r="G133" s="6">
        <v>-352.42826312120002</v>
      </c>
      <c r="H133" s="6">
        <f t="shared" si="1"/>
        <v>-133597.4554484456</v>
      </c>
      <c r="I133" s="4"/>
      <c r="J133" s="4" t="s">
        <v>68</v>
      </c>
      <c r="K133" s="7">
        <v>336.28</v>
      </c>
      <c r="L133" s="4" t="s">
        <v>2127</v>
      </c>
      <c r="M133" s="4" t="s">
        <v>61</v>
      </c>
      <c r="N133" s="4" t="s">
        <v>39</v>
      </c>
    </row>
    <row r="134" spans="1:14" hidden="1" x14ac:dyDescent="0.2">
      <c r="A134" s="22"/>
      <c r="B134" s="4" t="s">
        <v>21</v>
      </c>
      <c r="C134" s="5">
        <v>44500</v>
      </c>
      <c r="D134" s="4" t="s">
        <v>2421</v>
      </c>
      <c r="E134" s="4" t="s">
        <v>2398</v>
      </c>
      <c r="F134" s="4" t="s">
        <v>2353</v>
      </c>
      <c r="G134" s="6">
        <v>-12.6705653061</v>
      </c>
      <c r="H134" s="6">
        <f t="shared" si="1"/>
        <v>-133610.12601375169</v>
      </c>
      <c r="I134" s="4"/>
      <c r="J134" s="4" t="s">
        <v>68</v>
      </c>
      <c r="K134" s="7">
        <v>12.09</v>
      </c>
      <c r="L134" s="4" t="s">
        <v>2127</v>
      </c>
      <c r="M134" s="4" t="s">
        <v>61</v>
      </c>
      <c r="N134" s="4" t="s">
        <v>39</v>
      </c>
    </row>
    <row r="135" spans="1:14" hidden="1" x14ac:dyDescent="0.2">
      <c r="A135" s="22"/>
      <c r="B135" s="4" t="s">
        <v>21</v>
      </c>
      <c r="C135" s="5">
        <v>44500</v>
      </c>
      <c r="D135" s="4" t="s">
        <v>2421</v>
      </c>
      <c r="E135" s="4" t="s">
        <v>2398</v>
      </c>
      <c r="F135" s="4" t="s">
        <v>2354</v>
      </c>
      <c r="G135" s="6">
        <v>-822.83217028770002</v>
      </c>
      <c r="H135" s="6">
        <f t="shared" si="1"/>
        <v>-134432.95818403939</v>
      </c>
      <c r="I135" s="4"/>
      <c r="J135" s="4" t="s">
        <v>68</v>
      </c>
      <c r="K135" s="7">
        <v>785.13</v>
      </c>
      <c r="L135" s="4" t="s">
        <v>2127</v>
      </c>
      <c r="M135" s="4" t="s">
        <v>61</v>
      </c>
      <c r="N135" s="4" t="s">
        <v>39</v>
      </c>
    </row>
    <row r="136" spans="1:14" hidden="1" x14ac:dyDescent="0.2">
      <c r="A136" s="22"/>
      <c r="B136" s="4" t="s">
        <v>21</v>
      </c>
      <c r="C136" s="5">
        <v>44500</v>
      </c>
      <c r="D136" s="4" t="s">
        <v>2421</v>
      </c>
      <c r="E136" s="4" t="s">
        <v>2398</v>
      </c>
      <c r="F136" s="4" t="s">
        <v>2355</v>
      </c>
      <c r="G136" s="6">
        <v>-544.47798126370003</v>
      </c>
      <c r="H136" s="6">
        <f t="shared" si="1"/>
        <v>-134977.43616530311</v>
      </c>
      <c r="I136" s="4"/>
      <c r="J136" s="4" t="s">
        <v>68</v>
      </c>
      <c r="K136" s="7">
        <v>519.53</v>
      </c>
      <c r="L136" s="4" t="s">
        <v>2127</v>
      </c>
      <c r="M136" s="4" t="s">
        <v>61</v>
      </c>
      <c r="N136" s="4" t="s">
        <v>39</v>
      </c>
    </row>
    <row r="137" spans="1:14" hidden="1" x14ac:dyDescent="0.2">
      <c r="A137" s="22"/>
      <c r="B137" s="4" t="s">
        <v>21</v>
      </c>
      <c r="C137" s="5">
        <v>44500</v>
      </c>
      <c r="D137" s="4" t="s">
        <v>2421</v>
      </c>
      <c r="E137" s="4" t="s">
        <v>2398</v>
      </c>
      <c r="F137" s="4" t="s">
        <v>2356</v>
      </c>
      <c r="G137" s="6">
        <v>-1331.0276891116</v>
      </c>
      <c r="H137" s="6">
        <f t="shared" si="1"/>
        <v>-136308.4638544147</v>
      </c>
      <c r="I137" s="4"/>
      <c r="J137" s="4" t="s">
        <v>68</v>
      </c>
      <c r="K137" s="7">
        <v>1270.04</v>
      </c>
      <c r="L137" s="4" t="s">
        <v>2127</v>
      </c>
      <c r="M137" s="4" t="s">
        <v>61</v>
      </c>
      <c r="N137" s="4" t="s">
        <v>39</v>
      </c>
    </row>
    <row r="138" spans="1:14" hidden="1" x14ac:dyDescent="0.2">
      <c r="A138" s="22"/>
      <c r="B138" s="4" t="s">
        <v>21</v>
      </c>
      <c r="C138" s="5">
        <v>44500</v>
      </c>
      <c r="D138" s="4" t="s">
        <v>2421</v>
      </c>
      <c r="E138" s="4" t="s">
        <v>2398</v>
      </c>
      <c r="F138" s="4" t="s">
        <v>2357</v>
      </c>
      <c r="G138" s="6">
        <v>-630.27940240600003</v>
      </c>
      <c r="H138" s="6">
        <f t="shared" ref="H138:H201" si="2">H137+G138</f>
        <v>-136938.74325682072</v>
      </c>
      <c r="I138" s="4"/>
      <c r="J138" s="4" t="s">
        <v>68</v>
      </c>
      <c r="K138" s="7">
        <v>601.4</v>
      </c>
      <c r="L138" s="4" t="s">
        <v>2127</v>
      </c>
      <c r="M138" s="4" t="s">
        <v>61</v>
      </c>
      <c r="N138" s="4" t="s">
        <v>39</v>
      </c>
    </row>
    <row r="139" spans="1:14" hidden="1" x14ac:dyDescent="0.2">
      <c r="A139" s="22"/>
      <c r="B139" s="4" t="s">
        <v>21</v>
      </c>
      <c r="C139" s="5">
        <v>44500</v>
      </c>
      <c r="D139" s="4" t="s">
        <v>2421</v>
      </c>
      <c r="E139" s="4" t="s">
        <v>2398</v>
      </c>
      <c r="F139" s="4" t="s">
        <v>2354</v>
      </c>
      <c r="G139" s="6">
        <v>-430.63153716099998</v>
      </c>
      <c r="H139" s="6">
        <f t="shared" si="2"/>
        <v>-137369.37479398173</v>
      </c>
      <c r="I139" s="4"/>
      <c r="J139" s="4" t="s">
        <v>68</v>
      </c>
      <c r="K139" s="7">
        <v>410.9</v>
      </c>
      <c r="L139" s="4" t="s">
        <v>2127</v>
      </c>
      <c r="M139" s="4" t="s">
        <v>61</v>
      </c>
      <c r="N139" s="4" t="s">
        <v>39</v>
      </c>
    </row>
    <row r="140" spans="1:14" hidden="1" x14ac:dyDescent="0.2">
      <c r="A140" s="22"/>
      <c r="B140" s="4" t="s">
        <v>21</v>
      </c>
      <c r="C140" s="5">
        <v>44500</v>
      </c>
      <c r="D140" s="4" t="s">
        <v>2421</v>
      </c>
      <c r="E140" s="4" t="s">
        <v>2398</v>
      </c>
      <c r="F140" s="4" t="s">
        <v>2355</v>
      </c>
      <c r="G140" s="6">
        <v>-284.98815745970001</v>
      </c>
      <c r="H140" s="6">
        <f t="shared" si="2"/>
        <v>-137654.36295144144</v>
      </c>
      <c r="I140" s="4"/>
      <c r="J140" s="4" t="s">
        <v>68</v>
      </c>
      <c r="K140" s="7">
        <v>271.93</v>
      </c>
      <c r="L140" s="4" t="s">
        <v>2127</v>
      </c>
      <c r="M140" s="4" t="s">
        <v>61</v>
      </c>
      <c r="N140" s="4" t="s">
        <v>39</v>
      </c>
    </row>
    <row r="141" spans="1:14" hidden="1" x14ac:dyDescent="0.2">
      <c r="A141" s="22"/>
      <c r="B141" s="4" t="s">
        <v>21</v>
      </c>
      <c r="C141" s="5">
        <v>44500</v>
      </c>
      <c r="D141" s="4" t="s">
        <v>2421</v>
      </c>
      <c r="E141" s="4" t="s">
        <v>2398</v>
      </c>
      <c r="F141" s="4" t="s">
        <v>2356</v>
      </c>
      <c r="G141" s="6">
        <v>-696.59812635720004</v>
      </c>
      <c r="H141" s="6">
        <f t="shared" si="2"/>
        <v>-138350.96107779862</v>
      </c>
      <c r="I141" s="4"/>
      <c r="J141" s="4" t="s">
        <v>68</v>
      </c>
      <c r="K141" s="7">
        <v>664.68</v>
      </c>
      <c r="L141" s="4" t="s">
        <v>2127</v>
      </c>
      <c r="M141" s="4" t="s">
        <v>61</v>
      </c>
      <c r="N141" s="4" t="s">
        <v>39</v>
      </c>
    </row>
    <row r="142" spans="1:14" hidden="1" x14ac:dyDescent="0.2">
      <c r="A142" s="22"/>
      <c r="B142" s="4" t="s">
        <v>21</v>
      </c>
      <c r="C142" s="5">
        <v>44500</v>
      </c>
      <c r="D142" s="4" t="s">
        <v>2421</v>
      </c>
      <c r="E142" s="4" t="s">
        <v>2398</v>
      </c>
      <c r="F142" s="4" t="s">
        <v>2357</v>
      </c>
      <c r="G142" s="6">
        <v>-631.222620667</v>
      </c>
      <c r="H142" s="6">
        <f t="shared" si="2"/>
        <v>-138982.18369846561</v>
      </c>
      <c r="I142" s="4"/>
      <c r="J142" s="4" t="s">
        <v>68</v>
      </c>
      <c r="K142" s="7">
        <v>602.29999999999995</v>
      </c>
      <c r="L142" s="4" t="s">
        <v>2127</v>
      </c>
      <c r="M142" s="4" t="s">
        <v>61</v>
      </c>
      <c r="N142" s="4" t="s">
        <v>39</v>
      </c>
    </row>
    <row r="143" spans="1:14" hidden="1" x14ac:dyDescent="0.2">
      <c r="A143" s="22"/>
      <c r="B143" s="4" t="s">
        <v>21</v>
      </c>
      <c r="C143" s="5">
        <v>44500</v>
      </c>
      <c r="D143" s="4" t="s">
        <v>2421</v>
      </c>
      <c r="E143" s="4" t="s">
        <v>2398</v>
      </c>
      <c r="F143" s="4" t="s">
        <v>2354</v>
      </c>
      <c r="G143" s="6">
        <v>-11981.208999946701</v>
      </c>
      <c r="H143" s="6">
        <f t="shared" si="2"/>
        <v>-150963.39269841232</v>
      </c>
      <c r="I143" s="4"/>
      <c r="J143" s="4" t="s">
        <v>68</v>
      </c>
      <c r="K143" s="7">
        <v>11432.23</v>
      </c>
      <c r="L143" s="4" t="s">
        <v>2127</v>
      </c>
      <c r="M143" s="4" t="s">
        <v>61</v>
      </c>
      <c r="N143" s="4" t="s">
        <v>39</v>
      </c>
    </row>
    <row r="144" spans="1:14" hidden="1" x14ac:dyDescent="0.2">
      <c r="A144" s="22"/>
      <c r="B144" s="4" t="s">
        <v>21</v>
      </c>
      <c r="C144" s="5">
        <v>44500</v>
      </c>
      <c r="D144" s="4" t="s">
        <v>2421</v>
      </c>
      <c r="E144" s="4" t="s">
        <v>2398</v>
      </c>
      <c r="F144" s="4" t="s">
        <v>2355</v>
      </c>
      <c r="G144" s="6">
        <v>-7928.6927019659997</v>
      </c>
      <c r="H144" s="6">
        <f t="shared" si="2"/>
        <v>-158892.08540037833</v>
      </c>
      <c r="I144" s="4"/>
      <c r="J144" s="4" t="s">
        <v>68</v>
      </c>
      <c r="K144" s="7">
        <v>7565.4</v>
      </c>
      <c r="L144" s="4" t="s">
        <v>2127</v>
      </c>
      <c r="M144" s="4" t="s">
        <v>61</v>
      </c>
      <c r="N144" s="4" t="s">
        <v>39</v>
      </c>
    </row>
    <row r="145" spans="1:14" hidden="1" x14ac:dyDescent="0.2">
      <c r="A145" s="22"/>
      <c r="B145" s="4" t="s">
        <v>21</v>
      </c>
      <c r="C145" s="5">
        <v>44500</v>
      </c>
      <c r="D145" s="4" t="s">
        <v>2421</v>
      </c>
      <c r="E145" s="4" t="s">
        <v>2398</v>
      </c>
      <c r="F145" s="4" t="s">
        <v>2356</v>
      </c>
      <c r="G145" s="6">
        <v>-19381.238346825099</v>
      </c>
      <c r="H145" s="6">
        <f t="shared" si="2"/>
        <v>-178273.32374720342</v>
      </c>
      <c r="I145" s="4"/>
      <c r="J145" s="4" t="s">
        <v>68</v>
      </c>
      <c r="K145" s="7">
        <v>18493.189999999999</v>
      </c>
      <c r="L145" s="4" t="s">
        <v>2127</v>
      </c>
      <c r="M145" s="4" t="s">
        <v>61</v>
      </c>
      <c r="N145" s="4" t="s">
        <v>39</v>
      </c>
    </row>
    <row r="146" spans="1:14" hidden="1" x14ac:dyDescent="0.2">
      <c r="A146" s="22"/>
      <c r="B146" s="4" t="s">
        <v>21</v>
      </c>
      <c r="C146" s="5">
        <v>44500</v>
      </c>
      <c r="D146" s="4" t="s">
        <v>2421</v>
      </c>
      <c r="E146" s="4" t="s">
        <v>2398</v>
      </c>
      <c r="F146" s="4" t="s">
        <v>2357</v>
      </c>
      <c r="G146" s="6">
        <v>-2528.6843161177999</v>
      </c>
      <c r="H146" s="6">
        <f t="shared" si="2"/>
        <v>-180802.00806332123</v>
      </c>
      <c r="I146" s="4"/>
      <c r="J146" s="4" t="s">
        <v>68</v>
      </c>
      <c r="K146" s="7">
        <v>2412.8200000000002</v>
      </c>
      <c r="L146" s="4" t="s">
        <v>2127</v>
      </c>
      <c r="M146" s="4" t="s">
        <v>61</v>
      </c>
      <c r="N146" s="4" t="s">
        <v>39</v>
      </c>
    </row>
    <row r="147" spans="1:14" hidden="1" x14ac:dyDescent="0.2">
      <c r="A147" s="22"/>
      <c r="B147" s="4" t="s">
        <v>21</v>
      </c>
      <c r="C147" s="5">
        <v>44500</v>
      </c>
      <c r="D147" s="4" t="s">
        <v>2421</v>
      </c>
      <c r="E147" s="4" t="s">
        <v>2398</v>
      </c>
      <c r="F147" s="4" t="s">
        <v>2422</v>
      </c>
      <c r="G147" s="6">
        <v>-34.940996468599998</v>
      </c>
      <c r="H147" s="6">
        <f t="shared" si="2"/>
        <v>-180836.94905978983</v>
      </c>
      <c r="I147" s="4"/>
      <c r="J147" s="4" t="s">
        <v>68</v>
      </c>
      <c r="K147" s="7">
        <v>33.340000000000003</v>
      </c>
      <c r="L147" s="4" t="s">
        <v>2127</v>
      </c>
      <c r="M147" s="4" t="s">
        <v>61</v>
      </c>
      <c r="N147" s="4" t="s">
        <v>39</v>
      </c>
    </row>
    <row r="148" spans="1:14" hidden="1" x14ac:dyDescent="0.2">
      <c r="A148" s="22"/>
      <c r="B148" s="4" t="s">
        <v>21</v>
      </c>
      <c r="C148" s="5">
        <v>44500</v>
      </c>
      <c r="D148" s="4" t="s">
        <v>2423</v>
      </c>
      <c r="E148" s="4" t="s">
        <v>2424</v>
      </c>
      <c r="F148" s="4" t="s">
        <v>2424</v>
      </c>
      <c r="G148" s="6">
        <v>-207188.7380386515</v>
      </c>
      <c r="H148" s="6">
        <f t="shared" si="2"/>
        <v>-388025.6870984413</v>
      </c>
      <c r="I148" s="4"/>
      <c r="J148" s="4" t="s">
        <v>68</v>
      </c>
      <c r="K148" s="7">
        <v>197695.35</v>
      </c>
      <c r="L148" s="4" t="s">
        <v>2127</v>
      </c>
      <c r="M148" s="4" t="s">
        <v>61</v>
      </c>
      <c r="N148" s="4" t="s">
        <v>39</v>
      </c>
    </row>
    <row r="149" spans="1:14" hidden="1" x14ac:dyDescent="0.2">
      <c r="A149" s="22"/>
      <c r="B149" s="4" t="s">
        <v>21</v>
      </c>
      <c r="C149" s="5">
        <v>44501</v>
      </c>
      <c r="D149" s="4" t="s">
        <v>2425</v>
      </c>
      <c r="E149" s="4" t="s">
        <v>2424</v>
      </c>
      <c r="F149" s="4" t="s">
        <v>2424</v>
      </c>
      <c r="G149" s="6">
        <v>207188.7380386515</v>
      </c>
      <c r="H149" s="6">
        <f t="shared" si="2"/>
        <v>-180836.9490597898</v>
      </c>
      <c r="I149" s="4"/>
      <c r="J149" s="4" t="s">
        <v>68</v>
      </c>
      <c r="K149" s="7">
        <v>-197695.35</v>
      </c>
      <c r="L149" s="4" t="s">
        <v>1133</v>
      </c>
      <c r="M149" s="4" t="s">
        <v>61</v>
      </c>
      <c r="N149" s="4" t="s">
        <v>39</v>
      </c>
    </row>
    <row r="150" spans="1:14" hidden="1" x14ac:dyDescent="0.2">
      <c r="A150" s="22"/>
      <c r="B150" s="4" t="s">
        <v>249</v>
      </c>
      <c r="C150" s="5">
        <v>44504</v>
      </c>
      <c r="D150" s="4" t="s">
        <v>2426</v>
      </c>
      <c r="E150" s="4" t="s">
        <v>2427</v>
      </c>
      <c r="F150" s="4" t="s">
        <v>2427</v>
      </c>
      <c r="G150" s="6">
        <v>4049.1731132556001</v>
      </c>
      <c r="H150" s="6">
        <f t="shared" si="2"/>
        <v>-176787.77594653421</v>
      </c>
      <c r="I150" s="4" t="s">
        <v>252</v>
      </c>
      <c r="J150" s="4" t="s">
        <v>68</v>
      </c>
      <c r="K150" s="7">
        <v>-3863.64</v>
      </c>
      <c r="L150" s="4" t="s">
        <v>1133</v>
      </c>
      <c r="M150" s="4" t="s">
        <v>61</v>
      </c>
      <c r="N150" s="4"/>
    </row>
    <row r="151" spans="1:14" hidden="1" x14ac:dyDescent="0.2">
      <c r="A151" s="22"/>
      <c r="B151" s="4" t="s">
        <v>21</v>
      </c>
      <c r="C151" s="5">
        <v>44530</v>
      </c>
      <c r="D151" s="4" t="s">
        <v>2428</v>
      </c>
      <c r="E151" s="4" t="s">
        <v>2429</v>
      </c>
      <c r="F151" s="4" t="s">
        <v>2353</v>
      </c>
      <c r="G151" s="6">
        <v>-9.8094699143999993</v>
      </c>
      <c r="H151" s="6">
        <f t="shared" si="2"/>
        <v>-176797.58541644862</v>
      </c>
      <c r="I151" s="4"/>
      <c r="J151" s="4" t="s">
        <v>68</v>
      </c>
      <c r="K151" s="7">
        <v>9.36</v>
      </c>
      <c r="L151" s="4" t="s">
        <v>1133</v>
      </c>
      <c r="M151" s="4" t="s">
        <v>61</v>
      </c>
      <c r="N151" s="4" t="s">
        <v>39</v>
      </c>
    </row>
    <row r="152" spans="1:14" hidden="1" x14ac:dyDescent="0.2">
      <c r="A152" s="22"/>
      <c r="B152" s="4" t="s">
        <v>21</v>
      </c>
      <c r="C152" s="5">
        <v>44530</v>
      </c>
      <c r="D152" s="4" t="s">
        <v>2428</v>
      </c>
      <c r="E152" s="4" t="s">
        <v>2429</v>
      </c>
      <c r="F152" s="4" t="s">
        <v>2353</v>
      </c>
      <c r="G152" s="6">
        <v>-17.921146959000001</v>
      </c>
      <c r="H152" s="6">
        <f t="shared" si="2"/>
        <v>-176815.50656340763</v>
      </c>
      <c r="I152" s="4"/>
      <c r="J152" s="4" t="s">
        <v>68</v>
      </c>
      <c r="K152" s="7">
        <v>17.100000000000001</v>
      </c>
      <c r="L152" s="4" t="s">
        <v>1133</v>
      </c>
      <c r="M152" s="4" t="s">
        <v>61</v>
      </c>
      <c r="N152" s="4" t="s">
        <v>39</v>
      </c>
    </row>
    <row r="153" spans="1:14" hidden="1" x14ac:dyDescent="0.2">
      <c r="A153" s="22"/>
      <c r="B153" s="4" t="s">
        <v>21</v>
      </c>
      <c r="C153" s="5">
        <v>44530</v>
      </c>
      <c r="D153" s="4" t="s">
        <v>2428</v>
      </c>
      <c r="E153" s="4" t="s">
        <v>2429</v>
      </c>
      <c r="F153" s="4" t="s">
        <v>2353</v>
      </c>
      <c r="G153" s="6">
        <v>-273.04072615370001</v>
      </c>
      <c r="H153" s="6">
        <f t="shared" si="2"/>
        <v>-177088.54728956133</v>
      </c>
      <c r="I153" s="4"/>
      <c r="J153" s="4" t="s">
        <v>68</v>
      </c>
      <c r="K153" s="7">
        <v>260.52999999999997</v>
      </c>
      <c r="L153" s="4" t="s">
        <v>1133</v>
      </c>
      <c r="M153" s="4" t="s">
        <v>61</v>
      </c>
      <c r="N153" s="4" t="s">
        <v>39</v>
      </c>
    </row>
    <row r="154" spans="1:14" hidden="1" x14ac:dyDescent="0.2">
      <c r="A154" s="22"/>
      <c r="B154" s="4" t="s">
        <v>21</v>
      </c>
      <c r="C154" s="5">
        <v>44530</v>
      </c>
      <c r="D154" s="4" t="s">
        <v>2428</v>
      </c>
      <c r="E154" s="4" t="s">
        <v>2429</v>
      </c>
      <c r="F154" s="4" t="s">
        <v>2355</v>
      </c>
      <c r="G154" s="6">
        <v>-220.90171672619999</v>
      </c>
      <c r="H154" s="6">
        <f t="shared" si="2"/>
        <v>-177309.44900628753</v>
      </c>
      <c r="I154" s="4"/>
      <c r="J154" s="4" t="s">
        <v>68</v>
      </c>
      <c r="K154" s="7">
        <v>210.78</v>
      </c>
      <c r="L154" s="4" t="s">
        <v>1133</v>
      </c>
      <c r="M154" s="4" t="s">
        <v>61</v>
      </c>
      <c r="N154" s="4" t="s">
        <v>39</v>
      </c>
    </row>
    <row r="155" spans="1:14" hidden="1" x14ac:dyDescent="0.2">
      <c r="A155" s="22"/>
      <c r="B155" s="4" t="s">
        <v>21</v>
      </c>
      <c r="C155" s="5">
        <v>44530</v>
      </c>
      <c r="D155" s="4" t="s">
        <v>2428</v>
      </c>
      <c r="E155" s="4" t="s">
        <v>2429</v>
      </c>
      <c r="F155" s="4" t="s">
        <v>2356</v>
      </c>
      <c r="G155" s="6">
        <v>-539.97149401670003</v>
      </c>
      <c r="H155" s="6">
        <f t="shared" si="2"/>
        <v>-177849.42050030423</v>
      </c>
      <c r="I155" s="4"/>
      <c r="J155" s="4" t="s">
        <v>68</v>
      </c>
      <c r="K155" s="7">
        <v>515.23</v>
      </c>
      <c r="L155" s="4" t="s">
        <v>1133</v>
      </c>
      <c r="M155" s="4" t="s">
        <v>61</v>
      </c>
      <c r="N155" s="4" t="s">
        <v>39</v>
      </c>
    </row>
    <row r="156" spans="1:14" hidden="1" x14ac:dyDescent="0.2">
      <c r="A156" s="22"/>
      <c r="B156" s="4" t="s">
        <v>21</v>
      </c>
      <c r="C156" s="5">
        <v>44530</v>
      </c>
      <c r="D156" s="4" t="s">
        <v>2428</v>
      </c>
      <c r="E156" s="4" t="s">
        <v>2429</v>
      </c>
      <c r="F156" s="4" t="s">
        <v>2354</v>
      </c>
      <c r="G156" s="6">
        <v>-333.81542277080001</v>
      </c>
      <c r="H156" s="6">
        <f t="shared" si="2"/>
        <v>-178183.23592307503</v>
      </c>
      <c r="I156" s="4"/>
      <c r="J156" s="4" t="s">
        <v>68</v>
      </c>
      <c r="K156" s="7">
        <v>318.52</v>
      </c>
      <c r="L156" s="4" t="s">
        <v>1133</v>
      </c>
      <c r="M156" s="4" t="s">
        <v>61</v>
      </c>
      <c r="N156" s="4" t="s">
        <v>39</v>
      </c>
    </row>
    <row r="157" spans="1:14" hidden="1" x14ac:dyDescent="0.2">
      <c r="A157" s="22"/>
      <c r="B157" s="4" t="s">
        <v>21</v>
      </c>
      <c r="C157" s="5">
        <v>44530</v>
      </c>
      <c r="D157" s="4" t="s">
        <v>2428</v>
      </c>
      <c r="E157" s="4" t="s">
        <v>2429</v>
      </c>
      <c r="F157" s="4" t="s">
        <v>2355</v>
      </c>
      <c r="G157" s="6">
        <v>-403.49829185290002</v>
      </c>
      <c r="H157" s="6">
        <f t="shared" si="2"/>
        <v>-178586.73421492794</v>
      </c>
      <c r="I157" s="4"/>
      <c r="J157" s="4" t="s">
        <v>68</v>
      </c>
      <c r="K157" s="7">
        <v>385.01</v>
      </c>
      <c r="L157" s="4" t="s">
        <v>1133</v>
      </c>
      <c r="M157" s="4" t="s">
        <v>61</v>
      </c>
      <c r="N157" s="4" t="s">
        <v>39</v>
      </c>
    </row>
    <row r="158" spans="1:14" hidden="1" x14ac:dyDescent="0.2">
      <c r="A158" s="22"/>
      <c r="B158" s="4" t="s">
        <v>21</v>
      </c>
      <c r="C158" s="5">
        <v>44530</v>
      </c>
      <c r="D158" s="4" t="s">
        <v>2428</v>
      </c>
      <c r="E158" s="4" t="s">
        <v>2429</v>
      </c>
      <c r="F158" s="4" t="s">
        <v>2356</v>
      </c>
      <c r="G158" s="6">
        <v>-986.23949390450002</v>
      </c>
      <c r="H158" s="6">
        <f t="shared" si="2"/>
        <v>-179572.97370883243</v>
      </c>
      <c r="I158" s="4"/>
      <c r="J158" s="4" t="s">
        <v>68</v>
      </c>
      <c r="K158" s="7">
        <v>941.05</v>
      </c>
      <c r="L158" s="4" t="s">
        <v>1133</v>
      </c>
      <c r="M158" s="4" t="s">
        <v>61</v>
      </c>
      <c r="N158" s="4" t="s">
        <v>39</v>
      </c>
    </row>
    <row r="159" spans="1:14" hidden="1" x14ac:dyDescent="0.2">
      <c r="A159" s="22"/>
      <c r="B159" s="4" t="s">
        <v>21</v>
      </c>
      <c r="C159" s="5">
        <v>44530</v>
      </c>
      <c r="D159" s="4" t="s">
        <v>2428</v>
      </c>
      <c r="E159" s="4" t="s">
        <v>2429</v>
      </c>
      <c r="F159" s="4" t="s">
        <v>2354</v>
      </c>
      <c r="G159" s="6">
        <v>-609.66484330169999</v>
      </c>
      <c r="H159" s="6">
        <f t="shared" si="2"/>
        <v>-180182.63855213413</v>
      </c>
      <c r="I159" s="4"/>
      <c r="J159" s="4" t="s">
        <v>68</v>
      </c>
      <c r="K159" s="7">
        <v>581.73</v>
      </c>
      <c r="L159" s="4" t="s">
        <v>1133</v>
      </c>
      <c r="M159" s="4" t="s">
        <v>61</v>
      </c>
      <c r="N159" s="4" t="s">
        <v>39</v>
      </c>
    </row>
    <row r="160" spans="1:14" hidden="1" x14ac:dyDescent="0.2">
      <c r="A160" s="22"/>
      <c r="B160" s="4" t="s">
        <v>21</v>
      </c>
      <c r="C160" s="5">
        <v>44530</v>
      </c>
      <c r="D160" s="4" t="s">
        <v>2428</v>
      </c>
      <c r="E160" s="4" t="s">
        <v>2429</v>
      </c>
      <c r="F160" s="4" t="s">
        <v>2357</v>
      </c>
      <c r="G160" s="6">
        <v>-1262.1203550441001</v>
      </c>
      <c r="H160" s="6">
        <f t="shared" si="2"/>
        <v>-181444.75890717824</v>
      </c>
      <c r="I160" s="4"/>
      <c r="J160" s="4" t="s">
        <v>68</v>
      </c>
      <c r="K160" s="7">
        <v>1204.29</v>
      </c>
      <c r="L160" s="4" t="s">
        <v>1133</v>
      </c>
      <c r="M160" s="4" t="s">
        <v>61</v>
      </c>
      <c r="N160" s="4" t="s">
        <v>39</v>
      </c>
    </row>
    <row r="161" spans="1:14" hidden="1" x14ac:dyDescent="0.2">
      <c r="A161" s="22"/>
      <c r="B161" s="4" t="s">
        <v>21</v>
      </c>
      <c r="C161" s="5">
        <v>44530</v>
      </c>
      <c r="D161" s="4" t="s">
        <v>2428</v>
      </c>
      <c r="E161" s="4" t="s">
        <v>2429</v>
      </c>
      <c r="F161" s="4" t="s">
        <v>2356</v>
      </c>
      <c r="G161" s="6">
        <v>-15014.787570974901</v>
      </c>
      <c r="H161" s="6">
        <f t="shared" si="2"/>
        <v>-196459.54647815315</v>
      </c>
      <c r="I161" s="4"/>
      <c r="J161" s="4" t="s">
        <v>68</v>
      </c>
      <c r="K161" s="7">
        <v>14326.81</v>
      </c>
      <c r="L161" s="4" t="s">
        <v>1133</v>
      </c>
      <c r="M161" s="4" t="s">
        <v>61</v>
      </c>
      <c r="N161" s="4" t="s">
        <v>39</v>
      </c>
    </row>
    <row r="162" spans="1:14" hidden="1" x14ac:dyDescent="0.2">
      <c r="A162" s="22"/>
      <c r="B162" s="4" t="s">
        <v>21</v>
      </c>
      <c r="C162" s="5">
        <v>44530</v>
      </c>
      <c r="D162" s="4" t="s">
        <v>2428</v>
      </c>
      <c r="E162" s="4" t="s">
        <v>2429</v>
      </c>
      <c r="F162" s="4" t="s">
        <v>2354</v>
      </c>
      <c r="G162" s="6">
        <v>-9281.9174608198009</v>
      </c>
      <c r="H162" s="6">
        <f t="shared" si="2"/>
        <v>-205741.46393897294</v>
      </c>
      <c r="I162" s="4"/>
      <c r="J162" s="4" t="s">
        <v>68</v>
      </c>
      <c r="K162" s="7">
        <v>8856.6200000000008</v>
      </c>
      <c r="L162" s="4" t="s">
        <v>1133</v>
      </c>
      <c r="M162" s="4" t="s">
        <v>61</v>
      </c>
      <c r="N162" s="4" t="s">
        <v>39</v>
      </c>
    </row>
    <row r="163" spans="1:14" hidden="1" x14ac:dyDescent="0.2">
      <c r="A163" s="22"/>
      <c r="B163" s="4" t="s">
        <v>21</v>
      </c>
      <c r="C163" s="5">
        <v>44530</v>
      </c>
      <c r="D163" s="4" t="s">
        <v>2428</v>
      </c>
      <c r="E163" s="4" t="s">
        <v>2429</v>
      </c>
      <c r="F163" s="4" t="s">
        <v>2355</v>
      </c>
      <c r="G163" s="6">
        <v>-6142.3735582697</v>
      </c>
      <c r="H163" s="6">
        <f t="shared" si="2"/>
        <v>-211883.83749724264</v>
      </c>
      <c r="I163" s="4"/>
      <c r="J163" s="4" t="s">
        <v>68</v>
      </c>
      <c r="K163" s="7">
        <v>5860.93</v>
      </c>
      <c r="L163" s="4" t="s">
        <v>1133</v>
      </c>
      <c r="M163" s="4" t="s">
        <v>61</v>
      </c>
      <c r="N163" s="4" t="s">
        <v>39</v>
      </c>
    </row>
    <row r="164" spans="1:14" hidden="1" x14ac:dyDescent="0.2">
      <c r="A164" s="22"/>
      <c r="B164" s="4" t="s">
        <v>21</v>
      </c>
      <c r="C164" s="5">
        <v>44530</v>
      </c>
      <c r="D164" s="4" t="s">
        <v>2428</v>
      </c>
      <c r="E164" s="4" t="s">
        <v>2429</v>
      </c>
      <c r="F164" s="4" t="s">
        <v>2357</v>
      </c>
      <c r="G164" s="6">
        <v>-3066.2139228587998</v>
      </c>
      <c r="H164" s="6">
        <f t="shared" si="2"/>
        <v>-214950.05142010143</v>
      </c>
      <c r="I164" s="4"/>
      <c r="J164" s="4" t="s">
        <v>68</v>
      </c>
      <c r="K164" s="7">
        <v>2925.72</v>
      </c>
      <c r="L164" s="4" t="s">
        <v>1133</v>
      </c>
      <c r="M164" s="4" t="s">
        <v>61</v>
      </c>
      <c r="N164" s="4" t="s">
        <v>39</v>
      </c>
    </row>
    <row r="165" spans="1:14" hidden="1" x14ac:dyDescent="0.2">
      <c r="A165" s="22"/>
      <c r="B165" s="4" t="s">
        <v>21</v>
      </c>
      <c r="C165" s="5">
        <v>44530</v>
      </c>
      <c r="D165" s="4" t="s">
        <v>2428</v>
      </c>
      <c r="E165" s="4" t="s">
        <v>2429</v>
      </c>
      <c r="F165" s="4" t="s">
        <v>2422</v>
      </c>
      <c r="G165" s="6">
        <v>-34.940996468599998</v>
      </c>
      <c r="H165" s="6">
        <f t="shared" si="2"/>
        <v>-214984.99241657002</v>
      </c>
      <c r="I165" s="4"/>
      <c r="J165" s="4" t="s">
        <v>68</v>
      </c>
      <c r="K165" s="7">
        <v>33.340000000000003</v>
      </c>
      <c r="L165" s="4" t="s">
        <v>1133</v>
      </c>
      <c r="M165" s="4" t="s">
        <v>61</v>
      </c>
      <c r="N165" s="4" t="s">
        <v>39</v>
      </c>
    </row>
    <row r="166" spans="1:14" hidden="1" x14ac:dyDescent="0.2">
      <c r="A166" s="22"/>
      <c r="B166" s="4" t="s">
        <v>21</v>
      </c>
      <c r="C166" s="5">
        <v>44530</v>
      </c>
      <c r="D166" s="4" t="s">
        <v>2430</v>
      </c>
      <c r="E166" s="4" t="s">
        <v>2431</v>
      </c>
      <c r="F166" s="4" t="s">
        <v>2432</v>
      </c>
      <c r="G166" s="6">
        <v>-86.346391693100003</v>
      </c>
      <c r="H166" s="6">
        <f t="shared" si="2"/>
        <v>-215071.33880826313</v>
      </c>
      <c r="I166" s="4"/>
      <c r="J166" s="4" t="s">
        <v>68</v>
      </c>
      <c r="K166" s="7">
        <v>82.39</v>
      </c>
      <c r="L166" s="4" t="s">
        <v>1133</v>
      </c>
      <c r="M166" s="4" t="s">
        <v>61</v>
      </c>
      <c r="N166" s="4" t="s">
        <v>39</v>
      </c>
    </row>
    <row r="167" spans="1:14" hidden="1" x14ac:dyDescent="0.2">
      <c r="A167" s="22"/>
      <c r="B167" s="4" t="s">
        <v>21</v>
      </c>
      <c r="C167" s="5">
        <v>44530</v>
      </c>
      <c r="D167" s="4" t="s">
        <v>2430</v>
      </c>
      <c r="E167" s="4" t="s">
        <v>2431</v>
      </c>
      <c r="F167" s="4" t="s">
        <v>2433</v>
      </c>
      <c r="G167" s="6">
        <v>-34.102580236599998</v>
      </c>
      <c r="H167" s="6">
        <f t="shared" si="2"/>
        <v>-215105.44138849972</v>
      </c>
      <c r="I167" s="4"/>
      <c r="J167" s="4" t="s">
        <v>68</v>
      </c>
      <c r="K167" s="7">
        <v>32.54</v>
      </c>
      <c r="L167" s="4" t="s">
        <v>1133</v>
      </c>
      <c r="M167" s="4" t="s">
        <v>61</v>
      </c>
      <c r="N167" s="4" t="s">
        <v>39</v>
      </c>
    </row>
    <row r="168" spans="1:14" hidden="1" x14ac:dyDescent="0.2">
      <c r="A168" s="22"/>
      <c r="B168" s="4" t="s">
        <v>21</v>
      </c>
      <c r="C168" s="5">
        <v>44530</v>
      </c>
      <c r="D168" s="4" t="s">
        <v>2430</v>
      </c>
      <c r="E168" s="4" t="s">
        <v>2431</v>
      </c>
      <c r="F168" s="4" t="s">
        <v>2434</v>
      </c>
      <c r="G168" s="6">
        <v>-27.384770177699998</v>
      </c>
      <c r="H168" s="6">
        <f t="shared" si="2"/>
        <v>-215132.82615867743</v>
      </c>
      <c r="I168" s="4"/>
      <c r="J168" s="4" t="s">
        <v>68</v>
      </c>
      <c r="K168" s="7">
        <v>26.13</v>
      </c>
      <c r="L168" s="4" t="s">
        <v>1133</v>
      </c>
      <c r="M168" s="4" t="s">
        <v>61</v>
      </c>
      <c r="N168" s="4" t="s">
        <v>39</v>
      </c>
    </row>
    <row r="169" spans="1:14" hidden="1" x14ac:dyDescent="0.2">
      <c r="A169" s="22"/>
      <c r="B169" s="4" t="s">
        <v>21</v>
      </c>
      <c r="C169" s="5">
        <v>44530</v>
      </c>
      <c r="D169" s="4" t="s">
        <v>2435</v>
      </c>
      <c r="E169" s="4" t="s">
        <v>2436</v>
      </c>
      <c r="F169" s="4" t="s">
        <v>2436</v>
      </c>
      <c r="G169" s="6">
        <v>-250753.41138432809</v>
      </c>
      <c r="H169" s="6">
        <f t="shared" si="2"/>
        <v>-465886.2375430055</v>
      </c>
      <c r="I169" s="4"/>
      <c r="J169" s="4" t="s">
        <v>68</v>
      </c>
      <c r="K169" s="7">
        <v>239263.89</v>
      </c>
      <c r="L169" s="4" t="s">
        <v>1133</v>
      </c>
      <c r="M169" s="4" t="s">
        <v>61</v>
      </c>
      <c r="N169" s="4" t="s">
        <v>39</v>
      </c>
    </row>
    <row r="170" spans="1:14" hidden="1" x14ac:dyDescent="0.2">
      <c r="A170" s="22"/>
      <c r="B170" s="4" t="s">
        <v>21</v>
      </c>
      <c r="C170" s="5">
        <v>44531</v>
      </c>
      <c r="D170" s="4" t="s">
        <v>2437</v>
      </c>
      <c r="E170" s="4" t="s">
        <v>2436</v>
      </c>
      <c r="F170" s="4" t="s">
        <v>2436</v>
      </c>
      <c r="G170" s="6">
        <v>250753.41138432809</v>
      </c>
      <c r="H170" s="6">
        <f t="shared" si="2"/>
        <v>-215132.8261586774</v>
      </c>
      <c r="I170" s="4"/>
      <c r="J170" s="4" t="s">
        <v>68</v>
      </c>
      <c r="K170" s="7">
        <v>-239263.89</v>
      </c>
      <c r="L170" s="4" t="s">
        <v>1036</v>
      </c>
      <c r="M170" s="4" t="s">
        <v>61</v>
      </c>
      <c r="N170" s="4" t="s">
        <v>39</v>
      </c>
    </row>
    <row r="171" spans="1:14" hidden="1" x14ac:dyDescent="0.2">
      <c r="A171" s="22"/>
      <c r="B171" s="4" t="s">
        <v>249</v>
      </c>
      <c r="C171" s="5">
        <v>44536</v>
      </c>
      <c r="D171" s="4" t="s">
        <v>2438</v>
      </c>
      <c r="E171" s="4" t="s">
        <v>2439</v>
      </c>
      <c r="F171" s="4" t="s">
        <v>2439</v>
      </c>
      <c r="G171" s="6">
        <v>15350.0178211372</v>
      </c>
      <c r="H171" s="6">
        <f t="shared" si="2"/>
        <v>-199782.80833754019</v>
      </c>
      <c r="I171" s="4" t="s">
        <v>252</v>
      </c>
      <c r="J171" s="4" t="s">
        <v>68</v>
      </c>
      <c r="K171" s="7">
        <v>-14646.68</v>
      </c>
      <c r="L171" s="4" t="s">
        <v>1036</v>
      </c>
      <c r="M171" s="4" t="s">
        <v>61</v>
      </c>
      <c r="N171" s="4"/>
    </row>
    <row r="172" spans="1:14" hidden="1" x14ac:dyDescent="0.2">
      <c r="A172" s="22"/>
      <c r="B172" s="4" t="s">
        <v>249</v>
      </c>
      <c r="C172" s="5">
        <v>44538</v>
      </c>
      <c r="D172" s="4" t="s">
        <v>2440</v>
      </c>
      <c r="E172" s="4" t="s">
        <v>2441</v>
      </c>
      <c r="F172" s="4" t="s">
        <v>2441</v>
      </c>
      <c r="G172" s="6">
        <v>71922.488441830006</v>
      </c>
      <c r="H172" s="6">
        <f t="shared" si="2"/>
        <v>-127860.31989571018</v>
      </c>
      <c r="I172" s="4" t="s">
        <v>252</v>
      </c>
      <c r="J172" s="4" t="s">
        <v>68</v>
      </c>
      <c r="K172" s="7">
        <v>-68627</v>
      </c>
      <c r="L172" s="4" t="s">
        <v>1036</v>
      </c>
      <c r="M172" s="4" t="s">
        <v>61</v>
      </c>
      <c r="N172" s="4"/>
    </row>
    <row r="173" spans="1:14" hidden="1" x14ac:dyDescent="0.2">
      <c r="A173" s="22"/>
      <c r="B173" s="4" t="s">
        <v>249</v>
      </c>
      <c r="C173" s="5">
        <v>44554</v>
      </c>
      <c r="D173" s="4" t="s">
        <v>2442</v>
      </c>
      <c r="E173" s="4" t="s">
        <v>2443</v>
      </c>
      <c r="F173" s="4" t="s">
        <v>2443</v>
      </c>
      <c r="G173" s="6">
        <v>210.34815240590001</v>
      </c>
      <c r="H173" s="6">
        <f t="shared" si="2"/>
        <v>-127649.97174330428</v>
      </c>
      <c r="I173" s="4" t="s">
        <v>252</v>
      </c>
      <c r="J173" s="4" t="s">
        <v>68</v>
      </c>
      <c r="K173" s="7">
        <v>-200.71</v>
      </c>
      <c r="L173" s="4" t="s">
        <v>1036</v>
      </c>
      <c r="M173" s="4" t="s">
        <v>61</v>
      </c>
      <c r="N173" s="4"/>
    </row>
    <row r="174" spans="1:14" hidden="1" x14ac:dyDescent="0.2">
      <c r="A174" s="22"/>
      <c r="B174" s="4" t="s">
        <v>21</v>
      </c>
      <c r="C174" s="5">
        <v>44561</v>
      </c>
      <c r="D174" s="4" t="s">
        <v>2444</v>
      </c>
      <c r="E174" s="4" t="s">
        <v>2445</v>
      </c>
      <c r="F174" s="4" t="s">
        <v>2445</v>
      </c>
      <c r="G174" s="6">
        <v>-253.99819748440001</v>
      </c>
      <c r="H174" s="6">
        <f t="shared" si="2"/>
        <v>-127903.96994078868</v>
      </c>
      <c r="I174" s="4"/>
      <c r="J174" s="4" t="s">
        <v>68</v>
      </c>
      <c r="K174" s="7">
        <v>242.36</v>
      </c>
      <c r="L174" s="4" t="s">
        <v>1036</v>
      </c>
      <c r="M174" s="4" t="s">
        <v>61</v>
      </c>
      <c r="N174" s="4" t="s">
        <v>39</v>
      </c>
    </row>
    <row r="175" spans="1:14" hidden="1" x14ac:dyDescent="0.2">
      <c r="A175" s="22"/>
      <c r="B175" s="4" t="s">
        <v>21</v>
      </c>
      <c r="C175" s="5">
        <v>44561</v>
      </c>
      <c r="D175" s="4" t="s">
        <v>2446</v>
      </c>
      <c r="E175" s="4" t="s">
        <v>2447</v>
      </c>
      <c r="F175" s="4" t="s">
        <v>2383</v>
      </c>
      <c r="G175" s="6">
        <v>-265.54738108020001</v>
      </c>
      <c r="H175" s="6">
        <f t="shared" si="2"/>
        <v>-128169.51732186889</v>
      </c>
      <c r="I175" s="4"/>
      <c r="J175" s="4" t="s">
        <v>68</v>
      </c>
      <c r="K175" s="7">
        <v>253.38</v>
      </c>
      <c r="L175" s="4" t="s">
        <v>1036</v>
      </c>
      <c r="M175" s="4" t="s">
        <v>61</v>
      </c>
      <c r="N175" s="4" t="s">
        <v>39</v>
      </c>
    </row>
    <row r="176" spans="1:14" hidden="1" x14ac:dyDescent="0.2">
      <c r="A176" s="22"/>
      <c r="B176" s="4" t="s">
        <v>21</v>
      </c>
      <c r="C176" s="5">
        <v>44561</v>
      </c>
      <c r="D176" s="4" t="s">
        <v>2446</v>
      </c>
      <c r="E176" s="4" t="s">
        <v>2447</v>
      </c>
      <c r="F176" s="4" t="s">
        <v>2383</v>
      </c>
      <c r="G176" s="6">
        <v>-9.6837074796000007</v>
      </c>
      <c r="H176" s="6">
        <f t="shared" si="2"/>
        <v>-128179.20102934849</v>
      </c>
      <c r="I176" s="4"/>
      <c r="J176" s="4" t="s">
        <v>68</v>
      </c>
      <c r="K176" s="7">
        <v>9.24</v>
      </c>
      <c r="L176" s="4" t="s">
        <v>1036</v>
      </c>
      <c r="M176" s="4" t="s">
        <v>61</v>
      </c>
      <c r="N176" s="4" t="s">
        <v>39</v>
      </c>
    </row>
    <row r="177" spans="1:14" hidden="1" x14ac:dyDescent="0.2">
      <c r="A177" s="22"/>
      <c r="B177" s="4" t="s">
        <v>21</v>
      </c>
      <c r="C177" s="5">
        <v>44561</v>
      </c>
      <c r="D177" s="4" t="s">
        <v>2446</v>
      </c>
      <c r="E177" s="4" t="s">
        <v>2447</v>
      </c>
      <c r="F177" s="4" t="s">
        <v>2383</v>
      </c>
      <c r="G177" s="6">
        <v>-21.0337672203</v>
      </c>
      <c r="H177" s="6">
        <f t="shared" si="2"/>
        <v>-128200.23479656879</v>
      </c>
      <c r="I177" s="4"/>
      <c r="J177" s="4" t="s">
        <v>68</v>
      </c>
      <c r="K177" s="7">
        <v>20.07</v>
      </c>
      <c r="L177" s="4" t="s">
        <v>1036</v>
      </c>
      <c r="M177" s="4" t="s">
        <v>61</v>
      </c>
      <c r="N177" s="4" t="s">
        <v>39</v>
      </c>
    </row>
    <row r="178" spans="1:14" hidden="1" x14ac:dyDescent="0.2">
      <c r="A178" s="22"/>
      <c r="B178" s="4" t="s">
        <v>21</v>
      </c>
      <c r="C178" s="5">
        <v>44561</v>
      </c>
      <c r="D178" s="4" t="s">
        <v>2446</v>
      </c>
      <c r="E178" s="4" t="s">
        <v>2447</v>
      </c>
      <c r="F178" s="4" t="s">
        <v>2384</v>
      </c>
      <c r="G178" s="6">
        <v>-2523.9472644070001</v>
      </c>
      <c r="H178" s="6">
        <f t="shared" si="2"/>
        <v>-130724.1820609758</v>
      </c>
      <c r="I178" s="4"/>
      <c r="J178" s="4" t="s">
        <v>68</v>
      </c>
      <c r="K178" s="7">
        <v>2408.3000000000002</v>
      </c>
      <c r="L178" s="4" t="s">
        <v>1036</v>
      </c>
      <c r="M178" s="4" t="s">
        <v>61</v>
      </c>
      <c r="N178" s="4" t="s">
        <v>39</v>
      </c>
    </row>
    <row r="179" spans="1:14" hidden="1" x14ac:dyDescent="0.2">
      <c r="A179" s="22"/>
      <c r="B179" s="4" t="s">
        <v>21</v>
      </c>
      <c r="C179" s="5">
        <v>44561</v>
      </c>
      <c r="D179" s="4" t="s">
        <v>2446</v>
      </c>
      <c r="E179" s="4" t="s">
        <v>2447</v>
      </c>
      <c r="F179" s="4" t="s">
        <v>2384</v>
      </c>
      <c r="G179" s="6">
        <v>-631.222620667</v>
      </c>
      <c r="H179" s="6">
        <f t="shared" si="2"/>
        <v>-131355.4046816428</v>
      </c>
      <c r="I179" s="4"/>
      <c r="J179" s="4" t="s">
        <v>68</v>
      </c>
      <c r="K179" s="7">
        <v>602.29999999999995</v>
      </c>
      <c r="L179" s="4" t="s">
        <v>1036</v>
      </c>
      <c r="M179" s="4" t="s">
        <v>61</v>
      </c>
      <c r="N179" s="4" t="s">
        <v>39</v>
      </c>
    </row>
    <row r="180" spans="1:14" hidden="1" x14ac:dyDescent="0.2">
      <c r="A180" s="22"/>
      <c r="B180" s="4" t="s">
        <v>21</v>
      </c>
      <c r="C180" s="5">
        <v>44561</v>
      </c>
      <c r="D180" s="4" t="s">
        <v>2446</v>
      </c>
      <c r="E180" s="4" t="s">
        <v>2447</v>
      </c>
      <c r="F180" s="4" t="s">
        <v>2384</v>
      </c>
      <c r="G180" s="6">
        <v>-9684.1266877159997</v>
      </c>
      <c r="H180" s="6">
        <f t="shared" si="2"/>
        <v>-141039.5313693588</v>
      </c>
      <c r="I180" s="4"/>
      <c r="J180" s="4" t="s">
        <v>68</v>
      </c>
      <c r="K180" s="7">
        <v>9240.4</v>
      </c>
      <c r="L180" s="4" t="s">
        <v>1036</v>
      </c>
      <c r="M180" s="4" t="s">
        <v>61</v>
      </c>
      <c r="N180" s="4" t="s">
        <v>39</v>
      </c>
    </row>
    <row r="181" spans="1:14" hidden="1" x14ac:dyDescent="0.2">
      <c r="A181" s="22"/>
      <c r="B181" s="4" t="s">
        <v>21</v>
      </c>
      <c r="C181" s="5">
        <v>44561</v>
      </c>
      <c r="D181" s="4" t="s">
        <v>2446</v>
      </c>
      <c r="E181" s="4" t="s">
        <v>2447</v>
      </c>
      <c r="F181" s="4" t="s">
        <v>2385</v>
      </c>
      <c r="G181" s="6">
        <v>-473.35932438430001</v>
      </c>
      <c r="H181" s="6">
        <f t="shared" si="2"/>
        <v>-141512.8906937431</v>
      </c>
      <c r="I181" s="4"/>
      <c r="J181" s="4" t="s">
        <v>68</v>
      </c>
      <c r="K181" s="7">
        <v>451.67</v>
      </c>
      <c r="L181" s="4" t="s">
        <v>1036</v>
      </c>
      <c r="M181" s="4" t="s">
        <v>61</v>
      </c>
      <c r="N181" s="4" t="s">
        <v>39</v>
      </c>
    </row>
    <row r="182" spans="1:14" hidden="1" x14ac:dyDescent="0.2">
      <c r="A182" s="22"/>
      <c r="B182" s="4" t="s">
        <v>21</v>
      </c>
      <c r="C182" s="5">
        <v>44561</v>
      </c>
      <c r="D182" s="4" t="s">
        <v>2446</v>
      </c>
      <c r="E182" s="4" t="s">
        <v>2447</v>
      </c>
      <c r="F182" s="4" t="s">
        <v>2385</v>
      </c>
      <c r="G182" s="6">
        <v>-217.78909646490001</v>
      </c>
      <c r="H182" s="6">
        <f t="shared" si="2"/>
        <v>-141730.679790208</v>
      </c>
      <c r="I182" s="4"/>
      <c r="J182" s="4" t="s">
        <v>68</v>
      </c>
      <c r="K182" s="7">
        <v>207.81</v>
      </c>
      <c r="L182" s="4" t="s">
        <v>1036</v>
      </c>
      <c r="M182" s="4" t="s">
        <v>61</v>
      </c>
      <c r="N182" s="4" t="s">
        <v>39</v>
      </c>
    </row>
    <row r="183" spans="1:14" hidden="1" x14ac:dyDescent="0.2">
      <c r="A183" s="22"/>
      <c r="B183" s="4" t="s">
        <v>21</v>
      </c>
      <c r="C183" s="5">
        <v>44561</v>
      </c>
      <c r="D183" s="4" t="s">
        <v>2446</v>
      </c>
      <c r="E183" s="4" t="s">
        <v>2447</v>
      </c>
      <c r="F183" s="4" t="s">
        <v>2385</v>
      </c>
      <c r="G183" s="6">
        <v>-5973.0868408260003</v>
      </c>
      <c r="H183" s="6">
        <f t="shared" si="2"/>
        <v>-147703.766631034</v>
      </c>
      <c r="I183" s="4"/>
      <c r="J183" s="4" t="s">
        <v>68</v>
      </c>
      <c r="K183" s="7">
        <v>5699.4</v>
      </c>
      <c r="L183" s="4" t="s">
        <v>1036</v>
      </c>
      <c r="M183" s="4" t="s">
        <v>61</v>
      </c>
      <c r="N183" s="4" t="s">
        <v>39</v>
      </c>
    </row>
    <row r="184" spans="1:14" hidden="1" x14ac:dyDescent="0.2">
      <c r="A184" s="22"/>
      <c r="B184" s="4" t="s">
        <v>21</v>
      </c>
      <c r="C184" s="5">
        <v>44561</v>
      </c>
      <c r="D184" s="4" t="s">
        <v>2446</v>
      </c>
      <c r="E184" s="4" t="s">
        <v>2447</v>
      </c>
      <c r="F184" s="4" t="s">
        <v>2386</v>
      </c>
      <c r="G184" s="6">
        <v>-1157.0353605657999</v>
      </c>
      <c r="H184" s="6">
        <f t="shared" si="2"/>
        <v>-148860.80199159979</v>
      </c>
      <c r="I184" s="4"/>
      <c r="J184" s="4" t="s">
        <v>68</v>
      </c>
      <c r="K184" s="7">
        <v>1104.02</v>
      </c>
      <c r="L184" s="4" t="s">
        <v>1036</v>
      </c>
      <c r="M184" s="4" t="s">
        <v>61</v>
      </c>
      <c r="N184" s="4" t="s">
        <v>39</v>
      </c>
    </row>
    <row r="185" spans="1:14" hidden="1" x14ac:dyDescent="0.2">
      <c r="A185" s="22"/>
      <c r="B185" s="4" t="s">
        <v>21</v>
      </c>
      <c r="C185" s="5">
        <v>44561</v>
      </c>
      <c r="D185" s="4" t="s">
        <v>2446</v>
      </c>
      <c r="E185" s="4" t="s">
        <v>2447</v>
      </c>
      <c r="F185" s="4" t="s">
        <v>2386</v>
      </c>
      <c r="G185" s="6">
        <v>-532.37334691420006</v>
      </c>
      <c r="H185" s="6">
        <f t="shared" si="2"/>
        <v>-149393.17533851397</v>
      </c>
      <c r="I185" s="4"/>
      <c r="J185" s="4" t="s">
        <v>68</v>
      </c>
      <c r="K185" s="7">
        <v>507.98</v>
      </c>
      <c r="L185" s="4" t="s">
        <v>1036</v>
      </c>
      <c r="M185" s="4" t="s">
        <v>61</v>
      </c>
      <c r="N185" s="4" t="s">
        <v>39</v>
      </c>
    </row>
    <row r="186" spans="1:14" hidden="1" x14ac:dyDescent="0.2">
      <c r="A186" s="22"/>
      <c r="B186" s="4" t="s">
        <v>21</v>
      </c>
      <c r="C186" s="5">
        <v>44561</v>
      </c>
      <c r="D186" s="4" t="s">
        <v>2446</v>
      </c>
      <c r="E186" s="4" t="s">
        <v>2447</v>
      </c>
      <c r="F186" s="4" t="s">
        <v>2386</v>
      </c>
      <c r="G186" s="6">
        <v>-14601.01868028</v>
      </c>
      <c r="H186" s="6">
        <f t="shared" si="2"/>
        <v>-163994.19401879396</v>
      </c>
      <c r="I186" s="4"/>
      <c r="J186" s="4" t="s">
        <v>68</v>
      </c>
      <c r="K186" s="7">
        <v>13932</v>
      </c>
      <c r="L186" s="4" t="s">
        <v>1036</v>
      </c>
      <c r="M186" s="4" t="s">
        <v>61</v>
      </c>
      <c r="N186" s="4" t="s">
        <v>39</v>
      </c>
    </row>
    <row r="187" spans="1:14" hidden="1" x14ac:dyDescent="0.2">
      <c r="A187" s="22"/>
      <c r="B187" s="4" t="s">
        <v>21</v>
      </c>
      <c r="C187" s="5">
        <v>44561</v>
      </c>
      <c r="D187" s="4" t="s">
        <v>2446</v>
      </c>
      <c r="E187" s="4" t="s">
        <v>2447</v>
      </c>
      <c r="F187" s="4" t="s">
        <v>2448</v>
      </c>
      <c r="G187" s="6">
        <v>-34.940996468599998</v>
      </c>
      <c r="H187" s="6">
        <f t="shared" si="2"/>
        <v>-164029.13501526255</v>
      </c>
      <c r="I187" s="4"/>
      <c r="J187" s="4" t="s">
        <v>68</v>
      </c>
      <c r="K187" s="7">
        <v>33.340000000000003</v>
      </c>
      <c r="L187" s="4" t="s">
        <v>1036</v>
      </c>
      <c r="M187" s="4" t="s">
        <v>61</v>
      </c>
      <c r="N187" s="4" t="s">
        <v>39</v>
      </c>
    </row>
    <row r="188" spans="1:14" hidden="1" x14ac:dyDescent="0.2">
      <c r="A188" s="22"/>
      <c r="B188" s="4" t="s">
        <v>21</v>
      </c>
      <c r="C188" s="5">
        <v>44561</v>
      </c>
      <c r="D188" s="4" t="s">
        <v>2446</v>
      </c>
      <c r="E188" s="4" t="s">
        <v>2447</v>
      </c>
      <c r="F188" s="4" t="s">
        <v>2387</v>
      </c>
      <c r="G188" s="6">
        <v>-715.25288751920004</v>
      </c>
      <c r="H188" s="6">
        <f t="shared" si="2"/>
        <v>-164744.38790278175</v>
      </c>
      <c r="I188" s="4"/>
      <c r="J188" s="4" t="s">
        <v>68</v>
      </c>
      <c r="K188" s="7">
        <v>682.48</v>
      </c>
      <c r="L188" s="4" t="s">
        <v>1036</v>
      </c>
      <c r="M188" s="4" t="s">
        <v>61</v>
      </c>
      <c r="N188" s="4" t="s">
        <v>39</v>
      </c>
    </row>
    <row r="189" spans="1:14" hidden="1" x14ac:dyDescent="0.2">
      <c r="A189" s="22"/>
      <c r="B189" s="4" t="s">
        <v>21</v>
      </c>
      <c r="C189" s="5">
        <v>44561</v>
      </c>
      <c r="D189" s="4" t="s">
        <v>2446</v>
      </c>
      <c r="E189" s="4" t="s">
        <v>2447</v>
      </c>
      <c r="F189" s="4" t="s">
        <v>2387</v>
      </c>
      <c r="G189" s="6">
        <v>-329.08885126289999</v>
      </c>
      <c r="H189" s="6">
        <f t="shared" si="2"/>
        <v>-165073.47675404465</v>
      </c>
      <c r="I189" s="4"/>
      <c r="J189" s="4" t="s">
        <v>68</v>
      </c>
      <c r="K189" s="7">
        <v>314.01</v>
      </c>
      <c r="L189" s="4" t="s">
        <v>1036</v>
      </c>
      <c r="M189" s="4" t="s">
        <v>61</v>
      </c>
      <c r="N189" s="4" t="s">
        <v>39</v>
      </c>
    </row>
    <row r="190" spans="1:14" hidden="1" x14ac:dyDescent="0.2">
      <c r="A190" s="22"/>
      <c r="B190" s="4" t="s">
        <v>21</v>
      </c>
      <c r="C190" s="5">
        <v>44561</v>
      </c>
      <c r="D190" s="4" t="s">
        <v>2446</v>
      </c>
      <c r="E190" s="4" t="s">
        <v>2447</v>
      </c>
      <c r="F190" s="4" t="s">
        <v>2387</v>
      </c>
      <c r="G190" s="6">
        <v>-9026.2109902626999</v>
      </c>
      <c r="H190" s="6">
        <f t="shared" si="2"/>
        <v>-174099.68774430736</v>
      </c>
      <c r="I190" s="4"/>
      <c r="J190" s="4" t="s">
        <v>68</v>
      </c>
      <c r="K190" s="7">
        <v>8612.6299999999992</v>
      </c>
      <c r="L190" s="4" t="s">
        <v>1036</v>
      </c>
      <c r="M190" s="4" t="s">
        <v>61</v>
      </c>
      <c r="N190" s="4" t="s">
        <v>39</v>
      </c>
    </row>
    <row r="191" spans="1:14" hidden="1" x14ac:dyDescent="0.2">
      <c r="A191" s="22"/>
      <c r="B191" s="4" t="s">
        <v>21</v>
      </c>
      <c r="C191" s="5">
        <v>44561</v>
      </c>
      <c r="D191" s="4" t="s">
        <v>2449</v>
      </c>
      <c r="E191" s="4" t="s">
        <v>2450</v>
      </c>
      <c r="F191" s="4" t="s">
        <v>2450</v>
      </c>
      <c r="G191" s="6">
        <v>-263407.32364801998</v>
      </c>
      <c r="H191" s="6">
        <f t="shared" si="2"/>
        <v>-437507.01139232737</v>
      </c>
      <c r="I191" s="4"/>
      <c r="J191" s="4" t="s">
        <v>68</v>
      </c>
      <c r="K191" s="7">
        <v>251338</v>
      </c>
      <c r="L191" s="4" t="s">
        <v>1036</v>
      </c>
      <c r="M191" s="4" t="s">
        <v>61</v>
      </c>
      <c r="N191" s="4" t="s">
        <v>39</v>
      </c>
    </row>
    <row r="192" spans="1:14" hidden="1" x14ac:dyDescent="0.2">
      <c r="A192" s="22"/>
      <c r="B192" s="4" t="s">
        <v>21</v>
      </c>
      <c r="C192" s="5">
        <v>44561</v>
      </c>
      <c r="D192" s="4" t="s">
        <v>2451</v>
      </c>
      <c r="E192" s="4" t="s">
        <v>2452</v>
      </c>
      <c r="F192" s="4" t="s">
        <v>2453</v>
      </c>
      <c r="G192" s="6">
        <v>-12576.243479999999</v>
      </c>
      <c r="H192" s="6">
        <f t="shared" si="2"/>
        <v>-450083.25487232738</v>
      </c>
      <c r="I192" s="4"/>
      <c r="J192" s="4" t="s">
        <v>68</v>
      </c>
      <c r="K192" s="7">
        <v>12000</v>
      </c>
      <c r="L192" s="4" t="s">
        <v>1036</v>
      </c>
      <c r="M192" s="4" t="s">
        <v>61</v>
      </c>
      <c r="N192" s="4" t="s">
        <v>181</v>
      </c>
    </row>
    <row r="193" spans="1:16" hidden="1" x14ac:dyDescent="0.2">
      <c r="A193" s="22"/>
      <c r="B193" s="4" t="s">
        <v>21</v>
      </c>
      <c r="C193" s="5">
        <v>44561</v>
      </c>
      <c r="D193" s="4" t="s">
        <v>2451</v>
      </c>
      <c r="E193" s="4" t="s">
        <v>2452</v>
      </c>
      <c r="F193" s="4" t="s">
        <v>2454</v>
      </c>
      <c r="G193" s="6">
        <v>-8048.7958271999996</v>
      </c>
      <c r="H193" s="6">
        <f t="shared" si="2"/>
        <v>-458132.05069952738</v>
      </c>
      <c r="I193" s="4"/>
      <c r="J193" s="4" t="s">
        <v>68</v>
      </c>
      <c r="K193" s="7">
        <v>7680</v>
      </c>
      <c r="L193" s="4" t="s">
        <v>1036</v>
      </c>
      <c r="M193" s="4" t="s">
        <v>61</v>
      </c>
      <c r="N193" s="4" t="s">
        <v>181</v>
      </c>
    </row>
    <row r="194" spans="1:16" hidden="1" x14ac:dyDescent="0.2">
      <c r="A194" s="22"/>
      <c r="B194" s="4" t="s">
        <v>21</v>
      </c>
      <c r="C194" s="5">
        <v>44561</v>
      </c>
      <c r="D194" s="4" t="s">
        <v>2455</v>
      </c>
      <c r="E194" s="4" t="s">
        <v>2456</v>
      </c>
      <c r="F194" s="4" t="s">
        <v>2456</v>
      </c>
      <c r="G194" s="6">
        <v>80466.997866200007</v>
      </c>
      <c r="H194" s="6">
        <f t="shared" si="2"/>
        <v>-377665.05283332738</v>
      </c>
      <c r="I194" s="4"/>
      <c r="J194" s="4" t="s">
        <v>68</v>
      </c>
      <c r="K194" s="7">
        <v>-76780</v>
      </c>
      <c r="L194" s="4" t="s">
        <v>1036</v>
      </c>
      <c r="M194" s="4" t="s">
        <v>61</v>
      </c>
      <c r="N194" s="4" t="s">
        <v>39</v>
      </c>
    </row>
    <row r="195" spans="1:16" hidden="1" x14ac:dyDescent="0.2">
      <c r="A195" s="22"/>
      <c r="B195" s="4" t="s">
        <v>21</v>
      </c>
      <c r="C195" s="5">
        <v>44562</v>
      </c>
      <c r="D195" s="4" t="s">
        <v>2457</v>
      </c>
      <c r="E195" s="4" t="s">
        <v>2450</v>
      </c>
      <c r="F195" s="4" t="s">
        <v>2450</v>
      </c>
      <c r="G195" s="6">
        <v>263407.32364801998</v>
      </c>
      <c r="H195" s="6">
        <f t="shared" si="2"/>
        <v>-114257.7291853074</v>
      </c>
      <c r="I195" s="4"/>
      <c r="J195" s="4" t="s">
        <v>68</v>
      </c>
      <c r="K195" s="7">
        <v>-251338</v>
      </c>
      <c r="L195" s="4" t="s">
        <v>60</v>
      </c>
      <c r="M195" s="4" t="s">
        <v>61</v>
      </c>
      <c r="N195" s="4" t="s">
        <v>39</v>
      </c>
    </row>
    <row r="196" spans="1:16" x14ac:dyDescent="0.2">
      <c r="A196" s="22"/>
      <c r="B196" s="4" t="s">
        <v>21</v>
      </c>
      <c r="C196" s="5">
        <v>44562</v>
      </c>
      <c r="D196" s="4" t="s">
        <v>58</v>
      </c>
      <c r="E196" s="4" t="s">
        <v>59</v>
      </c>
      <c r="F196" s="148" t="s">
        <v>59</v>
      </c>
      <c r="G196" s="6">
        <v>-80466.997866200007</v>
      </c>
      <c r="H196" s="6">
        <f t="shared" si="2"/>
        <v>-194724.72705150739</v>
      </c>
      <c r="I196" s="4"/>
      <c r="J196" s="4" t="s">
        <v>68</v>
      </c>
      <c r="K196" s="144">
        <v>76780</v>
      </c>
      <c r="L196" s="4" t="s">
        <v>60</v>
      </c>
      <c r="M196" s="4" t="s">
        <v>61</v>
      </c>
      <c r="N196" s="4" t="s">
        <v>39</v>
      </c>
      <c r="P196" s="4" t="s">
        <v>824</v>
      </c>
    </row>
    <row r="197" spans="1:16" hidden="1" x14ac:dyDescent="0.2">
      <c r="A197" s="22"/>
      <c r="B197" s="4" t="s">
        <v>249</v>
      </c>
      <c r="C197" s="5">
        <v>44566</v>
      </c>
      <c r="D197" s="4" t="s">
        <v>2458</v>
      </c>
      <c r="E197" s="4" t="s">
        <v>2459</v>
      </c>
      <c r="F197" s="4" t="s">
        <v>2459</v>
      </c>
      <c r="G197" s="6">
        <v>21556.980869879601</v>
      </c>
      <c r="H197" s="6">
        <f t="shared" si="2"/>
        <v>-173167.74618162779</v>
      </c>
      <c r="I197" s="4" t="s">
        <v>252</v>
      </c>
      <c r="J197" s="4" t="s">
        <v>68</v>
      </c>
      <c r="K197" s="7">
        <v>-20569.240000000002</v>
      </c>
      <c r="L197" s="4" t="s">
        <v>60</v>
      </c>
      <c r="M197" s="4" t="s">
        <v>61</v>
      </c>
      <c r="N197" s="4"/>
    </row>
    <row r="198" spans="1:16" hidden="1" x14ac:dyDescent="0.2">
      <c r="A198" s="22"/>
      <c r="B198" s="4" t="s">
        <v>21</v>
      </c>
      <c r="C198" s="5">
        <v>44592</v>
      </c>
      <c r="D198" s="4" t="s">
        <v>2460</v>
      </c>
      <c r="E198" s="4" t="s">
        <v>2461</v>
      </c>
      <c r="F198" s="4" t="s">
        <v>2353</v>
      </c>
      <c r="G198" s="6">
        <v>-29.858098062100002</v>
      </c>
      <c r="H198" s="6">
        <f t="shared" si="2"/>
        <v>-173197.6042796899</v>
      </c>
      <c r="I198" s="4"/>
      <c r="J198" s="4" t="s">
        <v>68</v>
      </c>
      <c r="K198" s="7">
        <v>28.49</v>
      </c>
      <c r="L198" s="4" t="s">
        <v>60</v>
      </c>
      <c r="M198" s="4" t="s">
        <v>61</v>
      </c>
      <c r="N198" s="4" t="s">
        <v>39</v>
      </c>
    </row>
    <row r="199" spans="1:16" hidden="1" x14ac:dyDescent="0.2">
      <c r="A199" s="22"/>
      <c r="B199" s="4" t="s">
        <v>21</v>
      </c>
      <c r="C199" s="5">
        <v>44592</v>
      </c>
      <c r="D199" s="4" t="s">
        <v>2460</v>
      </c>
      <c r="E199" s="4" t="s">
        <v>2461</v>
      </c>
      <c r="F199" s="4" t="s">
        <v>2353</v>
      </c>
      <c r="G199" s="6">
        <v>-497.20178598180001</v>
      </c>
      <c r="H199" s="6">
        <f t="shared" si="2"/>
        <v>-173694.8060656717</v>
      </c>
      <c r="I199" s="4"/>
      <c r="J199" s="4" t="s">
        <v>68</v>
      </c>
      <c r="K199" s="7">
        <v>474.42</v>
      </c>
      <c r="L199" s="4" t="s">
        <v>60</v>
      </c>
      <c r="M199" s="4" t="s">
        <v>61</v>
      </c>
      <c r="N199" s="4" t="s">
        <v>39</v>
      </c>
    </row>
    <row r="200" spans="1:16" hidden="1" x14ac:dyDescent="0.2">
      <c r="A200" s="22"/>
      <c r="B200" s="4" t="s">
        <v>21</v>
      </c>
      <c r="C200" s="5">
        <v>44592</v>
      </c>
      <c r="D200" s="4" t="s">
        <v>2460</v>
      </c>
      <c r="E200" s="4" t="s">
        <v>2461</v>
      </c>
      <c r="F200" s="4" t="s">
        <v>2353</v>
      </c>
      <c r="G200" s="6">
        <v>-18.633800756199999</v>
      </c>
      <c r="H200" s="6">
        <f t="shared" si="2"/>
        <v>-173713.43986642789</v>
      </c>
      <c r="I200" s="4"/>
      <c r="J200" s="4" t="s">
        <v>68</v>
      </c>
      <c r="K200" s="7">
        <v>17.78</v>
      </c>
      <c r="L200" s="4" t="s">
        <v>60</v>
      </c>
      <c r="M200" s="4" t="s">
        <v>61</v>
      </c>
      <c r="N200" s="4" t="s">
        <v>39</v>
      </c>
    </row>
    <row r="201" spans="1:16" hidden="1" x14ac:dyDescent="0.2">
      <c r="A201" s="22"/>
      <c r="B201" s="4" t="s">
        <v>21</v>
      </c>
      <c r="C201" s="5">
        <v>44592</v>
      </c>
      <c r="D201" s="4" t="s">
        <v>2460</v>
      </c>
      <c r="E201" s="4" t="s">
        <v>2461</v>
      </c>
      <c r="F201" s="4" t="s">
        <v>2357</v>
      </c>
      <c r="G201" s="6">
        <v>-18401.810984805601</v>
      </c>
      <c r="H201" s="6">
        <f t="shared" si="2"/>
        <v>-192115.25085123349</v>
      </c>
      <c r="I201" s="4"/>
      <c r="J201" s="4" t="s">
        <v>68</v>
      </c>
      <c r="K201" s="7">
        <v>17558.64</v>
      </c>
      <c r="L201" s="4" t="s">
        <v>60</v>
      </c>
      <c r="M201" s="4" t="s">
        <v>61</v>
      </c>
      <c r="N201" s="4" t="s">
        <v>39</v>
      </c>
    </row>
    <row r="202" spans="1:16" hidden="1" x14ac:dyDescent="0.2">
      <c r="A202" s="22"/>
      <c r="B202" s="4" t="s">
        <v>21</v>
      </c>
      <c r="C202" s="5">
        <v>44592</v>
      </c>
      <c r="D202" s="4" t="s">
        <v>2460</v>
      </c>
      <c r="E202" s="4" t="s">
        <v>2461</v>
      </c>
      <c r="F202" s="4" t="s">
        <v>2357</v>
      </c>
      <c r="G202" s="6">
        <v>-1262.445241334</v>
      </c>
      <c r="H202" s="6">
        <f t="shared" ref="H202:H265" si="3">H201+G202</f>
        <v>-193377.69609256749</v>
      </c>
      <c r="I202" s="4"/>
      <c r="J202" s="4" t="s">
        <v>68</v>
      </c>
      <c r="K202" s="7">
        <v>1204.5999999999999</v>
      </c>
      <c r="L202" s="4" t="s">
        <v>60</v>
      </c>
      <c r="M202" s="4" t="s">
        <v>61</v>
      </c>
      <c r="N202" s="4" t="s">
        <v>39</v>
      </c>
    </row>
    <row r="203" spans="1:16" hidden="1" x14ac:dyDescent="0.2">
      <c r="A203" s="22"/>
      <c r="B203" s="4" t="s">
        <v>21</v>
      </c>
      <c r="C203" s="5">
        <v>44592</v>
      </c>
      <c r="D203" s="4" t="s">
        <v>2460</v>
      </c>
      <c r="E203" s="4" t="s">
        <v>2461</v>
      </c>
      <c r="F203" s="4" t="s">
        <v>2357</v>
      </c>
      <c r="G203" s="6">
        <v>-1892.7246437399999</v>
      </c>
      <c r="H203" s="6">
        <f t="shared" si="3"/>
        <v>-195270.42073630748</v>
      </c>
      <c r="I203" s="4"/>
      <c r="J203" s="4" t="s">
        <v>68</v>
      </c>
      <c r="K203" s="7">
        <v>1806</v>
      </c>
      <c r="L203" s="4" t="s">
        <v>60</v>
      </c>
      <c r="M203" s="4" t="s">
        <v>61</v>
      </c>
      <c r="N203" s="4" t="s">
        <v>39</v>
      </c>
    </row>
    <row r="204" spans="1:16" hidden="1" x14ac:dyDescent="0.2">
      <c r="A204" s="22"/>
      <c r="B204" s="4" t="s">
        <v>21</v>
      </c>
      <c r="C204" s="5">
        <v>44592</v>
      </c>
      <c r="D204" s="4" t="s">
        <v>2460</v>
      </c>
      <c r="E204" s="4" t="s">
        <v>2461</v>
      </c>
      <c r="F204" s="4" t="s">
        <v>2355</v>
      </c>
      <c r="G204" s="6">
        <v>-11184.9022231989</v>
      </c>
      <c r="H204" s="6">
        <f t="shared" si="3"/>
        <v>-206455.32295950639</v>
      </c>
      <c r="I204" s="4"/>
      <c r="J204" s="4" t="s">
        <v>68</v>
      </c>
      <c r="K204" s="7">
        <v>10672.41</v>
      </c>
      <c r="L204" s="4" t="s">
        <v>60</v>
      </c>
      <c r="M204" s="4" t="s">
        <v>61</v>
      </c>
      <c r="N204" s="4" t="s">
        <v>39</v>
      </c>
    </row>
    <row r="205" spans="1:16" hidden="1" x14ac:dyDescent="0.2">
      <c r="A205" s="22"/>
      <c r="B205" s="4" t="s">
        <v>21</v>
      </c>
      <c r="C205" s="5">
        <v>44592</v>
      </c>
      <c r="D205" s="4" t="s">
        <v>2460</v>
      </c>
      <c r="E205" s="4" t="s">
        <v>2461</v>
      </c>
      <c r="F205" s="4" t="s">
        <v>2355</v>
      </c>
      <c r="G205" s="6">
        <v>-419.27099721740001</v>
      </c>
      <c r="H205" s="6">
        <f t="shared" si="3"/>
        <v>-206874.59395672378</v>
      </c>
      <c r="I205" s="4"/>
      <c r="J205" s="4" t="s">
        <v>68</v>
      </c>
      <c r="K205" s="7">
        <v>400.06</v>
      </c>
      <c r="L205" s="4" t="s">
        <v>60</v>
      </c>
      <c r="M205" s="4" t="s">
        <v>61</v>
      </c>
      <c r="N205" s="4" t="s">
        <v>39</v>
      </c>
    </row>
    <row r="206" spans="1:16" hidden="1" x14ac:dyDescent="0.2">
      <c r="A206" s="22"/>
      <c r="B206" s="4" t="s">
        <v>21</v>
      </c>
      <c r="C206" s="5">
        <v>44592</v>
      </c>
      <c r="D206" s="4" t="s">
        <v>2460</v>
      </c>
      <c r="E206" s="4" t="s">
        <v>2461</v>
      </c>
      <c r="F206" s="4" t="s">
        <v>2355</v>
      </c>
      <c r="G206" s="6">
        <v>-671.70764446969997</v>
      </c>
      <c r="H206" s="6">
        <f t="shared" si="3"/>
        <v>-207546.30160119347</v>
      </c>
      <c r="I206" s="4"/>
      <c r="J206" s="4" t="s">
        <v>68</v>
      </c>
      <c r="K206" s="7">
        <v>640.92999999999995</v>
      </c>
      <c r="L206" s="4" t="s">
        <v>60</v>
      </c>
      <c r="M206" s="4" t="s">
        <v>61</v>
      </c>
      <c r="N206" s="4" t="s">
        <v>39</v>
      </c>
    </row>
    <row r="207" spans="1:16" hidden="1" x14ac:dyDescent="0.2">
      <c r="A207" s="22"/>
      <c r="B207" s="4" t="s">
        <v>21</v>
      </c>
      <c r="C207" s="5">
        <v>44592</v>
      </c>
      <c r="D207" s="4" t="s">
        <v>2460</v>
      </c>
      <c r="E207" s="4" t="s">
        <v>2461</v>
      </c>
      <c r="F207" s="4" t="s">
        <v>2356</v>
      </c>
      <c r="G207" s="6">
        <v>-2498.3965297367999</v>
      </c>
      <c r="H207" s="6">
        <f t="shared" si="3"/>
        <v>-210044.69813093028</v>
      </c>
      <c r="I207" s="4"/>
      <c r="J207" s="4" t="s">
        <v>68</v>
      </c>
      <c r="K207" s="7">
        <v>2383.92</v>
      </c>
      <c r="L207" s="4" t="s">
        <v>60</v>
      </c>
      <c r="M207" s="4" t="s">
        <v>61</v>
      </c>
      <c r="N207" s="4" t="s">
        <v>39</v>
      </c>
    </row>
    <row r="208" spans="1:16" hidden="1" x14ac:dyDescent="0.2">
      <c r="A208" s="22"/>
      <c r="B208" s="4" t="s">
        <v>21</v>
      </c>
      <c r="C208" s="5">
        <v>44592</v>
      </c>
      <c r="D208" s="4" t="s">
        <v>2460</v>
      </c>
      <c r="E208" s="4" t="s">
        <v>2461</v>
      </c>
      <c r="F208" s="4" t="s">
        <v>2356</v>
      </c>
      <c r="G208" s="6">
        <v>-93.169003781000001</v>
      </c>
      <c r="H208" s="6">
        <f t="shared" si="3"/>
        <v>-210137.86713471127</v>
      </c>
      <c r="I208" s="4"/>
      <c r="J208" s="4" t="s">
        <v>68</v>
      </c>
      <c r="K208" s="7">
        <v>88.9</v>
      </c>
      <c r="L208" s="4" t="s">
        <v>60</v>
      </c>
      <c r="M208" s="4" t="s">
        <v>61</v>
      </c>
      <c r="N208" s="4" t="s">
        <v>39</v>
      </c>
    </row>
    <row r="209" spans="1:16" hidden="1" x14ac:dyDescent="0.2">
      <c r="A209" s="22"/>
      <c r="B209" s="4" t="s">
        <v>21</v>
      </c>
      <c r="C209" s="5">
        <v>44592</v>
      </c>
      <c r="D209" s="4" t="s">
        <v>2460</v>
      </c>
      <c r="E209" s="4" t="s">
        <v>2461</v>
      </c>
      <c r="F209" s="4" t="s">
        <v>2356</v>
      </c>
      <c r="G209" s="6">
        <v>-149.26952990469999</v>
      </c>
      <c r="H209" s="6">
        <f t="shared" si="3"/>
        <v>-210287.13666461597</v>
      </c>
      <c r="I209" s="4"/>
      <c r="J209" s="4" t="s">
        <v>68</v>
      </c>
      <c r="K209" s="7">
        <v>142.43</v>
      </c>
      <c r="L209" s="4" t="s">
        <v>60</v>
      </c>
      <c r="M209" s="4" t="s">
        <v>61</v>
      </c>
      <c r="N209" s="4" t="s">
        <v>39</v>
      </c>
    </row>
    <row r="210" spans="1:16" hidden="1" x14ac:dyDescent="0.2">
      <c r="A210" s="22"/>
      <c r="B210" s="4" t="s">
        <v>21</v>
      </c>
      <c r="C210" s="5">
        <v>44592</v>
      </c>
      <c r="D210" s="4" t="s">
        <v>2460</v>
      </c>
      <c r="E210" s="4" t="s">
        <v>2461</v>
      </c>
      <c r="F210" s="4" t="s">
        <v>2354</v>
      </c>
      <c r="G210" s="6">
        <v>-2244.545055093</v>
      </c>
      <c r="H210" s="6">
        <f t="shared" si="3"/>
        <v>-212531.68171970898</v>
      </c>
      <c r="I210" s="4"/>
      <c r="J210" s="4" t="s">
        <v>68</v>
      </c>
      <c r="K210" s="7">
        <v>2141.6999999999998</v>
      </c>
      <c r="L210" s="4" t="s">
        <v>60</v>
      </c>
      <c r="M210" s="4" t="s">
        <v>61</v>
      </c>
      <c r="N210" s="4" t="s">
        <v>39</v>
      </c>
    </row>
    <row r="211" spans="1:16" hidden="1" x14ac:dyDescent="0.2">
      <c r="A211" s="22"/>
      <c r="B211" s="4" t="s">
        <v>21</v>
      </c>
      <c r="C211" s="5">
        <v>44592</v>
      </c>
      <c r="D211" s="4" t="s">
        <v>2460</v>
      </c>
      <c r="E211" s="4" t="s">
        <v>2461</v>
      </c>
      <c r="F211" s="4" t="s">
        <v>2354</v>
      </c>
      <c r="G211" s="6">
        <v>-83.873063808699996</v>
      </c>
      <c r="H211" s="6">
        <f t="shared" si="3"/>
        <v>-212615.5547835177</v>
      </c>
      <c r="I211" s="4"/>
      <c r="J211" s="4" t="s">
        <v>68</v>
      </c>
      <c r="K211" s="7">
        <v>80.03</v>
      </c>
      <c r="L211" s="4" t="s">
        <v>60</v>
      </c>
      <c r="M211" s="4" t="s">
        <v>61</v>
      </c>
      <c r="N211" s="4" t="s">
        <v>39</v>
      </c>
    </row>
    <row r="212" spans="1:16" hidden="1" x14ac:dyDescent="0.2">
      <c r="A212" s="22"/>
      <c r="B212" s="4" t="s">
        <v>21</v>
      </c>
      <c r="C212" s="5">
        <v>44592</v>
      </c>
      <c r="D212" s="4" t="s">
        <v>2460</v>
      </c>
      <c r="E212" s="4" t="s">
        <v>2461</v>
      </c>
      <c r="F212" s="4" t="s">
        <v>2354</v>
      </c>
      <c r="G212" s="6">
        <v>-134.3142803664</v>
      </c>
      <c r="H212" s="6">
        <f t="shared" si="3"/>
        <v>-212749.86906388411</v>
      </c>
      <c r="I212" s="4"/>
      <c r="J212" s="4" t="s">
        <v>68</v>
      </c>
      <c r="K212" s="7">
        <v>128.16</v>
      </c>
      <c r="L212" s="4" t="s">
        <v>60</v>
      </c>
      <c r="M212" s="4" t="s">
        <v>61</v>
      </c>
      <c r="N212" s="4" t="s">
        <v>39</v>
      </c>
    </row>
    <row r="213" spans="1:16" hidden="1" x14ac:dyDescent="0.2">
      <c r="A213" s="22"/>
      <c r="B213" s="4" t="s">
        <v>21</v>
      </c>
      <c r="C213" s="5">
        <v>44592</v>
      </c>
      <c r="D213" s="4" t="s">
        <v>2460</v>
      </c>
      <c r="E213" s="4" t="s">
        <v>2461</v>
      </c>
      <c r="F213" s="4" t="s">
        <v>2462</v>
      </c>
      <c r="G213" s="6">
        <v>-39545.075365004799</v>
      </c>
      <c r="H213" s="6">
        <f t="shared" si="3"/>
        <v>-252294.94442888891</v>
      </c>
      <c r="I213" s="4"/>
      <c r="J213" s="4" t="s">
        <v>68</v>
      </c>
      <c r="K213" s="7">
        <v>37733.120000000003</v>
      </c>
      <c r="L213" s="4" t="s">
        <v>60</v>
      </c>
      <c r="M213" s="4" t="s">
        <v>61</v>
      </c>
      <c r="N213" s="4" t="s">
        <v>39</v>
      </c>
    </row>
    <row r="214" spans="1:16" hidden="1" x14ac:dyDescent="0.2">
      <c r="A214" s="22"/>
      <c r="B214" s="4" t="s">
        <v>21</v>
      </c>
      <c r="C214" s="5">
        <v>44592</v>
      </c>
      <c r="D214" s="4" t="s">
        <v>2460</v>
      </c>
      <c r="E214" s="4" t="s">
        <v>2461</v>
      </c>
      <c r="F214" s="4" t="s">
        <v>2463</v>
      </c>
      <c r="G214" s="6">
        <v>-2373.3677091397999</v>
      </c>
      <c r="H214" s="6">
        <f t="shared" si="3"/>
        <v>-254668.3121380287</v>
      </c>
      <c r="I214" s="4"/>
      <c r="J214" s="4" t="s">
        <v>68</v>
      </c>
      <c r="K214" s="7">
        <v>2264.62</v>
      </c>
      <c r="L214" s="4" t="s">
        <v>60</v>
      </c>
      <c r="M214" s="4" t="s">
        <v>61</v>
      </c>
      <c r="N214" s="4" t="s">
        <v>39</v>
      </c>
    </row>
    <row r="215" spans="1:16" hidden="1" x14ac:dyDescent="0.2">
      <c r="A215" s="22"/>
      <c r="B215" s="4" t="s">
        <v>21</v>
      </c>
      <c r="C215" s="5">
        <v>44592</v>
      </c>
      <c r="D215" s="4" t="s">
        <v>2460</v>
      </c>
      <c r="E215" s="4" t="s">
        <v>2461</v>
      </c>
      <c r="F215" s="4" t="s">
        <v>2464</v>
      </c>
      <c r="G215" s="6">
        <v>-1481.4395611324001</v>
      </c>
      <c r="H215" s="6">
        <f t="shared" si="3"/>
        <v>-256149.7516991611</v>
      </c>
      <c r="I215" s="4"/>
      <c r="J215" s="4" t="s">
        <v>68</v>
      </c>
      <c r="K215" s="7">
        <v>1413.56</v>
      </c>
      <c r="L215" s="4" t="s">
        <v>60</v>
      </c>
      <c r="M215" s="4" t="s">
        <v>61</v>
      </c>
      <c r="N215" s="4" t="s">
        <v>39</v>
      </c>
    </row>
    <row r="216" spans="1:16" x14ac:dyDescent="0.2">
      <c r="A216" s="22"/>
      <c r="B216" s="4" t="s">
        <v>21</v>
      </c>
      <c r="C216" s="5">
        <v>44592</v>
      </c>
      <c r="D216" s="4" t="s">
        <v>85</v>
      </c>
      <c r="E216" s="4" t="s">
        <v>86</v>
      </c>
      <c r="F216" s="4" t="s">
        <v>86</v>
      </c>
      <c r="G216" s="6">
        <v>-110988.49277187001</v>
      </c>
      <c r="H216" s="6">
        <f t="shared" si="3"/>
        <v>-367138.24447103112</v>
      </c>
      <c r="I216" s="4"/>
      <c r="J216" s="4" t="s">
        <v>68</v>
      </c>
      <c r="K216" s="7">
        <v>105903</v>
      </c>
      <c r="L216" s="4" t="s">
        <v>60</v>
      </c>
      <c r="M216" s="4" t="s">
        <v>61</v>
      </c>
      <c r="N216" s="4" t="s">
        <v>39</v>
      </c>
      <c r="P216" s="4" t="s">
        <v>824</v>
      </c>
    </row>
    <row r="217" spans="1:16" x14ac:dyDescent="0.2">
      <c r="A217" s="22"/>
      <c r="B217" s="4" t="s">
        <v>21</v>
      </c>
      <c r="C217" s="5">
        <v>44592</v>
      </c>
      <c r="D217" s="4" t="s">
        <v>87</v>
      </c>
      <c r="E217" s="4" t="s">
        <v>88</v>
      </c>
      <c r="F217" s="4" t="s">
        <v>88</v>
      </c>
      <c r="G217" s="6">
        <v>-25746.630622806799</v>
      </c>
      <c r="H217" s="6">
        <f t="shared" si="3"/>
        <v>-392884.87509383791</v>
      </c>
      <c r="I217" s="4"/>
      <c r="J217" s="4" t="s">
        <v>68</v>
      </c>
      <c r="K217" s="7">
        <v>24566.92</v>
      </c>
      <c r="L217" s="4" t="s">
        <v>60</v>
      </c>
      <c r="M217" s="4" t="s">
        <v>61</v>
      </c>
      <c r="N217" s="4" t="s">
        <v>39</v>
      </c>
      <c r="P217" s="4" t="s">
        <v>825</v>
      </c>
    </row>
    <row r="218" spans="1:16" hidden="1" x14ac:dyDescent="0.2">
      <c r="A218" s="22"/>
      <c r="B218" s="4" t="s">
        <v>21</v>
      </c>
      <c r="C218" s="5">
        <v>44592</v>
      </c>
      <c r="D218" s="4" t="s">
        <v>2465</v>
      </c>
      <c r="E218" s="4" t="s">
        <v>2466</v>
      </c>
      <c r="F218" s="4" t="s">
        <v>2466</v>
      </c>
      <c r="G218" s="6">
        <v>-23685.604400695702</v>
      </c>
      <c r="H218" s="6">
        <f t="shared" si="3"/>
        <v>-416570.47949453362</v>
      </c>
      <c r="I218" s="4"/>
      <c r="J218" s="4" t="s">
        <v>68</v>
      </c>
      <c r="K218" s="7">
        <v>22600.33</v>
      </c>
      <c r="L218" s="4" t="s">
        <v>60</v>
      </c>
      <c r="M218" s="4" t="s">
        <v>61</v>
      </c>
      <c r="N218" s="4" t="s">
        <v>39</v>
      </c>
    </row>
    <row r="219" spans="1:16" hidden="1" x14ac:dyDescent="0.2">
      <c r="A219" s="22"/>
      <c r="B219" s="4" t="s">
        <v>21</v>
      </c>
      <c r="C219" s="5">
        <v>44592</v>
      </c>
      <c r="D219" s="4" t="s">
        <v>2467</v>
      </c>
      <c r="E219" s="4" t="s">
        <v>2468</v>
      </c>
      <c r="F219" s="4" t="s">
        <v>2468</v>
      </c>
      <c r="G219" s="6">
        <v>-20541.197683999999</v>
      </c>
      <c r="H219" s="6">
        <f t="shared" si="3"/>
        <v>-437111.67717853363</v>
      </c>
      <c r="I219" s="4"/>
      <c r="J219" s="4" t="s">
        <v>68</v>
      </c>
      <c r="K219" s="7">
        <v>19600</v>
      </c>
      <c r="L219" s="4" t="s">
        <v>60</v>
      </c>
      <c r="M219" s="4" t="s">
        <v>61</v>
      </c>
      <c r="N219" s="4" t="s">
        <v>39</v>
      </c>
    </row>
    <row r="220" spans="1:16" hidden="1" x14ac:dyDescent="0.2">
      <c r="A220" s="22"/>
      <c r="B220" s="4" t="s">
        <v>21</v>
      </c>
      <c r="C220" s="5">
        <v>44592</v>
      </c>
      <c r="D220" s="4" t="s">
        <v>2469</v>
      </c>
      <c r="E220" s="4" t="s">
        <v>2470</v>
      </c>
      <c r="F220" s="4" t="s">
        <v>2450</v>
      </c>
      <c r="G220" s="6">
        <v>-38294.6613966</v>
      </c>
      <c r="H220" s="6">
        <f t="shared" si="3"/>
        <v>-475406.33857513365</v>
      </c>
      <c r="I220" s="4"/>
      <c r="J220" s="4" t="s">
        <v>68</v>
      </c>
      <c r="K220" s="7">
        <v>36540</v>
      </c>
      <c r="L220" s="4" t="s">
        <v>60</v>
      </c>
      <c r="M220" s="4" t="s">
        <v>61</v>
      </c>
      <c r="N220" s="4" t="s">
        <v>39</v>
      </c>
    </row>
    <row r="221" spans="1:16" x14ac:dyDescent="0.2">
      <c r="A221" s="22"/>
      <c r="B221" s="4" t="s">
        <v>21</v>
      </c>
      <c r="C221" s="5">
        <v>44593</v>
      </c>
      <c r="D221" s="4" t="s">
        <v>92</v>
      </c>
      <c r="E221" s="4" t="s">
        <v>88</v>
      </c>
      <c r="F221" s="4" t="s">
        <v>88</v>
      </c>
      <c r="G221" s="6">
        <v>25746.630622806799</v>
      </c>
      <c r="H221" s="6">
        <f t="shared" si="3"/>
        <v>-449659.70795232686</v>
      </c>
      <c r="I221" s="4"/>
      <c r="J221" s="4" t="s">
        <v>68</v>
      </c>
      <c r="K221" s="7">
        <v>-24566.92</v>
      </c>
      <c r="L221" s="4" t="s">
        <v>26</v>
      </c>
      <c r="M221" s="4" t="s">
        <v>61</v>
      </c>
      <c r="N221" s="4" t="s">
        <v>39</v>
      </c>
      <c r="P221" s="4" t="s">
        <v>825</v>
      </c>
    </row>
    <row r="222" spans="1:16" hidden="1" x14ac:dyDescent="0.2">
      <c r="A222" s="22"/>
      <c r="B222" s="4" t="s">
        <v>21</v>
      </c>
      <c r="C222" s="5">
        <v>44593</v>
      </c>
      <c r="D222" s="4" t="s">
        <v>2471</v>
      </c>
      <c r="E222" s="4" t="s">
        <v>2466</v>
      </c>
      <c r="F222" s="4" t="s">
        <v>2466</v>
      </c>
      <c r="G222" s="6">
        <v>23685.604400695702</v>
      </c>
      <c r="H222" s="6">
        <f t="shared" si="3"/>
        <v>-425974.10355163115</v>
      </c>
      <c r="I222" s="4"/>
      <c r="J222" s="4" t="s">
        <v>68</v>
      </c>
      <c r="K222" s="7">
        <v>-22600.33</v>
      </c>
      <c r="L222" s="4" t="s">
        <v>26</v>
      </c>
      <c r="M222" s="4" t="s">
        <v>61</v>
      </c>
      <c r="N222" s="4" t="s">
        <v>39</v>
      </c>
    </row>
    <row r="223" spans="1:16" hidden="1" x14ac:dyDescent="0.2">
      <c r="A223" s="22"/>
      <c r="B223" s="4" t="s">
        <v>249</v>
      </c>
      <c r="C223" s="5">
        <v>44596</v>
      </c>
      <c r="D223" s="4" t="s">
        <v>2472</v>
      </c>
      <c r="E223" s="4" t="s">
        <v>2473</v>
      </c>
      <c r="F223" s="4" t="s">
        <v>2473</v>
      </c>
      <c r="G223" s="6">
        <v>11352.5330685844</v>
      </c>
      <c r="H223" s="6">
        <f t="shared" si="3"/>
        <v>-414621.57048304676</v>
      </c>
      <c r="I223" s="4" t="s">
        <v>252</v>
      </c>
      <c r="J223" s="4" t="s">
        <v>68</v>
      </c>
      <c r="K223" s="7">
        <v>-10832.36</v>
      </c>
      <c r="L223" s="4" t="s">
        <v>26</v>
      </c>
      <c r="M223" s="4" t="s">
        <v>61</v>
      </c>
      <c r="N223" s="4"/>
    </row>
    <row r="224" spans="1:16" hidden="1" x14ac:dyDescent="0.2">
      <c r="A224" s="22"/>
      <c r="B224" s="4" t="s">
        <v>249</v>
      </c>
      <c r="C224" s="5">
        <v>44616</v>
      </c>
      <c r="D224" s="4" t="s">
        <v>2474</v>
      </c>
      <c r="E224" s="4" t="s">
        <v>2475</v>
      </c>
      <c r="F224" s="4" t="s">
        <v>2475</v>
      </c>
      <c r="G224" s="6">
        <v>454.10719165699999</v>
      </c>
      <c r="H224" s="6">
        <f t="shared" si="3"/>
        <v>-414167.46329138975</v>
      </c>
      <c r="I224" s="4" t="s">
        <v>252</v>
      </c>
      <c r="J224" s="4" t="s">
        <v>68</v>
      </c>
      <c r="K224" s="7">
        <v>-433.3</v>
      </c>
      <c r="L224" s="4" t="s">
        <v>26</v>
      </c>
      <c r="M224" s="4" t="s">
        <v>61</v>
      </c>
      <c r="N224" s="4"/>
    </row>
    <row r="225" spans="1:14" hidden="1" x14ac:dyDescent="0.2">
      <c r="A225" s="22"/>
      <c r="B225" s="4" t="s">
        <v>249</v>
      </c>
      <c r="C225" s="5">
        <v>44616</v>
      </c>
      <c r="D225" s="4" t="s">
        <v>2476</v>
      </c>
      <c r="E225" s="4" t="s">
        <v>2477</v>
      </c>
      <c r="F225" s="4" t="s">
        <v>2477</v>
      </c>
      <c r="G225" s="6">
        <v>93624.494359439806</v>
      </c>
      <c r="H225" s="6">
        <f t="shared" si="3"/>
        <v>-320542.96893194993</v>
      </c>
      <c r="I225" s="4" t="s">
        <v>252</v>
      </c>
      <c r="J225" s="4" t="s">
        <v>68</v>
      </c>
      <c r="K225" s="7">
        <v>-89334.62</v>
      </c>
      <c r="L225" s="4" t="s">
        <v>26</v>
      </c>
      <c r="M225" s="4" t="s">
        <v>61</v>
      </c>
      <c r="N225" s="4"/>
    </row>
    <row r="226" spans="1:14" hidden="1" x14ac:dyDescent="0.2">
      <c r="A226" s="22"/>
      <c r="B226" s="4" t="s">
        <v>21</v>
      </c>
      <c r="C226" s="5">
        <v>44620</v>
      </c>
      <c r="D226" s="4" t="s">
        <v>2478</v>
      </c>
      <c r="E226" s="4" t="s">
        <v>2479</v>
      </c>
      <c r="F226" s="4" t="s">
        <v>2353</v>
      </c>
      <c r="G226" s="6">
        <v>-23.1088473945</v>
      </c>
      <c r="H226" s="6">
        <f t="shared" si="3"/>
        <v>-320566.07777934446</v>
      </c>
      <c r="I226" s="4"/>
      <c r="J226" s="4" t="s">
        <v>68</v>
      </c>
      <c r="K226" s="7">
        <v>22.05</v>
      </c>
      <c r="L226" s="4" t="s">
        <v>26</v>
      </c>
      <c r="M226" s="4" t="s">
        <v>61</v>
      </c>
      <c r="N226" s="4" t="s">
        <v>39</v>
      </c>
    </row>
    <row r="227" spans="1:14" hidden="1" x14ac:dyDescent="0.2">
      <c r="A227" s="22"/>
      <c r="B227" s="4" t="s">
        <v>21</v>
      </c>
      <c r="C227" s="5">
        <v>44620</v>
      </c>
      <c r="D227" s="4" t="s">
        <v>2478</v>
      </c>
      <c r="E227" s="4" t="s">
        <v>2479</v>
      </c>
      <c r="F227" s="4" t="s">
        <v>2353</v>
      </c>
      <c r="G227" s="6">
        <v>-277.98738192249999</v>
      </c>
      <c r="H227" s="6">
        <f t="shared" si="3"/>
        <v>-320844.06516126695</v>
      </c>
      <c r="I227" s="4"/>
      <c r="J227" s="4" t="s">
        <v>68</v>
      </c>
      <c r="K227" s="7">
        <v>265.25</v>
      </c>
      <c r="L227" s="4" t="s">
        <v>26</v>
      </c>
      <c r="M227" s="4" t="s">
        <v>61</v>
      </c>
      <c r="N227" s="4" t="s">
        <v>39</v>
      </c>
    </row>
    <row r="228" spans="1:14" hidden="1" x14ac:dyDescent="0.2">
      <c r="A228" s="22"/>
      <c r="B228" s="4" t="s">
        <v>21</v>
      </c>
      <c r="C228" s="5">
        <v>44620</v>
      </c>
      <c r="D228" s="4" t="s">
        <v>2478</v>
      </c>
      <c r="E228" s="4" t="s">
        <v>2479</v>
      </c>
      <c r="F228" s="4" t="s">
        <v>2353</v>
      </c>
      <c r="G228" s="6">
        <v>-10.417321682600001</v>
      </c>
      <c r="H228" s="6">
        <f t="shared" si="3"/>
        <v>-320854.48248294956</v>
      </c>
      <c r="I228" s="4"/>
      <c r="J228" s="4" t="s">
        <v>68</v>
      </c>
      <c r="K228" s="7">
        <v>9.94</v>
      </c>
      <c r="L228" s="4" t="s">
        <v>26</v>
      </c>
      <c r="M228" s="4" t="s">
        <v>61</v>
      </c>
      <c r="N228" s="4" t="s">
        <v>39</v>
      </c>
    </row>
    <row r="229" spans="1:14" hidden="1" x14ac:dyDescent="0.2">
      <c r="A229" s="22"/>
      <c r="B229" s="4" t="s">
        <v>21</v>
      </c>
      <c r="C229" s="5">
        <v>44620</v>
      </c>
      <c r="D229" s="4" t="s">
        <v>2478</v>
      </c>
      <c r="E229" s="4" t="s">
        <v>2479</v>
      </c>
      <c r="F229" s="4" t="s">
        <v>2462</v>
      </c>
      <c r="G229" s="6">
        <v>-22156.9096046872</v>
      </c>
      <c r="H229" s="6">
        <f t="shared" si="3"/>
        <v>-343011.39208763675</v>
      </c>
      <c r="I229" s="4"/>
      <c r="J229" s="4" t="s">
        <v>68</v>
      </c>
      <c r="K229" s="7">
        <v>21141.68</v>
      </c>
      <c r="L229" s="4" t="s">
        <v>26</v>
      </c>
      <c r="M229" s="4" t="s">
        <v>61</v>
      </c>
      <c r="N229" s="4" t="s">
        <v>39</v>
      </c>
    </row>
    <row r="230" spans="1:14" hidden="1" x14ac:dyDescent="0.2">
      <c r="A230" s="22"/>
      <c r="B230" s="4" t="s">
        <v>21</v>
      </c>
      <c r="C230" s="5">
        <v>44620</v>
      </c>
      <c r="D230" s="4" t="s">
        <v>2478</v>
      </c>
      <c r="E230" s="4" t="s">
        <v>2479</v>
      </c>
      <c r="F230" s="4" t="s">
        <v>2355</v>
      </c>
      <c r="G230" s="6">
        <v>-6253.6837932706003</v>
      </c>
      <c r="H230" s="6">
        <f t="shared" si="3"/>
        <v>-349265.07588090736</v>
      </c>
      <c r="I230" s="4"/>
      <c r="J230" s="4" t="s">
        <v>68</v>
      </c>
      <c r="K230" s="7">
        <v>5967.14</v>
      </c>
      <c r="L230" s="4" t="s">
        <v>26</v>
      </c>
      <c r="M230" s="4" t="s">
        <v>61</v>
      </c>
      <c r="N230" s="4" t="s">
        <v>39</v>
      </c>
    </row>
    <row r="231" spans="1:14" hidden="1" x14ac:dyDescent="0.2">
      <c r="A231" s="22"/>
      <c r="B231" s="4" t="s">
        <v>21</v>
      </c>
      <c r="C231" s="5">
        <v>44620</v>
      </c>
      <c r="D231" s="4" t="s">
        <v>2478</v>
      </c>
      <c r="E231" s="4" t="s">
        <v>2479</v>
      </c>
      <c r="F231" s="4" t="s">
        <v>2356</v>
      </c>
      <c r="G231" s="6">
        <v>-1389.7587461631999</v>
      </c>
      <c r="H231" s="6">
        <f t="shared" si="3"/>
        <v>-350654.83462707058</v>
      </c>
      <c r="I231" s="4"/>
      <c r="J231" s="4" t="s">
        <v>68</v>
      </c>
      <c r="K231" s="7">
        <v>1326.08</v>
      </c>
      <c r="L231" s="4" t="s">
        <v>26</v>
      </c>
      <c r="M231" s="4" t="s">
        <v>61</v>
      </c>
      <c r="N231" s="4" t="s">
        <v>39</v>
      </c>
    </row>
    <row r="232" spans="1:14" hidden="1" x14ac:dyDescent="0.2">
      <c r="A232" s="22"/>
      <c r="B232" s="4" t="s">
        <v>21</v>
      </c>
      <c r="C232" s="5">
        <v>44620</v>
      </c>
      <c r="D232" s="4" t="s">
        <v>2478</v>
      </c>
      <c r="E232" s="4" t="s">
        <v>2479</v>
      </c>
      <c r="F232" s="4" t="s">
        <v>2354</v>
      </c>
      <c r="G232" s="6">
        <v>-1250.7807755063</v>
      </c>
      <c r="H232" s="6">
        <f t="shared" si="3"/>
        <v>-351905.61540257686</v>
      </c>
      <c r="I232" s="4"/>
      <c r="J232" s="4" t="s">
        <v>68</v>
      </c>
      <c r="K232" s="7">
        <v>1193.47</v>
      </c>
      <c r="L232" s="4" t="s">
        <v>26</v>
      </c>
      <c r="M232" s="4" t="s">
        <v>61</v>
      </c>
      <c r="N232" s="4" t="s">
        <v>39</v>
      </c>
    </row>
    <row r="233" spans="1:14" hidden="1" x14ac:dyDescent="0.2">
      <c r="A233" s="22"/>
      <c r="B233" s="4" t="s">
        <v>21</v>
      </c>
      <c r="C233" s="5">
        <v>44620</v>
      </c>
      <c r="D233" s="4" t="s">
        <v>2478</v>
      </c>
      <c r="E233" s="4" t="s">
        <v>2479</v>
      </c>
      <c r="F233" s="4" t="s">
        <v>2357</v>
      </c>
      <c r="G233" s="6">
        <v>-9458.8861669891994</v>
      </c>
      <c r="H233" s="6">
        <f t="shared" si="3"/>
        <v>-361364.50156956608</v>
      </c>
      <c r="I233" s="4"/>
      <c r="J233" s="4" t="s">
        <v>68</v>
      </c>
      <c r="K233" s="7">
        <v>9025.48</v>
      </c>
      <c r="L233" s="4" t="s">
        <v>26</v>
      </c>
      <c r="M233" s="4" t="s">
        <v>61</v>
      </c>
      <c r="N233" s="4" t="s">
        <v>39</v>
      </c>
    </row>
    <row r="234" spans="1:14" hidden="1" x14ac:dyDescent="0.2">
      <c r="A234" s="22"/>
      <c r="B234" s="4" t="s">
        <v>21</v>
      </c>
      <c r="C234" s="5">
        <v>44620</v>
      </c>
      <c r="D234" s="4" t="s">
        <v>2478</v>
      </c>
      <c r="E234" s="4" t="s">
        <v>2479</v>
      </c>
      <c r="F234" s="4" t="s">
        <v>2354</v>
      </c>
      <c r="G234" s="6">
        <v>-103.9007315506</v>
      </c>
      <c r="H234" s="6">
        <f t="shared" si="3"/>
        <v>-361468.40230111667</v>
      </c>
      <c r="I234" s="4"/>
      <c r="J234" s="4" t="s">
        <v>68</v>
      </c>
      <c r="K234" s="7">
        <v>99.14</v>
      </c>
      <c r="L234" s="4" t="s">
        <v>26</v>
      </c>
      <c r="M234" s="4" t="s">
        <v>61</v>
      </c>
      <c r="N234" s="4" t="s">
        <v>39</v>
      </c>
    </row>
    <row r="235" spans="1:14" hidden="1" x14ac:dyDescent="0.2">
      <c r="A235" s="22"/>
      <c r="B235" s="4" t="s">
        <v>21</v>
      </c>
      <c r="C235" s="5">
        <v>44620</v>
      </c>
      <c r="D235" s="4" t="s">
        <v>2478</v>
      </c>
      <c r="E235" s="4" t="s">
        <v>2479</v>
      </c>
      <c r="F235" s="4" t="s">
        <v>2463</v>
      </c>
      <c r="G235" s="6">
        <v>-1834.9263247465001</v>
      </c>
      <c r="H235" s="6">
        <f t="shared" si="3"/>
        <v>-363303.32862586319</v>
      </c>
      <c r="I235" s="4"/>
      <c r="J235" s="4" t="s">
        <v>68</v>
      </c>
      <c r="K235" s="7">
        <v>1750.85</v>
      </c>
      <c r="L235" s="4" t="s">
        <v>26</v>
      </c>
      <c r="M235" s="4" t="s">
        <v>61</v>
      </c>
      <c r="N235" s="4" t="s">
        <v>39</v>
      </c>
    </row>
    <row r="236" spans="1:14" hidden="1" x14ac:dyDescent="0.2">
      <c r="A236" s="22"/>
      <c r="B236" s="4" t="s">
        <v>21</v>
      </c>
      <c r="C236" s="5">
        <v>44620</v>
      </c>
      <c r="D236" s="4" t="s">
        <v>2478</v>
      </c>
      <c r="E236" s="4" t="s">
        <v>2479</v>
      </c>
      <c r="F236" s="4" t="s">
        <v>2355</v>
      </c>
      <c r="G236" s="6">
        <v>-519.3359745066</v>
      </c>
      <c r="H236" s="6">
        <f t="shared" si="3"/>
        <v>-363822.66460036981</v>
      </c>
      <c r="I236" s="4"/>
      <c r="J236" s="4" t="s">
        <v>68</v>
      </c>
      <c r="K236" s="7">
        <v>495.54</v>
      </c>
      <c r="L236" s="4" t="s">
        <v>26</v>
      </c>
      <c r="M236" s="4" t="s">
        <v>61</v>
      </c>
      <c r="N236" s="4" t="s">
        <v>39</v>
      </c>
    </row>
    <row r="237" spans="1:14" hidden="1" x14ac:dyDescent="0.2">
      <c r="A237" s="22"/>
      <c r="B237" s="4" t="s">
        <v>21</v>
      </c>
      <c r="C237" s="5">
        <v>44620</v>
      </c>
      <c r="D237" s="4" t="s">
        <v>2478</v>
      </c>
      <c r="E237" s="4" t="s">
        <v>2479</v>
      </c>
      <c r="F237" s="4" t="s">
        <v>2356</v>
      </c>
      <c r="G237" s="6">
        <v>-115.41847453770001</v>
      </c>
      <c r="H237" s="6">
        <f t="shared" si="3"/>
        <v>-363938.08307490754</v>
      </c>
      <c r="I237" s="4"/>
      <c r="J237" s="4" t="s">
        <v>68</v>
      </c>
      <c r="K237" s="7">
        <v>110.13</v>
      </c>
      <c r="L237" s="4" t="s">
        <v>26</v>
      </c>
      <c r="M237" s="4" t="s">
        <v>61</v>
      </c>
      <c r="N237" s="4" t="s">
        <v>39</v>
      </c>
    </row>
    <row r="238" spans="1:14" hidden="1" x14ac:dyDescent="0.2">
      <c r="A238" s="22"/>
      <c r="B238" s="4" t="s">
        <v>21</v>
      </c>
      <c r="C238" s="5">
        <v>44620</v>
      </c>
      <c r="D238" s="4" t="s">
        <v>2478</v>
      </c>
      <c r="E238" s="4" t="s">
        <v>2479</v>
      </c>
      <c r="F238" s="4" t="s">
        <v>2357</v>
      </c>
      <c r="G238" s="6">
        <v>-1262.445241334</v>
      </c>
      <c r="H238" s="6">
        <f t="shared" si="3"/>
        <v>-365200.52831624151</v>
      </c>
      <c r="I238" s="4"/>
      <c r="J238" s="4" t="s">
        <v>68</v>
      </c>
      <c r="K238" s="7">
        <v>1204.5999999999999</v>
      </c>
      <c r="L238" s="4" t="s">
        <v>26</v>
      </c>
      <c r="M238" s="4" t="s">
        <v>61</v>
      </c>
      <c r="N238" s="4" t="s">
        <v>39</v>
      </c>
    </row>
    <row r="239" spans="1:14" hidden="1" x14ac:dyDescent="0.2">
      <c r="A239" s="22"/>
      <c r="B239" s="4" t="s">
        <v>21</v>
      </c>
      <c r="C239" s="5">
        <v>44620</v>
      </c>
      <c r="D239" s="4" t="s">
        <v>2478</v>
      </c>
      <c r="E239" s="4" t="s">
        <v>2479</v>
      </c>
      <c r="F239" s="4" t="s">
        <v>2354</v>
      </c>
      <c r="G239" s="6">
        <v>-62.325766646300004</v>
      </c>
      <c r="H239" s="6">
        <f t="shared" si="3"/>
        <v>-365262.85408288782</v>
      </c>
      <c r="I239" s="4"/>
      <c r="J239" s="4" t="s">
        <v>68</v>
      </c>
      <c r="K239" s="7">
        <v>59.47</v>
      </c>
      <c r="L239" s="4" t="s">
        <v>26</v>
      </c>
      <c r="M239" s="4" t="s">
        <v>61</v>
      </c>
      <c r="N239" s="4" t="s">
        <v>39</v>
      </c>
    </row>
    <row r="240" spans="1:14" hidden="1" x14ac:dyDescent="0.2">
      <c r="A240" s="22"/>
      <c r="B240" s="4" t="s">
        <v>21</v>
      </c>
      <c r="C240" s="5">
        <v>44620</v>
      </c>
      <c r="D240" s="4" t="s">
        <v>2478</v>
      </c>
      <c r="E240" s="4" t="s">
        <v>2479</v>
      </c>
      <c r="F240" s="4" t="s">
        <v>2464</v>
      </c>
      <c r="G240" s="6">
        <v>-786.26674236960002</v>
      </c>
      <c r="H240" s="6">
        <f t="shared" si="3"/>
        <v>-366049.12082525744</v>
      </c>
      <c r="I240" s="4"/>
      <c r="J240" s="4" t="s">
        <v>68</v>
      </c>
      <c r="K240" s="7">
        <v>750.24</v>
      </c>
      <c r="L240" s="4" t="s">
        <v>26</v>
      </c>
      <c r="M240" s="4" t="s">
        <v>61</v>
      </c>
      <c r="N240" s="4" t="s">
        <v>39</v>
      </c>
    </row>
    <row r="241" spans="1:16" hidden="1" x14ac:dyDescent="0.2">
      <c r="A241" s="22"/>
      <c r="B241" s="4" t="s">
        <v>21</v>
      </c>
      <c r="C241" s="5">
        <v>44620</v>
      </c>
      <c r="D241" s="4" t="s">
        <v>2478</v>
      </c>
      <c r="E241" s="4" t="s">
        <v>2479</v>
      </c>
      <c r="F241" s="4" t="s">
        <v>2355</v>
      </c>
      <c r="G241" s="6">
        <v>-234.3163764382</v>
      </c>
      <c r="H241" s="6">
        <f t="shared" si="3"/>
        <v>-366283.43720169563</v>
      </c>
      <c r="I241" s="4"/>
      <c r="J241" s="4" t="s">
        <v>68</v>
      </c>
      <c r="K241" s="7">
        <v>223.58</v>
      </c>
      <c r="L241" s="4" t="s">
        <v>26</v>
      </c>
      <c r="M241" s="4" t="s">
        <v>61</v>
      </c>
      <c r="N241" s="4" t="s">
        <v>39</v>
      </c>
    </row>
    <row r="242" spans="1:16" hidden="1" x14ac:dyDescent="0.2">
      <c r="A242" s="22"/>
      <c r="B242" s="4" t="s">
        <v>21</v>
      </c>
      <c r="C242" s="5">
        <v>44620</v>
      </c>
      <c r="D242" s="4" t="s">
        <v>2478</v>
      </c>
      <c r="E242" s="4" t="s">
        <v>2479</v>
      </c>
      <c r="F242" s="4" t="s">
        <v>2356</v>
      </c>
      <c r="G242" s="6">
        <v>-78.266155257199998</v>
      </c>
      <c r="H242" s="6">
        <f t="shared" si="3"/>
        <v>-366361.70335695281</v>
      </c>
      <c r="I242" s="4"/>
      <c r="J242" s="4" t="s">
        <v>68</v>
      </c>
      <c r="K242" s="7">
        <v>74.680000000000007</v>
      </c>
      <c r="L242" s="4" t="s">
        <v>26</v>
      </c>
      <c r="M242" s="4" t="s">
        <v>61</v>
      </c>
      <c r="N242" s="4" t="s">
        <v>39</v>
      </c>
    </row>
    <row r="243" spans="1:16" hidden="1" x14ac:dyDescent="0.2">
      <c r="A243" s="22"/>
      <c r="B243" s="4" t="s">
        <v>21</v>
      </c>
      <c r="C243" s="5">
        <v>44620</v>
      </c>
      <c r="D243" s="4" t="s">
        <v>2478</v>
      </c>
      <c r="E243" s="4" t="s">
        <v>2479</v>
      </c>
      <c r="F243" s="4" t="s">
        <v>2357</v>
      </c>
      <c r="G243" s="6">
        <v>-631.222620667</v>
      </c>
      <c r="H243" s="6">
        <f t="shared" si="3"/>
        <v>-366992.92597761983</v>
      </c>
      <c r="I243" s="4"/>
      <c r="J243" s="4" t="s">
        <v>68</v>
      </c>
      <c r="K243" s="7">
        <v>602.29999999999995</v>
      </c>
      <c r="L243" s="4" t="s">
        <v>26</v>
      </c>
      <c r="M243" s="4" t="s">
        <v>61</v>
      </c>
      <c r="N243" s="4" t="s">
        <v>39</v>
      </c>
    </row>
    <row r="244" spans="1:16" x14ac:dyDescent="0.2">
      <c r="A244" s="22"/>
      <c r="B244" s="4" t="s">
        <v>21</v>
      </c>
      <c r="C244" s="5">
        <v>44620</v>
      </c>
      <c r="D244" s="4" t="s">
        <v>101</v>
      </c>
      <c r="E244" s="4" t="s">
        <v>88</v>
      </c>
      <c r="F244" s="4" t="s">
        <v>88</v>
      </c>
      <c r="G244" s="6">
        <v>-51493.250765410703</v>
      </c>
      <c r="H244" s="6">
        <f t="shared" si="3"/>
        <v>-418486.17674303055</v>
      </c>
      <c r="I244" s="4"/>
      <c r="J244" s="4" t="s">
        <v>68</v>
      </c>
      <c r="K244" s="7">
        <v>49133.83</v>
      </c>
      <c r="L244" s="4" t="s">
        <v>26</v>
      </c>
      <c r="M244" s="4" t="s">
        <v>61</v>
      </c>
      <c r="N244" s="4" t="s">
        <v>39</v>
      </c>
      <c r="P244" s="4" t="s">
        <v>825</v>
      </c>
    </row>
    <row r="245" spans="1:16" hidden="1" x14ac:dyDescent="0.2">
      <c r="A245" s="22"/>
      <c r="B245" s="4" t="s">
        <v>21</v>
      </c>
      <c r="C245" s="5">
        <v>44620</v>
      </c>
      <c r="D245" s="4" t="s">
        <v>2480</v>
      </c>
      <c r="E245" s="4" t="s">
        <v>2481</v>
      </c>
      <c r="F245" s="4" t="s">
        <v>2481</v>
      </c>
      <c r="G245" s="6">
        <v>-41083.066100985598</v>
      </c>
      <c r="H245" s="6">
        <f t="shared" si="3"/>
        <v>-459569.24284401617</v>
      </c>
      <c r="I245" s="4"/>
      <c r="J245" s="4" t="s">
        <v>68</v>
      </c>
      <c r="K245" s="7">
        <v>39200.639999999999</v>
      </c>
      <c r="L245" s="4" t="s">
        <v>26</v>
      </c>
      <c r="M245" s="4" t="s">
        <v>61</v>
      </c>
      <c r="N245" s="4" t="s">
        <v>39</v>
      </c>
    </row>
    <row r="246" spans="1:16" x14ac:dyDescent="0.2">
      <c r="A246" s="22"/>
      <c r="B246" s="4" t="s">
        <v>21</v>
      </c>
      <c r="C246" s="5">
        <v>44621</v>
      </c>
      <c r="D246" s="4" t="s">
        <v>102</v>
      </c>
      <c r="E246" s="4" t="s">
        <v>88</v>
      </c>
      <c r="F246" s="4" t="s">
        <v>88</v>
      </c>
      <c r="G246" s="6">
        <v>51493.250765410703</v>
      </c>
      <c r="H246" s="6">
        <f t="shared" si="3"/>
        <v>-408075.99207860546</v>
      </c>
      <c r="I246" s="4"/>
      <c r="J246" s="4" t="s">
        <v>68</v>
      </c>
      <c r="K246" s="7">
        <v>-49133.83</v>
      </c>
      <c r="L246" s="4" t="s">
        <v>42</v>
      </c>
      <c r="M246" s="4" t="s">
        <v>61</v>
      </c>
      <c r="N246" s="4" t="s">
        <v>39</v>
      </c>
      <c r="P246" s="4" t="s">
        <v>825</v>
      </c>
    </row>
    <row r="247" spans="1:16" hidden="1" x14ac:dyDescent="0.2">
      <c r="A247" s="22"/>
      <c r="B247" s="4" t="s">
        <v>21</v>
      </c>
      <c r="C247" s="5">
        <v>44621</v>
      </c>
      <c r="D247" s="4" t="s">
        <v>2482</v>
      </c>
      <c r="E247" s="4" t="s">
        <v>2481</v>
      </c>
      <c r="F247" s="4" t="s">
        <v>2481</v>
      </c>
      <c r="G247" s="6">
        <v>41083.066100985598</v>
      </c>
      <c r="H247" s="6">
        <f t="shared" si="3"/>
        <v>-366992.92597761983</v>
      </c>
      <c r="I247" s="4"/>
      <c r="J247" s="4" t="s">
        <v>68</v>
      </c>
      <c r="K247" s="7">
        <v>-39200.639999999999</v>
      </c>
      <c r="L247" s="4" t="s">
        <v>42</v>
      </c>
      <c r="M247" s="4" t="s">
        <v>61</v>
      </c>
      <c r="N247" s="4" t="s">
        <v>39</v>
      </c>
    </row>
    <row r="248" spans="1:16" hidden="1" x14ac:dyDescent="0.2">
      <c r="A248" s="22"/>
      <c r="B248" s="4" t="s">
        <v>249</v>
      </c>
      <c r="C248" s="5">
        <v>44624</v>
      </c>
      <c r="D248" s="4" t="s">
        <v>2483</v>
      </c>
      <c r="E248" s="4" t="s">
        <v>2484</v>
      </c>
      <c r="F248" s="4" t="s">
        <v>2484</v>
      </c>
      <c r="G248" s="6">
        <v>4750.7178953816001</v>
      </c>
      <c r="H248" s="6">
        <f t="shared" si="3"/>
        <v>-362242.20808223821</v>
      </c>
      <c r="I248" s="4" t="s">
        <v>252</v>
      </c>
      <c r="J248" s="4" t="s">
        <v>68</v>
      </c>
      <c r="K248" s="7">
        <v>-4533.04</v>
      </c>
      <c r="L248" s="4" t="s">
        <v>42</v>
      </c>
      <c r="M248" s="4" t="s">
        <v>61</v>
      </c>
      <c r="N248" s="4"/>
    </row>
    <row r="249" spans="1:16" hidden="1" x14ac:dyDescent="0.2">
      <c r="A249" s="22"/>
      <c r="B249" s="4" t="s">
        <v>21</v>
      </c>
      <c r="C249" s="5">
        <v>44649</v>
      </c>
      <c r="D249" s="4" t="s">
        <v>2485</v>
      </c>
      <c r="E249" s="4" t="s">
        <v>2486</v>
      </c>
      <c r="F249" s="4" t="s">
        <v>2487</v>
      </c>
      <c r="G249" s="6">
        <v>43404.085196639899</v>
      </c>
      <c r="H249" s="6">
        <f t="shared" si="3"/>
        <v>-318838.12288559834</v>
      </c>
      <c r="I249" s="4"/>
      <c r="J249" s="4" t="s">
        <v>68</v>
      </c>
      <c r="K249" s="7">
        <v>-41415.31</v>
      </c>
      <c r="L249" s="4" t="s">
        <v>42</v>
      </c>
      <c r="M249" s="4" t="s">
        <v>61</v>
      </c>
      <c r="N249" s="4" t="s">
        <v>1108</v>
      </c>
    </row>
    <row r="250" spans="1:16" hidden="1" x14ac:dyDescent="0.2">
      <c r="A250" s="22"/>
      <c r="B250" s="4" t="s">
        <v>21</v>
      </c>
      <c r="C250" s="5">
        <v>44649</v>
      </c>
      <c r="D250" s="4" t="s">
        <v>2485</v>
      </c>
      <c r="E250" s="4" t="s">
        <v>2486</v>
      </c>
      <c r="F250" s="4" t="s">
        <v>2488</v>
      </c>
      <c r="G250" s="6">
        <v>24777.725384498899</v>
      </c>
      <c r="H250" s="6">
        <f t="shared" si="3"/>
        <v>-294060.39750109945</v>
      </c>
      <c r="I250" s="4"/>
      <c r="J250" s="4" t="s">
        <v>68</v>
      </c>
      <c r="K250" s="7">
        <v>-23642.41</v>
      </c>
      <c r="L250" s="4" t="s">
        <v>42</v>
      </c>
      <c r="M250" s="4" t="s">
        <v>61</v>
      </c>
      <c r="N250" s="4" t="s">
        <v>1108</v>
      </c>
    </row>
    <row r="251" spans="1:16" hidden="1" x14ac:dyDescent="0.2">
      <c r="A251" s="22"/>
      <c r="B251" s="4" t="s">
        <v>21</v>
      </c>
      <c r="C251" s="5">
        <v>44651</v>
      </c>
      <c r="D251" s="4" t="s">
        <v>2489</v>
      </c>
      <c r="E251" s="4" t="s">
        <v>2490</v>
      </c>
      <c r="F251" s="4" t="s">
        <v>2353</v>
      </c>
      <c r="G251" s="6">
        <v>-9.9771531608000004</v>
      </c>
      <c r="H251" s="6">
        <f t="shared" si="3"/>
        <v>-294070.37465426023</v>
      </c>
      <c r="I251" s="4"/>
      <c r="J251" s="4" t="s">
        <v>68</v>
      </c>
      <c r="K251" s="7">
        <v>9.52</v>
      </c>
      <c r="L251" s="4" t="s">
        <v>42</v>
      </c>
      <c r="M251" s="4" t="s">
        <v>61</v>
      </c>
      <c r="N251" s="4" t="s">
        <v>39</v>
      </c>
    </row>
    <row r="252" spans="1:16" hidden="1" x14ac:dyDescent="0.2">
      <c r="A252" s="22"/>
      <c r="B252" s="4" t="s">
        <v>21</v>
      </c>
      <c r="C252" s="5">
        <v>44651</v>
      </c>
      <c r="D252" s="4" t="s">
        <v>2489</v>
      </c>
      <c r="E252" s="4" t="s">
        <v>2490</v>
      </c>
      <c r="F252" s="4" t="s">
        <v>2353</v>
      </c>
      <c r="G252" s="6">
        <v>-24.4817539744</v>
      </c>
      <c r="H252" s="6">
        <f t="shared" si="3"/>
        <v>-294094.85640823463</v>
      </c>
      <c r="I252" s="4"/>
      <c r="J252" s="4" t="s">
        <v>68</v>
      </c>
      <c r="K252" s="7">
        <v>23.36</v>
      </c>
      <c r="L252" s="4" t="s">
        <v>42</v>
      </c>
      <c r="M252" s="4" t="s">
        <v>61</v>
      </c>
      <c r="N252" s="4" t="s">
        <v>39</v>
      </c>
    </row>
    <row r="253" spans="1:16" hidden="1" x14ac:dyDescent="0.2">
      <c r="A253" s="22"/>
      <c r="B253" s="4" t="s">
        <v>21</v>
      </c>
      <c r="C253" s="5">
        <v>44651</v>
      </c>
      <c r="D253" s="4" t="s">
        <v>2489</v>
      </c>
      <c r="E253" s="4" t="s">
        <v>2490</v>
      </c>
      <c r="F253" s="4" t="s">
        <v>2353</v>
      </c>
      <c r="G253" s="6">
        <v>-282.09562145929999</v>
      </c>
      <c r="H253" s="6">
        <f t="shared" si="3"/>
        <v>-294376.95202969393</v>
      </c>
      <c r="I253" s="4"/>
      <c r="J253" s="4" t="s">
        <v>68</v>
      </c>
      <c r="K253" s="7">
        <v>269.17</v>
      </c>
      <c r="L253" s="4" t="s">
        <v>42</v>
      </c>
      <c r="M253" s="4" t="s">
        <v>61</v>
      </c>
      <c r="N253" s="4" t="s">
        <v>39</v>
      </c>
    </row>
    <row r="254" spans="1:16" hidden="1" x14ac:dyDescent="0.2">
      <c r="A254" s="22"/>
      <c r="B254" s="4" t="s">
        <v>21</v>
      </c>
      <c r="C254" s="5">
        <v>44651</v>
      </c>
      <c r="D254" s="4" t="s">
        <v>2489</v>
      </c>
      <c r="E254" s="4" t="s">
        <v>2490</v>
      </c>
      <c r="F254" s="4" t="s">
        <v>2355</v>
      </c>
      <c r="G254" s="6">
        <v>-6347.2929655733997</v>
      </c>
      <c r="H254" s="6">
        <f t="shared" si="3"/>
        <v>-300724.24499526731</v>
      </c>
      <c r="I254" s="4"/>
      <c r="J254" s="4" t="s">
        <v>68</v>
      </c>
      <c r="K254" s="7">
        <v>6056.46</v>
      </c>
      <c r="L254" s="4" t="s">
        <v>42</v>
      </c>
      <c r="M254" s="4" t="s">
        <v>61</v>
      </c>
      <c r="N254" s="4" t="s">
        <v>39</v>
      </c>
    </row>
    <row r="255" spans="1:16" hidden="1" x14ac:dyDescent="0.2">
      <c r="A255" s="22"/>
      <c r="B255" s="4" t="s">
        <v>21</v>
      </c>
      <c r="C255" s="5">
        <v>44651</v>
      </c>
      <c r="D255" s="4" t="s">
        <v>2489</v>
      </c>
      <c r="E255" s="4" t="s">
        <v>2490</v>
      </c>
      <c r="F255" s="4" t="s">
        <v>2356</v>
      </c>
      <c r="G255" s="6">
        <v>-1410.5200281081</v>
      </c>
      <c r="H255" s="6">
        <f t="shared" si="3"/>
        <v>-302134.7650233754</v>
      </c>
      <c r="I255" s="4"/>
      <c r="J255" s="4" t="s">
        <v>68</v>
      </c>
      <c r="K255" s="7">
        <v>1345.89</v>
      </c>
      <c r="L255" s="4" t="s">
        <v>42</v>
      </c>
      <c r="M255" s="4" t="s">
        <v>61</v>
      </c>
      <c r="N255" s="4" t="s">
        <v>39</v>
      </c>
    </row>
    <row r="256" spans="1:16" hidden="1" x14ac:dyDescent="0.2">
      <c r="A256" s="22"/>
      <c r="B256" s="4" t="s">
        <v>21</v>
      </c>
      <c r="C256" s="5">
        <v>44651</v>
      </c>
      <c r="D256" s="4" t="s">
        <v>2489</v>
      </c>
      <c r="E256" s="4" t="s">
        <v>2490</v>
      </c>
      <c r="F256" s="4" t="s">
        <v>2357</v>
      </c>
      <c r="G256" s="6">
        <v>-3494.9171026862</v>
      </c>
      <c r="H256" s="6">
        <f t="shared" si="3"/>
        <v>-305629.68212606158</v>
      </c>
      <c r="I256" s="4"/>
      <c r="J256" s="4" t="s">
        <v>68</v>
      </c>
      <c r="K256" s="7">
        <v>3334.78</v>
      </c>
      <c r="L256" s="4" t="s">
        <v>42</v>
      </c>
      <c r="M256" s="4" t="s">
        <v>61</v>
      </c>
      <c r="N256" s="4" t="s">
        <v>39</v>
      </c>
    </row>
    <row r="257" spans="1:14" hidden="1" x14ac:dyDescent="0.2">
      <c r="A257" s="22"/>
      <c r="B257" s="4" t="s">
        <v>21</v>
      </c>
      <c r="C257" s="5">
        <v>44651</v>
      </c>
      <c r="D257" s="4" t="s">
        <v>2489</v>
      </c>
      <c r="E257" s="4" t="s">
        <v>2490</v>
      </c>
      <c r="F257" s="4" t="s">
        <v>2462</v>
      </c>
      <c r="G257" s="6">
        <v>-65.511748327899994</v>
      </c>
      <c r="H257" s="6">
        <f t="shared" si="3"/>
        <v>-305695.19387438946</v>
      </c>
      <c r="I257" s="4"/>
      <c r="J257" s="4" t="s">
        <v>68</v>
      </c>
      <c r="K257" s="7">
        <v>62.51</v>
      </c>
      <c r="L257" s="4" t="s">
        <v>42</v>
      </c>
      <c r="M257" s="4" t="s">
        <v>61</v>
      </c>
      <c r="N257" s="4" t="s">
        <v>39</v>
      </c>
    </row>
    <row r="258" spans="1:14" hidden="1" x14ac:dyDescent="0.2">
      <c r="A258" s="22"/>
      <c r="B258" s="4" t="s">
        <v>21</v>
      </c>
      <c r="C258" s="5">
        <v>44651</v>
      </c>
      <c r="D258" s="4" t="s">
        <v>2489</v>
      </c>
      <c r="E258" s="4" t="s">
        <v>2490</v>
      </c>
      <c r="F258" s="4" t="s">
        <v>2355</v>
      </c>
      <c r="G258" s="6">
        <v>-549.85432535140001</v>
      </c>
      <c r="H258" s="6">
        <f t="shared" si="3"/>
        <v>-306245.04819974088</v>
      </c>
      <c r="I258" s="4"/>
      <c r="J258" s="4" t="s">
        <v>68</v>
      </c>
      <c r="K258" s="7">
        <v>524.66</v>
      </c>
      <c r="L258" s="4" t="s">
        <v>42</v>
      </c>
      <c r="M258" s="4" t="s">
        <v>61</v>
      </c>
      <c r="N258" s="4" t="s">
        <v>39</v>
      </c>
    </row>
    <row r="259" spans="1:14" hidden="1" x14ac:dyDescent="0.2">
      <c r="A259" s="22"/>
      <c r="B259" s="4" t="s">
        <v>21</v>
      </c>
      <c r="C259" s="5">
        <v>44651</v>
      </c>
      <c r="D259" s="4" t="s">
        <v>2489</v>
      </c>
      <c r="E259" s="4" t="s">
        <v>2490</v>
      </c>
      <c r="F259" s="4" t="s">
        <v>2356</v>
      </c>
      <c r="G259" s="6">
        <v>-122.1886856111</v>
      </c>
      <c r="H259" s="6">
        <f t="shared" si="3"/>
        <v>-306367.236885352</v>
      </c>
      <c r="I259" s="4"/>
      <c r="J259" s="4" t="s">
        <v>68</v>
      </c>
      <c r="K259" s="7">
        <v>116.59</v>
      </c>
      <c r="L259" s="4" t="s">
        <v>42</v>
      </c>
      <c r="M259" s="4" t="s">
        <v>61</v>
      </c>
      <c r="N259" s="4" t="s">
        <v>39</v>
      </c>
    </row>
    <row r="260" spans="1:14" hidden="1" x14ac:dyDescent="0.2">
      <c r="A260" s="22"/>
      <c r="B260" s="4" t="s">
        <v>21</v>
      </c>
      <c r="C260" s="5">
        <v>44651</v>
      </c>
      <c r="D260" s="4" t="s">
        <v>2489</v>
      </c>
      <c r="E260" s="4" t="s">
        <v>2490</v>
      </c>
      <c r="F260" s="4" t="s">
        <v>2357</v>
      </c>
      <c r="G260" s="6">
        <v>-631.222620667</v>
      </c>
      <c r="H260" s="6">
        <f t="shared" si="3"/>
        <v>-306998.45950601902</v>
      </c>
      <c r="I260" s="4"/>
      <c r="J260" s="4" t="s">
        <v>68</v>
      </c>
      <c r="K260" s="7">
        <v>602.29999999999995</v>
      </c>
      <c r="L260" s="4" t="s">
        <v>42</v>
      </c>
      <c r="M260" s="4" t="s">
        <v>61</v>
      </c>
      <c r="N260" s="4" t="s">
        <v>39</v>
      </c>
    </row>
    <row r="261" spans="1:14" hidden="1" x14ac:dyDescent="0.2">
      <c r="A261" s="22"/>
      <c r="B261" s="4" t="s">
        <v>21</v>
      </c>
      <c r="C261" s="5">
        <v>44651</v>
      </c>
      <c r="D261" s="4" t="s">
        <v>2489</v>
      </c>
      <c r="E261" s="4" t="s">
        <v>2490</v>
      </c>
      <c r="F261" s="4" t="s">
        <v>2355</v>
      </c>
      <c r="G261" s="6">
        <v>-224.28682226289999</v>
      </c>
      <c r="H261" s="6">
        <f t="shared" si="3"/>
        <v>-307222.74632828194</v>
      </c>
      <c r="I261" s="4"/>
      <c r="J261" s="4" t="s">
        <v>68</v>
      </c>
      <c r="K261" s="7">
        <v>214.01</v>
      </c>
      <c r="L261" s="4" t="s">
        <v>42</v>
      </c>
      <c r="M261" s="4" t="s">
        <v>61</v>
      </c>
      <c r="N261" s="4" t="s">
        <v>39</v>
      </c>
    </row>
    <row r="262" spans="1:14" hidden="1" x14ac:dyDescent="0.2">
      <c r="A262" s="22"/>
      <c r="B262" s="4" t="s">
        <v>21</v>
      </c>
      <c r="C262" s="5">
        <v>44651</v>
      </c>
      <c r="D262" s="4" t="s">
        <v>2489</v>
      </c>
      <c r="E262" s="4" t="s">
        <v>2490</v>
      </c>
      <c r="F262" s="4" t="s">
        <v>2356</v>
      </c>
      <c r="G262" s="6">
        <v>-49.833364789500003</v>
      </c>
      <c r="H262" s="6">
        <f t="shared" si="3"/>
        <v>-307272.57969307143</v>
      </c>
      <c r="I262" s="4"/>
      <c r="J262" s="4" t="s">
        <v>68</v>
      </c>
      <c r="K262" s="7">
        <v>47.55</v>
      </c>
      <c r="L262" s="4" t="s">
        <v>42</v>
      </c>
      <c r="M262" s="4" t="s">
        <v>61</v>
      </c>
      <c r="N262" s="4" t="s">
        <v>39</v>
      </c>
    </row>
    <row r="263" spans="1:14" hidden="1" x14ac:dyDescent="0.2">
      <c r="A263" s="22"/>
      <c r="B263" s="4" t="s">
        <v>21</v>
      </c>
      <c r="C263" s="5">
        <v>44651</v>
      </c>
      <c r="D263" s="4" t="s">
        <v>2489</v>
      </c>
      <c r="E263" s="4" t="s">
        <v>2490</v>
      </c>
      <c r="F263" s="4" t="s">
        <v>2491</v>
      </c>
      <c r="G263" s="6">
        <v>-44.865748614899999</v>
      </c>
      <c r="H263" s="6">
        <f t="shared" si="3"/>
        <v>-307317.44544168632</v>
      </c>
      <c r="I263" s="4"/>
      <c r="J263" s="4" t="s">
        <v>68</v>
      </c>
      <c r="K263" s="7">
        <v>42.81</v>
      </c>
      <c r="L263" s="4" t="s">
        <v>42</v>
      </c>
      <c r="M263" s="4" t="s">
        <v>61</v>
      </c>
      <c r="N263" s="4" t="s">
        <v>39</v>
      </c>
    </row>
    <row r="264" spans="1:14" hidden="1" x14ac:dyDescent="0.2">
      <c r="A264" s="22"/>
      <c r="B264" s="4" t="s">
        <v>21</v>
      </c>
      <c r="C264" s="5">
        <v>44651</v>
      </c>
      <c r="D264" s="4" t="s">
        <v>2489</v>
      </c>
      <c r="E264" s="4" t="s">
        <v>2490</v>
      </c>
      <c r="F264" s="4" t="s">
        <v>2491</v>
      </c>
      <c r="G264" s="6">
        <v>-1269.5298584944001</v>
      </c>
      <c r="H264" s="6">
        <f t="shared" si="3"/>
        <v>-308586.97530018073</v>
      </c>
      <c r="I264" s="4"/>
      <c r="J264" s="4" t="s">
        <v>68</v>
      </c>
      <c r="K264" s="7">
        <v>1211.3599999999999</v>
      </c>
      <c r="L264" s="4" t="s">
        <v>42</v>
      </c>
      <c r="M264" s="4" t="s">
        <v>61</v>
      </c>
      <c r="N264" s="4" t="s">
        <v>39</v>
      </c>
    </row>
    <row r="265" spans="1:14" hidden="1" x14ac:dyDescent="0.2">
      <c r="A265" s="22"/>
      <c r="B265" s="4" t="s">
        <v>21</v>
      </c>
      <c r="C265" s="5">
        <v>44651</v>
      </c>
      <c r="D265" s="4" t="s">
        <v>2489</v>
      </c>
      <c r="E265" s="4" t="s">
        <v>2490</v>
      </c>
      <c r="F265" s="4" t="s">
        <v>2491</v>
      </c>
      <c r="G265" s="6">
        <v>-109.9897294355</v>
      </c>
      <c r="H265" s="6">
        <f t="shared" si="3"/>
        <v>-308696.9650296162</v>
      </c>
      <c r="I265" s="4"/>
      <c r="J265" s="4" t="s">
        <v>68</v>
      </c>
      <c r="K265" s="7">
        <v>104.95</v>
      </c>
      <c r="L265" s="4" t="s">
        <v>42</v>
      </c>
      <c r="M265" s="4" t="s">
        <v>61</v>
      </c>
      <c r="N265" s="4" t="s">
        <v>39</v>
      </c>
    </row>
    <row r="266" spans="1:14" hidden="1" x14ac:dyDescent="0.2">
      <c r="A266" s="22"/>
      <c r="B266" s="4" t="s">
        <v>21</v>
      </c>
      <c r="C266" s="5">
        <v>44651</v>
      </c>
      <c r="D266" s="4" t="s">
        <v>112</v>
      </c>
      <c r="E266" s="4" t="s">
        <v>113</v>
      </c>
      <c r="F266" s="4" t="s">
        <v>113</v>
      </c>
      <c r="G266" s="6">
        <v>-122897.4093322125</v>
      </c>
      <c r="H266" s="6">
        <f t="shared" ref="H266:H329" si="4">H265+G266</f>
        <v>-431594.37436182867</v>
      </c>
      <c r="I266" s="4"/>
      <c r="J266" s="4" t="s">
        <v>68</v>
      </c>
      <c r="K266" s="7">
        <v>117266.25</v>
      </c>
      <c r="L266" s="4" t="s">
        <v>42</v>
      </c>
      <c r="M266" s="4" t="s">
        <v>61</v>
      </c>
      <c r="N266" s="4" t="s">
        <v>39</v>
      </c>
    </row>
    <row r="267" spans="1:14" hidden="1" x14ac:dyDescent="0.2">
      <c r="A267" s="22"/>
      <c r="B267" s="4" t="s">
        <v>21</v>
      </c>
      <c r="C267" s="5">
        <v>44652</v>
      </c>
      <c r="D267" s="4" t="s">
        <v>119</v>
      </c>
      <c r="E267" s="4" t="s">
        <v>113</v>
      </c>
      <c r="F267" s="4" t="s">
        <v>113</v>
      </c>
      <c r="G267" s="6">
        <v>122897.4093322125</v>
      </c>
      <c r="H267" s="6">
        <f t="shared" si="4"/>
        <v>-308696.96502961614</v>
      </c>
      <c r="I267" s="4"/>
      <c r="J267" s="4" t="s">
        <v>68</v>
      </c>
      <c r="K267" s="7">
        <v>-117266.25</v>
      </c>
      <c r="L267" s="4" t="s">
        <v>45</v>
      </c>
      <c r="M267" s="4" t="s">
        <v>61</v>
      </c>
      <c r="N267" s="4" t="s">
        <v>39</v>
      </c>
    </row>
    <row r="268" spans="1:14" hidden="1" x14ac:dyDescent="0.2">
      <c r="A268" s="22"/>
      <c r="B268" s="4" t="s">
        <v>1977</v>
      </c>
      <c r="C268" s="5">
        <v>44656</v>
      </c>
      <c r="D268" s="4" t="s">
        <v>2492</v>
      </c>
      <c r="E268" s="4" t="s">
        <v>2493</v>
      </c>
      <c r="F268" s="4" t="s">
        <v>2493</v>
      </c>
      <c r="G268" s="6">
        <v>-631.2121404641</v>
      </c>
      <c r="H268" s="6">
        <f t="shared" si="4"/>
        <v>-309328.17717008025</v>
      </c>
      <c r="I268" s="4"/>
      <c r="J268" s="4" t="s">
        <v>68</v>
      </c>
      <c r="K268" s="7">
        <v>602.29</v>
      </c>
      <c r="L268" s="4" t="s">
        <v>45</v>
      </c>
      <c r="M268" s="4" t="s">
        <v>61</v>
      </c>
      <c r="N268" s="4"/>
    </row>
    <row r="269" spans="1:14" hidden="1" x14ac:dyDescent="0.2">
      <c r="A269" s="22"/>
      <c r="B269" s="4" t="s">
        <v>249</v>
      </c>
      <c r="C269" s="5">
        <v>44657</v>
      </c>
      <c r="D269" s="4" t="s">
        <v>2494</v>
      </c>
      <c r="E269" s="4" t="s">
        <v>2495</v>
      </c>
      <c r="F269" s="4" t="s">
        <v>2495</v>
      </c>
      <c r="G269" s="6">
        <v>2862.7407835552999</v>
      </c>
      <c r="H269" s="6">
        <f t="shared" si="4"/>
        <v>-306465.43638652493</v>
      </c>
      <c r="I269" s="4" t="s">
        <v>252</v>
      </c>
      <c r="J269" s="4" t="s">
        <v>68</v>
      </c>
      <c r="K269" s="7">
        <v>-2731.57</v>
      </c>
      <c r="L269" s="4" t="s">
        <v>45</v>
      </c>
      <c r="M269" s="4" t="s">
        <v>61</v>
      </c>
      <c r="N269" s="4"/>
    </row>
    <row r="270" spans="1:14" hidden="1" x14ac:dyDescent="0.2">
      <c r="A270" s="22"/>
      <c r="B270" s="4" t="s">
        <v>249</v>
      </c>
      <c r="C270" s="5">
        <v>44658</v>
      </c>
      <c r="D270" s="4" t="s">
        <v>2496</v>
      </c>
      <c r="E270" s="4" t="s">
        <v>2497</v>
      </c>
      <c r="F270" s="4" t="s">
        <v>2497</v>
      </c>
      <c r="G270" s="6">
        <v>3875.3170273474998</v>
      </c>
      <c r="H270" s="6">
        <f t="shared" si="4"/>
        <v>-302590.11935917742</v>
      </c>
      <c r="I270" s="4" t="s">
        <v>252</v>
      </c>
      <c r="J270" s="4" t="s">
        <v>68</v>
      </c>
      <c r="K270" s="7">
        <v>-3697.75</v>
      </c>
      <c r="L270" s="4" t="s">
        <v>45</v>
      </c>
      <c r="M270" s="4" t="s">
        <v>61</v>
      </c>
      <c r="N270" s="4"/>
    </row>
    <row r="271" spans="1:14" hidden="1" x14ac:dyDescent="0.2">
      <c r="A271" s="22"/>
      <c r="B271" s="4" t="s">
        <v>21</v>
      </c>
      <c r="C271" s="5">
        <v>44681</v>
      </c>
      <c r="D271" s="4" t="s">
        <v>2498</v>
      </c>
      <c r="E271" s="4" t="s">
        <v>2499</v>
      </c>
      <c r="F271" s="4" t="s">
        <v>2353</v>
      </c>
      <c r="G271" s="6">
        <v>-361.80804471670001</v>
      </c>
      <c r="H271" s="6">
        <f t="shared" si="4"/>
        <v>-302951.92740389414</v>
      </c>
      <c r="I271" s="4"/>
      <c r="J271" s="4" t="s">
        <v>68</v>
      </c>
      <c r="K271" s="7">
        <v>345.23</v>
      </c>
      <c r="L271" s="4" t="s">
        <v>45</v>
      </c>
      <c r="M271" s="4" t="s">
        <v>61</v>
      </c>
      <c r="N271" s="4" t="s">
        <v>39</v>
      </c>
    </row>
    <row r="272" spans="1:14" hidden="1" x14ac:dyDescent="0.2">
      <c r="A272" s="22"/>
      <c r="B272" s="4" t="s">
        <v>21</v>
      </c>
      <c r="C272" s="5">
        <v>44681</v>
      </c>
      <c r="D272" s="4" t="s">
        <v>2498</v>
      </c>
      <c r="E272" s="4" t="s">
        <v>2499</v>
      </c>
      <c r="F272" s="4" t="s">
        <v>2353</v>
      </c>
      <c r="G272" s="6">
        <v>-34.396025917800003</v>
      </c>
      <c r="H272" s="6">
        <f t="shared" si="4"/>
        <v>-302986.32342981192</v>
      </c>
      <c r="I272" s="4"/>
      <c r="J272" s="4" t="s">
        <v>68</v>
      </c>
      <c r="K272" s="7">
        <v>32.82</v>
      </c>
      <c r="L272" s="4" t="s">
        <v>45</v>
      </c>
      <c r="M272" s="4" t="s">
        <v>61</v>
      </c>
      <c r="N272" s="4" t="s">
        <v>39</v>
      </c>
    </row>
    <row r="273" spans="1:14" hidden="1" x14ac:dyDescent="0.2">
      <c r="A273" s="22"/>
      <c r="B273" s="4" t="s">
        <v>21</v>
      </c>
      <c r="C273" s="5">
        <v>44681</v>
      </c>
      <c r="D273" s="4" t="s">
        <v>2498</v>
      </c>
      <c r="E273" s="4" t="s">
        <v>2499</v>
      </c>
      <c r="F273" s="4" t="s">
        <v>2353</v>
      </c>
      <c r="G273" s="6">
        <v>-12.8801693641</v>
      </c>
      <c r="H273" s="6">
        <f t="shared" si="4"/>
        <v>-302999.20359917602</v>
      </c>
      <c r="I273" s="4"/>
      <c r="J273" s="4" t="s">
        <v>68</v>
      </c>
      <c r="K273" s="7">
        <v>12.29</v>
      </c>
      <c r="L273" s="4" t="s">
        <v>45</v>
      </c>
      <c r="M273" s="4" t="s">
        <v>61</v>
      </c>
      <c r="N273" s="4" t="s">
        <v>39</v>
      </c>
    </row>
    <row r="274" spans="1:14" hidden="1" x14ac:dyDescent="0.2">
      <c r="A274" s="22"/>
      <c r="B274" s="4" t="s">
        <v>21</v>
      </c>
      <c r="C274" s="5">
        <v>44681</v>
      </c>
      <c r="D274" s="4" t="s">
        <v>2498</v>
      </c>
      <c r="E274" s="4" t="s">
        <v>2499</v>
      </c>
      <c r="F274" s="4" t="s">
        <v>2355</v>
      </c>
      <c r="G274" s="6">
        <v>-774.21450903460004</v>
      </c>
      <c r="H274" s="6">
        <f t="shared" si="4"/>
        <v>-303773.41810821061</v>
      </c>
      <c r="I274" s="4"/>
      <c r="J274" s="4" t="s">
        <v>68</v>
      </c>
      <c r="K274" s="7">
        <v>738.74</v>
      </c>
      <c r="L274" s="4" t="s">
        <v>45</v>
      </c>
      <c r="M274" s="4" t="s">
        <v>61</v>
      </c>
      <c r="N274" s="4" t="s">
        <v>39</v>
      </c>
    </row>
    <row r="275" spans="1:14" hidden="1" x14ac:dyDescent="0.2">
      <c r="A275" s="22"/>
      <c r="B275" s="4" t="s">
        <v>21</v>
      </c>
      <c r="C275" s="5">
        <v>44681</v>
      </c>
      <c r="D275" s="4" t="s">
        <v>2498</v>
      </c>
      <c r="E275" s="4" t="s">
        <v>2499</v>
      </c>
      <c r="F275" s="4" t="s">
        <v>2356</v>
      </c>
      <c r="G275" s="6">
        <v>-172.04301080639999</v>
      </c>
      <c r="H275" s="6">
        <f t="shared" si="4"/>
        <v>-303945.46111901698</v>
      </c>
      <c r="I275" s="4"/>
      <c r="J275" s="4" t="s">
        <v>68</v>
      </c>
      <c r="K275" s="7">
        <v>164.16</v>
      </c>
      <c r="L275" s="4" t="s">
        <v>45</v>
      </c>
      <c r="M275" s="4" t="s">
        <v>61</v>
      </c>
      <c r="N275" s="4" t="s">
        <v>39</v>
      </c>
    </row>
    <row r="276" spans="1:14" hidden="1" x14ac:dyDescent="0.2">
      <c r="A276" s="22"/>
      <c r="B276" s="4" t="s">
        <v>21</v>
      </c>
      <c r="C276" s="5">
        <v>44681</v>
      </c>
      <c r="D276" s="4" t="s">
        <v>2498</v>
      </c>
      <c r="E276" s="4" t="s">
        <v>2499</v>
      </c>
      <c r="F276" s="4" t="s">
        <v>2357</v>
      </c>
      <c r="G276" s="6">
        <v>-28.390869656100001</v>
      </c>
      <c r="H276" s="6">
        <f t="shared" si="4"/>
        <v>-303973.85198867309</v>
      </c>
      <c r="I276" s="4"/>
      <c r="J276" s="4" t="s">
        <v>68</v>
      </c>
      <c r="K276" s="7">
        <v>27.09</v>
      </c>
      <c r="L276" s="4" t="s">
        <v>45</v>
      </c>
      <c r="M276" s="4" t="s">
        <v>61</v>
      </c>
      <c r="N276" s="4" t="s">
        <v>39</v>
      </c>
    </row>
    <row r="277" spans="1:14" hidden="1" x14ac:dyDescent="0.2">
      <c r="A277" s="22"/>
      <c r="B277" s="4" t="s">
        <v>21</v>
      </c>
      <c r="C277" s="5">
        <v>44681</v>
      </c>
      <c r="D277" s="4" t="s">
        <v>2498</v>
      </c>
      <c r="E277" s="4" t="s">
        <v>2499</v>
      </c>
      <c r="F277" s="4" t="s">
        <v>2355</v>
      </c>
      <c r="G277" s="6">
        <v>-289.882412214</v>
      </c>
      <c r="H277" s="6">
        <f t="shared" si="4"/>
        <v>-304263.7344008871</v>
      </c>
      <c r="I277" s="4"/>
      <c r="J277" s="4" t="s">
        <v>68</v>
      </c>
      <c r="K277" s="7">
        <v>276.60000000000002</v>
      </c>
      <c r="L277" s="4" t="s">
        <v>45</v>
      </c>
      <c r="M277" s="4" t="s">
        <v>61</v>
      </c>
      <c r="N277" s="4" t="s">
        <v>39</v>
      </c>
    </row>
    <row r="278" spans="1:14" hidden="1" x14ac:dyDescent="0.2">
      <c r="A278" s="22"/>
      <c r="B278" s="4" t="s">
        <v>21</v>
      </c>
      <c r="C278" s="5">
        <v>44681</v>
      </c>
      <c r="D278" s="4" t="s">
        <v>2498</v>
      </c>
      <c r="E278" s="4" t="s">
        <v>2499</v>
      </c>
      <c r="F278" s="4" t="s">
        <v>2356</v>
      </c>
      <c r="G278" s="6">
        <v>-64.400846820500007</v>
      </c>
      <c r="H278" s="6">
        <f t="shared" si="4"/>
        <v>-304328.1352477076</v>
      </c>
      <c r="I278" s="4"/>
      <c r="J278" s="4" t="s">
        <v>68</v>
      </c>
      <c r="K278" s="7">
        <v>61.45</v>
      </c>
      <c r="L278" s="4" t="s">
        <v>45</v>
      </c>
      <c r="M278" s="4" t="s">
        <v>61</v>
      </c>
      <c r="N278" s="4" t="s">
        <v>39</v>
      </c>
    </row>
    <row r="279" spans="1:14" hidden="1" x14ac:dyDescent="0.2">
      <c r="A279" s="22"/>
      <c r="B279" s="4" t="s">
        <v>21</v>
      </c>
      <c r="C279" s="5">
        <v>44681</v>
      </c>
      <c r="D279" s="4" t="s">
        <v>2498</v>
      </c>
      <c r="E279" s="4" t="s">
        <v>2499</v>
      </c>
      <c r="F279" s="4" t="s">
        <v>2355</v>
      </c>
      <c r="G279" s="6">
        <v>-8139.1561366038004</v>
      </c>
      <c r="H279" s="6">
        <f t="shared" si="4"/>
        <v>-312467.29138431139</v>
      </c>
      <c r="I279" s="4"/>
      <c r="J279" s="4" t="s">
        <v>68</v>
      </c>
      <c r="K279" s="7">
        <v>7766.22</v>
      </c>
      <c r="L279" s="4" t="s">
        <v>45</v>
      </c>
      <c r="M279" s="4" t="s">
        <v>61</v>
      </c>
      <c r="N279" s="4" t="s">
        <v>39</v>
      </c>
    </row>
    <row r="280" spans="1:14" hidden="1" x14ac:dyDescent="0.2">
      <c r="A280" s="22"/>
      <c r="B280" s="4" t="s">
        <v>21</v>
      </c>
      <c r="C280" s="5">
        <v>44681</v>
      </c>
      <c r="D280" s="4" t="s">
        <v>2498</v>
      </c>
      <c r="E280" s="4" t="s">
        <v>2499</v>
      </c>
      <c r="F280" s="4" t="s">
        <v>2356</v>
      </c>
      <c r="G280" s="6">
        <v>-1808.8306195255</v>
      </c>
      <c r="H280" s="6">
        <f t="shared" si="4"/>
        <v>-314276.12200383691</v>
      </c>
      <c r="I280" s="4"/>
      <c r="J280" s="4" t="s">
        <v>68</v>
      </c>
      <c r="K280" s="7">
        <v>1725.95</v>
      </c>
      <c r="L280" s="4" t="s">
        <v>45</v>
      </c>
      <c r="M280" s="4" t="s">
        <v>61</v>
      </c>
      <c r="N280" s="4" t="s">
        <v>39</v>
      </c>
    </row>
    <row r="281" spans="1:14" hidden="1" x14ac:dyDescent="0.2">
      <c r="A281" s="22"/>
      <c r="B281" s="4" t="s">
        <v>21</v>
      </c>
      <c r="C281" s="5">
        <v>44681</v>
      </c>
      <c r="D281" s="4" t="s">
        <v>2498</v>
      </c>
      <c r="E281" s="4" t="s">
        <v>2499</v>
      </c>
      <c r="F281" s="4" t="s">
        <v>2357</v>
      </c>
      <c r="G281" s="6">
        <v>-614.18181075159998</v>
      </c>
      <c r="H281" s="6">
        <f t="shared" si="4"/>
        <v>-314890.30381458852</v>
      </c>
      <c r="I281" s="4"/>
      <c r="J281" s="4" t="s">
        <v>68</v>
      </c>
      <c r="K281" s="7">
        <v>586.04</v>
      </c>
      <c r="L281" s="4" t="s">
        <v>45</v>
      </c>
      <c r="M281" s="4" t="s">
        <v>61</v>
      </c>
      <c r="N281" s="4" t="s">
        <v>39</v>
      </c>
    </row>
    <row r="282" spans="1:14" hidden="1" x14ac:dyDescent="0.2">
      <c r="A282" s="22"/>
      <c r="B282" s="4" t="s">
        <v>21</v>
      </c>
      <c r="C282" s="5">
        <v>44681</v>
      </c>
      <c r="D282" s="4" t="s">
        <v>2498</v>
      </c>
      <c r="E282" s="4" t="s">
        <v>2499</v>
      </c>
      <c r="F282" s="4" t="s">
        <v>2491</v>
      </c>
      <c r="G282" s="6">
        <v>-1627.8165550367</v>
      </c>
      <c r="H282" s="6">
        <f t="shared" si="4"/>
        <v>-316518.12036962522</v>
      </c>
      <c r="I282" s="4"/>
      <c r="J282" s="4" t="s">
        <v>68</v>
      </c>
      <c r="K282" s="7">
        <v>1553.23</v>
      </c>
      <c r="L282" s="4" t="s">
        <v>45</v>
      </c>
      <c r="M282" s="4" t="s">
        <v>61</v>
      </c>
      <c r="N282" s="4" t="s">
        <v>39</v>
      </c>
    </row>
    <row r="283" spans="1:14" hidden="1" x14ac:dyDescent="0.2">
      <c r="A283" s="22"/>
      <c r="B283" s="4" t="s">
        <v>21</v>
      </c>
      <c r="C283" s="5">
        <v>44681</v>
      </c>
      <c r="D283" s="4" t="s">
        <v>2498</v>
      </c>
      <c r="E283" s="4" t="s">
        <v>2499</v>
      </c>
      <c r="F283" s="4" t="s">
        <v>2491</v>
      </c>
      <c r="G283" s="6">
        <v>-57.986962645699997</v>
      </c>
      <c r="H283" s="6">
        <f t="shared" si="4"/>
        <v>-316576.10733227094</v>
      </c>
      <c r="I283" s="4"/>
      <c r="J283" s="4" t="s">
        <v>68</v>
      </c>
      <c r="K283" s="7">
        <v>55.33</v>
      </c>
      <c r="L283" s="4" t="s">
        <v>45</v>
      </c>
      <c r="M283" s="4" t="s">
        <v>61</v>
      </c>
      <c r="N283" s="4" t="s">
        <v>39</v>
      </c>
    </row>
    <row r="284" spans="1:14" hidden="1" x14ac:dyDescent="0.2">
      <c r="A284" s="22"/>
      <c r="B284" s="4" t="s">
        <v>21</v>
      </c>
      <c r="C284" s="5">
        <v>44681</v>
      </c>
      <c r="D284" s="4" t="s">
        <v>2498</v>
      </c>
      <c r="E284" s="4" t="s">
        <v>2499</v>
      </c>
      <c r="F284" s="4" t="s">
        <v>2491</v>
      </c>
      <c r="G284" s="6">
        <v>-154.8449978475</v>
      </c>
      <c r="H284" s="6">
        <f t="shared" si="4"/>
        <v>-316730.95233011845</v>
      </c>
      <c r="I284" s="4"/>
      <c r="J284" s="4" t="s">
        <v>68</v>
      </c>
      <c r="K284" s="7">
        <v>147.75</v>
      </c>
      <c r="L284" s="4" t="s">
        <v>45</v>
      </c>
      <c r="M284" s="4" t="s">
        <v>61</v>
      </c>
      <c r="N284" s="4" t="s">
        <v>39</v>
      </c>
    </row>
    <row r="285" spans="1:14" hidden="1" x14ac:dyDescent="0.2">
      <c r="A285" s="22"/>
      <c r="B285" s="4" t="s">
        <v>21</v>
      </c>
      <c r="C285" s="5">
        <v>44681</v>
      </c>
      <c r="D285" s="4" t="s">
        <v>138</v>
      </c>
      <c r="E285" s="4" t="s">
        <v>139</v>
      </c>
      <c r="F285" s="4" t="s">
        <v>139</v>
      </c>
      <c r="G285" s="6">
        <v>-164833.2705035769</v>
      </c>
      <c r="H285" s="6">
        <f t="shared" si="4"/>
        <v>-481564.22283369536</v>
      </c>
      <c r="I285" s="4"/>
      <c r="J285" s="4" t="s">
        <v>68</v>
      </c>
      <c r="K285" s="7">
        <v>157280.60999999999</v>
      </c>
      <c r="L285" s="4" t="s">
        <v>45</v>
      </c>
      <c r="M285" s="4" t="s">
        <v>61</v>
      </c>
      <c r="N285" s="4" t="s">
        <v>39</v>
      </c>
    </row>
    <row r="286" spans="1:14" hidden="1" x14ac:dyDescent="0.2">
      <c r="A286" s="22"/>
      <c r="B286" s="4" t="s">
        <v>21</v>
      </c>
      <c r="C286" s="5">
        <v>44682</v>
      </c>
      <c r="D286" s="4" t="s">
        <v>141</v>
      </c>
      <c r="E286" s="4" t="s">
        <v>139</v>
      </c>
      <c r="F286" s="4" t="s">
        <v>139</v>
      </c>
      <c r="G286" s="6">
        <v>164833.2705035769</v>
      </c>
      <c r="H286" s="6">
        <f t="shared" si="4"/>
        <v>-316730.95233011845</v>
      </c>
      <c r="I286" s="4"/>
      <c r="J286" s="4" t="s">
        <v>68</v>
      </c>
      <c r="K286" s="7">
        <v>-157280.60999999999</v>
      </c>
      <c r="L286" s="4" t="s">
        <v>52</v>
      </c>
      <c r="M286" s="4" t="s">
        <v>61</v>
      </c>
      <c r="N286" s="4" t="s">
        <v>39</v>
      </c>
    </row>
    <row r="287" spans="1:14" hidden="1" x14ac:dyDescent="0.2">
      <c r="A287" s="22"/>
      <c r="B287" s="4" t="s">
        <v>249</v>
      </c>
      <c r="C287" s="5">
        <v>44685</v>
      </c>
      <c r="D287" s="4" t="s">
        <v>2500</v>
      </c>
      <c r="E287" s="4" t="s">
        <v>2501</v>
      </c>
      <c r="F287" s="4" t="s">
        <v>2501</v>
      </c>
      <c r="G287" s="6">
        <v>3204.3953980953002</v>
      </c>
      <c r="H287" s="6">
        <f t="shared" si="4"/>
        <v>-313526.55693202314</v>
      </c>
      <c r="I287" s="4" t="s">
        <v>252</v>
      </c>
      <c r="J287" s="4" t="s">
        <v>68</v>
      </c>
      <c r="K287" s="7">
        <v>-3057.57</v>
      </c>
      <c r="L287" s="4" t="s">
        <v>52</v>
      </c>
      <c r="M287" s="4" t="s">
        <v>61</v>
      </c>
      <c r="N287" s="4"/>
    </row>
    <row r="288" spans="1:14" hidden="1" x14ac:dyDescent="0.2">
      <c r="A288" s="22"/>
      <c r="B288" s="4" t="s">
        <v>1977</v>
      </c>
      <c r="C288" s="5">
        <v>44685</v>
      </c>
      <c r="D288" s="4" t="s">
        <v>2502</v>
      </c>
      <c r="E288" s="4" t="s">
        <v>2503</v>
      </c>
      <c r="F288" s="4" t="s">
        <v>2503</v>
      </c>
      <c r="G288" s="6">
        <v>-631.222620667</v>
      </c>
      <c r="H288" s="6">
        <f t="shared" si="4"/>
        <v>-314157.77955269016</v>
      </c>
      <c r="I288" s="4"/>
      <c r="J288" s="4" t="s">
        <v>68</v>
      </c>
      <c r="K288" s="7">
        <v>602.29999999999995</v>
      </c>
      <c r="L288" s="4" t="s">
        <v>52</v>
      </c>
      <c r="M288" s="4" t="s">
        <v>61</v>
      </c>
      <c r="N288" s="4"/>
    </row>
    <row r="289" spans="1:14" hidden="1" x14ac:dyDescent="0.2">
      <c r="A289" s="22"/>
      <c r="B289" s="4" t="s">
        <v>249</v>
      </c>
      <c r="C289" s="5">
        <v>44698</v>
      </c>
      <c r="D289" s="4" t="s">
        <v>2504</v>
      </c>
      <c r="E289" s="4" t="s">
        <v>2505</v>
      </c>
      <c r="F289" s="4" t="s">
        <v>2505</v>
      </c>
      <c r="G289" s="6">
        <v>74003.856737769995</v>
      </c>
      <c r="H289" s="6">
        <f t="shared" si="4"/>
        <v>-240153.92281492017</v>
      </c>
      <c r="I289" s="4" t="s">
        <v>252</v>
      </c>
      <c r="J289" s="4" t="s">
        <v>68</v>
      </c>
      <c r="K289" s="7">
        <v>-70613</v>
      </c>
      <c r="L289" s="4" t="s">
        <v>52</v>
      </c>
      <c r="M289" s="4" t="s">
        <v>61</v>
      </c>
      <c r="N289" s="4"/>
    </row>
    <row r="290" spans="1:14" hidden="1" x14ac:dyDescent="0.2">
      <c r="A290" s="22"/>
      <c r="B290" s="4" t="s">
        <v>21</v>
      </c>
      <c r="C290" s="5">
        <v>44712</v>
      </c>
      <c r="D290" s="4" t="s">
        <v>2506</v>
      </c>
      <c r="E290" s="4" t="s">
        <v>2507</v>
      </c>
      <c r="F290" s="4" t="s">
        <v>2353</v>
      </c>
      <c r="G290" s="6">
        <v>-296.76790551929997</v>
      </c>
      <c r="H290" s="6">
        <f t="shared" si="4"/>
        <v>-240450.69072043945</v>
      </c>
      <c r="I290" s="4"/>
      <c r="J290" s="4" t="s">
        <v>68</v>
      </c>
      <c r="K290" s="7">
        <v>283.17</v>
      </c>
      <c r="L290" s="4" t="s">
        <v>52</v>
      </c>
      <c r="M290" s="4" t="s">
        <v>61</v>
      </c>
      <c r="N290" s="4" t="s">
        <v>39</v>
      </c>
    </row>
    <row r="291" spans="1:14" hidden="1" x14ac:dyDescent="0.2">
      <c r="A291" s="22"/>
      <c r="B291" s="4" t="s">
        <v>21</v>
      </c>
      <c r="C291" s="5">
        <v>44712</v>
      </c>
      <c r="D291" s="4" t="s">
        <v>2506</v>
      </c>
      <c r="E291" s="4" t="s">
        <v>2507</v>
      </c>
      <c r="F291" s="4" t="s">
        <v>2353</v>
      </c>
      <c r="G291" s="6">
        <v>-0.96417866679999997</v>
      </c>
      <c r="H291" s="6">
        <f t="shared" si="4"/>
        <v>-240451.65489910624</v>
      </c>
      <c r="I291" s="4"/>
      <c r="J291" s="4" t="s">
        <v>68</v>
      </c>
      <c r="K291" s="7">
        <v>0.92</v>
      </c>
      <c r="L291" s="4" t="s">
        <v>52</v>
      </c>
      <c r="M291" s="4" t="s">
        <v>61</v>
      </c>
      <c r="N291" s="4" t="s">
        <v>39</v>
      </c>
    </row>
    <row r="292" spans="1:14" hidden="1" x14ac:dyDescent="0.2">
      <c r="A292" s="22"/>
      <c r="B292" s="4" t="s">
        <v>21</v>
      </c>
      <c r="C292" s="5">
        <v>44712</v>
      </c>
      <c r="D292" s="4" t="s">
        <v>2506</v>
      </c>
      <c r="E292" s="4" t="s">
        <v>2507</v>
      </c>
      <c r="F292" s="4" t="s">
        <v>2353</v>
      </c>
      <c r="G292" s="6">
        <v>-9.5055440302999994</v>
      </c>
      <c r="H292" s="6">
        <f t="shared" si="4"/>
        <v>-240461.16044313656</v>
      </c>
      <c r="I292" s="4"/>
      <c r="J292" s="4" t="s">
        <v>68</v>
      </c>
      <c r="K292" s="7">
        <v>9.07</v>
      </c>
      <c r="L292" s="4" t="s">
        <v>52</v>
      </c>
      <c r="M292" s="4" t="s">
        <v>61</v>
      </c>
      <c r="N292" s="4" t="s">
        <v>39</v>
      </c>
    </row>
    <row r="293" spans="1:14" hidden="1" x14ac:dyDescent="0.2">
      <c r="A293" s="22"/>
      <c r="B293" s="4" t="s">
        <v>21</v>
      </c>
      <c r="C293" s="5">
        <v>44712</v>
      </c>
      <c r="D293" s="4" t="s">
        <v>2506</v>
      </c>
      <c r="E293" s="4" t="s">
        <v>2507</v>
      </c>
      <c r="F293" s="4" t="s">
        <v>2353</v>
      </c>
      <c r="G293" s="6">
        <v>-29.480810757699999</v>
      </c>
      <c r="H293" s="6">
        <f t="shared" si="4"/>
        <v>-240490.64125389425</v>
      </c>
      <c r="I293" s="4"/>
      <c r="J293" s="4" t="s">
        <v>68</v>
      </c>
      <c r="K293" s="7">
        <v>28.13</v>
      </c>
      <c r="L293" s="4" t="s">
        <v>52</v>
      </c>
      <c r="M293" s="4" t="s">
        <v>61</v>
      </c>
      <c r="N293" s="4" t="s">
        <v>39</v>
      </c>
    </row>
    <row r="294" spans="1:14" hidden="1" x14ac:dyDescent="0.2">
      <c r="A294" s="22"/>
      <c r="B294" s="4" t="s">
        <v>21</v>
      </c>
      <c r="C294" s="5">
        <v>44712</v>
      </c>
      <c r="D294" s="4" t="s">
        <v>2506</v>
      </c>
      <c r="E294" s="4" t="s">
        <v>2507</v>
      </c>
      <c r="F294" s="4" t="s">
        <v>2355</v>
      </c>
      <c r="G294" s="6">
        <v>-213.91142139190001</v>
      </c>
      <c r="H294" s="6">
        <f t="shared" si="4"/>
        <v>-240704.55267528616</v>
      </c>
      <c r="I294" s="4"/>
      <c r="J294" s="4" t="s">
        <v>68</v>
      </c>
      <c r="K294" s="7">
        <v>204.11</v>
      </c>
      <c r="L294" s="4" t="s">
        <v>52</v>
      </c>
      <c r="M294" s="4" t="s">
        <v>61</v>
      </c>
      <c r="N294" s="4" t="s">
        <v>39</v>
      </c>
    </row>
    <row r="295" spans="1:14" hidden="1" x14ac:dyDescent="0.2">
      <c r="A295" s="22"/>
      <c r="B295" s="4" t="s">
        <v>21</v>
      </c>
      <c r="C295" s="5">
        <v>44712</v>
      </c>
      <c r="D295" s="4" t="s">
        <v>2506</v>
      </c>
      <c r="E295" s="4" t="s">
        <v>2507</v>
      </c>
      <c r="F295" s="4" t="s">
        <v>2356</v>
      </c>
      <c r="G295" s="6">
        <v>-47.538200354399997</v>
      </c>
      <c r="H295" s="6">
        <f t="shared" si="4"/>
        <v>-240752.09087564057</v>
      </c>
      <c r="I295" s="4"/>
      <c r="J295" s="4" t="s">
        <v>68</v>
      </c>
      <c r="K295" s="7">
        <v>45.36</v>
      </c>
      <c r="L295" s="4" t="s">
        <v>52</v>
      </c>
      <c r="M295" s="4" t="s">
        <v>61</v>
      </c>
      <c r="N295" s="4" t="s">
        <v>39</v>
      </c>
    </row>
    <row r="296" spans="1:14" hidden="1" x14ac:dyDescent="0.2">
      <c r="A296" s="22"/>
      <c r="B296" s="4" t="s">
        <v>21</v>
      </c>
      <c r="C296" s="5">
        <v>44712</v>
      </c>
      <c r="D296" s="4" t="s">
        <v>2506</v>
      </c>
      <c r="E296" s="4" t="s">
        <v>2507</v>
      </c>
      <c r="F296" s="4" t="s">
        <v>2355</v>
      </c>
      <c r="G296" s="6">
        <v>-6676.1093315608996</v>
      </c>
      <c r="H296" s="6">
        <f t="shared" si="4"/>
        <v>-247428.20020720147</v>
      </c>
      <c r="I296" s="4"/>
      <c r="J296" s="4" t="s">
        <v>68</v>
      </c>
      <c r="K296" s="7">
        <v>6370.21</v>
      </c>
      <c r="L296" s="4" t="s">
        <v>52</v>
      </c>
      <c r="M296" s="4" t="s">
        <v>61</v>
      </c>
      <c r="N296" s="4" t="s">
        <v>39</v>
      </c>
    </row>
    <row r="297" spans="1:14" hidden="1" x14ac:dyDescent="0.2">
      <c r="A297" s="22"/>
      <c r="B297" s="4" t="s">
        <v>21</v>
      </c>
      <c r="C297" s="5">
        <v>44712</v>
      </c>
      <c r="D297" s="4" t="s">
        <v>2506</v>
      </c>
      <c r="E297" s="4" t="s">
        <v>2507</v>
      </c>
      <c r="F297" s="4" t="s">
        <v>2356</v>
      </c>
      <c r="G297" s="6">
        <v>-1483.5670423211</v>
      </c>
      <c r="H297" s="6">
        <f t="shared" si="4"/>
        <v>-248911.76724952259</v>
      </c>
      <c r="I297" s="4"/>
      <c r="J297" s="4" t="s">
        <v>68</v>
      </c>
      <c r="K297" s="7">
        <v>1415.59</v>
      </c>
      <c r="L297" s="4" t="s">
        <v>52</v>
      </c>
      <c r="M297" s="4" t="s">
        <v>61</v>
      </c>
      <c r="N297" s="4" t="s">
        <v>39</v>
      </c>
    </row>
    <row r="298" spans="1:14" hidden="1" x14ac:dyDescent="0.2">
      <c r="A298" s="22"/>
      <c r="B298" s="4" t="s">
        <v>21</v>
      </c>
      <c r="C298" s="5">
        <v>44712</v>
      </c>
      <c r="D298" s="4" t="s">
        <v>2506</v>
      </c>
      <c r="E298" s="4" t="s">
        <v>2507</v>
      </c>
      <c r="F298" s="4" t="s">
        <v>2357</v>
      </c>
      <c r="G298" s="6">
        <v>-3288.6038283968001</v>
      </c>
      <c r="H298" s="6">
        <f t="shared" si="4"/>
        <v>-252200.37107791938</v>
      </c>
      <c r="I298" s="4"/>
      <c r="J298" s="4" t="s">
        <v>68</v>
      </c>
      <c r="K298" s="7">
        <v>3137.92</v>
      </c>
      <c r="L298" s="4" t="s">
        <v>52</v>
      </c>
      <c r="M298" s="4" t="s">
        <v>61</v>
      </c>
      <c r="N298" s="4" t="s">
        <v>39</v>
      </c>
    </row>
    <row r="299" spans="1:14" hidden="1" x14ac:dyDescent="0.2">
      <c r="A299" s="22"/>
      <c r="B299" s="4" t="s">
        <v>21</v>
      </c>
      <c r="C299" s="5">
        <v>44712</v>
      </c>
      <c r="D299" s="4" t="s">
        <v>2506</v>
      </c>
      <c r="E299" s="4" t="s">
        <v>2507</v>
      </c>
      <c r="F299" s="4" t="s">
        <v>2462</v>
      </c>
      <c r="G299" s="6">
        <v>-30.5707518593</v>
      </c>
      <c r="H299" s="6">
        <f t="shared" si="4"/>
        <v>-252230.94182977869</v>
      </c>
      <c r="I299" s="4"/>
      <c r="J299" s="4" t="s">
        <v>68</v>
      </c>
      <c r="K299" s="7">
        <v>29.17</v>
      </c>
      <c r="L299" s="4" t="s">
        <v>52</v>
      </c>
      <c r="M299" s="4" t="s">
        <v>61</v>
      </c>
      <c r="N299" s="4" t="s">
        <v>39</v>
      </c>
    </row>
    <row r="300" spans="1:14" hidden="1" x14ac:dyDescent="0.2">
      <c r="A300" s="22"/>
      <c r="B300" s="4" t="s">
        <v>21</v>
      </c>
      <c r="C300" s="5">
        <v>44712</v>
      </c>
      <c r="D300" s="4" t="s">
        <v>2506</v>
      </c>
      <c r="E300" s="4" t="s">
        <v>2507</v>
      </c>
      <c r="F300" s="4" t="s">
        <v>2355</v>
      </c>
      <c r="G300" s="6">
        <v>-663.19771971490002</v>
      </c>
      <c r="H300" s="6">
        <f t="shared" si="4"/>
        <v>-252894.13954949359</v>
      </c>
      <c r="I300" s="4"/>
      <c r="J300" s="4" t="s">
        <v>68</v>
      </c>
      <c r="K300" s="7">
        <v>632.80999999999995</v>
      </c>
      <c r="L300" s="4" t="s">
        <v>52</v>
      </c>
      <c r="M300" s="4" t="s">
        <v>61</v>
      </c>
      <c r="N300" s="4" t="s">
        <v>39</v>
      </c>
    </row>
    <row r="301" spans="1:14" hidden="1" x14ac:dyDescent="0.2">
      <c r="A301" s="22"/>
      <c r="B301" s="4" t="s">
        <v>21</v>
      </c>
      <c r="C301" s="5">
        <v>44712</v>
      </c>
      <c r="D301" s="4" t="s">
        <v>2506</v>
      </c>
      <c r="E301" s="4" t="s">
        <v>2507</v>
      </c>
      <c r="F301" s="4" t="s">
        <v>2356</v>
      </c>
      <c r="G301" s="6">
        <v>-147.3621329769</v>
      </c>
      <c r="H301" s="6">
        <f t="shared" si="4"/>
        <v>-253041.50168247049</v>
      </c>
      <c r="I301" s="4"/>
      <c r="J301" s="4" t="s">
        <v>68</v>
      </c>
      <c r="K301" s="7">
        <v>140.61000000000001</v>
      </c>
      <c r="L301" s="4" t="s">
        <v>52</v>
      </c>
      <c r="M301" s="4" t="s">
        <v>61</v>
      </c>
      <c r="N301" s="4" t="s">
        <v>39</v>
      </c>
    </row>
    <row r="302" spans="1:14" hidden="1" x14ac:dyDescent="0.2">
      <c r="A302" s="22"/>
      <c r="B302" s="4" t="s">
        <v>21</v>
      </c>
      <c r="C302" s="5">
        <v>44712</v>
      </c>
      <c r="D302" s="4" t="s">
        <v>2506</v>
      </c>
      <c r="E302" s="4" t="s">
        <v>2507</v>
      </c>
      <c r="F302" s="4" t="s">
        <v>2357</v>
      </c>
      <c r="G302" s="6">
        <v>-85.172608968299997</v>
      </c>
      <c r="H302" s="6">
        <f t="shared" si="4"/>
        <v>-253126.6742914388</v>
      </c>
      <c r="I302" s="4"/>
      <c r="J302" s="4" t="s">
        <v>68</v>
      </c>
      <c r="K302" s="7">
        <v>81.27</v>
      </c>
      <c r="L302" s="4" t="s">
        <v>52</v>
      </c>
      <c r="M302" s="4" t="s">
        <v>61</v>
      </c>
      <c r="N302" s="4" t="s">
        <v>39</v>
      </c>
    </row>
    <row r="303" spans="1:14" hidden="1" x14ac:dyDescent="0.2">
      <c r="A303" s="22"/>
      <c r="B303" s="4" t="s">
        <v>21</v>
      </c>
      <c r="C303" s="5">
        <v>44712</v>
      </c>
      <c r="D303" s="4" t="s">
        <v>2506</v>
      </c>
      <c r="E303" s="4" t="s">
        <v>2507</v>
      </c>
      <c r="F303" s="4" t="s">
        <v>2356</v>
      </c>
      <c r="G303" s="6">
        <v>-4.7999329281999996</v>
      </c>
      <c r="H303" s="6">
        <f t="shared" si="4"/>
        <v>-253131.474224367</v>
      </c>
      <c r="I303" s="4"/>
      <c r="J303" s="4" t="s">
        <v>68</v>
      </c>
      <c r="K303" s="7">
        <v>4.58</v>
      </c>
      <c r="L303" s="4" t="s">
        <v>52</v>
      </c>
      <c r="M303" s="4" t="s">
        <v>61</v>
      </c>
      <c r="N303" s="4" t="s">
        <v>39</v>
      </c>
    </row>
    <row r="304" spans="1:14" hidden="1" x14ac:dyDescent="0.2">
      <c r="A304" s="22"/>
      <c r="B304" s="4" t="s">
        <v>21</v>
      </c>
      <c r="C304" s="5">
        <v>44712</v>
      </c>
      <c r="D304" s="4" t="s">
        <v>2506</v>
      </c>
      <c r="E304" s="4" t="s">
        <v>2507</v>
      </c>
      <c r="F304" s="4" t="s">
        <v>2355</v>
      </c>
      <c r="G304" s="6">
        <v>-21.589217974</v>
      </c>
      <c r="H304" s="6">
        <f t="shared" si="4"/>
        <v>-253153.06344234099</v>
      </c>
      <c r="I304" s="4"/>
      <c r="J304" s="4" t="s">
        <v>68</v>
      </c>
      <c r="K304" s="7">
        <v>20.6</v>
      </c>
      <c r="L304" s="4" t="s">
        <v>52</v>
      </c>
      <c r="M304" s="4" t="s">
        <v>61</v>
      </c>
      <c r="N304" s="4" t="s">
        <v>39</v>
      </c>
    </row>
    <row r="305" spans="1:16" hidden="1" x14ac:dyDescent="0.2">
      <c r="A305" s="22"/>
      <c r="B305" s="4" t="s">
        <v>21</v>
      </c>
      <c r="C305" s="5">
        <v>44712</v>
      </c>
      <c r="D305" s="4" t="s">
        <v>2506</v>
      </c>
      <c r="E305" s="4" t="s">
        <v>2507</v>
      </c>
      <c r="F305" s="4" t="s">
        <v>2491</v>
      </c>
      <c r="G305" s="6">
        <v>-132.65840830819999</v>
      </c>
      <c r="H305" s="6">
        <f t="shared" si="4"/>
        <v>-253285.72185064919</v>
      </c>
      <c r="I305" s="4"/>
      <c r="J305" s="4" t="s">
        <v>68</v>
      </c>
      <c r="K305" s="7">
        <v>126.58</v>
      </c>
      <c r="L305" s="4" t="s">
        <v>52</v>
      </c>
      <c r="M305" s="4" t="s">
        <v>61</v>
      </c>
      <c r="N305" s="4" t="s">
        <v>39</v>
      </c>
    </row>
    <row r="306" spans="1:16" hidden="1" x14ac:dyDescent="0.2">
      <c r="A306" s="22"/>
      <c r="B306" s="4" t="s">
        <v>21</v>
      </c>
      <c r="C306" s="5">
        <v>44712</v>
      </c>
      <c r="D306" s="4" t="s">
        <v>2506</v>
      </c>
      <c r="E306" s="4" t="s">
        <v>2507</v>
      </c>
      <c r="F306" s="4" t="s">
        <v>2491</v>
      </c>
      <c r="G306" s="6">
        <v>-4.3178435948000002</v>
      </c>
      <c r="H306" s="6">
        <f t="shared" si="4"/>
        <v>-253290.03969424398</v>
      </c>
      <c r="I306" s="4"/>
      <c r="J306" s="4" t="s">
        <v>68</v>
      </c>
      <c r="K306" s="7">
        <v>4.12</v>
      </c>
      <c r="L306" s="4" t="s">
        <v>52</v>
      </c>
      <c r="M306" s="4" t="s">
        <v>61</v>
      </c>
      <c r="N306" s="4" t="s">
        <v>39</v>
      </c>
    </row>
    <row r="307" spans="1:16" hidden="1" x14ac:dyDescent="0.2">
      <c r="A307" s="22"/>
      <c r="B307" s="4" t="s">
        <v>21</v>
      </c>
      <c r="C307" s="5">
        <v>44712</v>
      </c>
      <c r="D307" s="4" t="s">
        <v>2506</v>
      </c>
      <c r="E307" s="4" t="s">
        <v>2507</v>
      </c>
      <c r="F307" s="4" t="s">
        <v>2491</v>
      </c>
      <c r="G307" s="6">
        <v>-42.780188237799997</v>
      </c>
      <c r="H307" s="6">
        <f t="shared" si="4"/>
        <v>-253332.8198824818</v>
      </c>
      <c r="I307" s="4"/>
      <c r="J307" s="4" t="s">
        <v>68</v>
      </c>
      <c r="K307" s="7">
        <v>40.82</v>
      </c>
      <c r="L307" s="4" t="s">
        <v>52</v>
      </c>
      <c r="M307" s="4" t="s">
        <v>61</v>
      </c>
      <c r="N307" s="4" t="s">
        <v>39</v>
      </c>
    </row>
    <row r="308" spans="1:16" hidden="1" x14ac:dyDescent="0.2">
      <c r="A308" s="22"/>
      <c r="B308" s="4" t="s">
        <v>21</v>
      </c>
      <c r="C308" s="5">
        <v>44712</v>
      </c>
      <c r="D308" s="4" t="s">
        <v>2506</v>
      </c>
      <c r="E308" s="4" t="s">
        <v>2507</v>
      </c>
      <c r="F308" s="4" t="s">
        <v>2491</v>
      </c>
      <c r="G308" s="6">
        <v>-1335.3036118948</v>
      </c>
      <c r="H308" s="6">
        <f t="shared" si="4"/>
        <v>-254668.1234943766</v>
      </c>
      <c r="I308" s="4"/>
      <c r="J308" s="4" t="s">
        <v>68</v>
      </c>
      <c r="K308" s="7">
        <v>1274.1199999999999</v>
      </c>
      <c r="L308" s="4" t="s">
        <v>52</v>
      </c>
      <c r="M308" s="4" t="s">
        <v>61</v>
      </c>
      <c r="N308" s="4" t="s">
        <v>39</v>
      </c>
    </row>
    <row r="309" spans="1:16" x14ac:dyDescent="0.2">
      <c r="A309" s="22"/>
      <c r="B309" s="4" t="s">
        <v>21</v>
      </c>
      <c r="C309" s="5">
        <v>44712</v>
      </c>
      <c r="D309" s="4" t="s">
        <v>154</v>
      </c>
      <c r="E309" s="4" t="s">
        <v>155</v>
      </c>
      <c r="F309" s="93" t="s">
        <v>155</v>
      </c>
      <c r="G309" s="6">
        <v>110988.49277187001</v>
      </c>
      <c r="H309" s="6">
        <f t="shared" si="4"/>
        <v>-143679.63072250661</v>
      </c>
      <c r="I309" s="4"/>
      <c r="J309" s="4" t="s">
        <v>68</v>
      </c>
      <c r="K309" s="115">
        <v>-105903</v>
      </c>
      <c r="L309" s="4" t="s">
        <v>52</v>
      </c>
      <c r="M309" s="4" t="s">
        <v>61</v>
      </c>
      <c r="N309" s="4" t="s">
        <v>39</v>
      </c>
      <c r="P309" s="4" t="s">
        <v>824</v>
      </c>
    </row>
    <row r="310" spans="1:16" hidden="1" x14ac:dyDescent="0.2">
      <c r="A310" s="22"/>
      <c r="B310" s="4" t="s">
        <v>21</v>
      </c>
      <c r="C310" s="5">
        <v>44712</v>
      </c>
      <c r="D310" s="4" t="s">
        <v>2508</v>
      </c>
      <c r="E310" s="4" t="s">
        <v>2509</v>
      </c>
      <c r="F310" s="4" t="s">
        <v>2509</v>
      </c>
      <c r="G310" s="6">
        <v>-35709.195341170001</v>
      </c>
      <c r="H310" s="6">
        <f t="shared" si="4"/>
        <v>-179388.82606367662</v>
      </c>
      <c r="I310" s="4"/>
      <c r="J310" s="4" t="s">
        <v>68</v>
      </c>
      <c r="K310" s="144">
        <v>34073</v>
      </c>
      <c r="L310" s="4" t="s">
        <v>52</v>
      </c>
      <c r="M310" s="4" t="s">
        <v>61</v>
      </c>
      <c r="N310" s="4" t="s">
        <v>39</v>
      </c>
    </row>
    <row r="311" spans="1:16" hidden="1" x14ac:dyDescent="0.2">
      <c r="A311" s="22"/>
      <c r="B311" s="4" t="s">
        <v>21</v>
      </c>
      <c r="C311" s="5">
        <v>44712</v>
      </c>
      <c r="D311" s="4" t="s">
        <v>156</v>
      </c>
      <c r="E311" s="4" t="s">
        <v>157</v>
      </c>
      <c r="F311" s="4" t="s">
        <v>157</v>
      </c>
      <c r="G311" s="6">
        <v>-204469.56555462329</v>
      </c>
      <c r="H311" s="6">
        <f t="shared" si="4"/>
        <v>-383858.39161829988</v>
      </c>
      <c r="I311" s="4"/>
      <c r="J311" s="4" t="s">
        <v>68</v>
      </c>
      <c r="K311" s="7">
        <v>195100.77</v>
      </c>
      <c r="L311" s="4" t="s">
        <v>52</v>
      </c>
      <c r="M311" s="4" t="s">
        <v>61</v>
      </c>
      <c r="N311" s="4" t="s">
        <v>39</v>
      </c>
    </row>
    <row r="312" spans="1:16" hidden="1" x14ac:dyDescent="0.2">
      <c r="A312" s="22"/>
      <c r="B312" s="4" t="s">
        <v>21</v>
      </c>
      <c r="C312" s="5">
        <v>44712</v>
      </c>
      <c r="D312" s="4" t="s">
        <v>2510</v>
      </c>
      <c r="E312" s="4" t="s">
        <v>2511</v>
      </c>
      <c r="F312" s="4" t="s">
        <v>2511</v>
      </c>
      <c r="G312" s="6">
        <v>24999.47599766</v>
      </c>
      <c r="H312" s="6">
        <f t="shared" si="4"/>
        <v>-358858.91562063986</v>
      </c>
      <c r="I312" s="4"/>
      <c r="J312" s="4" t="s">
        <v>68</v>
      </c>
      <c r="K312" s="7">
        <v>-23854</v>
      </c>
      <c r="L312" s="4" t="s">
        <v>52</v>
      </c>
      <c r="M312" s="4" t="s">
        <v>61</v>
      </c>
      <c r="N312" s="4" t="s">
        <v>39</v>
      </c>
    </row>
    <row r="313" spans="1:16" hidden="1" x14ac:dyDescent="0.2">
      <c r="A313" s="22"/>
      <c r="B313" s="4" t="s">
        <v>21</v>
      </c>
      <c r="C313" s="5">
        <v>44713</v>
      </c>
      <c r="D313" s="4" t="s">
        <v>161</v>
      </c>
      <c r="E313" s="4" t="s">
        <v>157</v>
      </c>
      <c r="F313" s="4" t="s">
        <v>157</v>
      </c>
      <c r="G313" s="6">
        <v>204469.56555462329</v>
      </c>
      <c r="H313" s="6">
        <f t="shared" si="4"/>
        <v>-154389.35006601657</v>
      </c>
      <c r="I313" s="4"/>
      <c r="J313" s="4" t="s">
        <v>68</v>
      </c>
      <c r="K313" s="7">
        <v>-195100.77</v>
      </c>
      <c r="L313" s="4" t="s">
        <v>160</v>
      </c>
      <c r="M313" s="4" t="s">
        <v>61</v>
      </c>
      <c r="N313" s="4" t="s">
        <v>39</v>
      </c>
    </row>
    <row r="314" spans="1:16" hidden="1" x14ac:dyDescent="0.2">
      <c r="A314" s="22"/>
      <c r="B314" s="4" t="s">
        <v>249</v>
      </c>
      <c r="C314" s="5">
        <v>44719</v>
      </c>
      <c r="D314" s="4" t="s">
        <v>2512</v>
      </c>
      <c r="E314" s="4" t="s">
        <v>2513</v>
      </c>
      <c r="F314" s="4" t="s">
        <v>2513</v>
      </c>
      <c r="G314" s="6">
        <v>4371.2611889812997</v>
      </c>
      <c r="H314" s="6">
        <f t="shared" si="4"/>
        <v>-150018.08887703528</v>
      </c>
      <c r="I314" s="4" t="s">
        <v>252</v>
      </c>
      <c r="J314" s="4" t="s">
        <v>68</v>
      </c>
      <c r="K314" s="7">
        <v>-4170.97</v>
      </c>
      <c r="L314" s="4" t="s">
        <v>160</v>
      </c>
      <c r="M314" s="4" t="s">
        <v>61</v>
      </c>
      <c r="N314" s="4"/>
    </row>
    <row r="315" spans="1:16" hidden="1" x14ac:dyDescent="0.2">
      <c r="A315" s="22"/>
      <c r="B315" s="4" t="s">
        <v>249</v>
      </c>
      <c r="C315" s="5">
        <v>44739</v>
      </c>
      <c r="D315" s="4" t="s">
        <v>2514</v>
      </c>
      <c r="E315" s="4" t="s">
        <v>2515</v>
      </c>
      <c r="F315" s="4" t="s">
        <v>2515</v>
      </c>
      <c r="G315" s="6">
        <v>30909.262412970002</v>
      </c>
      <c r="H315" s="6">
        <f t="shared" si="4"/>
        <v>-119108.82646406528</v>
      </c>
      <c r="I315" s="4" t="s">
        <v>252</v>
      </c>
      <c r="J315" s="4" t="s">
        <v>68</v>
      </c>
      <c r="K315" s="7">
        <v>-29493</v>
      </c>
      <c r="L315" s="4" t="s">
        <v>160</v>
      </c>
      <c r="M315" s="4" t="s">
        <v>61</v>
      </c>
      <c r="N315" s="4"/>
    </row>
    <row r="316" spans="1:16" hidden="1" x14ac:dyDescent="0.2">
      <c r="A316" s="22"/>
      <c r="B316" s="4" t="s">
        <v>249</v>
      </c>
      <c r="C316" s="5">
        <v>44739</v>
      </c>
      <c r="D316" s="4" t="s">
        <v>2516</v>
      </c>
      <c r="E316" s="4" t="s">
        <v>2517</v>
      </c>
      <c r="F316" s="4" t="s">
        <v>2517</v>
      </c>
      <c r="G316" s="6">
        <v>3618.8140613700002</v>
      </c>
      <c r="H316" s="6">
        <f t="shared" si="4"/>
        <v>-115490.01240269528</v>
      </c>
      <c r="I316" s="4" t="s">
        <v>252</v>
      </c>
      <c r="J316" s="4" t="s">
        <v>68</v>
      </c>
      <c r="K316" s="7">
        <v>-3453</v>
      </c>
      <c r="L316" s="4" t="s">
        <v>160</v>
      </c>
      <c r="M316" s="4" t="s">
        <v>61</v>
      </c>
      <c r="N316" s="4"/>
    </row>
    <row r="317" spans="1:16" hidden="1" x14ac:dyDescent="0.2">
      <c r="A317" s="22"/>
      <c r="B317" s="4" t="s">
        <v>21</v>
      </c>
      <c r="C317" s="5">
        <v>44742</v>
      </c>
      <c r="D317" s="4" t="s">
        <v>2518</v>
      </c>
      <c r="E317" s="4" t="s">
        <v>2519</v>
      </c>
      <c r="F317" s="4" t="s">
        <v>2520</v>
      </c>
      <c r="G317" s="6">
        <v>-50.776583050500001</v>
      </c>
      <c r="H317" s="6">
        <f t="shared" si="4"/>
        <v>-115540.78898574578</v>
      </c>
      <c r="I317" s="4"/>
      <c r="J317" s="4" t="s">
        <v>68</v>
      </c>
      <c r="K317" s="7">
        <v>48.45</v>
      </c>
      <c r="L317" s="4" t="s">
        <v>160</v>
      </c>
      <c r="M317" s="4" t="s">
        <v>61</v>
      </c>
      <c r="N317" s="4" t="s">
        <v>1108</v>
      </c>
    </row>
    <row r="318" spans="1:16" hidden="1" x14ac:dyDescent="0.2">
      <c r="A318" s="22"/>
      <c r="B318" s="4" t="s">
        <v>21</v>
      </c>
      <c r="C318" s="5">
        <v>44742</v>
      </c>
      <c r="D318" s="4" t="s">
        <v>2518</v>
      </c>
      <c r="E318" s="4" t="s">
        <v>2519</v>
      </c>
      <c r="F318" s="4" t="s">
        <v>2520</v>
      </c>
      <c r="G318" s="6">
        <v>-1358.4753405066999</v>
      </c>
      <c r="H318" s="6">
        <f t="shared" si="4"/>
        <v>-116899.26432625248</v>
      </c>
      <c r="I318" s="4"/>
      <c r="J318" s="4" t="s">
        <v>68</v>
      </c>
      <c r="K318" s="7">
        <v>1296.23</v>
      </c>
      <c r="L318" s="4" t="s">
        <v>160</v>
      </c>
      <c r="M318" s="4" t="s">
        <v>61</v>
      </c>
      <c r="N318" s="4" t="s">
        <v>1108</v>
      </c>
    </row>
    <row r="319" spans="1:16" hidden="1" x14ac:dyDescent="0.2">
      <c r="A319" s="22"/>
      <c r="B319" s="4" t="s">
        <v>21</v>
      </c>
      <c r="C319" s="5">
        <v>44742</v>
      </c>
      <c r="D319" s="4" t="s">
        <v>2518</v>
      </c>
      <c r="E319" s="4" t="s">
        <v>2519</v>
      </c>
      <c r="F319" s="4" t="s">
        <v>2520</v>
      </c>
      <c r="G319" s="6">
        <v>-131.94575451099999</v>
      </c>
      <c r="H319" s="6">
        <f t="shared" si="4"/>
        <v>-117031.21008076349</v>
      </c>
      <c r="I319" s="4"/>
      <c r="J319" s="4" t="s">
        <v>68</v>
      </c>
      <c r="K319" s="7">
        <v>125.9</v>
      </c>
      <c r="L319" s="4" t="s">
        <v>160</v>
      </c>
      <c r="M319" s="4" t="s">
        <v>61</v>
      </c>
      <c r="N319" s="4" t="s">
        <v>1108</v>
      </c>
    </row>
    <row r="320" spans="1:16" hidden="1" x14ac:dyDescent="0.2">
      <c r="A320" s="22"/>
      <c r="B320" s="4" t="s">
        <v>1977</v>
      </c>
      <c r="C320" s="5">
        <v>44742</v>
      </c>
      <c r="D320" s="4" t="s">
        <v>2521</v>
      </c>
      <c r="E320" s="4" t="s">
        <v>2522</v>
      </c>
      <c r="F320" s="4"/>
      <c r="G320" s="6">
        <v>-186.54761162</v>
      </c>
      <c r="H320" s="6">
        <f t="shared" si="4"/>
        <v>-117217.75769238349</v>
      </c>
      <c r="I320" s="4"/>
      <c r="J320" s="4" t="s">
        <v>68</v>
      </c>
      <c r="K320" s="7">
        <v>178</v>
      </c>
      <c r="L320" s="4" t="s">
        <v>160</v>
      </c>
      <c r="M320" s="4" t="s">
        <v>61</v>
      </c>
      <c r="N320" s="4"/>
    </row>
    <row r="321" spans="1:16" hidden="1" x14ac:dyDescent="0.2">
      <c r="A321" s="22"/>
      <c r="B321" s="4" t="s">
        <v>21</v>
      </c>
      <c r="C321" s="5">
        <v>44742</v>
      </c>
      <c r="D321" s="4" t="s">
        <v>2523</v>
      </c>
      <c r="E321" s="4" t="s">
        <v>2524</v>
      </c>
      <c r="F321" s="4" t="s">
        <v>2525</v>
      </c>
      <c r="G321" s="6">
        <v>-11.2976587262</v>
      </c>
      <c r="H321" s="6">
        <f t="shared" si="4"/>
        <v>-117229.05535110968</v>
      </c>
      <c r="I321" s="4"/>
      <c r="J321" s="4" t="s">
        <v>68</v>
      </c>
      <c r="K321" s="7">
        <v>10.78</v>
      </c>
      <c r="L321" s="4" t="s">
        <v>160</v>
      </c>
      <c r="M321" s="4" t="s">
        <v>61</v>
      </c>
      <c r="N321" s="4" t="s">
        <v>1108</v>
      </c>
    </row>
    <row r="322" spans="1:16" hidden="1" x14ac:dyDescent="0.2">
      <c r="A322" s="22"/>
      <c r="B322" s="4" t="s">
        <v>21</v>
      </c>
      <c r="C322" s="5">
        <v>44742</v>
      </c>
      <c r="D322" s="4" t="s">
        <v>2523</v>
      </c>
      <c r="E322" s="4" t="s">
        <v>2524</v>
      </c>
      <c r="F322" s="4" t="s">
        <v>2526</v>
      </c>
      <c r="G322" s="6">
        <v>-56.781739312200003</v>
      </c>
      <c r="H322" s="6">
        <f t="shared" si="4"/>
        <v>-117285.83709042188</v>
      </c>
      <c r="I322" s="4"/>
      <c r="J322" s="4" t="s">
        <v>68</v>
      </c>
      <c r="K322" s="7">
        <v>54.18</v>
      </c>
      <c r="L322" s="4" t="s">
        <v>160</v>
      </c>
      <c r="M322" s="4" t="s">
        <v>61</v>
      </c>
      <c r="N322" s="4" t="s">
        <v>1108</v>
      </c>
    </row>
    <row r="323" spans="1:16" hidden="1" x14ac:dyDescent="0.2">
      <c r="A323" s="22"/>
      <c r="B323" s="4" t="s">
        <v>21</v>
      </c>
      <c r="C323" s="5">
        <v>44742</v>
      </c>
      <c r="D323" s="4" t="s">
        <v>2523</v>
      </c>
      <c r="E323" s="4" t="s">
        <v>2524</v>
      </c>
      <c r="F323" s="4" t="s">
        <v>2526</v>
      </c>
      <c r="G323" s="6">
        <v>-3683.2463487992</v>
      </c>
      <c r="H323" s="6">
        <f t="shared" si="4"/>
        <v>-120969.08343922108</v>
      </c>
      <c r="I323" s="4"/>
      <c r="J323" s="4" t="s">
        <v>68</v>
      </c>
      <c r="K323" s="7">
        <v>3514.48</v>
      </c>
      <c r="L323" s="4" t="s">
        <v>160</v>
      </c>
      <c r="M323" s="4" t="s">
        <v>61</v>
      </c>
      <c r="N323" s="4" t="s">
        <v>1108</v>
      </c>
    </row>
    <row r="324" spans="1:16" hidden="1" x14ac:dyDescent="0.2">
      <c r="A324" s="22"/>
      <c r="B324" s="4" t="s">
        <v>21</v>
      </c>
      <c r="C324" s="5">
        <v>44742</v>
      </c>
      <c r="D324" s="4" t="s">
        <v>2523</v>
      </c>
      <c r="E324" s="4" t="s">
        <v>2524</v>
      </c>
      <c r="F324" s="4" t="s">
        <v>2526</v>
      </c>
      <c r="G324" s="6">
        <v>-631.222620667</v>
      </c>
      <c r="H324" s="6">
        <f t="shared" si="4"/>
        <v>-121600.30605988808</v>
      </c>
      <c r="I324" s="4"/>
      <c r="J324" s="4" t="s">
        <v>68</v>
      </c>
      <c r="K324" s="7">
        <v>602.29999999999995</v>
      </c>
      <c r="L324" s="4" t="s">
        <v>160</v>
      </c>
      <c r="M324" s="4" t="s">
        <v>61</v>
      </c>
      <c r="N324" s="4" t="s">
        <v>1108</v>
      </c>
    </row>
    <row r="325" spans="1:16" hidden="1" x14ac:dyDescent="0.2">
      <c r="A325" s="22"/>
      <c r="B325" s="4" t="s">
        <v>21</v>
      </c>
      <c r="C325" s="5">
        <v>44742</v>
      </c>
      <c r="D325" s="4" t="s">
        <v>2523</v>
      </c>
      <c r="E325" s="4" t="s">
        <v>2524</v>
      </c>
      <c r="F325" s="4" t="s">
        <v>2527</v>
      </c>
      <c r="G325" s="6">
        <v>-659.6030101202</v>
      </c>
      <c r="H325" s="6">
        <f t="shared" si="4"/>
        <v>-122259.90907000829</v>
      </c>
      <c r="I325" s="4"/>
      <c r="J325" s="4" t="s">
        <v>68</v>
      </c>
      <c r="K325" s="7">
        <v>629.38</v>
      </c>
      <c r="L325" s="4" t="s">
        <v>160</v>
      </c>
      <c r="M325" s="4" t="s">
        <v>61</v>
      </c>
      <c r="N325" s="4" t="s">
        <v>1108</v>
      </c>
    </row>
    <row r="326" spans="1:16" hidden="1" x14ac:dyDescent="0.2">
      <c r="A326" s="22"/>
      <c r="B326" s="4" t="s">
        <v>21</v>
      </c>
      <c r="C326" s="5">
        <v>44742</v>
      </c>
      <c r="D326" s="4" t="s">
        <v>2523</v>
      </c>
      <c r="E326" s="4" t="s">
        <v>2524</v>
      </c>
      <c r="F326" s="4" t="s">
        <v>2527</v>
      </c>
      <c r="G326" s="6">
        <v>-6791.7374101566002</v>
      </c>
      <c r="H326" s="6">
        <f t="shared" si="4"/>
        <v>-129051.64648016488</v>
      </c>
      <c r="I326" s="4"/>
      <c r="J326" s="4" t="s">
        <v>68</v>
      </c>
      <c r="K326" s="7">
        <v>6480.54</v>
      </c>
      <c r="L326" s="4" t="s">
        <v>160</v>
      </c>
      <c r="M326" s="4" t="s">
        <v>61</v>
      </c>
      <c r="N326" s="4" t="s">
        <v>1108</v>
      </c>
    </row>
    <row r="327" spans="1:16" hidden="1" x14ac:dyDescent="0.2">
      <c r="A327" s="22"/>
      <c r="B327" s="4" t="s">
        <v>21</v>
      </c>
      <c r="C327" s="5">
        <v>44742</v>
      </c>
      <c r="D327" s="4" t="s">
        <v>2523</v>
      </c>
      <c r="E327" s="4" t="s">
        <v>2524</v>
      </c>
      <c r="F327" s="4" t="s">
        <v>2527</v>
      </c>
      <c r="G327" s="6">
        <v>-253.91435586119999</v>
      </c>
      <c r="H327" s="6">
        <f t="shared" si="4"/>
        <v>-129305.56083602608</v>
      </c>
      <c r="I327" s="4"/>
      <c r="J327" s="4" t="s">
        <v>68</v>
      </c>
      <c r="K327" s="7">
        <v>242.28</v>
      </c>
      <c r="L327" s="4" t="s">
        <v>160</v>
      </c>
      <c r="M327" s="4" t="s">
        <v>61</v>
      </c>
      <c r="N327" s="4" t="s">
        <v>1108</v>
      </c>
    </row>
    <row r="328" spans="1:16" hidden="1" x14ac:dyDescent="0.2">
      <c r="A328" s="22"/>
      <c r="B328" s="4" t="s">
        <v>21</v>
      </c>
      <c r="C328" s="5">
        <v>44742</v>
      </c>
      <c r="D328" s="4" t="s">
        <v>2523</v>
      </c>
      <c r="E328" s="4" t="s">
        <v>2524</v>
      </c>
      <c r="F328" s="4" t="s">
        <v>2528</v>
      </c>
      <c r="G328" s="6">
        <v>-146.56563755650001</v>
      </c>
      <c r="H328" s="6">
        <f t="shared" si="4"/>
        <v>-129452.12647358258</v>
      </c>
      <c r="I328" s="4"/>
      <c r="J328" s="4" t="s">
        <v>68</v>
      </c>
      <c r="K328" s="7">
        <v>139.85</v>
      </c>
      <c r="L328" s="4" t="s">
        <v>160</v>
      </c>
      <c r="M328" s="4" t="s">
        <v>61</v>
      </c>
      <c r="N328" s="4" t="s">
        <v>1108</v>
      </c>
    </row>
    <row r="329" spans="1:16" hidden="1" x14ac:dyDescent="0.2">
      <c r="A329" s="22"/>
      <c r="B329" s="4" t="s">
        <v>21</v>
      </c>
      <c r="C329" s="5">
        <v>44742</v>
      </c>
      <c r="D329" s="4" t="s">
        <v>2523</v>
      </c>
      <c r="E329" s="4" t="s">
        <v>2524</v>
      </c>
      <c r="F329" s="4" t="s">
        <v>2528</v>
      </c>
      <c r="G329" s="6">
        <v>-1509.3483414550999</v>
      </c>
      <c r="H329" s="6">
        <f t="shared" si="4"/>
        <v>-130961.47481503768</v>
      </c>
      <c r="I329" s="4"/>
      <c r="J329" s="4" t="s">
        <v>68</v>
      </c>
      <c r="K329" s="7">
        <v>1440.19</v>
      </c>
      <c r="L329" s="4" t="s">
        <v>160</v>
      </c>
      <c r="M329" s="4" t="s">
        <v>61</v>
      </c>
      <c r="N329" s="4" t="s">
        <v>1108</v>
      </c>
    </row>
    <row r="330" spans="1:16" hidden="1" x14ac:dyDescent="0.2">
      <c r="A330" s="22"/>
      <c r="B330" s="4" t="s">
        <v>21</v>
      </c>
      <c r="C330" s="5">
        <v>44742</v>
      </c>
      <c r="D330" s="4" t="s">
        <v>2523</v>
      </c>
      <c r="E330" s="4" t="s">
        <v>2524</v>
      </c>
      <c r="F330" s="4" t="s">
        <v>2528</v>
      </c>
      <c r="G330" s="6">
        <v>-56.4254124136</v>
      </c>
      <c r="H330" s="6">
        <f t="shared" ref="H330:H334" si="5">H329+G330</f>
        <v>-131017.90022745129</v>
      </c>
      <c r="I330" s="4"/>
      <c r="J330" s="4" t="s">
        <v>68</v>
      </c>
      <c r="K330" s="7">
        <v>53.84</v>
      </c>
      <c r="L330" s="4" t="s">
        <v>160</v>
      </c>
      <c r="M330" s="4" t="s">
        <v>61</v>
      </c>
      <c r="N330" s="4" t="s">
        <v>1108</v>
      </c>
    </row>
    <row r="331" spans="1:16" x14ac:dyDescent="0.2">
      <c r="A331" s="22"/>
      <c r="B331" s="4" t="s">
        <v>21</v>
      </c>
      <c r="C331" s="5">
        <v>44742</v>
      </c>
      <c r="D331" s="4" t="s">
        <v>2529</v>
      </c>
      <c r="E331" s="4" t="s">
        <v>2530</v>
      </c>
      <c r="F331" s="4" t="s">
        <v>2531</v>
      </c>
      <c r="G331" s="6">
        <v>-107527.8564128697</v>
      </c>
      <c r="H331" s="6">
        <f t="shared" si="5"/>
        <v>-238545.75664032099</v>
      </c>
      <c r="I331" s="4"/>
      <c r="J331" s="4" t="s">
        <v>68</v>
      </c>
      <c r="K331" s="7">
        <v>102600.93</v>
      </c>
      <c r="L331" s="4" t="s">
        <v>160</v>
      </c>
      <c r="M331" s="4" t="s">
        <v>61</v>
      </c>
      <c r="N331" s="4" t="s">
        <v>1108</v>
      </c>
      <c r="P331" s="4" t="s">
        <v>825</v>
      </c>
    </row>
    <row r="332" spans="1:16" hidden="1" x14ac:dyDescent="0.2">
      <c r="A332" s="22"/>
      <c r="B332" s="4" t="s">
        <v>21</v>
      </c>
      <c r="C332" s="5">
        <v>44742</v>
      </c>
      <c r="D332" s="4" t="s">
        <v>2532</v>
      </c>
      <c r="E332" s="4" t="s">
        <v>2533</v>
      </c>
      <c r="F332" s="4" t="s">
        <v>2534</v>
      </c>
      <c r="G332" s="6">
        <v>186.54761162</v>
      </c>
      <c r="H332" s="6">
        <f t="shared" si="5"/>
        <v>-238359.20902870101</v>
      </c>
      <c r="I332" s="4"/>
      <c r="J332" s="4" t="s">
        <v>68</v>
      </c>
      <c r="K332" s="7">
        <v>-178</v>
      </c>
      <c r="L332" s="4" t="s">
        <v>160</v>
      </c>
      <c r="M332" s="4" t="s">
        <v>61</v>
      </c>
      <c r="N332" s="4" t="s">
        <v>1108</v>
      </c>
    </row>
    <row r="333" spans="1:16" hidden="1" x14ac:dyDescent="0.2">
      <c r="A333" s="22"/>
      <c r="B333" s="4" t="s">
        <v>21</v>
      </c>
      <c r="C333" s="5">
        <v>44742</v>
      </c>
      <c r="D333" s="4" t="s">
        <v>2535</v>
      </c>
      <c r="E333" s="4" t="s">
        <v>2536</v>
      </c>
      <c r="F333" s="4" t="s">
        <v>2536</v>
      </c>
      <c r="G333" s="6">
        <v>35709.195341170001</v>
      </c>
      <c r="H333" s="6">
        <f t="shared" si="5"/>
        <v>-202650.013687531</v>
      </c>
      <c r="I333" s="4"/>
      <c r="J333" s="4" t="s">
        <v>68</v>
      </c>
      <c r="K333" s="7">
        <v>-34073</v>
      </c>
      <c r="L333" s="4" t="s">
        <v>160</v>
      </c>
      <c r="M333" s="4" t="s">
        <v>61</v>
      </c>
      <c r="N333" s="4" t="s">
        <v>1108</v>
      </c>
    </row>
    <row r="334" spans="1:16" x14ac:dyDescent="0.2">
      <c r="A334" s="22"/>
      <c r="B334" s="4" t="s">
        <v>21</v>
      </c>
      <c r="C334" s="5">
        <v>44742</v>
      </c>
      <c r="D334" s="4" t="s">
        <v>2537</v>
      </c>
      <c r="E334" s="4" t="s">
        <v>2538</v>
      </c>
      <c r="F334" s="148" t="s">
        <v>2538</v>
      </c>
      <c r="G334" s="6">
        <v>138970.63451487001</v>
      </c>
      <c r="H334" s="6">
        <f t="shared" si="5"/>
        <v>-63679.379172660992</v>
      </c>
      <c r="I334" s="4"/>
      <c r="J334" s="4" t="s">
        <v>68</v>
      </c>
      <c r="K334" s="144">
        <v>-132603</v>
      </c>
      <c r="L334" s="4" t="s">
        <v>160</v>
      </c>
      <c r="M334" s="4" t="s">
        <v>61</v>
      </c>
      <c r="N334" s="4" t="s">
        <v>1108</v>
      </c>
      <c r="P334" s="4" t="s">
        <v>824</v>
      </c>
    </row>
    <row r="335" spans="1:16" ht="10.5" hidden="1" x14ac:dyDescent="0.25">
      <c r="A335" s="9" t="s">
        <v>2539</v>
      </c>
      <c r="B335" s="10"/>
      <c r="C335" s="11"/>
      <c r="D335" s="10"/>
      <c r="E335" s="10"/>
      <c r="F335" s="10"/>
      <c r="G335" s="12">
        <f>SUM(G9:G334)</f>
        <v>401641.89159241138</v>
      </c>
      <c r="H335" s="12">
        <f>H334</f>
        <v>-63679.379172660992</v>
      </c>
      <c r="I335" s="10"/>
      <c r="J335" s="10"/>
      <c r="K335" s="13"/>
      <c r="L335" s="10"/>
      <c r="M335" s="10"/>
      <c r="N335" s="10"/>
    </row>
    <row r="336" spans="1:16" ht="10.5" hidden="1" x14ac:dyDescent="0.2">
      <c r="A336" s="10" t="s">
        <v>304</v>
      </c>
      <c r="B336" s="10"/>
      <c r="C336" s="11"/>
      <c r="D336" s="10"/>
      <c r="E336" s="10"/>
      <c r="F336" s="10"/>
      <c r="G336" s="12">
        <f>SUM(G8,G335)</f>
        <v>401641.89159241138</v>
      </c>
      <c r="H336" s="12">
        <f>H8+H335</f>
        <v>-63679.379172660992</v>
      </c>
      <c r="I336" s="10"/>
      <c r="J336" s="10"/>
      <c r="K336" s="13"/>
      <c r="L336" s="10"/>
      <c r="M336" s="10"/>
      <c r="N336" s="10"/>
    </row>
    <row r="337" spans="1:14" ht="10.5" hidden="1" x14ac:dyDescent="0.2">
      <c r="A337" s="10" t="s">
        <v>218</v>
      </c>
      <c r="B337" s="10"/>
      <c r="C337" s="11"/>
      <c r="D337" s="10"/>
      <c r="E337" s="10"/>
      <c r="F337" s="10"/>
      <c r="G337" s="12">
        <f>SUM(G336)</f>
        <v>401641.89159241138</v>
      </c>
      <c r="H337" s="12">
        <f>0+H336</f>
        <v>-63679.379172660992</v>
      </c>
      <c r="I337" s="10"/>
      <c r="J337" s="10"/>
      <c r="K337" s="13"/>
      <c r="L337" s="10"/>
      <c r="M337" s="10"/>
      <c r="N337" s="10"/>
    </row>
  </sheetData>
  <autoFilter ref="A7:P337" xr:uid="{1063A820-E1C7-4002-825A-36AFF3E60187}">
    <filterColumn colId="15">
      <customFilters>
        <customFilter operator="notEqual" val=" "/>
      </customFilters>
    </filterColumn>
  </autoFilter>
  <mergeCells count="6">
    <mergeCell ref="A6:N6"/>
    <mergeCell ref="A1:N1"/>
    <mergeCell ref="A2:N2"/>
    <mergeCell ref="A3:N3"/>
    <mergeCell ref="A4:N4"/>
    <mergeCell ref="A5:N5"/>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5"/>
  <dimension ref="A1:O271"/>
  <sheetViews>
    <sheetView topLeftCell="A2" zoomScaleNormal="100" workbookViewId="0">
      <selection activeCell="A2" sqref="A2:O2"/>
    </sheetView>
  </sheetViews>
  <sheetFormatPr defaultRowHeight="10" x14ac:dyDescent="0.2"/>
  <cols>
    <col min="1" max="1" width="65" customWidth="1"/>
    <col min="2" max="2" width="29.88671875" customWidth="1"/>
    <col min="3" max="14" width="18.33203125" customWidth="1"/>
    <col min="15" max="15" width="21.88671875" customWidth="1"/>
  </cols>
  <sheetData>
    <row r="1" spans="1:15" ht="15.5" x14ac:dyDescent="0.35">
      <c r="A1" s="815" t="s">
        <v>0</v>
      </c>
      <c r="B1" s="816"/>
      <c r="C1" s="816"/>
      <c r="D1" s="816"/>
      <c r="E1" s="816"/>
      <c r="F1" s="816"/>
      <c r="G1" s="816"/>
      <c r="H1" s="816"/>
      <c r="I1" s="816"/>
      <c r="J1" s="816"/>
      <c r="K1" s="816"/>
      <c r="L1" s="816"/>
      <c r="M1" s="816"/>
      <c r="N1" s="816"/>
      <c r="O1" s="817"/>
    </row>
    <row r="2" spans="1:15" ht="15.5" x14ac:dyDescent="0.35">
      <c r="A2" s="818" t="s">
        <v>1</v>
      </c>
      <c r="B2" s="819"/>
      <c r="C2" s="819"/>
      <c r="D2" s="819"/>
      <c r="E2" s="819"/>
      <c r="F2" s="819"/>
      <c r="G2" s="819"/>
      <c r="H2" s="819"/>
      <c r="I2" s="819"/>
      <c r="J2" s="819"/>
      <c r="K2" s="819"/>
      <c r="L2" s="819"/>
      <c r="M2" s="819"/>
      <c r="N2" s="819"/>
      <c r="O2" s="820"/>
    </row>
    <row r="3" spans="1:15" ht="18.5" thickBot="1" x14ac:dyDescent="0.45">
      <c r="A3" s="821" t="s">
        <v>305</v>
      </c>
      <c r="B3" s="822"/>
      <c r="C3" s="822"/>
      <c r="D3" s="822"/>
      <c r="E3" s="822"/>
      <c r="F3" s="822"/>
      <c r="G3" s="822"/>
      <c r="H3" s="822"/>
      <c r="I3" s="822"/>
      <c r="J3" s="822"/>
      <c r="K3" s="822"/>
      <c r="L3" s="822"/>
      <c r="M3" s="822"/>
      <c r="N3" s="822"/>
      <c r="O3" s="823"/>
    </row>
    <row r="4" spans="1:15" ht="18.5" thickBot="1" x14ac:dyDescent="0.45">
      <c r="A4" s="841" t="s">
        <v>4380</v>
      </c>
      <c r="B4" s="842"/>
      <c r="C4" s="842"/>
      <c r="D4" s="842"/>
      <c r="E4" s="842"/>
      <c r="F4" s="842"/>
      <c r="G4" s="842"/>
      <c r="H4" s="842"/>
      <c r="I4" s="842"/>
      <c r="J4" s="842"/>
      <c r="K4" s="842"/>
      <c r="L4" s="842"/>
      <c r="M4" s="842"/>
      <c r="N4" s="842"/>
      <c r="O4" s="843"/>
    </row>
    <row r="5" spans="1:15" s="720" customFormat="1" ht="18.5" thickBot="1" x14ac:dyDescent="0.45">
      <c r="A5" s="839" t="s">
        <v>306</v>
      </c>
      <c r="B5" s="840"/>
      <c r="C5" s="840"/>
      <c r="D5" s="840"/>
      <c r="E5" s="840"/>
      <c r="F5" s="840"/>
      <c r="G5" s="840"/>
      <c r="H5" s="840"/>
      <c r="I5" s="840"/>
      <c r="J5" s="840"/>
      <c r="K5" s="840"/>
      <c r="L5" s="840"/>
      <c r="M5" s="840"/>
      <c r="N5" s="840"/>
      <c r="O5" s="840"/>
    </row>
    <row r="6" spans="1:15" x14ac:dyDescent="0.2">
      <c r="A6" s="718" t="s">
        <v>307</v>
      </c>
      <c r="B6" s="719" t="s">
        <v>61</v>
      </c>
      <c r="C6" s="719" t="s">
        <v>27</v>
      </c>
      <c r="D6" s="719" t="s">
        <v>212</v>
      </c>
      <c r="E6" s="719" t="s">
        <v>201</v>
      </c>
      <c r="F6" s="719" t="s">
        <v>38</v>
      </c>
      <c r="G6" s="719" t="s">
        <v>186</v>
      </c>
      <c r="H6" s="719" t="s">
        <v>197</v>
      </c>
      <c r="I6" s="719" t="s">
        <v>204</v>
      </c>
      <c r="J6" s="719" t="s">
        <v>193</v>
      </c>
      <c r="K6" s="719" t="s">
        <v>308</v>
      </c>
      <c r="L6" s="719" t="s">
        <v>4194</v>
      </c>
      <c r="M6" s="719" t="s">
        <v>117</v>
      </c>
      <c r="N6" s="719" t="s">
        <v>309</v>
      </c>
      <c r="O6" s="719" t="s">
        <v>218</v>
      </c>
    </row>
    <row r="7" spans="1:15" x14ac:dyDescent="0.2">
      <c r="A7" s="718" t="s">
        <v>310</v>
      </c>
      <c r="B7" s="719">
        <v>101</v>
      </c>
      <c r="C7" s="719">
        <v>201</v>
      </c>
      <c r="D7" s="719">
        <v>202</v>
      </c>
      <c r="E7" s="719">
        <v>203</v>
      </c>
      <c r="F7" s="719">
        <v>204</v>
      </c>
      <c r="G7" s="719">
        <v>205</v>
      </c>
      <c r="H7" s="719">
        <v>206</v>
      </c>
      <c r="I7" s="719">
        <v>207</v>
      </c>
      <c r="J7" s="719">
        <v>208</v>
      </c>
      <c r="K7" s="719">
        <v>209</v>
      </c>
      <c r="L7" s="719">
        <v>210</v>
      </c>
      <c r="M7" s="719">
        <v>300</v>
      </c>
      <c r="N7" s="719">
        <v>400</v>
      </c>
      <c r="O7" s="719">
        <v>1000</v>
      </c>
    </row>
    <row r="8" spans="1:15" ht="13" x14ac:dyDescent="0.2">
      <c r="A8" s="19" t="s">
        <v>311</v>
      </c>
      <c r="B8" s="20"/>
      <c r="C8" s="20"/>
      <c r="D8" s="20"/>
      <c r="E8" s="20"/>
      <c r="F8" s="20"/>
      <c r="G8" s="20"/>
      <c r="H8" s="20"/>
      <c r="I8" s="20"/>
      <c r="J8" s="20"/>
      <c r="K8" s="20"/>
      <c r="L8" s="20"/>
      <c r="M8" s="20"/>
      <c r="N8" s="20"/>
      <c r="O8" s="20"/>
    </row>
    <row r="9" spans="1:15" ht="12.5" x14ac:dyDescent="0.25">
      <c r="A9" s="762" t="s">
        <v>312</v>
      </c>
      <c r="B9" s="763">
        <v>141140747.49083704</v>
      </c>
      <c r="C9" s="763">
        <v>50243551.466010824</v>
      </c>
      <c r="D9" s="763">
        <v>4743321.1747085424</v>
      </c>
      <c r="E9" s="763">
        <v>399551.72552120022</v>
      </c>
      <c r="F9" s="763">
        <v>1368918.3983039083</v>
      </c>
      <c r="G9" s="763">
        <v>1553853.3399019283</v>
      </c>
      <c r="H9" s="763">
        <v>241516.06295372138</v>
      </c>
      <c r="I9" s="763">
        <v>1775632.7955174039</v>
      </c>
      <c r="J9" s="763">
        <v>665018.82766830933</v>
      </c>
      <c r="K9" s="763">
        <v>2577429.589693245</v>
      </c>
      <c r="L9" s="763">
        <v>337838.09503257321</v>
      </c>
      <c r="M9" s="763">
        <v>0</v>
      </c>
      <c r="N9" s="763">
        <v>-11925126.494644012</v>
      </c>
      <c r="O9" s="763">
        <v>193122252.47150469</v>
      </c>
    </row>
    <row r="10" spans="1:15" ht="12.5" x14ac:dyDescent="0.25">
      <c r="A10" s="764" t="s">
        <v>313</v>
      </c>
      <c r="B10" s="763"/>
      <c r="C10" s="763"/>
      <c r="D10" s="763"/>
      <c r="E10" s="763"/>
      <c r="F10" s="763"/>
      <c r="G10" s="763"/>
      <c r="H10" s="763"/>
      <c r="I10" s="763"/>
      <c r="J10" s="763"/>
      <c r="K10" s="763"/>
      <c r="L10" s="763"/>
      <c r="M10" s="763"/>
      <c r="N10" s="763"/>
      <c r="O10" s="763"/>
    </row>
    <row r="11" spans="1:15" ht="12.5" x14ac:dyDescent="0.25">
      <c r="A11" s="765" t="s">
        <v>314</v>
      </c>
      <c r="B11" s="763"/>
      <c r="C11" s="763"/>
      <c r="D11" s="763"/>
      <c r="E11" s="763"/>
      <c r="F11" s="763"/>
      <c r="G11" s="763"/>
      <c r="H11" s="763"/>
      <c r="I11" s="763"/>
      <c r="J11" s="763"/>
      <c r="K11" s="763"/>
      <c r="L11" s="763"/>
      <c r="M11" s="763"/>
      <c r="N11" s="763"/>
      <c r="O11" s="763"/>
    </row>
    <row r="12" spans="1:15" ht="12.5" x14ac:dyDescent="0.25">
      <c r="A12" s="766" t="s">
        <v>315</v>
      </c>
      <c r="B12" s="767">
        <v>13237549.878435237</v>
      </c>
      <c r="C12" s="767">
        <v>0</v>
      </c>
      <c r="D12" s="767">
        <v>0</v>
      </c>
      <c r="E12" s="767">
        <v>0</v>
      </c>
      <c r="F12" s="767">
        <v>0</v>
      </c>
      <c r="G12" s="767">
        <v>0</v>
      </c>
      <c r="H12" s="767">
        <v>0</v>
      </c>
      <c r="I12" s="767">
        <v>0</v>
      </c>
      <c r="J12" s="767">
        <v>0</v>
      </c>
      <c r="K12" s="767">
        <v>0</v>
      </c>
      <c r="L12" s="767">
        <v>0</v>
      </c>
      <c r="M12" s="767">
        <v>0</v>
      </c>
      <c r="N12" s="767">
        <v>0</v>
      </c>
      <c r="O12" s="767">
        <f t="shared" ref="O12:O29" si="0">SUM(B12:N12)</f>
        <v>13237549.878435237</v>
      </c>
    </row>
    <row r="13" spans="1:15" ht="12.5" x14ac:dyDescent="0.25">
      <c r="A13" s="766" t="s">
        <v>316</v>
      </c>
      <c r="B13" s="767">
        <v>10789298.910543974</v>
      </c>
      <c r="C13" s="767">
        <v>0</v>
      </c>
      <c r="D13" s="767">
        <v>0</v>
      </c>
      <c r="E13" s="767">
        <v>0</v>
      </c>
      <c r="F13" s="767">
        <v>0</v>
      </c>
      <c r="G13" s="767">
        <v>0</v>
      </c>
      <c r="H13" s="767">
        <v>0</v>
      </c>
      <c r="I13" s="767">
        <v>0</v>
      </c>
      <c r="J13" s="767">
        <v>0</v>
      </c>
      <c r="K13" s="767">
        <v>0</v>
      </c>
      <c r="L13" s="767">
        <v>0</v>
      </c>
      <c r="M13" s="767">
        <v>0</v>
      </c>
      <c r="N13" s="767">
        <v>0</v>
      </c>
      <c r="O13" s="767">
        <f t="shared" si="0"/>
        <v>10789298.910543974</v>
      </c>
    </row>
    <row r="14" spans="1:15" ht="12.5" x14ac:dyDescent="0.25">
      <c r="A14" s="766" t="s">
        <v>317</v>
      </c>
      <c r="B14" s="767">
        <v>2327678.6704409574</v>
      </c>
      <c r="C14" s="767">
        <v>0</v>
      </c>
      <c r="D14" s="767">
        <v>0</v>
      </c>
      <c r="E14" s="767">
        <v>0</v>
      </c>
      <c r="F14" s="767">
        <v>0</v>
      </c>
      <c r="G14" s="767">
        <v>0</v>
      </c>
      <c r="H14" s="767">
        <v>0</v>
      </c>
      <c r="I14" s="767">
        <v>0</v>
      </c>
      <c r="J14" s="767">
        <v>0</v>
      </c>
      <c r="K14" s="767">
        <v>0</v>
      </c>
      <c r="L14" s="767">
        <v>0</v>
      </c>
      <c r="M14" s="767">
        <v>0</v>
      </c>
      <c r="N14" s="767">
        <v>0</v>
      </c>
      <c r="O14" s="767">
        <f t="shared" si="0"/>
        <v>2327678.6704409574</v>
      </c>
    </row>
    <row r="15" spans="1:15" ht="12.5" x14ac:dyDescent="0.25">
      <c r="A15" s="766" t="s">
        <v>318</v>
      </c>
      <c r="B15" s="767">
        <v>0</v>
      </c>
      <c r="C15" s="767">
        <v>9590590.7240532022</v>
      </c>
      <c r="D15" s="767">
        <v>0</v>
      </c>
      <c r="E15" s="767">
        <v>0</v>
      </c>
      <c r="F15" s="767">
        <v>0</v>
      </c>
      <c r="G15" s="767">
        <v>0</v>
      </c>
      <c r="H15" s="767">
        <v>0</v>
      </c>
      <c r="I15" s="767">
        <v>0</v>
      </c>
      <c r="J15" s="767">
        <v>0</v>
      </c>
      <c r="K15" s="767">
        <v>0</v>
      </c>
      <c r="L15" s="767">
        <v>0</v>
      </c>
      <c r="M15" s="767">
        <v>0</v>
      </c>
      <c r="N15" s="767">
        <v>0</v>
      </c>
      <c r="O15" s="767">
        <f t="shared" si="0"/>
        <v>9590590.7240532022</v>
      </c>
    </row>
    <row r="16" spans="1:15" ht="12.5" x14ac:dyDescent="0.25">
      <c r="A16" s="766" t="s">
        <v>319</v>
      </c>
      <c r="B16" s="767">
        <v>0</v>
      </c>
      <c r="C16" s="767">
        <v>314127.27078783122</v>
      </c>
      <c r="D16" s="767">
        <v>0</v>
      </c>
      <c r="E16" s="767">
        <v>0</v>
      </c>
      <c r="F16" s="767">
        <v>0</v>
      </c>
      <c r="G16" s="767">
        <v>0</v>
      </c>
      <c r="H16" s="767">
        <v>0</v>
      </c>
      <c r="I16" s="767">
        <v>0</v>
      </c>
      <c r="J16" s="767">
        <v>0</v>
      </c>
      <c r="K16" s="767">
        <v>0</v>
      </c>
      <c r="L16" s="767">
        <v>0</v>
      </c>
      <c r="M16" s="767">
        <v>0</v>
      </c>
      <c r="N16" s="767">
        <v>0</v>
      </c>
      <c r="O16" s="767">
        <f t="shared" si="0"/>
        <v>314127.27078783122</v>
      </c>
    </row>
    <row r="17" spans="1:15" ht="12.5" x14ac:dyDescent="0.25">
      <c r="A17" s="766" t="s">
        <v>320</v>
      </c>
      <c r="B17" s="767">
        <v>3748469.1117668469</v>
      </c>
      <c r="C17" s="767">
        <v>0</v>
      </c>
      <c r="D17" s="767">
        <v>0</v>
      </c>
      <c r="E17" s="767">
        <v>0</v>
      </c>
      <c r="F17" s="767">
        <v>0</v>
      </c>
      <c r="G17" s="767">
        <v>0</v>
      </c>
      <c r="H17" s="767">
        <v>0</v>
      </c>
      <c r="I17" s="767">
        <v>0</v>
      </c>
      <c r="J17" s="767">
        <v>0</v>
      </c>
      <c r="K17" s="767">
        <v>0</v>
      </c>
      <c r="L17" s="767">
        <v>0</v>
      </c>
      <c r="M17" s="767">
        <v>0</v>
      </c>
      <c r="N17" s="767">
        <v>0</v>
      </c>
      <c r="O17" s="767">
        <f t="shared" si="0"/>
        <v>3748469.1117668469</v>
      </c>
    </row>
    <row r="18" spans="1:15" ht="12.5" x14ac:dyDescent="0.25">
      <c r="A18" s="766" t="s">
        <v>321</v>
      </c>
      <c r="B18" s="767">
        <v>0</v>
      </c>
      <c r="C18" s="767">
        <v>0</v>
      </c>
      <c r="D18" s="767">
        <v>1054974.0109518664</v>
      </c>
      <c r="E18" s="767">
        <v>0</v>
      </c>
      <c r="F18" s="767">
        <v>0</v>
      </c>
      <c r="G18" s="767">
        <v>0</v>
      </c>
      <c r="H18" s="767">
        <v>0</v>
      </c>
      <c r="I18" s="767">
        <v>0</v>
      </c>
      <c r="J18" s="767">
        <v>0</v>
      </c>
      <c r="K18" s="767">
        <v>0</v>
      </c>
      <c r="L18" s="767">
        <v>0</v>
      </c>
      <c r="M18" s="767">
        <v>0</v>
      </c>
      <c r="N18" s="767">
        <v>0</v>
      </c>
      <c r="O18" s="767">
        <f t="shared" si="0"/>
        <v>1054974.0109518664</v>
      </c>
    </row>
    <row r="19" spans="1:15" ht="12.5" x14ac:dyDescent="0.25">
      <c r="A19" s="766" t="s">
        <v>322</v>
      </c>
      <c r="B19" s="767">
        <v>0</v>
      </c>
      <c r="C19" s="767">
        <v>0</v>
      </c>
      <c r="D19" s="767">
        <v>0</v>
      </c>
      <c r="E19" s="767">
        <v>46975.116191216199</v>
      </c>
      <c r="F19" s="767">
        <v>0</v>
      </c>
      <c r="G19" s="767">
        <v>0</v>
      </c>
      <c r="H19" s="767">
        <v>0</v>
      </c>
      <c r="I19" s="767">
        <v>0</v>
      </c>
      <c r="J19" s="767">
        <v>0</v>
      </c>
      <c r="K19" s="767">
        <v>0</v>
      </c>
      <c r="L19" s="767">
        <v>0</v>
      </c>
      <c r="M19" s="767">
        <v>0</v>
      </c>
      <c r="N19" s="767">
        <v>0</v>
      </c>
      <c r="O19" s="767">
        <f t="shared" si="0"/>
        <v>46975.116191216199</v>
      </c>
    </row>
    <row r="20" spans="1:15" ht="12.5" x14ac:dyDescent="0.25">
      <c r="A20" s="766" t="s">
        <v>323</v>
      </c>
      <c r="B20" s="767">
        <v>0</v>
      </c>
      <c r="C20" s="767">
        <v>0</v>
      </c>
      <c r="D20" s="767">
        <v>0</v>
      </c>
      <c r="E20" s="767">
        <v>0</v>
      </c>
      <c r="F20" s="767">
        <v>277657.40728491219</v>
      </c>
      <c r="G20" s="767">
        <v>0</v>
      </c>
      <c r="H20" s="767">
        <v>0</v>
      </c>
      <c r="I20" s="767">
        <v>0</v>
      </c>
      <c r="J20" s="767">
        <v>0</v>
      </c>
      <c r="K20" s="767">
        <v>0</v>
      </c>
      <c r="L20" s="767">
        <v>0</v>
      </c>
      <c r="M20" s="767">
        <v>0</v>
      </c>
      <c r="N20" s="767">
        <v>0</v>
      </c>
      <c r="O20" s="767">
        <f t="shared" si="0"/>
        <v>277657.40728491219</v>
      </c>
    </row>
    <row r="21" spans="1:15" ht="12.5" x14ac:dyDescent="0.25">
      <c r="A21" s="766" t="s">
        <v>324</v>
      </c>
      <c r="B21" s="767">
        <v>0</v>
      </c>
      <c r="C21" s="767">
        <v>0</v>
      </c>
      <c r="D21" s="767">
        <v>0</v>
      </c>
      <c r="E21" s="767">
        <v>0</v>
      </c>
      <c r="F21" s="767">
        <v>0</v>
      </c>
      <c r="G21" s="767">
        <v>1088356.658862696</v>
      </c>
      <c r="H21" s="767">
        <v>0</v>
      </c>
      <c r="I21" s="767">
        <v>0</v>
      </c>
      <c r="J21" s="767">
        <v>0</v>
      </c>
      <c r="K21" s="767">
        <v>0</v>
      </c>
      <c r="L21" s="767">
        <v>0</v>
      </c>
      <c r="M21" s="767">
        <v>0</v>
      </c>
      <c r="N21" s="767">
        <v>0</v>
      </c>
      <c r="O21" s="767">
        <f t="shared" si="0"/>
        <v>1088356.658862696</v>
      </c>
    </row>
    <row r="22" spans="1:15" ht="12.5" x14ac:dyDescent="0.25">
      <c r="A22" s="766" t="s">
        <v>325</v>
      </c>
      <c r="B22" s="767">
        <v>0</v>
      </c>
      <c r="C22" s="767">
        <v>0</v>
      </c>
      <c r="D22" s="767">
        <v>0</v>
      </c>
      <c r="E22" s="767">
        <v>0</v>
      </c>
      <c r="F22" s="767">
        <v>0</v>
      </c>
      <c r="G22" s="767">
        <v>0</v>
      </c>
      <c r="H22" s="767">
        <v>0</v>
      </c>
      <c r="I22" s="767">
        <v>970089.10820658505</v>
      </c>
      <c r="J22" s="767">
        <v>0</v>
      </c>
      <c r="K22" s="767">
        <v>0</v>
      </c>
      <c r="L22" s="767">
        <v>0</v>
      </c>
      <c r="M22" s="767">
        <v>0</v>
      </c>
      <c r="N22" s="767">
        <v>0</v>
      </c>
      <c r="O22" s="767">
        <f t="shared" si="0"/>
        <v>970089.10820658505</v>
      </c>
    </row>
    <row r="23" spans="1:15" ht="12.5" x14ac:dyDescent="0.25">
      <c r="A23" s="766" t="s">
        <v>326</v>
      </c>
      <c r="B23" s="767">
        <v>0</v>
      </c>
      <c r="C23" s="767">
        <v>0</v>
      </c>
      <c r="D23" s="767">
        <v>0</v>
      </c>
      <c r="E23" s="767">
        <v>0</v>
      </c>
      <c r="F23" s="767">
        <v>0</v>
      </c>
      <c r="G23" s="767">
        <v>0</v>
      </c>
      <c r="H23" s="767">
        <v>0</v>
      </c>
      <c r="I23" s="767">
        <v>0</v>
      </c>
      <c r="J23" s="767">
        <v>404308.03771530901</v>
      </c>
      <c r="K23" s="767">
        <v>0</v>
      </c>
      <c r="L23" s="767">
        <v>0</v>
      </c>
      <c r="M23" s="767">
        <v>0</v>
      </c>
      <c r="N23" s="767">
        <v>0</v>
      </c>
      <c r="O23" s="767">
        <f t="shared" si="0"/>
        <v>404308.03771530901</v>
      </c>
    </row>
    <row r="24" spans="1:15" ht="12.5" x14ac:dyDescent="0.25">
      <c r="A24" s="766" t="s">
        <v>327</v>
      </c>
      <c r="B24" s="767">
        <v>0</v>
      </c>
      <c r="C24" s="767">
        <v>2056065.6251566126</v>
      </c>
      <c r="D24" s="767">
        <v>0</v>
      </c>
      <c r="E24" s="767">
        <v>0</v>
      </c>
      <c r="F24" s="767">
        <v>0</v>
      </c>
      <c r="G24" s="767">
        <v>0</v>
      </c>
      <c r="H24" s="767">
        <v>0</v>
      </c>
      <c r="I24" s="767">
        <v>0</v>
      </c>
      <c r="J24" s="767">
        <v>0</v>
      </c>
      <c r="K24" s="767">
        <v>0</v>
      </c>
      <c r="L24" s="767">
        <v>0</v>
      </c>
      <c r="M24" s="767">
        <v>0</v>
      </c>
      <c r="N24" s="767">
        <v>0</v>
      </c>
      <c r="O24" s="767">
        <f t="shared" si="0"/>
        <v>2056065.6251566126</v>
      </c>
    </row>
    <row r="25" spans="1:15" ht="12.5" x14ac:dyDescent="0.25">
      <c r="A25" s="766" t="s">
        <v>328</v>
      </c>
      <c r="B25" s="767">
        <v>0</v>
      </c>
      <c r="C25" s="767">
        <v>0</v>
      </c>
      <c r="D25" s="767">
        <v>0</v>
      </c>
      <c r="E25" s="767">
        <v>0</v>
      </c>
      <c r="F25" s="767">
        <v>0</v>
      </c>
      <c r="G25" s="767">
        <v>0</v>
      </c>
      <c r="H25" s="767">
        <v>121547.0266148112</v>
      </c>
      <c r="I25" s="767">
        <v>0</v>
      </c>
      <c r="J25" s="767">
        <v>0</v>
      </c>
      <c r="K25" s="767">
        <v>0</v>
      </c>
      <c r="L25" s="767">
        <v>0</v>
      </c>
      <c r="M25" s="767">
        <v>0</v>
      </c>
      <c r="N25" s="767">
        <v>0</v>
      </c>
      <c r="O25" s="767">
        <f t="shared" si="0"/>
        <v>121547.0266148112</v>
      </c>
    </row>
    <row r="26" spans="1:15" ht="12.5" x14ac:dyDescent="0.25">
      <c r="A26" s="766" t="s">
        <v>329</v>
      </c>
      <c r="B26" s="767">
        <v>0</v>
      </c>
      <c r="C26" s="767">
        <v>0</v>
      </c>
      <c r="D26" s="767">
        <v>0</v>
      </c>
      <c r="E26" s="767">
        <v>0</v>
      </c>
      <c r="F26" s="767">
        <v>0</v>
      </c>
      <c r="G26" s="767">
        <v>0</v>
      </c>
      <c r="H26" s="767">
        <v>0</v>
      </c>
      <c r="I26" s="767">
        <v>0</v>
      </c>
      <c r="J26" s="767">
        <v>0</v>
      </c>
      <c r="K26" s="767">
        <v>893539.01887818356</v>
      </c>
      <c r="L26" s="767">
        <v>0</v>
      </c>
      <c r="M26" s="767">
        <v>0</v>
      </c>
      <c r="N26" s="767">
        <v>0</v>
      </c>
      <c r="O26" s="767">
        <f t="shared" si="0"/>
        <v>893539.01887818356</v>
      </c>
    </row>
    <row r="27" spans="1:15" ht="12.5" x14ac:dyDescent="0.25">
      <c r="A27" s="766" t="s">
        <v>4258</v>
      </c>
      <c r="B27" s="767">
        <v>0</v>
      </c>
      <c r="C27" s="767">
        <v>0</v>
      </c>
      <c r="D27" s="767">
        <v>0</v>
      </c>
      <c r="E27" s="767">
        <v>0</v>
      </c>
      <c r="F27" s="767">
        <v>0</v>
      </c>
      <c r="G27" s="767">
        <v>0</v>
      </c>
      <c r="H27" s="767">
        <v>0</v>
      </c>
      <c r="I27" s="767">
        <v>0</v>
      </c>
      <c r="J27" s="767">
        <v>0</v>
      </c>
      <c r="K27" s="767">
        <v>0</v>
      </c>
      <c r="L27" s="767">
        <v>194640.82516204819</v>
      </c>
      <c r="M27" s="767">
        <v>0</v>
      </c>
      <c r="N27" s="767">
        <v>0</v>
      </c>
      <c r="O27" s="767">
        <f t="shared" si="0"/>
        <v>194640.82516204819</v>
      </c>
    </row>
    <row r="28" spans="1:15" ht="12.5" x14ac:dyDescent="0.25">
      <c r="A28" s="766" t="s">
        <v>4361</v>
      </c>
      <c r="B28" s="767">
        <v>0</v>
      </c>
      <c r="C28" s="767">
        <v>2000000.005016</v>
      </c>
      <c r="D28" s="767">
        <v>0</v>
      </c>
      <c r="E28" s="767">
        <v>0</v>
      </c>
      <c r="F28" s="767">
        <v>0</v>
      </c>
      <c r="G28" s="767">
        <v>0</v>
      </c>
      <c r="H28" s="767">
        <v>0</v>
      </c>
      <c r="I28" s="767">
        <v>0</v>
      </c>
      <c r="J28" s="767">
        <v>0</v>
      </c>
      <c r="K28" s="767">
        <v>0</v>
      </c>
      <c r="L28" s="767">
        <v>0</v>
      </c>
      <c r="M28" s="767">
        <v>0</v>
      </c>
      <c r="N28" s="767">
        <v>0</v>
      </c>
      <c r="O28" s="767">
        <f t="shared" si="0"/>
        <v>2000000.005016</v>
      </c>
    </row>
    <row r="29" spans="1:15" ht="12.5" hidden="1" x14ac:dyDescent="0.25">
      <c r="A29" s="766" t="s">
        <v>4362</v>
      </c>
      <c r="B29" s="767">
        <v>0</v>
      </c>
      <c r="C29" s="767">
        <v>17302895.273395661</v>
      </c>
      <c r="D29" s="767">
        <v>0</v>
      </c>
      <c r="E29" s="767">
        <v>0</v>
      </c>
      <c r="F29" s="767">
        <v>0</v>
      </c>
      <c r="G29" s="767">
        <v>0</v>
      </c>
      <c r="H29" s="767">
        <v>0</v>
      </c>
      <c r="I29" s="767">
        <v>0</v>
      </c>
      <c r="J29" s="767">
        <v>0</v>
      </c>
      <c r="K29" s="767">
        <v>0</v>
      </c>
      <c r="L29" s="767">
        <v>0</v>
      </c>
      <c r="M29" s="767">
        <v>0</v>
      </c>
      <c r="N29" s="767">
        <v>0</v>
      </c>
      <c r="O29" s="767">
        <f t="shared" si="0"/>
        <v>17302895.273395661</v>
      </c>
    </row>
    <row r="30" spans="1:15" ht="12.5" x14ac:dyDescent="0.25">
      <c r="A30" s="765" t="s">
        <v>331</v>
      </c>
      <c r="B30" s="767">
        <f t="shared" ref="B30:O30" si="1">SUM(B12:B29)</f>
        <v>30102996.571187012</v>
      </c>
      <c r="C30" s="767">
        <f t="shared" si="1"/>
        <v>31263678.898409307</v>
      </c>
      <c r="D30" s="767">
        <f t="shared" si="1"/>
        <v>1054974.0109518664</v>
      </c>
      <c r="E30" s="767">
        <f t="shared" si="1"/>
        <v>46975.116191216199</v>
      </c>
      <c r="F30" s="767">
        <f t="shared" si="1"/>
        <v>277657.40728491219</v>
      </c>
      <c r="G30" s="767">
        <f t="shared" si="1"/>
        <v>1088356.658862696</v>
      </c>
      <c r="H30" s="767">
        <f t="shared" si="1"/>
        <v>121547.0266148112</v>
      </c>
      <c r="I30" s="767">
        <f t="shared" si="1"/>
        <v>970089.10820658505</v>
      </c>
      <c r="J30" s="767">
        <f t="shared" si="1"/>
        <v>404308.03771530901</v>
      </c>
      <c r="K30" s="767">
        <f t="shared" si="1"/>
        <v>893539.01887818356</v>
      </c>
      <c r="L30" s="767">
        <f t="shared" si="1"/>
        <v>194640.82516204819</v>
      </c>
      <c r="M30" s="767">
        <f t="shared" si="1"/>
        <v>0</v>
      </c>
      <c r="N30" s="767">
        <f t="shared" si="1"/>
        <v>0</v>
      </c>
      <c r="O30" s="767">
        <f t="shared" si="1"/>
        <v>66418762.679463938</v>
      </c>
    </row>
    <row r="31" spans="1:15" ht="12.5" x14ac:dyDescent="0.25">
      <c r="A31" s="764" t="s">
        <v>332</v>
      </c>
      <c r="B31" s="767">
        <f t="shared" ref="B31:O31" si="2">SUM(B30)</f>
        <v>30102996.571187012</v>
      </c>
      <c r="C31" s="767">
        <f t="shared" si="2"/>
        <v>31263678.898409307</v>
      </c>
      <c r="D31" s="767">
        <f t="shared" si="2"/>
        <v>1054974.0109518664</v>
      </c>
      <c r="E31" s="767">
        <f t="shared" si="2"/>
        <v>46975.116191216199</v>
      </c>
      <c r="F31" s="767">
        <f t="shared" si="2"/>
        <v>277657.40728491219</v>
      </c>
      <c r="G31" s="767">
        <f t="shared" si="2"/>
        <v>1088356.658862696</v>
      </c>
      <c r="H31" s="767">
        <f t="shared" si="2"/>
        <v>121547.0266148112</v>
      </c>
      <c r="I31" s="767">
        <f t="shared" si="2"/>
        <v>970089.10820658505</v>
      </c>
      <c r="J31" s="767">
        <f t="shared" si="2"/>
        <v>404308.03771530901</v>
      </c>
      <c r="K31" s="767">
        <f t="shared" si="2"/>
        <v>893539.01887818356</v>
      </c>
      <c r="L31" s="767">
        <f t="shared" si="2"/>
        <v>194640.82516204819</v>
      </c>
      <c r="M31" s="767">
        <f t="shared" si="2"/>
        <v>0</v>
      </c>
      <c r="N31" s="767">
        <f t="shared" si="2"/>
        <v>0</v>
      </c>
      <c r="O31" s="767">
        <f t="shared" si="2"/>
        <v>66418762.679463938</v>
      </c>
    </row>
    <row r="32" spans="1:15" ht="12.5" hidden="1" x14ac:dyDescent="0.25">
      <c r="A32" s="764" t="s">
        <v>333</v>
      </c>
      <c r="B32" s="763"/>
      <c r="C32" s="763"/>
      <c r="D32" s="763"/>
      <c r="E32" s="763"/>
      <c r="F32" s="763"/>
      <c r="G32" s="763"/>
      <c r="H32" s="763"/>
      <c r="I32" s="763"/>
      <c r="J32" s="763"/>
      <c r="K32" s="763"/>
      <c r="L32" s="763"/>
      <c r="M32" s="763"/>
      <c r="N32" s="763"/>
      <c r="O32" s="763"/>
    </row>
    <row r="33" spans="1:15" ht="12.5" x14ac:dyDescent="0.25">
      <c r="A33" s="765" t="s">
        <v>334</v>
      </c>
      <c r="B33" s="767">
        <v>65000000.16302</v>
      </c>
      <c r="C33" s="767">
        <v>0</v>
      </c>
      <c r="D33" s="767">
        <v>0</v>
      </c>
      <c r="E33" s="767">
        <v>0</v>
      </c>
      <c r="F33" s="767">
        <v>0</v>
      </c>
      <c r="G33" s="767">
        <v>0</v>
      </c>
      <c r="H33" s="767">
        <v>0</v>
      </c>
      <c r="I33" s="767">
        <v>0</v>
      </c>
      <c r="J33" s="767">
        <v>0</v>
      </c>
      <c r="K33" s="767">
        <v>0</v>
      </c>
      <c r="L33" s="767">
        <v>0</v>
      </c>
      <c r="M33" s="767">
        <v>0</v>
      </c>
      <c r="N33" s="767">
        <v>0</v>
      </c>
      <c r="O33" s="767">
        <f>SUM(B33:N33)</f>
        <v>65000000.16302</v>
      </c>
    </row>
    <row r="34" spans="1:15" ht="12.5" x14ac:dyDescent="0.25">
      <c r="A34" s="764" t="s">
        <v>335</v>
      </c>
      <c r="B34" s="767">
        <f t="shared" ref="B34:O34" si="3">SUM(B33)</f>
        <v>65000000.16302</v>
      </c>
      <c r="C34" s="767">
        <f t="shared" si="3"/>
        <v>0</v>
      </c>
      <c r="D34" s="767">
        <f t="shared" si="3"/>
        <v>0</v>
      </c>
      <c r="E34" s="767">
        <f t="shared" si="3"/>
        <v>0</v>
      </c>
      <c r="F34" s="767">
        <f t="shared" si="3"/>
        <v>0</v>
      </c>
      <c r="G34" s="767">
        <f t="shared" si="3"/>
        <v>0</v>
      </c>
      <c r="H34" s="767">
        <f t="shared" si="3"/>
        <v>0</v>
      </c>
      <c r="I34" s="767">
        <f t="shared" si="3"/>
        <v>0</v>
      </c>
      <c r="J34" s="767">
        <f t="shared" si="3"/>
        <v>0</v>
      </c>
      <c r="K34" s="767">
        <f t="shared" si="3"/>
        <v>0</v>
      </c>
      <c r="L34" s="767">
        <f t="shared" si="3"/>
        <v>0</v>
      </c>
      <c r="M34" s="767">
        <f t="shared" si="3"/>
        <v>0</v>
      </c>
      <c r="N34" s="767">
        <f t="shared" si="3"/>
        <v>0</v>
      </c>
      <c r="O34" s="767">
        <f t="shared" si="3"/>
        <v>65000000.16302</v>
      </c>
    </row>
    <row r="35" spans="1:15" ht="12.5" x14ac:dyDescent="0.25">
      <c r="A35" s="764" t="s">
        <v>336</v>
      </c>
      <c r="B35" s="763"/>
      <c r="C35" s="763"/>
      <c r="D35" s="763"/>
      <c r="E35" s="763"/>
      <c r="F35" s="763"/>
      <c r="G35" s="763"/>
      <c r="H35" s="763"/>
      <c r="I35" s="763"/>
      <c r="J35" s="763"/>
      <c r="K35" s="763"/>
      <c r="L35" s="763"/>
      <c r="M35" s="763"/>
      <c r="N35" s="763"/>
      <c r="O35" s="763"/>
    </row>
    <row r="36" spans="1:15" ht="12.5" x14ac:dyDescent="0.25">
      <c r="A36" s="765" t="s">
        <v>337</v>
      </c>
      <c r="B36" s="767">
        <v>9182558.0044581108</v>
      </c>
      <c r="C36" s="767">
        <v>0</v>
      </c>
      <c r="D36" s="767">
        <v>0</v>
      </c>
      <c r="E36" s="767">
        <v>0</v>
      </c>
      <c r="F36" s="767">
        <v>0</v>
      </c>
      <c r="G36" s="767">
        <v>0</v>
      </c>
      <c r="H36" s="767">
        <v>0</v>
      </c>
      <c r="I36" s="767">
        <v>0</v>
      </c>
      <c r="J36" s="767">
        <v>0</v>
      </c>
      <c r="K36" s="767">
        <v>0</v>
      </c>
      <c r="L36" s="767">
        <v>0</v>
      </c>
      <c r="M36" s="767">
        <v>0</v>
      </c>
      <c r="N36" s="767">
        <v>0</v>
      </c>
      <c r="O36" s="767">
        <f t="shared" ref="O36:O44" si="4">SUM(B36:N36)</f>
        <v>9182558.0044581108</v>
      </c>
    </row>
    <row r="37" spans="1:15" ht="12.5" x14ac:dyDescent="0.25">
      <c r="A37" s="765" t="s">
        <v>338</v>
      </c>
      <c r="B37" s="767">
        <v>5158061.4655121425</v>
      </c>
      <c r="C37" s="767">
        <v>0</v>
      </c>
      <c r="D37" s="767">
        <v>0</v>
      </c>
      <c r="E37" s="767">
        <v>0</v>
      </c>
      <c r="F37" s="767">
        <v>0</v>
      </c>
      <c r="G37" s="767">
        <v>0</v>
      </c>
      <c r="H37" s="767">
        <v>0</v>
      </c>
      <c r="I37" s="767">
        <v>0</v>
      </c>
      <c r="J37" s="767">
        <v>0</v>
      </c>
      <c r="K37" s="767">
        <v>0</v>
      </c>
      <c r="L37" s="767">
        <v>0</v>
      </c>
      <c r="M37" s="767">
        <v>0</v>
      </c>
      <c r="N37" s="767">
        <v>0</v>
      </c>
      <c r="O37" s="767">
        <f t="shared" si="4"/>
        <v>5158061.4655121425</v>
      </c>
    </row>
    <row r="38" spans="1:15" ht="12.5" x14ac:dyDescent="0.25">
      <c r="A38" s="765" t="s">
        <v>339</v>
      </c>
      <c r="B38" s="767">
        <v>15036950.899972236</v>
      </c>
      <c r="C38" s="767">
        <v>15935228.469965553</v>
      </c>
      <c r="D38" s="767">
        <v>3266681.2755251382</v>
      </c>
      <c r="E38" s="767">
        <v>0</v>
      </c>
      <c r="F38" s="767">
        <v>0</v>
      </c>
      <c r="G38" s="767">
        <v>0</v>
      </c>
      <c r="H38" s="767">
        <v>0</v>
      </c>
      <c r="I38" s="767">
        <v>0</v>
      </c>
      <c r="J38" s="767">
        <v>0</v>
      </c>
      <c r="K38" s="767">
        <v>1000857.2657380961</v>
      </c>
      <c r="L38" s="767">
        <v>0</v>
      </c>
      <c r="M38" s="767">
        <v>0</v>
      </c>
      <c r="N38" s="767">
        <v>0</v>
      </c>
      <c r="O38" s="767">
        <f t="shared" si="4"/>
        <v>35239717.91120103</v>
      </c>
    </row>
    <row r="39" spans="1:15" ht="12.5" x14ac:dyDescent="0.25">
      <c r="A39" s="765" t="s">
        <v>4298</v>
      </c>
      <c r="B39" s="767">
        <v>0</v>
      </c>
      <c r="C39" s="767">
        <v>-73048.000183204378</v>
      </c>
      <c r="D39" s="767">
        <v>14365.346575935431</v>
      </c>
      <c r="E39" s="767">
        <v>0</v>
      </c>
      <c r="F39" s="767">
        <v>0</v>
      </c>
      <c r="G39" s="767">
        <v>0</v>
      </c>
      <c r="H39" s="767">
        <v>0</v>
      </c>
      <c r="I39" s="767">
        <v>0</v>
      </c>
      <c r="J39" s="767">
        <v>0</v>
      </c>
      <c r="K39" s="767">
        <v>0</v>
      </c>
      <c r="L39" s="767">
        <v>0</v>
      </c>
      <c r="M39" s="767">
        <v>0</v>
      </c>
      <c r="N39" s="767">
        <v>0</v>
      </c>
      <c r="O39" s="767">
        <f t="shared" si="4"/>
        <v>-58682.653607268949</v>
      </c>
    </row>
    <row r="40" spans="1:15" ht="12.5" x14ac:dyDescent="0.25">
      <c r="A40" s="765" t="s">
        <v>340</v>
      </c>
      <c r="B40" s="767">
        <v>-166912.44790922001</v>
      </c>
      <c r="C40" s="767">
        <v>-439700.98110277008</v>
      </c>
      <c r="D40" s="767">
        <v>0</v>
      </c>
      <c r="E40" s="767">
        <v>0</v>
      </c>
      <c r="F40" s="767">
        <v>0</v>
      </c>
      <c r="G40" s="767">
        <v>0</v>
      </c>
      <c r="H40" s="767">
        <v>0</v>
      </c>
      <c r="I40" s="767">
        <v>0</v>
      </c>
      <c r="J40" s="767">
        <v>0</v>
      </c>
      <c r="K40" s="767">
        <v>0</v>
      </c>
      <c r="L40" s="767">
        <v>0</v>
      </c>
      <c r="M40" s="767">
        <v>0</v>
      </c>
      <c r="N40" s="767">
        <v>0</v>
      </c>
      <c r="O40" s="767">
        <f t="shared" si="4"/>
        <v>-606613.42901199008</v>
      </c>
    </row>
    <row r="41" spans="1:15" ht="12.5" x14ac:dyDescent="0.25">
      <c r="A41" s="765" t="s">
        <v>341</v>
      </c>
      <c r="B41" s="767">
        <v>8805252.04507716</v>
      </c>
      <c r="C41" s="767">
        <v>426591.23106989078</v>
      </c>
      <c r="D41" s="767">
        <v>318285.04593467276</v>
      </c>
      <c r="E41" s="767">
        <v>196352.88574560359</v>
      </c>
      <c r="F41" s="767">
        <v>905506.39183545834</v>
      </c>
      <c r="G41" s="767">
        <v>368824.56818170007</v>
      </c>
      <c r="H41" s="767">
        <v>45461.5632358394</v>
      </c>
      <c r="I41" s="767">
        <v>672883.20601215446</v>
      </c>
      <c r="J41" s="767">
        <v>207272.71774292199</v>
      </c>
      <c r="K41" s="767">
        <v>-156788.51682811393</v>
      </c>
      <c r="L41" s="767">
        <v>135485.35298184899</v>
      </c>
      <c r="M41" s="767">
        <v>0</v>
      </c>
      <c r="N41" s="767">
        <v>-11925126.494644012</v>
      </c>
      <c r="O41" s="767">
        <f t="shared" si="4"/>
        <v>-3.6548767238855362E-3</v>
      </c>
    </row>
    <row r="42" spans="1:15" ht="12.5" x14ac:dyDescent="0.25">
      <c r="A42" s="765" t="s">
        <v>342</v>
      </c>
      <c r="B42" s="767">
        <v>0</v>
      </c>
      <c r="C42" s="767">
        <v>-171799.07043087206</v>
      </c>
      <c r="D42" s="767">
        <v>0</v>
      </c>
      <c r="E42" s="767">
        <v>0</v>
      </c>
      <c r="F42" s="767">
        <v>0</v>
      </c>
      <c r="G42" s="767">
        <v>0</v>
      </c>
      <c r="H42" s="767">
        <v>0</v>
      </c>
      <c r="I42" s="767">
        <v>0</v>
      </c>
      <c r="J42" s="767">
        <v>0</v>
      </c>
      <c r="K42" s="767">
        <v>0</v>
      </c>
      <c r="L42" s="767">
        <v>0</v>
      </c>
      <c r="M42" s="767">
        <v>0</v>
      </c>
      <c r="N42" s="767">
        <v>0</v>
      </c>
      <c r="O42" s="767">
        <f t="shared" si="4"/>
        <v>-171799.07043087206</v>
      </c>
    </row>
    <row r="43" spans="1:15" ht="12.5" hidden="1" x14ac:dyDescent="0.25">
      <c r="A43" s="765" t="s">
        <v>343</v>
      </c>
      <c r="B43" s="767">
        <v>1040910.8803466205</v>
      </c>
      <c r="C43" s="767">
        <v>328080.90082282689</v>
      </c>
      <c r="D43" s="767">
        <v>1010.4044703651799</v>
      </c>
      <c r="E43" s="767">
        <v>0</v>
      </c>
      <c r="F43" s="767">
        <v>0</v>
      </c>
      <c r="G43" s="767">
        <v>0</v>
      </c>
      <c r="H43" s="767">
        <v>0</v>
      </c>
      <c r="I43" s="767">
        <v>0</v>
      </c>
      <c r="J43" s="767">
        <v>0</v>
      </c>
      <c r="K43" s="767">
        <v>517453.10074172547</v>
      </c>
      <c r="L43" s="767">
        <v>0</v>
      </c>
      <c r="M43" s="767">
        <v>0</v>
      </c>
      <c r="N43" s="767">
        <v>0</v>
      </c>
      <c r="O43" s="767">
        <f t="shared" si="4"/>
        <v>1887455.286381538</v>
      </c>
    </row>
    <row r="44" spans="1:15" ht="12.5" x14ac:dyDescent="0.25">
      <c r="A44" s="765" t="s">
        <v>344</v>
      </c>
      <c r="B44" s="767">
        <v>213622.19819218721</v>
      </c>
      <c r="C44" s="767">
        <v>167821.13042089538</v>
      </c>
      <c r="D44" s="767">
        <v>1336.7153480352147</v>
      </c>
      <c r="E44" s="767">
        <v>0</v>
      </c>
      <c r="F44" s="767">
        <v>0</v>
      </c>
      <c r="G44" s="767">
        <v>0</v>
      </c>
      <c r="H44" s="767">
        <v>0</v>
      </c>
      <c r="I44" s="767">
        <v>0</v>
      </c>
      <c r="J44" s="767">
        <v>0</v>
      </c>
      <c r="K44" s="767">
        <v>0</v>
      </c>
      <c r="L44" s="767">
        <v>0</v>
      </c>
      <c r="M44" s="767">
        <v>0</v>
      </c>
      <c r="N44" s="767">
        <v>0</v>
      </c>
      <c r="O44" s="767">
        <f t="shared" si="4"/>
        <v>382780.0439611178</v>
      </c>
    </row>
    <row r="45" spans="1:15" ht="12.5" x14ac:dyDescent="0.25">
      <c r="A45" s="764" t="s">
        <v>346</v>
      </c>
      <c r="B45" s="767">
        <f t="shared" ref="B45:O45" si="5">SUM(B36:B44)</f>
        <v>39270443.04564923</v>
      </c>
      <c r="C45" s="767">
        <f t="shared" si="5"/>
        <v>16173173.680562319</v>
      </c>
      <c r="D45" s="767">
        <f t="shared" si="5"/>
        <v>3601678.7878541467</v>
      </c>
      <c r="E45" s="767">
        <f t="shared" si="5"/>
        <v>196352.88574560359</v>
      </c>
      <c r="F45" s="767">
        <f t="shared" si="5"/>
        <v>905506.39183545834</v>
      </c>
      <c r="G45" s="767">
        <f t="shared" si="5"/>
        <v>368824.56818170007</v>
      </c>
      <c r="H45" s="767">
        <f t="shared" si="5"/>
        <v>45461.5632358394</v>
      </c>
      <c r="I45" s="767">
        <f t="shared" si="5"/>
        <v>672883.20601215446</v>
      </c>
      <c r="J45" s="767">
        <f t="shared" si="5"/>
        <v>207272.71774292199</v>
      </c>
      <c r="K45" s="767">
        <f t="shared" si="5"/>
        <v>1361521.8496517076</v>
      </c>
      <c r="L45" s="767">
        <f t="shared" si="5"/>
        <v>135485.35298184899</v>
      </c>
      <c r="M45" s="767">
        <f t="shared" si="5"/>
        <v>0</v>
      </c>
      <c r="N45" s="767">
        <f t="shared" si="5"/>
        <v>-11925126.494644012</v>
      </c>
      <c r="O45" s="767">
        <f t="shared" si="5"/>
        <v>51013477.554808922</v>
      </c>
    </row>
    <row r="46" spans="1:15" ht="12.5" x14ac:dyDescent="0.25">
      <c r="A46" s="764" t="s">
        <v>347</v>
      </c>
      <c r="B46" s="763"/>
      <c r="C46" s="763"/>
      <c r="D46" s="763"/>
      <c r="E46" s="763"/>
      <c r="F46" s="763"/>
      <c r="G46" s="763"/>
      <c r="H46" s="763"/>
      <c r="I46" s="763"/>
      <c r="J46" s="763"/>
      <c r="K46" s="763"/>
      <c r="L46" s="763"/>
      <c r="M46" s="763"/>
      <c r="N46" s="763"/>
      <c r="O46" s="763"/>
    </row>
    <row r="47" spans="1:15" ht="12.5" x14ac:dyDescent="0.25">
      <c r="A47" s="765" t="s">
        <v>348</v>
      </c>
      <c r="B47" s="767">
        <v>8638960.6340918951</v>
      </c>
      <c r="C47" s="767">
        <v>10629736.676659379</v>
      </c>
      <c r="D47" s="767">
        <v>543700.05079273973</v>
      </c>
      <c r="E47" s="767">
        <v>0</v>
      </c>
      <c r="F47" s="767">
        <v>0</v>
      </c>
      <c r="G47" s="767">
        <v>0</v>
      </c>
      <c r="H47" s="767">
        <v>0</v>
      </c>
      <c r="I47" s="767">
        <v>0</v>
      </c>
      <c r="J47" s="767">
        <v>0</v>
      </c>
      <c r="K47" s="767">
        <v>0</v>
      </c>
      <c r="L47" s="767">
        <v>0</v>
      </c>
      <c r="M47" s="767">
        <v>0</v>
      </c>
      <c r="N47" s="767">
        <v>0</v>
      </c>
      <c r="O47" s="767">
        <f>SUM(B47:N47)</f>
        <v>19812397.361544013</v>
      </c>
    </row>
    <row r="48" spans="1:15" ht="12.5" x14ac:dyDescent="0.25">
      <c r="A48" s="765" t="s">
        <v>349</v>
      </c>
      <c r="B48" s="767">
        <v>343185.93939707999</v>
      </c>
      <c r="C48" s="767">
        <v>0</v>
      </c>
      <c r="D48" s="767">
        <v>0</v>
      </c>
      <c r="E48" s="767">
        <v>0</v>
      </c>
      <c r="F48" s="767">
        <v>0</v>
      </c>
      <c r="G48" s="767">
        <v>0</v>
      </c>
      <c r="H48" s="767">
        <v>0</v>
      </c>
      <c r="I48" s="767">
        <v>0</v>
      </c>
      <c r="J48" s="767">
        <v>0</v>
      </c>
      <c r="K48" s="767">
        <v>0</v>
      </c>
      <c r="L48" s="767">
        <v>0</v>
      </c>
      <c r="M48" s="767">
        <v>0</v>
      </c>
      <c r="N48" s="767">
        <v>0</v>
      </c>
      <c r="O48" s="767">
        <f>SUM(B48:N48)</f>
        <v>343185.93939707999</v>
      </c>
    </row>
    <row r="49" spans="1:15" ht="12.5" hidden="1" x14ac:dyDescent="0.25">
      <c r="A49" s="765" t="s">
        <v>350</v>
      </c>
      <c r="B49" s="767">
        <v>-6373419.2952239783</v>
      </c>
      <c r="C49" s="767">
        <v>-8916775.7623632737</v>
      </c>
      <c r="D49" s="767">
        <v>-458631.1838537624</v>
      </c>
      <c r="E49" s="767">
        <v>0</v>
      </c>
      <c r="F49" s="767">
        <v>0</v>
      </c>
      <c r="G49" s="767">
        <v>0</v>
      </c>
      <c r="H49" s="767">
        <v>0</v>
      </c>
      <c r="I49" s="767">
        <v>0</v>
      </c>
      <c r="J49" s="767">
        <v>0</v>
      </c>
      <c r="K49" s="767">
        <v>0</v>
      </c>
      <c r="L49" s="767">
        <v>0</v>
      </c>
      <c r="M49" s="767">
        <v>0</v>
      </c>
      <c r="N49" s="767">
        <v>0</v>
      </c>
      <c r="O49" s="767">
        <f>SUM(B49:N49)</f>
        <v>-15748826.241441013</v>
      </c>
    </row>
    <row r="50" spans="1:15" ht="12.5" x14ac:dyDescent="0.25">
      <c r="A50" s="765" t="s">
        <v>351</v>
      </c>
      <c r="B50" s="767">
        <v>-143855.84824935999</v>
      </c>
      <c r="C50" s="767">
        <v>0</v>
      </c>
      <c r="D50" s="767">
        <v>0</v>
      </c>
      <c r="E50" s="767">
        <v>0</v>
      </c>
      <c r="F50" s="767">
        <v>0</v>
      </c>
      <c r="G50" s="767">
        <v>0</v>
      </c>
      <c r="H50" s="767">
        <v>0</v>
      </c>
      <c r="I50" s="767">
        <v>0</v>
      </c>
      <c r="J50" s="767">
        <v>0</v>
      </c>
      <c r="K50" s="767">
        <v>0</v>
      </c>
      <c r="L50" s="767">
        <v>0</v>
      </c>
      <c r="M50" s="767">
        <v>0</v>
      </c>
      <c r="N50" s="767">
        <v>0</v>
      </c>
      <c r="O50" s="767">
        <f>SUM(B50:N50)</f>
        <v>-143855.84824935999</v>
      </c>
    </row>
    <row r="51" spans="1:15" ht="12.5" x14ac:dyDescent="0.25">
      <c r="A51" s="764" t="s">
        <v>352</v>
      </c>
      <c r="B51" s="767">
        <f t="shared" ref="B51:O51" si="6">SUM(B47:B50)</f>
        <v>2464871.4300156366</v>
      </c>
      <c r="C51" s="767">
        <f t="shared" si="6"/>
        <v>1712960.9142961055</v>
      </c>
      <c r="D51" s="767">
        <f t="shared" si="6"/>
        <v>85068.866938977328</v>
      </c>
      <c r="E51" s="767">
        <f t="shared" si="6"/>
        <v>0</v>
      </c>
      <c r="F51" s="767">
        <f t="shared" si="6"/>
        <v>0</v>
      </c>
      <c r="G51" s="767">
        <f t="shared" si="6"/>
        <v>0</v>
      </c>
      <c r="H51" s="767">
        <f t="shared" si="6"/>
        <v>0</v>
      </c>
      <c r="I51" s="767">
        <f t="shared" si="6"/>
        <v>0</v>
      </c>
      <c r="J51" s="767">
        <f t="shared" si="6"/>
        <v>0</v>
      </c>
      <c r="K51" s="767">
        <f t="shared" si="6"/>
        <v>0</v>
      </c>
      <c r="L51" s="767">
        <f t="shared" si="6"/>
        <v>0</v>
      </c>
      <c r="M51" s="767">
        <f t="shared" si="6"/>
        <v>0</v>
      </c>
      <c r="N51" s="767">
        <f t="shared" si="6"/>
        <v>0</v>
      </c>
      <c r="O51" s="767">
        <f t="shared" si="6"/>
        <v>4262901.2112507215</v>
      </c>
    </row>
    <row r="52" spans="1:15" ht="12.5" x14ac:dyDescent="0.25">
      <c r="A52" s="764" t="s">
        <v>353</v>
      </c>
      <c r="B52" s="763"/>
      <c r="C52" s="763"/>
      <c r="D52" s="763"/>
      <c r="E52" s="763"/>
      <c r="F52" s="763"/>
      <c r="G52" s="763"/>
      <c r="H52" s="763"/>
      <c r="I52" s="763"/>
      <c r="J52" s="763"/>
      <c r="K52" s="763"/>
      <c r="L52" s="763"/>
      <c r="M52" s="763"/>
      <c r="N52" s="763"/>
      <c r="O52" s="763"/>
    </row>
    <row r="53" spans="1:15" ht="12.5" x14ac:dyDescent="0.25">
      <c r="A53" s="765" t="s">
        <v>354</v>
      </c>
      <c r="B53" s="767">
        <v>738747.95674997196</v>
      </c>
      <c r="C53" s="767">
        <v>25879.750064906413</v>
      </c>
      <c r="D53" s="767">
        <v>0</v>
      </c>
      <c r="E53" s="767">
        <v>0</v>
      </c>
      <c r="F53" s="767">
        <v>0</v>
      </c>
      <c r="G53" s="767">
        <v>0</v>
      </c>
      <c r="H53" s="767">
        <v>0</v>
      </c>
      <c r="I53" s="767">
        <v>0</v>
      </c>
      <c r="J53" s="767">
        <v>0</v>
      </c>
      <c r="K53" s="767">
        <v>0</v>
      </c>
      <c r="L53" s="767">
        <v>0</v>
      </c>
      <c r="M53" s="767">
        <v>0</v>
      </c>
      <c r="N53" s="767">
        <v>0</v>
      </c>
      <c r="O53" s="767">
        <f t="shared" ref="O53:O85" si="7">SUM(B53:N53)</f>
        <v>764627.70681487839</v>
      </c>
    </row>
    <row r="54" spans="1:15" ht="12.5" x14ac:dyDescent="0.25">
      <c r="A54" s="765" t="s">
        <v>220</v>
      </c>
      <c r="B54" s="767">
        <v>-0.23214680579999999</v>
      </c>
      <c r="C54" s="767">
        <v>92644.680232352854</v>
      </c>
      <c r="D54" s="767">
        <v>0</v>
      </c>
      <c r="E54" s="767">
        <v>0</v>
      </c>
      <c r="F54" s="767">
        <v>0</v>
      </c>
      <c r="G54" s="767">
        <v>0</v>
      </c>
      <c r="H54" s="767">
        <v>0</v>
      </c>
      <c r="I54" s="767">
        <v>0</v>
      </c>
      <c r="J54" s="767">
        <v>26079.593255767999</v>
      </c>
      <c r="K54" s="767">
        <v>0</v>
      </c>
      <c r="L54" s="767">
        <v>14.901614010399999</v>
      </c>
      <c r="M54" s="767">
        <v>0</v>
      </c>
      <c r="N54" s="767">
        <v>0</v>
      </c>
      <c r="O54" s="767">
        <f t="shared" si="7"/>
        <v>118738.94295532546</v>
      </c>
    </row>
    <row r="55" spans="1:15" ht="12.5" x14ac:dyDescent="0.25">
      <c r="A55" s="765" t="s">
        <v>355</v>
      </c>
      <c r="B55" s="767">
        <v>0.44218439199999998</v>
      </c>
      <c r="C55" s="767">
        <v>0</v>
      </c>
      <c r="D55" s="767">
        <v>0</v>
      </c>
      <c r="E55" s="767">
        <v>0</v>
      </c>
      <c r="F55" s="767">
        <v>0</v>
      </c>
      <c r="G55" s="767">
        <v>0</v>
      </c>
      <c r="H55" s="767">
        <v>0</v>
      </c>
      <c r="I55" s="767">
        <v>0.60081804263000005</v>
      </c>
      <c r="J55" s="767">
        <v>0</v>
      </c>
      <c r="K55" s="767">
        <v>0</v>
      </c>
      <c r="L55" s="767">
        <v>0</v>
      </c>
      <c r="M55" s="767">
        <v>0</v>
      </c>
      <c r="N55" s="767">
        <v>0</v>
      </c>
      <c r="O55" s="767">
        <f t="shared" si="7"/>
        <v>1.04300243463</v>
      </c>
    </row>
    <row r="56" spans="1:15" ht="12.5" x14ac:dyDescent="0.25">
      <c r="A56" s="765" t="s">
        <v>356</v>
      </c>
      <c r="B56" s="767">
        <v>554439.64322117798</v>
      </c>
      <c r="C56" s="767">
        <v>-554439.64139053458</v>
      </c>
      <c r="D56" s="767">
        <v>0</v>
      </c>
      <c r="E56" s="767">
        <v>0</v>
      </c>
      <c r="F56" s="767">
        <v>0</v>
      </c>
      <c r="G56" s="767">
        <v>0</v>
      </c>
      <c r="H56" s="767">
        <v>0</v>
      </c>
      <c r="I56" s="767">
        <v>0</v>
      </c>
      <c r="J56" s="767">
        <v>0</v>
      </c>
      <c r="K56" s="767">
        <v>0</v>
      </c>
      <c r="L56" s="767">
        <v>0</v>
      </c>
      <c r="M56" s="767">
        <v>0</v>
      </c>
      <c r="N56" s="767">
        <v>0</v>
      </c>
      <c r="O56" s="767">
        <f t="shared" si="7"/>
        <v>1.8306433921679854E-3</v>
      </c>
    </row>
    <row r="57" spans="1:15" ht="12.5" x14ac:dyDescent="0.25">
      <c r="A57" s="765" t="s">
        <v>357</v>
      </c>
      <c r="B57" s="767">
        <v>0</v>
      </c>
      <c r="C57" s="767">
        <v>60626.440152051109</v>
      </c>
      <c r="D57" s="767">
        <v>0</v>
      </c>
      <c r="E57" s="767">
        <v>0</v>
      </c>
      <c r="F57" s="767">
        <v>0</v>
      </c>
      <c r="G57" s="767">
        <v>0</v>
      </c>
      <c r="H57" s="767">
        <v>0</v>
      </c>
      <c r="I57" s="767">
        <v>0</v>
      </c>
      <c r="J57" s="767">
        <v>0</v>
      </c>
      <c r="K57" s="767">
        <v>39706.778390541927</v>
      </c>
      <c r="L57" s="767">
        <v>2.8963077676000002</v>
      </c>
      <c r="M57" s="767">
        <v>0</v>
      </c>
      <c r="N57" s="767">
        <v>0</v>
      </c>
      <c r="O57" s="767">
        <f t="shared" si="7"/>
        <v>100336.11485036064</v>
      </c>
    </row>
    <row r="58" spans="1:15" ht="12.5" x14ac:dyDescent="0.25">
      <c r="A58" s="765" t="s">
        <v>358</v>
      </c>
      <c r="B58" s="767">
        <v>0</v>
      </c>
      <c r="C58" s="767">
        <v>7220.0000181077603</v>
      </c>
      <c r="D58" s="767">
        <v>7.5472032026560002E-3</v>
      </c>
      <c r="E58" s="767">
        <v>0</v>
      </c>
      <c r="F58" s="767">
        <v>0</v>
      </c>
      <c r="G58" s="767">
        <v>0</v>
      </c>
      <c r="H58" s="767">
        <v>0.110546098</v>
      </c>
      <c r="I58" s="767">
        <v>0</v>
      </c>
      <c r="J58" s="767">
        <v>0</v>
      </c>
      <c r="K58" s="767">
        <v>0</v>
      </c>
      <c r="L58" s="767">
        <v>0</v>
      </c>
      <c r="M58" s="767">
        <v>0</v>
      </c>
      <c r="N58" s="767">
        <v>0</v>
      </c>
      <c r="O58" s="767">
        <f t="shared" si="7"/>
        <v>7220.1181114089632</v>
      </c>
    </row>
    <row r="59" spans="1:15" ht="12.5" x14ac:dyDescent="0.25">
      <c r="A59" s="765" t="s">
        <v>359</v>
      </c>
      <c r="B59" s="767">
        <v>1105.4609800000001</v>
      </c>
      <c r="C59" s="767">
        <v>0</v>
      </c>
      <c r="D59" s="767">
        <v>561.86663682813128</v>
      </c>
      <c r="E59" s="767">
        <v>0</v>
      </c>
      <c r="F59" s="767">
        <v>1299.414108941</v>
      </c>
      <c r="G59" s="767">
        <v>0</v>
      </c>
      <c r="H59" s="767">
        <v>0</v>
      </c>
      <c r="I59" s="767">
        <v>18713.75876161463</v>
      </c>
      <c r="J59" s="767">
        <v>0</v>
      </c>
      <c r="K59" s="767">
        <v>0</v>
      </c>
      <c r="L59" s="767">
        <v>0</v>
      </c>
      <c r="M59" s="767">
        <v>0</v>
      </c>
      <c r="N59" s="767">
        <v>0</v>
      </c>
      <c r="O59" s="767">
        <f t="shared" si="7"/>
        <v>21680.500487383761</v>
      </c>
    </row>
    <row r="60" spans="1:15" ht="12.5" x14ac:dyDescent="0.25">
      <c r="A60" s="765" t="s">
        <v>360</v>
      </c>
      <c r="B60" s="767">
        <v>166131.56132755781</v>
      </c>
      <c r="C60" s="767">
        <v>0</v>
      </c>
      <c r="D60" s="767">
        <v>0</v>
      </c>
      <c r="E60" s="767">
        <v>0</v>
      </c>
      <c r="F60" s="767">
        <v>0</v>
      </c>
      <c r="G60" s="767">
        <v>0</v>
      </c>
      <c r="H60" s="767">
        <v>0</v>
      </c>
      <c r="I60" s="767">
        <v>0</v>
      </c>
      <c r="J60" s="767">
        <v>0</v>
      </c>
      <c r="K60" s="767">
        <v>0</v>
      </c>
      <c r="L60" s="767">
        <v>0</v>
      </c>
      <c r="M60" s="767">
        <v>0</v>
      </c>
      <c r="N60" s="767">
        <v>0</v>
      </c>
      <c r="O60" s="767">
        <f t="shared" si="7"/>
        <v>166131.56132755781</v>
      </c>
    </row>
    <row r="61" spans="1:15" ht="12.5" x14ac:dyDescent="0.25">
      <c r="A61" s="765" t="s">
        <v>774</v>
      </c>
      <c r="B61" s="767">
        <v>8704.2118281534003</v>
      </c>
      <c r="C61" s="767">
        <v>0</v>
      </c>
      <c r="D61" s="767">
        <v>0</v>
      </c>
      <c r="E61" s="767">
        <v>0</v>
      </c>
      <c r="F61" s="767">
        <v>0</v>
      </c>
      <c r="G61" s="767">
        <v>0</v>
      </c>
      <c r="H61" s="767">
        <v>0</v>
      </c>
      <c r="I61" s="767">
        <v>0</v>
      </c>
      <c r="J61" s="767">
        <v>0</v>
      </c>
      <c r="K61" s="767">
        <v>0</v>
      </c>
      <c r="L61" s="767">
        <v>0</v>
      </c>
      <c r="M61" s="767">
        <v>0</v>
      </c>
      <c r="N61" s="767">
        <v>0</v>
      </c>
      <c r="O61" s="767">
        <f t="shared" si="7"/>
        <v>8704.2118281534003</v>
      </c>
    </row>
    <row r="62" spans="1:15" ht="12.5" x14ac:dyDescent="0.25">
      <c r="A62" s="765" t="s">
        <v>361</v>
      </c>
      <c r="B62" s="767">
        <v>397866.21811038442</v>
      </c>
      <c r="C62" s="767">
        <v>0</v>
      </c>
      <c r="D62" s="767">
        <v>0</v>
      </c>
      <c r="E62" s="767">
        <v>0</v>
      </c>
      <c r="F62" s="767">
        <v>0</v>
      </c>
      <c r="G62" s="767">
        <v>0</v>
      </c>
      <c r="H62" s="767">
        <v>0</v>
      </c>
      <c r="I62" s="767">
        <v>0</v>
      </c>
      <c r="J62" s="767">
        <v>0</v>
      </c>
      <c r="K62" s="767">
        <v>0</v>
      </c>
      <c r="L62" s="767">
        <v>0</v>
      </c>
      <c r="M62" s="767">
        <v>0</v>
      </c>
      <c r="N62" s="767">
        <v>0</v>
      </c>
      <c r="O62" s="767">
        <f t="shared" si="7"/>
        <v>397866.21811038442</v>
      </c>
    </row>
    <row r="63" spans="1:15" ht="12.5" x14ac:dyDescent="0.25">
      <c r="A63" s="765" t="s">
        <v>362</v>
      </c>
      <c r="B63" s="767">
        <v>299032.26915589819</v>
      </c>
      <c r="C63" s="767">
        <v>0</v>
      </c>
      <c r="D63" s="767">
        <v>0</v>
      </c>
      <c r="E63" s="767">
        <v>0</v>
      </c>
      <c r="F63" s="767">
        <v>0</v>
      </c>
      <c r="G63" s="767">
        <v>0</v>
      </c>
      <c r="H63" s="767">
        <v>0</v>
      </c>
      <c r="I63" s="767">
        <v>0</v>
      </c>
      <c r="J63" s="767">
        <v>0</v>
      </c>
      <c r="K63" s="767">
        <v>0</v>
      </c>
      <c r="L63" s="767">
        <v>0</v>
      </c>
      <c r="M63" s="767">
        <v>0</v>
      </c>
      <c r="N63" s="767">
        <v>0</v>
      </c>
      <c r="O63" s="767">
        <f t="shared" si="7"/>
        <v>299032.26915589819</v>
      </c>
    </row>
    <row r="64" spans="1:15" ht="12.5" x14ac:dyDescent="0.25">
      <c r="A64" s="765" t="s">
        <v>4259</v>
      </c>
      <c r="B64" s="767">
        <v>1920.8821626773999</v>
      </c>
      <c r="C64" s="767">
        <v>0</v>
      </c>
      <c r="D64" s="767">
        <v>0</v>
      </c>
      <c r="E64" s="767">
        <v>0</v>
      </c>
      <c r="F64" s="767">
        <v>0</v>
      </c>
      <c r="G64" s="767">
        <v>0</v>
      </c>
      <c r="H64" s="767">
        <v>0</v>
      </c>
      <c r="I64" s="767">
        <v>0</v>
      </c>
      <c r="J64" s="767">
        <v>0</v>
      </c>
      <c r="K64" s="767">
        <v>0</v>
      </c>
      <c r="L64" s="767">
        <v>0</v>
      </c>
      <c r="M64" s="767">
        <v>0</v>
      </c>
      <c r="N64" s="767">
        <v>0</v>
      </c>
      <c r="O64" s="767">
        <f t="shared" si="7"/>
        <v>1920.8821626773999</v>
      </c>
    </row>
    <row r="65" spans="1:15" ht="12.5" x14ac:dyDescent="0.25">
      <c r="A65" s="765" t="s">
        <v>363</v>
      </c>
      <c r="B65" s="767">
        <v>442096.40836060181</v>
      </c>
      <c r="C65" s="767">
        <v>0</v>
      </c>
      <c r="D65" s="767">
        <v>0</v>
      </c>
      <c r="E65" s="767">
        <v>0</v>
      </c>
      <c r="F65" s="767">
        <v>0</v>
      </c>
      <c r="G65" s="767">
        <v>0</v>
      </c>
      <c r="H65" s="767">
        <v>0</v>
      </c>
      <c r="I65" s="767">
        <v>0</v>
      </c>
      <c r="J65" s="767">
        <v>0</v>
      </c>
      <c r="K65" s="767">
        <v>0</v>
      </c>
      <c r="L65" s="767">
        <v>0</v>
      </c>
      <c r="M65" s="767">
        <v>0</v>
      </c>
      <c r="N65" s="767">
        <v>0</v>
      </c>
      <c r="O65" s="767">
        <f t="shared" si="7"/>
        <v>442096.40836060181</v>
      </c>
    </row>
    <row r="66" spans="1:15" ht="12.5" x14ac:dyDescent="0.25">
      <c r="A66" s="765" t="s">
        <v>4363</v>
      </c>
      <c r="B66" s="767">
        <v>0</v>
      </c>
      <c r="C66" s="767">
        <v>0</v>
      </c>
      <c r="D66" s="767">
        <v>0</v>
      </c>
      <c r="E66" s="767">
        <v>0</v>
      </c>
      <c r="F66" s="767">
        <v>0</v>
      </c>
      <c r="G66" s="767">
        <v>0</v>
      </c>
      <c r="H66" s="767">
        <v>0</v>
      </c>
      <c r="I66" s="767">
        <v>0</v>
      </c>
      <c r="J66" s="767">
        <v>21175.315109486201</v>
      </c>
      <c r="K66" s="767">
        <v>143398.32444874317</v>
      </c>
      <c r="L66" s="767">
        <v>7687.7072932139999</v>
      </c>
      <c r="M66" s="767">
        <v>0</v>
      </c>
      <c r="N66" s="767">
        <v>0</v>
      </c>
      <c r="O66" s="767">
        <f t="shared" si="7"/>
        <v>172261.34685144335</v>
      </c>
    </row>
    <row r="67" spans="1:15" ht="12.5" x14ac:dyDescent="0.25">
      <c r="A67" s="765" t="s">
        <v>364</v>
      </c>
      <c r="B67" s="767">
        <v>0</v>
      </c>
      <c r="C67" s="767">
        <v>0</v>
      </c>
      <c r="D67" s="767">
        <v>0</v>
      </c>
      <c r="E67" s="767">
        <v>0</v>
      </c>
      <c r="F67" s="767">
        <v>0</v>
      </c>
      <c r="G67" s="767">
        <v>0</v>
      </c>
      <c r="H67" s="767">
        <v>0</v>
      </c>
      <c r="I67" s="767">
        <v>83526.967739443629</v>
      </c>
      <c r="J67" s="767">
        <v>0</v>
      </c>
      <c r="K67" s="767">
        <v>0</v>
      </c>
      <c r="L67" s="767">
        <v>0</v>
      </c>
      <c r="M67" s="767">
        <v>0</v>
      </c>
      <c r="N67" s="767">
        <v>0</v>
      </c>
      <c r="O67" s="767">
        <f t="shared" si="7"/>
        <v>83526.967739443629</v>
      </c>
    </row>
    <row r="68" spans="1:15" ht="12.5" x14ac:dyDescent="0.25">
      <c r="A68" s="765" t="s">
        <v>365</v>
      </c>
      <c r="B68" s="767">
        <v>0</v>
      </c>
      <c r="C68" s="767">
        <v>0</v>
      </c>
      <c r="D68" s="767">
        <v>0</v>
      </c>
      <c r="E68" s="767">
        <v>0</v>
      </c>
      <c r="F68" s="767">
        <v>0</v>
      </c>
      <c r="G68" s="767">
        <v>14965.620840540631</v>
      </c>
      <c r="H68" s="767">
        <v>0</v>
      </c>
      <c r="I68" s="767">
        <v>0</v>
      </c>
      <c r="J68" s="767">
        <v>0</v>
      </c>
      <c r="K68" s="767">
        <v>0</v>
      </c>
      <c r="L68" s="767">
        <v>0</v>
      </c>
      <c r="M68" s="767">
        <v>0</v>
      </c>
      <c r="N68" s="767">
        <v>0</v>
      </c>
      <c r="O68" s="767">
        <f t="shared" si="7"/>
        <v>14965.620840540631</v>
      </c>
    </row>
    <row r="69" spans="1:15" ht="12.5" x14ac:dyDescent="0.25">
      <c r="A69" s="765" t="s">
        <v>366</v>
      </c>
      <c r="B69" s="767">
        <v>0</v>
      </c>
      <c r="C69" s="767">
        <v>0</v>
      </c>
      <c r="D69" s="767">
        <v>0</v>
      </c>
      <c r="E69" s="767">
        <v>0</v>
      </c>
      <c r="F69" s="767">
        <v>178783.57329826761</v>
      </c>
      <c r="G69" s="767">
        <v>0</v>
      </c>
      <c r="H69" s="767">
        <v>0</v>
      </c>
      <c r="I69" s="767">
        <v>0</v>
      </c>
      <c r="J69" s="767">
        <v>0</v>
      </c>
      <c r="K69" s="767">
        <v>0</v>
      </c>
      <c r="L69" s="767">
        <v>0</v>
      </c>
      <c r="M69" s="767">
        <v>0</v>
      </c>
      <c r="N69" s="767">
        <v>0</v>
      </c>
      <c r="O69" s="767">
        <f t="shared" si="7"/>
        <v>178783.57329826761</v>
      </c>
    </row>
    <row r="70" spans="1:15" ht="12.5" x14ac:dyDescent="0.25">
      <c r="A70" s="765" t="s">
        <v>367</v>
      </c>
      <c r="B70" s="767">
        <v>0</v>
      </c>
      <c r="C70" s="767">
        <v>0</v>
      </c>
      <c r="D70" s="767">
        <v>0</v>
      </c>
      <c r="E70" s="767">
        <v>0</v>
      </c>
      <c r="F70" s="767">
        <v>0</v>
      </c>
      <c r="G70" s="767">
        <v>0</v>
      </c>
      <c r="H70" s="767">
        <v>0</v>
      </c>
      <c r="I70" s="767">
        <v>0</v>
      </c>
      <c r="J70" s="767">
        <v>1088.7353553726</v>
      </c>
      <c r="K70" s="767">
        <v>0</v>
      </c>
      <c r="L70" s="767">
        <v>0</v>
      </c>
      <c r="M70" s="767">
        <v>0</v>
      </c>
      <c r="N70" s="767">
        <v>0</v>
      </c>
      <c r="O70" s="767">
        <f t="shared" si="7"/>
        <v>1088.7353553726</v>
      </c>
    </row>
    <row r="71" spans="1:15" ht="12.5" x14ac:dyDescent="0.25">
      <c r="A71" s="765" t="s">
        <v>4292</v>
      </c>
      <c r="B71" s="767">
        <v>7268.6380903057998</v>
      </c>
      <c r="C71" s="767">
        <v>0</v>
      </c>
      <c r="D71" s="767">
        <v>0</v>
      </c>
      <c r="E71" s="767">
        <v>0</v>
      </c>
      <c r="F71" s="767">
        <v>0</v>
      </c>
      <c r="G71" s="767">
        <v>0</v>
      </c>
      <c r="H71" s="767">
        <v>0</v>
      </c>
      <c r="I71" s="767">
        <v>0</v>
      </c>
      <c r="J71" s="767">
        <v>0</v>
      </c>
      <c r="K71" s="767">
        <v>0</v>
      </c>
      <c r="L71" s="767">
        <v>0</v>
      </c>
      <c r="M71" s="767">
        <v>0</v>
      </c>
      <c r="N71" s="767">
        <v>0</v>
      </c>
      <c r="O71" s="767">
        <f t="shared" si="7"/>
        <v>7268.6380903057998</v>
      </c>
    </row>
    <row r="72" spans="1:15" ht="12.5" x14ac:dyDescent="0.25">
      <c r="A72" s="765" t="s">
        <v>368</v>
      </c>
      <c r="B72" s="767">
        <v>0</v>
      </c>
      <c r="C72" s="767">
        <v>0</v>
      </c>
      <c r="D72" s="767">
        <v>-580.25917103300389</v>
      </c>
      <c r="E72" s="767">
        <v>0</v>
      </c>
      <c r="F72" s="767">
        <v>0</v>
      </c>
      <c r="G72" s="767">
        <v>0</v>
      </c>
      <c r="H72" s="767">
        <v>0</v>
      </c>
      <c r="I72" s="767">
        <v>0</v>
      </c>
      <c r="J72" s="767">
        <v>0</v>
      </c>
      <c r="K72" s="767">
        <v>0</v>
      </c>
      <c r="L72" s="767">
        <v>0</v>
      </c>
      <c r="M72" s="767">
        <v>0</v>
      </c>
      <c r="N72" s="767">
        <v>0</v>
      </c>
      <c r="O72" s="767">
        <f t="shared" si="7"/>
        <v>-580.25917103300389</v>
      </c>
    </row>
    <row r="73" spans="1:15" ht="12.5" x14ac:dyDescent="0.25">
      <c r="A73" s="765" t="s">
        <v>369</v>
      </c>
      <c r="B73" s="767">
        <v>0</v>
      </c>
      <c r="C73" s="767">
        <v>0</v>
      </c>
      <c r="D73" s="767">
        <v>0</v>
      </c>
      <c r="E73" s="767">
        <v>0</v>
      </c>
      <c r="F73" s="767">
        <v>0</v>
      </c>
      <c r="G73" s="767">
        <v>0</v>
      </c>
      <c r="H73" s="767">
        <v>0</v>
      </c>
      <c r="I73" s="767">
        <v>0</v>
      </c>
      <c r="J73" s="767">
        <v>0</v>
      </c>
      <c r="K73" s="767">
        <v>18573.587600197414</v>
      </c>
      <c r="L73" s="767">
        <v>0</v>
      </c>
      <c r="M73" s="767">
        <v>0</v>
      </c>
      <c r="N73" s="767">
        <v>0</v>
      </c>
      <c r="O73" s="767">
        <f t="shared" si="7"/>
        <v>18573.587600197414</v>
      </c>
    </row>
    <row r="74" spans="1:15" ht="12.5" x14ac:dyDescent="0.25">
      <c r="A74" s="765" t="s">
        <v>370</v>
      </c>
      <c r="B74" s="767">
        <v>0</v>
      </c>
      <c r="C74" s="767">
        <v>0</v>
      </c>
      <c r="D74" s="767">
        <v>0</v>
      </c>
      <c r="E74" s="767">
        <v>10304.2560506054</v>
      </c>
      <c r="F74" s="767">
        <v>0</v>
      </c>
      <c r="G74" s="767">
        <v>0</v>
      </c>
      <c r="H74" s="767">
        <v>0</v>
      </c>
      <c r="I74" s="767">
        <v>0</v>
      </c>
      <c r="J74" s="767">
        <v>0</v>
      </c>
      <c r="K74" s="767">
        <v>0</v>
      </c>
      <c r="L74" s="767">
        <v>0</v>
      </c>
      <c r="M74" s="767">
        <v>0</v>
      </c>
      <c r="N74" s="767">
        <v>0</v>
      </c>
      <c r="O74" s="767">
        <f t="shared" si="7"/>
        <v>10304.2560506054</v>
      </c>
    </row>
    <row r="75" spans="1:15" ht="12.5" x14ac:dyDescent="0.25">
      <c r="A75" s="765" t="s">
        <v>371</v>
      </c>
      <c r="B75" s="767">
        <v>0</v>
      </c>
      <c r="C75" s="767">
        <v>0</v>
      </c>
      <c r="D75" s="767">
        <v>0</v>
      </c>
      <c r="E75" s="767">
        <v>0</v>
      </c>
      <c r="F75" s="767">
        <v>0</v>
      </c>
      <c r="G75" s="767">
        <v>0</v>
      </c>
      <c r="H75" s="767">
        <v>8481.7488605382005</v>
      </c>
      <c r="I75" s="767">
        <v>0</v>
      </c>
      <c r="J75" s="767">
        <v>0</v>
      </c>
      <c r="K75" s="767">
        <v>0</v>
      </c>
      <c r="L75" s="767">
        <v>0</v>
      </c>
      <c r="M75" s="767">
        <v>0</v>
      </c>
      <c r="N75" s="767">
        <v>0</v>
      </c>
      <c r="O75" s="767">
        <f t="shared" si="7"/>
        <v>8481.7488605382005</v>
      </c>
    </row>
    <row r="76" spans="1:15" ht="12.5" x14ac:dyDescent="0.25">
      <c r="A76" s="765" t="s">
        <v>372</v>
      </c>
      <c r="B76" s="767">
        <v>0</v>
      </c>
      <c r="C76" s="767">
        <v>0</v>
      </c>
      <c r="D76" s="767">
        <v>-290.86921143036221</v>
      </c>
      <c r="E76" s="767">
        <v>0</v>
      </c>
      <c r="F76" s="767">
        <v>0</v>
      </c>
      <c r="G76" s="767">
        <v>0</v>
      </c>
      <c r="H76" s="767">
        <v>0</v>
      </c>
      <c r="I76" s="767">
        <v>0</v>
      </c>
      <c r="J76" s="767">
        <v>0</v>
      </c>
      <c r="K76" s="767">
        <v>0</v>
      </c>
      <c r="L76" s="767">
        <v>0</v>
      </c>
      <c r="M76" s="767">
        <v>0</v>
      </c>
      <c r="N76" s="767">
        <v>0</v>
      </c>
      <c r="O76" s="767">
        <f t="shared" si="7"/>
        <v>-290.86921143036221</v>
      </c>
    </row>
    <row r="77" spans="1:15" ht="12.5" x14ac:dyDescent="0.25">
      <c r="A77" s="765" t="s">
        <v>373</v>
      </c>
      <c r="B77" s="767">
        <v>0</v>
      </c>
      <c r="C77" s="767">
        <v>-576.45000144573658</v>
      </c>
      <c r="D77" s="767">
        <v>-7.5472032026560002E-3</v>
      </c>
      <c r="E77" s="767">
        <v>0</v>
      </c>
      <c r="F77" s="767">
        <v>0</v>
      </c>
      <c r="G77" s="767">
        <v>0</v>
      </c>
      <c r="H77" s="767">
        <v>0</v>
      </c>
      <c r="I77" s="767">
        <v>0</v>
      </c>
      <c r="J77" s="767">
        <v>0</v>
      </c>
      <c r="K77" s="767">
        <v>0</v>
      </c>
      <c r="L77" s="767">
        <v>0</v>
      </c>
      <c r="M77" s="767">
        <v>0</v>
      </c>
      <c r="N77" s="767">
        <v>0</v>
      </c>
      <c r="O77" s="767">
        <f t="shared" si="7"/>
        <v>-576.45754864893922</v>
      </c>
    </row>
    <row r="78" spans="1:15" ht="12.5" x14ac:dyDescent="0.25">
      <c r="A78" s="765" t="s">
        <v>374</v>
      </c>
      <c r="B78" s="767">
        <v>32132.080558146401</v>
      </c>
      <c r="C78" s="767">
        <v>1230511.4430861226</v>
      </c>
      <c r="D78" s="767">
        <v>1908.808445202945</v>
      </c>
      <c r="E78" s="767">
        <v>145919.46753377499</v>
      </c>
      <c r="F78" s="767">
        <v>2178.3550795291999</v>
      </c>
      <c r="G78" s="767">
        <v>76547.704338786862</v>
      </c>
      <c r="H78" s="767">
        <v>122019.02528944179</v>
      </c>
      <c r="I78" s="767">
        <v>28372.35628617003</v>
      </c>
      <c r="J78" s="767">
        <v>26335.297435051802</v>
      </c>
      <c r="K78" s="767">
        <v>120690.03072387123</v>
      </c>
      <c r="L78" s="767">
        <v>6.4116736840000002</v>
      </c>
      <c r="M78" s="767">
        <v>0</v>
      </c>
      <c r="N78" s="767">
        <v>0</v>
      </c>
      <c r="O78" s="767">
        <f t="shared" si="7"/>
        <v>1786620.9804497813</v>
      </c>
    </row>
    <row r="79" spans="1:15" ht="12.5" x14ac:dyDescent="0.25">
      <c r="A79" s="765" t="s">
        <v>375</v>
      </c>
      <c r="B79" s="767">
        <v>2064476.8899886741</v>
      </c>
      <c r="C79" s="767">
        <v>11793.340029577697</v>
      </c>
      <c r="D79" s="767">
        <v>0</v>
      </c>
      <c r="E79" s="767">
        <v>0</v>
      </c>
      <c r="F79" s="767">
        <v>0</v>
      </c>
      <c r="G79" s="767">
        <v>0</v>
      </c>
      <c r="H79" s="767">
        <v>0</v>
      </c>
      <c r="I79" s="767">
        <v>2046.797693393373</v>
      </c>
      <c r="J79" s="767">
        <v>0</v>
      </c>
      <c r="K79" s="767">
        <v>0</v>
      </c>
      <c r="L79" s="767">
        <v>0</v>
      </c>
      <c r="M79" s="767">
        <v>0</v>
      </c>
      <c r="N79" s="767">
        <v>0</v>
      </c>
      <c r="O79" s="767">
        <f t="shared" si="7"/>
        <v>2078317.0277116452</v>
      </c>
    </row>
    <row r="80" spans="1:15" ht="12.5" x14ac:dyDescent="0.25">
      <c r="A80" s="765" t="s">
        <v>3859</v>
      </c>
      <c r="B80" s="767">
        <v>-782088.50516731478</v>
      </c>
      <c r="C80" s="767">
        <v>-62778.490157448454</v>
      </c>
      <c r="D80" s="767">
        <v>0</v>
      </c>
      <c r="E80" s="767">
        <v>0</v>
      </c>
      <c r="F80" s="767">
        <v>0</v>
      </c>
      <c r="G80" s="767">
        <v>0</v>
      </c>
      <c r="H80" s="767">
        <v>-59263.099861212002</v>
      </c>
      <c r="I80" s="767">
        <v>0</v>
      </c>
      <c r="J80" s="767">
        <v>-21240.868945600199</v>
      </c>
      <c r="K80" s="767">
        <v>0</v>
      </c>
      <c r="L80" s="767">
        <v>0</v>
      </c>
      <c r="M80" s="767">
        <v>0</v>
      </c>
      <c r="N80" s="767">
        <v>0</v>
      </c>
      <c r="O80" s="767">
        <f t="shared" si="7"/>
        <v>-925370.96413157543</v>
      </c>
    </row>
    <row r="81" spans="1:15" ht="12.5" x14ac:dyDescent="0.25">
      <c r="A81" s="765" t="s">
        <v>376</v>
      </c>
      <c r="B81" s="767">
        <v>343842.47267310199</v>
      </c>
      <c r="C81" s="767">
        <v>0</v>
      </c>
      <c r="D81" s="767">
        <v>0</v>
      </c>
      <c r="E81" s="767">
        <v>0</v>
      </c>
      <c r="F81" s="767">
        <v>3493.2566968000001</v>
      </c>
      <c r="G81" s="767">
        <v>5158.787678204656</v>
      </c>
      <c r="H81" s="767">
        <v>3269.6882682047999</v>
      </c>
      <c r="I81" s="767">
        <v>0</v>
      </c>
      <c r="J81" s="767">
        <v>0</v>
      </c>
      <c r="K81" s="767">
        <v>0</v>
      </c>
      <c r="L81" s="767">
        <v>0</v>
      </c>
      <c r="M81" s="767">
        <v>0</v>
      </c>
      <c r="N81" s="767">
        <v>0</v>
      </c>
      <c r="O81" s="767">
        <f t="shared" si="7"/>
        <v>355764.20531631145</v>
      </c>
    </row>
    <row r="82" spans="1:15" ht="12.5" x14ac:dyDescent="0.25">
      <c r="A82" s="765" t="s">
        <v>377</v>
      </c>
      <c r="B82" s="767">
        <v>5963.9509324902001</v>
      </c>
      <c r="C82" s="767">
        <v>198204.00049709564</v>
      </c>
      <c r="D82" s="767">
        <v>0</v>
      </c>
      <c r="E82" s="767">
        <v>0</v>
      </c>
      <c r="F82" s="767">
        <v>0</v>
      </c>
      <c r="G82" s="767">
        <v>0</v>
      </c>
      <c r="H82" s="767">
        <v>0</v>
      </c>
      <c r="I82" s="767">
        <v>0</v>
      </c>
      <c r="J82" s="767">
        <v>0</v>
      </c>
      <c r="K82" s="767">
        <v>0</v>
      </c>
      <c r="L82" s="767">
        <v>0</v>
      </c>
      <c r="M82" s="767">
        <v>0</v>
      </c>
      <c r="N82" s="767">
        <v>0</v>
      </c>
      <c r="O82" s="767">
        <f t="shared" si="7"/>
        <v>204167.95142958584</v>
      </c>
    </row>
    <row r="83" spans="1:15" ht="12.5" hidden="1" x14ac:dyDescent="0.25">
      <c r="A83" s="765" t="s">
        <v>378</v>
      </c>
      <c r="B83" s="767">
        <v>0</v>
      </c>
      <c r="C83" s="767">
        <v>0</v>
      </c>
      <c r="D83" s="767">
        <v>-3.7736016013279999E-2</v>
      </c>
      <c r="E83" s="767">
        <v>0</v>
      </c>
      <c r="F83" s="767">
        <v>0</v>
      </c>
      <c r="G83" s="767">
        <v>0</v>
      </c>
      <c r="H83" s="767">
        <v>0</v>
      </c>
      <c r="I83" s="767">
        <v>0</v>
      </c>
      <c r="J83" s="767">
        <v>0</v>
      </c>
      <c r="K83" s="767">
        <v>0</v>
      </c>
      <c r="L83" s="767">
        <v>0</v>
      </c>
      <c r="M83" s="767">
        <v>0</v>
      </c>
      <c r="N83" s="767">
        <v>0</v>
      </c>
      <c r="O83" s="767">
        <f t="shared" si="7"/>
        <v>-3.7736016013279999E-2</v>
      </c>
    </row>
    <row r="84" spans="1:15" ht="12.5" x14ac:dyDescent="0.25">
      <c r="A84" s="765" t="s">
        <v>379</v>
      </c>
      <c r="B84" s="767">
        <v>0</v>
      </c>
      <c r="C84" s="767">
        <v>84652.900212309469</v>
      </c>
      <c r="D84" s="767">
        <v>0</v>
      </c>
      <c r="E84" s="767">
        <v>0</v>
      </c>
      <c r="F84" s="767">
        <v>0</v>
      </c>
      <c r="G84" s="767">
        <v>0</v>
      </c>
      <c r="H84" s="767">
        <v>0</v>
      </c>
      <c r="I84" s="767">
        <v>0</v>
      </c>
      <c r="J84" s="767">
        <v>0</v>
      </c>
      <c r="K84" s="767">
        <v>0</v>
      </c>
      <c r="L84" s="767">
        <v>0</v>
      </c>
      <c r="M84" s="767">
        <v>0</v>
      </c>
      <c r="N84" s="767">
        <v>0</v>
      </c>
      <c r="O84" s="767">
        <f t="shared" si="7"/>
        <v>84652.900212309469</v>
      </c>
    </row>
    <row r="85" spans="1:15" ht="12.5" x14ac:dyDescent="0.25">
      <c r="A85" s="765" t="s">
        <v>3867</v>
      </c>
      <c r="B85" s="767">
        <v>20795.931955759999</v>
      </c>
      <c r="C85" s="767">
        <v>0</v>
      </c>
      <c r="D85" s="767">
        <v>0</v>
      </c>
      <c r="E85" s="767">
        <v>0</v>
      </c>
      <c r="F85" s="767">
        <v>0</v>
      </c>
      <c r="G85" s="767">
        <v>0</v>
      </c>
      <c r="H85" s="767">
        <v>0</v>
      </c>
      <c r="I85" s="767">
        <v>0</v>
      </c>
      <c r="J85" s="767">
        <v>0</v>
      </c>
      <c r="K85" s="767">
        <v>0</v>
      </c>
      <c r="L85" s="767">
        <v>0</v>
      </c>
      <c r="M85" s="767">
        <v>0</v>
      </c>
      <c r="N85" s="767">
        <v>0</v>
      </c>
      <c r="O85" s="767">
        <f t="shared" si="7"/>
        <v>20795.931955759999</v>
      </c>
    </row>
    <row r="86" spans="1:15" ht="12.5" x14ac:dyDescent="0.25">
      <c r="A86" s="764" t="s">
        <v>380</v>
      </c>
      <c r="B86" s="767">
        <f t="shared" ref="B86:O86" si="8">SUM(B53:B85)</f>
        <v>4302436.2809651745</v>
      </c>
      <c r="C86" s="767">
        <f t="shared" si="8"/>
        <v>1093737.9727430949</v>
      </c>
      <c r="D86" s="767">
        <f t="shared" si="8"/>
        <v>1599.508963551697</v>
      </c>
      <c r="E86" s="767">
        <f t="shared" si="8"/>
        <v>156223.72358438041</v>
      </c>
      <c r="F86" s="767">
        <f t="shared" si="8"/>
        <v>185754.59918353782</v>
      </c>
      <c r="G86" s="767">
        <f t="shared" si="8"/>
        <v>96672.112857532149</v>
      </c>
      <c r="H86" s="767">
        <f t="shared" si="8"/>
        <v>74507.473103070792</v>
      </c>
      <c r="I86" s="767">
        <f t="shared" si="8"/>
        <v>132660.48129866429</v>
      </c>
      <c r="J86" s="767">
        <f t="shared" si="8"/>
        <v>53438.072210078404</v>
      </c>
      <c r="K86" s="767">
        <f t="shared" si="8"/>
        <v>322368.72116335377</v>
      </c>
      <c r="L86" s="767">
        <f t="shared" si="8"/>
        <v>7711.9168886759999</v>
      </c>
      <c r="M86" s="767">
        <f t="shared" si="8"/>
        <v>0</v>
      </c>
      <c r="N86" s="767">
        <f t="shared" si="8"/>
        <v>0</v>
      </c>
      <c r="O86" s="767">
        <f t="shared" si="8"/>
        <v>6427110.8629611135</v>
      </c>
    </row>
    <row r="87" spans="1:15" ht="12.5" x14ac:dyDescent="0.25">
      <c r="A87" s="762" t="s">
        <v>381</v>
      </c>
      <c r="B87" s="767">
        <f t="shared" ref="B87:O87" si="9">B31+B34+B45+B51+B86</f>
        <v>141140747.49083704</v>
      </c>
      <c r="C87" s="767">
        <f t="shared" si="9"/>
        <v>50243551.466010824</v>
      </c>
      <c r="D87" s="767">
        <f t="shared" si="9"/>
        <v>4743321.1747085424</v>
      </c>
      <c r="E87" s="767">
        <f t="shared" si="9"/>
        <v>399551.72552120022</v>
      </c>
      <c r="F87" s="767">
        <f t="shared" si="9"/>
        <v>1368918.3983039083</v>
      </c>
      <c r="G87" s="767">
        <f t="shared" si="9"/>
        <v>1553853.3399019283</v>
      </c>
      <c r="H87" s="767">
        <f t="shared" si="9"/>
        <v>241516.06295372138</v>
      </c>
      <c r="I87" s="767">
        <f t="shared" si="9"/>
        <v>1775632.7955174039</v>
      </c>
      <c r="J87" s="767">
        <f t="shared" si="9"/>
        <v>665018.82766830933</v>
      </c>
      <c r="K87" s="767">
        <f t="shared" si="9"/>
        <v>2577429.589693245</v>
      </c>
      <c r="L87" s="767">
        <f t="shared" si="9"/>
        <v>337838.09503257321</v>
      </c>
      <c r="M87" s="767">
        <f t="shared" si="9"/>
        <v>0</v>
      </c>
      <c r="N87" s="767">
        <f t="shared" si="9"/>
        <v>-11925126.494644012</v>
      </c>
      <c r="O87" s="767">
        <f t="shared" si="9"/>
        <v>193122252.47150469</v>
      </c>
    </row>
    <row r="88" spans="1:15" ht="12.5" hidden="1" x14ac:dyDescent="0.25">
      <c r="A88" s="762" t="s">
        <v>382</v>
      </c>
      <c r="B88" s="763">
        <v>5403839.4232366672</v>
      </c>
      <c r="C88" s="763">
        <v>3432578.9486089079</v>
      </c>
      <c r="D88" s="763">
        <v>111471.54224375369</v>
      </c>
      <c r="E88" s="763">
        <v>0</v>
      </c>
      <c r="F88" s="763">
        <v>0</v>
      </c>
      <c r="G88" s="763">
        <v>0</v>
      </c>
      <c r="H88" s="763">
        <v>0</v>
      </c>
      <c r="I88" s="763">
        <v>0</v>
      </c>
      <c r="J88" s="763">
        <v>0</v>
      </c>
      <c r="K88" s="763">
        <v>0</v>
      </c>
      <c r="L88" s="763">
        <v>0</v>
      </c>
      <c r="M88" s="763">
        <v>0</v>
      </c>
      <c r="N88" s="763">
        <v>0</v>
      </c>
      <c r="O88" s="763">
        <v>8947889.9140893295</v>
      </c>
    </row>
    <row r="89" spans="1:15" ht="12.5" x14ac:dyDescent="0.25">
      <c r="A89" s="764" t="s">
        <v>383</v>
      </c>
      <c r="B89" s="767">
        <v>4756760.0495156273</v>
      </c>
      <c r="C89" s="767">
        <v>3432578.9486089079</v>
      </c>
      <c r="D89" s="767">
        <v>111471.54224375369</v>
      </c>
      <c r="E89" s="767">
        <v>0</v>
      </c>
      <c r="F89" s="767">
        <v>0</v>
      </c>
      <c r="G89" s="767">
        <v>0</v>
      </c>
      <c r="H89" s="767">
        <v>0</v>
      </c>
      <c r="I89" s="767">
        <v>0</v>
      </c>
      <c r="J89" s="767">
        <v>0</v>
      </c>
      <c r="K89" s="767">
        <v>0</v>
      </c>
      <c r="L89" s="767">
        <v>0</v>
      </c>
      <c r="M89" s="767">
        <v>0</v>
      </c>
      <c r="N89" s="767">
        <v>0</v>
      </c>
      <c r="O89" s="767">
        <f>SUM(B89:N89)</f>
        <v>8300810.5403682888</v>
      </c>
    </row>
    <row r="90" spans="1:15" ht="12.5" x14ac:dyDescent="0.25">
      <c r="A90" s="764" t="s">
        <v>384</v>
      </c>
      <c r="B90" s="767">
        <v>647079.37372103997</v>
      </c>
      <c r="C90" s="767">
        <v>0</v>
      </c>
      <c r="D90" s="767">
        <v>0</v>
      </c>
      <c r="E90" s="767">
        <v>0</v>
      </c>
      <c r="F90" s="767">
        <v>0</v>
      </c>
      <c r="G90" s="767">
        <v>0</v>
      </c>
      <c r="H90" s="767">
        <v>0</v>
      </c>
      <c r="I90" s="767">
        <v>0</v>
      </c>
      <c r="J90" s="767">
        <v>0</v>
      </c>
      <c r="K90" s="767">
        <v>0</v>
      </c>
      <c r="L90" s="767">
        <v>0</v>
      </c>
      <c r="M90" s="767">
        <v>0</v>
      </c>
      <c r="N90" s="767">
        <v>0</v>
      </c>
      <c r="O90" s="767">
        <f>SUM(B90:N90)</f>
        <v>647079.37372103997</v>
      </c>
    </row>
    <row r="91" spans="1:15" ht="12.5" x14ac:dyDescent="0.25">
      <c r="A91" s="762" t="s">
        <v>385</v>
      </c>
      <c r="B91" s="767">
        <f t="shared" ref="B91:O91" si="10">SUM(B89:B90)</f>
        <v>5403839.4232366672</v>
      </c>
      <c r="C91" s="767">
        <f t="shared" si="10"/>
        <v>3432578.9486089079</v>
      </c>
      <c r="D91" s="767">
        <f t="shared" si="10"/>
        <v>111471.54224375369</v>
      </c>
      <c r="E91" s="767">
        <f t="shared" si="10"/>
        <v>0</v>
      </c>
      <c r="F91" s="767">
        <f t="shared" si="10"/>
        <v>0</v>
      </c>
      <c r="G91" s="767">
        <f t="shared" si="10"/>
        <v>0</v>
      </c>
      <c r="H91" s="767">
        <f t="shared" si="10"/>
        <v>0</v>
      </c>
      <c r="I91" s="767">
        <f t="shared" si="10"/>
        <v>0</v>
      </c>
      <c r="J91" s="767">
        <f t="shared" si="10"/>
        <v>0</v>
      </c>
      <c r="K91" s="767">
        <f t="shared" si="10"/>
        <v>0</v>
      </c>
      <c r="L91" s="767">
        <f t="shared" si="10"/>
        <v>0</v>
      </c>
      <c r="M91" s="767">
        <f t="shared" si="10"/>
        <v>0</v>
      </c>
      <c r="N91" s="767">
        <f t="shared" si="10"/>
        <v>0</v>
      </c>
      <c r="O91" s="767">
        <f t="shared" si="10"/>
        <v>8947889.9140893295</v>
      </c>
    </row>
    <row r="92" spans="1:15" ht="12.5" x14ac:dyDescent="0.25">
      <c r="A92" s="762" t="s">
        <v>386</v>
      </c>
      <c r="B92" s="763">
        <v>2640489.7811083095</v>
      </c>
      <c r="C92" s="763">
        <v>324427.15081366303</v>
      </c>
      <c r="D92" s="763">
        <v>177050.49653778572</v>
      </c>
      <c r="E92" s="763">
        <v>0</v>
      </c>
      <c r="F92" s="763">
        <v>116674.30937950841</v>
      </c>
      <c r="G92" s="763">
        <v>11873.581665419006</v>
      </c>
      <c r="H92" s="763">
        <v>0</v>
      </c>
      <c r="I92" s="763">
        <v>105751.19817689767</v>
      </c>
      <c r="J92" s="763">
        <v>0</v>
      </c>
      <c r="K92" s="763">
        <v>1841.94064136511</v>
      </c>
      <c r="L92" s="763">
        <v>0</v>
      </c>
      <c r="M92" s="763">
        <v>0</v>
      </c>
      <c r="N92" s="763">
        <v>0</v>
      </c>
      <c r="O92" s="763">
        <v>3378108.4583229478</v>
      </c>
    </row>
    <row r="93" spans="1:15" ht="12.5" x14ac:dyDescent="0.25">
      <c r="A93" s="764" t="s">
        <v>387</v>
      </c>
      <c r="B93" s="767">
        <v>0</v>
      </c>
      <c r="C93" s="767">
        <v>92563.020232148061</v>
      </c>
      <c r="D93" s="767">
        <v>74615.832012031489</v>
      </c>
      <c r="E93" s="767">
        <v>0</v>
      </c>
      <c r="F93" s="767">
        <v>45658.191580352002</v>
      </c>
      <c r="G93" s="767">
        <v>33368.596096511785</v>
      </c>
      <c r="H93" s="767">
        <v>0</v>
      </c>
      <c r="I93" s="767">
        <v>0</v>
      </c>
      <c r="J93" s="767">
        <v>0</v>
      </c>
      <c r="K93" s="767">
        <v>2695.5228898025998</v>
      </c>
      <c r="L93" s="767">
        <v>0</v>
      </c>
      <c r="M93" s="767">
        <v>0</v>
      </c>
      <c r="N93" s="767">
        <v>0</v>
      </c>
      <c r="O93" s="767">
        <f t="shared" ref="O93:O113" si="11">SUM(B93:N93)</f>
        <v>248901.16281084594</v>
      </c>
    </row>
    <row r="94" spans="1:15" ht="12.5" x14ac:dyDescent="0.25">
      <c r="A94" s="764" t="s">
        <v>388</v>
      </c>
      <c r="B94" s="767">
        <v>0</v>
      </c>
      <c r="C94" s="767">
        <v>57467.430144128317</v>
      </c>
      <c r="D94" s="767">
        <v>0</v>
      </c>
      <c r="E94" s="767">
        <v>0</v>
      </c>
      <c r="F94" s="767">
        <v>51723.369574780801</v>
      </c>
      <c r="G94" s="767">
        <v>0</v>
      </c>
      <c r="H94" s="767">
        <v>0</v>
      </c>
      <c r="I94" s="767">
        <v>70836.447226076998</v>
      </c>
      <c r="J94" s="767">
        <v>0</v>
      </c>
      <c r="K94" s="767">
        <v>0</v>
      </c>
      <c r="L94" s="767">
        <v>0</v>
      </c>
      <c r="M94" s="767">
        <v>0</v>
      </c>
      <c r="N94" s="767">
        <v>0</v>
      </c>
      <c r="O94" s="767">
        <f t="shared" si="11"/>
        <v>180027.24694498611</v>
      </c>
    </row>
    <row r="95" spans="1:15" ht="12.5" x14ac:dyDescent="0.25">
      <c r="A95" s="764" t="s">
        <v>389</v>
      </c>
      <c r="B95" s="767">
        <v>0</v>
      </c>
      <c r="C95" s="767">
        <v>6539.000016399812</v>
      </c>
      <c r="D95" s="767">
        <v>0</v>
      </c>
      <c r="E95" s="767">
        <v>0</v>
      </c>
      <c r="F95" s="767">
        <v>0</v>
      </c>
      <c r="G95" s="767">
        <v>0</v>
      </c>
      <c r="H95" s="767">
        <v>0</v>
      </c>
      <c r="I95" s="767">
        <v>8842.8399514283392</v>
      </c>
      <c r="J95" s="767">
        <v>0</v>
      </c>
      <c r="K95" s="767">
        <v>0</v>
      </c>
      <c r="L95" s="767">
        <v>0</v>
      </c>
      <c r="M95" s="767">
        <v>0</v>
      </c>
      <c r="N95" s="767">
        <v>0</v>
      </c>
      <c r="O95" s="767">
        <f t="shared" si="11"/>
        <v>15381.839967828151</v>
      </c>
    </row>
    <row r="96" spans="1:15" ht="12.5" x14ac:dyDescent="0.25">
      <c r="A96" s="764" t="s">
        <v>390</v>
      </c>
      <c r="B96" s="767">
        <v>0</v>
      </c>
      <c r="C96" s="767">
        <v>483541.83121272293</v>
      </c>
      <c r="D96" s="767">
        <v>291085.73314304324</v>
      </c>
      <c r="E96" s="767">
        <v>0</v>
      </c>
      <c r="F96" s="767">
        <v>52355.372671656602</v>
      </c>
      <c r="G96" s="767">
        <v>25710.772997491684</v>
      </c>
      <c r="H96" s="767">
        <v>0</v>
      </c>
      <c r="I96" s="767">
        <v>34102.931980290268</v>
      </c>
      <c r="J96" s="767">
        <v>0</v>
      </c>
      <c r="K96" s="767">
        <v>0</v>
      </c>
      <c r="L96" s="767">
        <v>0</v>
      </c>
      <c r="M96" s="767">
        <v>0</v>
      </c>
      <c r="N96" s="767">
        <v>0</v>
      </c>
      <c r="O96" s="767">
        <f t="shared" si="11"/>
        <v>886796.64200520457</v>
      </c>
    </row>
    <row r="97" spans="1:15" ht="12.5" x14ac:dyDescent="0.25">
      <c r="A97" s="764" t="s">
        <v>391</v>
      </c>
      <c r="B97" s="767">
        <v>0</v>
      </c>
      <c r="C97" s="767">
        <v>620907.81155723683</v>
      </c>
      <c r="D97" s="767">
        <v>0</v>
      </c>
      <c r="E97" s="767">
        <v>0</v>
      </c>
      <c r="F97" s="767">
        <v>6517.7979380799998</v>
      </c>
      <c r="G97" s="767">
        <v>0</v>
      </c>
      <c r="H97" s="767">
        <v>0</v>
      </c>
      <c r="I97" s="767">
        <v>79883.130079409457</v>
      </c>
      <c r="J97" s="767">
        <v>0</v>
      </c>
      <c r="K97" s="767">
        <v>0</v>
      </c>
      <c r="L97" s="767">
        <v>0</v>
      </c>
      <c r="M97" s="767">
        <v>0</v>
      </c>
      <c r="N97" s="767">
        <v>0</v>
      </c>
      <c r="O97" s="767">
        <f t="shared" si="11"/>
        <v>707308.73957472632</v>
      </c>
    </row>
    <row r="98" spans="1:15" ht="12.5" x14ac:dyDescent="0.25">
      <c r="A98" s="764" t="s">
        <v>4364</v>
      </c>
      <c r="B98" s="767">
        <v>0</v>
      </c>
      <c r="C98" s="767">
        <v>5098.0000127857838</v>
      </c>
      <c r="D98" s="767">
        <v>0</v>
      </c>
      <c r="E98" s="767">
        <v>0</v>
      </c>
      <c r="F98" s="767">
        <v>0</v>
      </c>
      <c r="G98" s="767">
        <v>0</v>
      </c>
      <c r="H98" s="767">
        <v>0</v>
      </c>
      <c r="I98" s="767">
        <v>0</v>
      </c>
      <c r="J98" s="767">
        <v>0</v>
      </c>
      <c r="K98" s="767">
        <v>0</v>
      </c>
      <c r="L98" s="767">
        <v>0</v>
      </c>
      <c r="M98" s="767">
        <v>0</v>
      </c>
      <c r="N98" s="767">
        <v>0</v>
      </c>
      <c r="O98" s="767">
        <f t="shared" si="11"/>
        <v>5098.0000127857838</v>
      </c>
    </row>
    <row r="99" spans="1:15" ht="12.5" x14ac:dyDescent="0.25">
      <c r="A99" s="764" t="s">
        <v>392</v>
      </c>
      <c r="B99" s="767">
        <v>0</v>
      </c>
      <c r="C99" s="767">
        <v>-34429.300086348681</v>
      </c>
      <c r="D99" s="767">
        <v>-52811.373277708495</v>
      </c>
      <c r="E99" s="767">
        <v>0</v>
      </c>
      <c r="F99" s="767">
        <v>-3804.886147062</v>
      </c>
      <c r="G99" s="767">
        <v>-27065.402701530264</v>
      </c>
      <c r="H99" s="767">
        <v>0</v>
      </c>
      <c r="I99" s="767">
        <v>0</v>
      </c>
      <c r="J99" s="767">
        <v>0</v>
      </c>
      <c r="K99" s="767">
        <v>-853.58224843748997</v>
      </c>
      <c r="L99" s="767">
        <v>0</v>
      </c>
      <c r="M99" s="767">
        <v>0</v>
      </c>
      <c r="N99" s="767">
        <v>0</v>
      </c>
      <c r="O99" s="767">
        <f t="shared" si="11"/>
        <v>-118964.54446108693</v>
      </c>
    </row>
    <row r="100" spans="1:15" ht="12.5" x14ac:dyDescent="0.25">
      <c r="A100" s="764" t="s">
        <v>393</v>
      </c>
      <c r="B100" s="767">
        <v>0</v>
      </c>
      <c r="C100" s="767">
        <v>-55249.10013856474</v>
      </c>
      <c r="D100" s="767">
        <v>0</v>
      </c>
      <c r="E100" s="767">
        <v>0</v>
      </c>
      <c r="F100" s="767">
        <v>-31344.693865921799</v>
      </c>
      <c r="G100" s="767">
        <v>0</v>
      </c>
      <c r="H100" s="767">
        <v>0</v>
      </c>
      <c r="I100" s="767">
        <v>-41321.260881878246</v>
      </c>
      <c r="J100" s="767">
        <v>0</v>
      </c>
      <c r="K100" s="767">
        <v>0</v>
      </c>
      <c r="L100" s="767">
        <v>0</v>
      </c>
      <c r="M100" s="767">
        <v>0</v>
      </c>
      <c r="N100" s="767">
        <v>0</v>
      </c>
      <c r="O100" s="767">
        <f t="shared" si="11"/>
        <v>-127915.05488636479</v>
      </c>
    </row>
    <row r="101" spans="1:15" ht="12.5" x14ac:dyDescent="0.25">
      <c r="A101" s="764" t="s">
        <v>394</v>
      </c>
      <c r="B101" s="767">
        <v>0</v>
      </c>
      <c r="C101" s="767">
        <v>-6539.000016399812</v>
      </c>
      <c r="D101" s="767">
        <v>0</v>
      </c>
      <c r="E101" s="767">
        <v>0</v>
      </c>
      <c r="F101" s="767">
        <v>0</v>
      </c>
      <c r="G101" s="767">
        <v>0</v>
      </c>
      <c r="H101" s="767">
        <v>0</v>
      </c>
      <c r="I101" s="767">
        <v>-5158.3241461451244</v>
      </c>
      <c r="J101" s="767">
        <v>0</v>
      </c>
      <c r="K101" s="767">
        <v>0</v>
      </c>
      <c r="L101" s="767">
        <v>0</v>
      </c>
      <c r="M101" s="767">
        <v>0</v>
      </c>
      <c r="N101" s="767">
        <v>0</v>
      </c>
      <c r="O101" s="767">
        <f t="shared" si="11"/>
        <v>-11697.324162544937</v>
      </c>
    </row>
    <row r="102" spans="1:15" ht="12.5" x14ac:dyDescent="0.25">
      <c r="A102" s="764" t="s">
        <v>395</v>
      </c>
      <c r="B102" s="767">
        <v>0</v>
      </c>
      <c r="C102" s="767">
        <v>-271237.01068026241</v>
      </c>
      <c r="D102" s="767">
        <v>-135839.6953395805</v>
      </c>
      <c r="E102" s="767">
        <v>0</v>
      </c>
      <c r="F102" s="767">
        <v>-4079.9911665447999</v>
      </c>
      <c r="G102" s="767">
        <v>-20140.384727054203</v>
      </c>
      <c r="H102" s="767">
        <v>0</v>
      </c>
      <c r="I102" s="767">
        <v>-33514.949213504973</v>
      </c>
      <c r="J102" s="767">
        <v>0</v>
      </c>
      <c r="K102" s="767">
        <v>0</v>
      </c>
      <c r="L102" s="767">
        <v>0</v>
      </c>
      <c r="M102" s="767">
        <v>0</v>
      </c>
      <c r="N102" s="767">
        <v>0</v>
      </c>
      <c r="O102" s="767">
        <f t="shared" si="11"/>
        <v>-464812.03112694685</v>
      </c>
    </row>
    <row r="103" spans="1:15" ht="12.5" x14ac:dyDescent="0.25">
      <c r="A103" s="764" t="s">
        <v>396</v>
      </c>
      <c r="B103" s="767">
        <v>0</v>
      </c>
      <c r="C103" s="767">
        <v>-574235.53144018271</v>
      </c>
      <c r="D103" s="767">
        <v>0</v>
      </c>
      <c r="E103" s="767">
        <v>0</v>
      </c>
      <c r="F103" s="767">
        <v>-350.85120583240001</v>
      </c>
      <c r="G103" s="767">
        <v>0</v>
      </c>
      <c r="H103" s="767">
        <v>0</v>
      </c>
      <c r="I103" s="767">
        <v>-7919.6168187790472</v>
      </c>
      <c r="J103" s="767">
        <v>0</v>
      </c>
      <c r="K103" s="767">
        <v>0</v>
      </c>
      <c r="L103" s="767">
        <v>0</v>
      </c>
      <c r="M103" s="767">
        <v>0</v>
      </c>
      <c r="N103" s="767">
        <v>0</v>
      </c>
      <c r="O103" s="767">
        <f t="shared" si="11"/>
        <v>-582505.99946479418</v>
      </c>
    </row>
    <row r="104" spans="1:15" ht="12.5" x14ac:dyDescent="0.25">
      <c r="A104" s="764" t="s">
        <v>397</v>
      </c>
      <c r="B104" s="767">
        <v>966685.34401188884</v>
      </c>
      <c r="C104" s="767">
        <v>0</v>
      </c>
      <c r="D104" s="767">
        <v>0</v>
      </c>
      <c r="E104" s="767">
        <v>0</v>
      </c>
      <c r="F104" s="767">
        <v>0</v>
      </c>
      <c r="G104" s="767">
        <v>0</v>
      </c>
      <c r="H104" s="767">
        <v>0</v>
      </c>
      <c r="I104" s="767">
        <v>0</v>
      </c>
      <c r="J104" s="767">
        <v>0</v>
      </c>
      <c r="K104" s="767">
        <v>0</v>
      </c>
      <c r="L104" s="767">
        <v>0</v>
      </c>
      <c r="M104" s="767">
        <v>0</v>
      </c>
      <c r="N104" s="767">
        <v>0</v>
      </c>
      <c r="O104" s="767">
        <f t="shared" si="11"/>
        <v>966685.34401188884</v>
      </c>
    </row>
    <row r="105" spans="1:15" ht="12.5" x14ac:dyDescent="0.25">
      <c r="A105" s="764" t="s">
        <v>4196</v>
      </c>
      <c r="B105" s="767">
        <v>2141148.8225267557</v>
      </c>
      <c r="C105" s="767">
        <v>0</v>
      </c>
      <c r="D105" s="767">
        <v>0</v>
      </c>
      <c r="E105" s="767">
        <v>0</v>
      </c>
      <c r="F105" s="767">
        <v>0</v>
      </c>
      <c r="G105" s="767">
        <v>0</v>
      </c>
      <c r="H105" s="767">
        <v>0</v>
      </c>
      <c r="I105" s="767">
        <v>0</v>
      </c>
      <c r="J105" s="767">
        <v>0</v>
      </c>
      <c r="K105" s="767">
        <v>0</v>
      </c>
      <c r="L105" s="767">
        <v>0</v>
      </c>
      <c r="M105" s="767">
        <v>0</v>
      </c>
      <c r="N105" s="767">
        <v>0</v>
      </c>
      <c r="O105" s="767">
        <f t="shared" si="11"/>
        <v>2141148.8225267557</v>
      </c>
    </row>
    <row r="106" spans="1:15" ht="12.5" x14ac:dyDescent="0.25">
      <c r="A106" s="764" t="s">
        <v>398</v>
      </c>
      <c r="B106" s="767">
        <v>269545.58988672122</v>
      </c>
      <c r="C106" s="767">
        <v>0</v>
      </c>
      <c r="D106" s="767">
        <v>0</v>
      </c>
      <c r="E106" s="767">
        <v>0</v>
      </c>
      <c r="F106" s="767">
        <v>0</v>
      </c>
      <c r="G106" s="767">
        <v>0</v>
      </c>
      <c r="H106" s="767">
        <v>0</v>
      </c>
      <c r="I106" s="767">
        <v>0</v>
      </c>
      <c r="J106" s="767">
        <v>0</v>
      </c>
      <c r="K106" s="767">
        <v>0</v>
      </c>
      <c r="L106" s="767">
        <v>0</v>
      </c>
      <c r="M106" s="767">
        <v>0</v>
      </c>
      <c r="N106" s="767">
        <v>0</v>
      </c>
      <c r="O106" s="767">
        <f t="shared" si="11"/>
        <v>269545.58988672122</v>
      </c>
    </row>
    <row r="107" spans="1:15" ht="12.5" x14ac:dyDescent="0.25">
      <c r="A107" s="764" t="s">
        <v>4197</v>
      </c>
      <c r="B107" s="767">
        <v>199645.64498446099</v>
      </c>
      <c r="C107" s="767">
        <v>0</v>
      </c>
      <c r="D107" s="767">
        <v>0</v>
      </c>
      <c r="E107" s="767">
        <v>0</v>
      </c>
      <c r="F107" s="767">
        <v>0</v>
      </c>
      <c r="G107" s="767">
        <v>0</v>
      </c>
      <c r="H107" s="767">
        <v>0</v>
      </c>
      <c r="I107" s="767">
        <v>0</v>
      </c>
      <c r="J107" s="767">
        <v>0</v>
      </c>
      <c r="K107" s="767">
        <v>0</v>
      </c>
      <c r="L107" s="767">
        <v>0</v>
      </c>
      <c r="M107" s="767">
        <v>0</v>
      </c>
      <c r="N107" s="767">
        <v>0</v>
      </c>
      <c r="O107" s="767">
        <f t="shared" si="11"/>
        <v>199645.64498446099</v>
      </c>
    </row>
    <row r="108" spans="1:15" ht="12.5" x14ac:dyDescent="0.25">
      <c r="A108" s="764" t="s">
        <v>399</v>
      </c>
      <c r="B108" s="767">
        <v>2993517.2416443764</v>
      </c>
      <c r="C108" s="767">
        <v>0</v>
      </c>
      <c r="D108" s="767">
        <v>0</v>
      </c>
      <c r="E108" s="767">
        <v>0</v>
      </c>
      <c r="F108" s="767">
        <v>0</v>
      </c>
      <c r="G108" s="767">
        <v>0</v>
      </c>
      <c r="H108" s="767">
        <v>0</v>
      </c>
      <c r="I108" s="767">
        <v>0</v>
      </c>
      <c r="J108" s="767">
        <v>0</v>
      </c>
      <c r="K108" s="767">
        <v>0</v>
      </c>
      <c r="L108" s="767">
        <v>0</v>
      </c>
      <c r="M108" s="767">
        <v>0</v>
      </c>
      <c r="N108" s="767">
        <v>0</v>
      </c>
      <c r="O108" s="767">
        <f t="shared" si="11"/>
        <v>2993517.2416443764</v>
      </c>
    </row>
    <row r="109" spans="1:15" ht="12.5" x14ac:dyDescent="0.25">
      <c r="A109" s="764" t="s">
        <v>400</v>
      </c>
      <c r="B109" s="767">
        <v>-388901.93553207623</v>
      </c>
      <c r="C109" s="767">
        <v>0</v>
      </c>
      <c r="D109" s="767">
        <v>0</v>
      </c>
      <c r="E109" s="767">
        <v>0</v>
      </c>
      <c r="F109" s="767">
        <v>0</v>
      </c>
      <c r="G109" s="767">
        <v>0</v>
      </c>
      <c r="H109" s="767">
        <v>0</v>
      </c>
      <c r="I109" s="767">
        <v>0</v>
      </c>
      <c r="J109" s="767">
        <v>0</v>
      </c>
      <c r="K109" s="767">
        <v>0</v>
      </c>
      <c r="L109" s="767">
        <v>0</v>
      </c>
      <c r="M109" s="767">
        <v>0</v>
      </c>
      <c r="N109" s="767">
        <v>0</v>
      </c>
      <c r="O109" s="767">
        <f t="shared" si="11"/>
        <v>-388901.93553207623</v>
      </c>
    </row>
    <row r="110" spans="1:15" ht="12.5" hidden="1" x14ac:dyDescent="0.25">
      <c r="A110" s="764" t="s">
        <v>401</v>
      </c>
      <c r="B110" s="767">
        <v>-2086920.5446989536</v>
      </c>
      <c r="C110" s="767">
        <v>0</v>
      </c>
      <c r="D110" s="767">
        <v>0</v>
      </c>
      <c r="E110" s="767">
        <v>0</v>
      </c>
      <c r="F110" s="767">
        <v>0</v>
      </c>
      <c r="G110" s="767">
        <v>0</v>
      </c>
      <c r="H110" s="767">
        <v>0</v>
      </c>
      <c r="I110" s="767">
        <v>0</v>
      </c>
      <c r="J110" s="767">
        <v>0</v>
      </c>
      <c r="K110" s="767">
        <v>0</v>
      </c>
      <c r="L110" s="767">
        <v>0</v>
      </c>
      <c r="M110" s="767">
        <v>0</v>
      </c>
      <c r="N110" s="767">
        <v>0</v>
      </c>
      <c r="O110" s="767">
        <f t="shared" si="11"/>
        <v>-2086920.5446989536</v>
      </c>
    </row>
    <row r="111" spans="1:15" ht="12.5" x14ac:dyDescent="0.25">
      <c r="A111" s="764" t="s">
        <v>402</v>
      </c>
      <c r="B111" s="767">
        <v>-198058.88840298861</v>
      </c>
      <c r="C111" s="767">
        <v>0</v>
      </c>
      <c r="D111" s="767">
        <v>0</v>
      </c>
      <c r="E111" s="767">
        <v>0</v>
      </c>
      <c r="F111" s="767">
        <v>0</v>
      </c>
      <c r="G111" s="767">
        <v>0</v>
      </c>
      <c r="H111" s="767">
        <v>0</v>
      </c>
      <c r="I111" s="767">
        <v>0</v>
      </c>
      <c r="J111" s="767">
        <v>0</v>
      </c>
      <c r="K111" s="767">
        <v>0</v>
      </c>
      <c r="L111" s="767">
        <v>0</v>
      </c>
      <c r="M111" s="767">
        <v>0</v>
      </c>
      <c r="N111" s="767">
        <v>0</v>
      </c>
      <c r="O111" s="767">
        <f t="shared" si="11"/>
        <v>-198058.88840298861</v>
      </c>
    </row>
    <row r="112" spans="1:15" ht="12.5" x14ac:dyDescent="0.25">
      <c r="A112" s="764" t="s">
        <v>403</v>
      </c>
      <c r="B112" s="767">
        <v>-199645.64498446099</v>
      </c>
      <c r="C112" s="767">
        <v>0</v>
      </c>
      <c r="D112" s="767">
        <v>0</v>
      </c>
      <c r="E112" s="767">
        <v>0</v>
      </c>
      <c r="F112" s="767">
        <v>0</v>
      </c>
      <c r="G112" s="767">
        <v>0</v>
      </c>
      <c r="H112" s="767">
        <v>0</v>
      </c>
      <c r="I112" s="767">
        <v>0</v>
      </c>
      <c r="J112" s="767">
        <v>0</v>
      </c>
      <c r="K112" s="767">
        <v>0</v>
      </c>
      <c r="L112" s="767">
        <v>0</v>
      </c>
      <c r="M112" s="767">
        <v>0</v>
      </c>
      <c r="N112" s="767">
        <v>0</v>
      </c>
      <c r="O112" s="767">
        <f t="shared" si="11"/>
        <v>-199645.64498446099</v>
      </c>
    </row>
    <row r="113" spans="1:15" ht="12.5" hidden="1" x14ac:dyDescent="0.25">
      <c r="A113" s="764" t="s">
        <v>404</v>
      </c>
      <c r="B113" s="767">
        <v>-1056525.8483274144</v>
      </c>
      <c r="C113" s="767">
        <v>0</v>
      </c>
      <c r="D113" s="767">
        <v>0</v>
      </c>
      <c r="E113" s="767">
        <v>0</v>
      </c>
      <c r="F113" s="767">
        <v>0</v>
      </c>
      <c r="G113" s="767">
        <v>0</v>
      </c>
      <c r="H113" s="767">
        <v>0</v>
      </c>
      <c r="I113" s="767">
        <v>0</v>
      </c>
      <c r="J113" s="767">
        <v>0</v>
      </c>
      <c r="K113" s="767">
        <v>0</v>
      </c>
      <c r="L113" s="767">
        <v>0</v>
      </c>
      <c r="M113" s="767">
        <v>0</v>
      </c>
      <c r="N113" s="767">
        <v>0</v>
      </c>
      <c r="O113" s="767">
        <f t="shared" si="11"/>
        <v>-1056525.8483274144</v>
      </c>
    </row>
    <row r="114" spans="1:15" ht="12.5" x14ac:dyDescent="0.25">
      <c r="A114" s="762" t="s">
        <v>405</v>
      </c>
      <c r="B114" s="767">
        <f t="shared" ref="B114:O114" si="12">SUM(B93:B113)</f>
        <v>2640489.7811083095</v>
      </c>
      <c r="C114" s="767">
        <f t="shared" si="12"/>
        <v>324427.15081366303</v>
      </c>
      <c r="D114" s="767">
        <f t="shared" si="12"/>
        <v>177050.49653778572</v>
      </c>
      <c r="E114" s="767">
        <f t="shared" si="12"/>
        <v>0</v>
      </c>
      <c r="F114" s="767">
        <f t="shared" si="12"/>
        <v>116674.30937950841</v>
      </c>
      <c r="G114" s="767">
        <f t="shared" si="12"/>
        <v>11873.581665419006</v>
      </c>
      <c r="H114" s="767">
        <f t="shared" si="12"/>
        <v>0</v>
      </c>
      <c r="I114" s="767">
        <f t="shared" si="12"/>
        <v>105751.19817689767</v>
      </c>
      <c r="J114" s="767">
        <f t="shared" si="12"/>
        <v>0</v>
      </c>
      <c r="K114" s="767">
        <f t="shared" si="12"/>
        <v>1841.94064136511</v>
      </c>
      <c r="L114" s="767">
        <f t="shared" si="12"/>
        <v>0</v>
      </c>
      <c r="M114" s="767">
        <f t="shared" si="12"/>
        <v>0</v>
      </c>
      <c r="N114" s="767">
        <f t="shared" si="12"/>
        <v>0</v>
      </c>
      <c r="O114" s="767">
        <f t="shared" si="12"/>
        <v>3378108.4583229497</v>
      </c>
    </row>
    <row r="115" spans="1:15" ht="12.5" x14ac:dyDescent="0.25">
      <c r="A115" s="762" t="s">
        <v>406</v>
      </c>
      <c r="B115" s="763">
        <v>0</v>
      </c>
      <c r="C115" s="763">
        <v>1263403.7931686167</v>
      </c>
      <c r="D115" s="763">
        <v>0</v>
      </c>
      <c r="E115" s="763">
        <v>0</v>
      </c>
      <c r="F115" s="763">
        <v>0</v>
      </c>
      <c r="G115" s="763">
        <v>0</v>
      </c>
      <c r="H115" s="763">
        <v>0</v>
      </c>
      <c r="I115" s="763">
        <v>0</v>
      </c>
      <c r="J115" s="763">
        <v>0</v>
      </c>
      <c r="K115" s="763">
        <v>0</v>
      </c>
      <c r="L115" s="763">
        <v>0</v>
      </c>
      <c r="M115" s="763">
        <v>0</v>
      </c>
      <c r="N115" s="763">
        <v>0</v>
      </c>
      <c r="O115" s="763">
        <v>1263403.7931686167</v>
      </c>
    </row>
    <row r="116" spans="1:15" ht="12.5" x14ac:dyDescent="0.25">
      <c r="A116" s="764" t="s">
        <v>407</v>
      </c>
      <c r="B116" s="767">
        <v>0</v>
      </c>
      <c r="C116" s="767">
        <v>1263403.7931686167</v>
      </c>
      <c r="D116" s="767">
        <v>0</v>
      </c>
      <c r="E116" s="767">
        <v>0</v>
      </c>
      <c r="F116" s="767">
        <v>0</v>
      </c>
      <c r="G116" s="767">
        <v>0</v>
      </c>
      <c r="H116" s="767">
        <v>0</v>
      </c>
      <c r="I116" s="767">
        <v>0</v>
      </c>
      <c r="J116" s="767">
        <v>0</v>
      </c>
      <c r="K116" s="767">
        <v>0</v>
      </c>
      <c r="L116" s="767">
        <v>0</v>
      </c>
      <c r="M116" s="767">
        <v>0</v>
      </c>
      <c r="N116" s="767">
        <v>0</v>
      </c>
      <c r="O116" s="767">
        <f>SUM(B116:N116)</f>
        <v>1263403.7931686167</v>
      </c>
    </row>
    <row r="117" spans="1:15" ht="12.5" hidden="1" x14ac:dyDescent="0.25">
      <c r="A117" s="762" t="s">
        <v>408</v>
      </c>
      <c r="B117" s="767">
        <f t="shared" ref="B117:O117" si="13">SUM(B116)</f>
        <v>0</v>
      </c>
      <c r="C117" s="767">
        <f t="shared" si="13"/>
        <v>1263403.7931686167</v>
      </c>
      <c r="D117" s="767">
        <f t="shared" si="13"/>
        <v>0</v>
      </c>
      <c r="E117" s="767">
        <f t="shared" si="13"/>
        <v>0</v>
      </c>
      <c r="F117" s="767">
        <f t="shared" si="13"/>
        <v>0</v>
      </c>
      <c r="G117" s="767">
        <f t="shared" si="13"/>
        <v>0</v>
      </c>
      <c r="H117" s="767">
        <f t="shared" si="13"/>
        <v>0</v>
      </c>
      <c r="I117" s="767">
        <f t="shared" si="13"/>
        <v>0</v>
      </c>
      <c r="J117" s="767">
        <f t="shared" si="13"/>
        <v>0</v>
      </c>
      <c r="K117" s="767">
        <f t="shared" si="13"/>
        <v>0</v>
      </c>
      <c r="L117" s="767">
        <f t="shared" si="13"/>
        <v>0</v>
      </c>
      <c r="M117" s="767">
        <f t="shared" si="13"/>
        <v>0</v>
      </c>
      <c r="N117" s="767">
        <f t="shared" si="13"/>
        <v>0</v>
      </c>
      <c r="O117" s="767">
        <f t="shared" si="13"/>
        <v>1263403.7931686167</v>
      </c>
    </row>
    <row r="118" spans="1:15" ht="12.5" x14ac:dyDescent="0.25">
      <c r="A118" s="762" t="s">
        <v>4248</v>
      </c>
      <c r="B118" s="763">
        <v>6384077.6856995272</v>
      </c>
      <c r="C118" s="763">
        <v>3755866.5494197132</v>
      </c>
      <c r="D118" s="763">
        <v>280506.55426176824</v>
      </c>
      <c r="E118" s="763">
        <v>232291.36693235461</v>
      </c>
      <c r="F118" s="763">
        <v>627831.41877557407</v>
      </c>
      <c r="G118" s="763">
        <v>243227.66384636262</v>
      </c>
      <c r="H118" s="763">
        <v>0</v>
      </c>
      <c r="I118" s="763">
        <v>827683.70192438259</v>
      </c>
      <c r="J118" s="763">
        <v>0</v>
      </c>
      <c r="K118" s="763">
        <v>0</v>
      </c>
      <c r="L118" s="763">
        <v>0</v>
      </c>
      <c r="M118" s="763">
        <v>0</v>
      </c>
      <c r="N118" s="763">
        <v>0</v>
      </c>
      <c r="O118" s="763">
        <v>12351484.940859681</v>
      </c>
    </row>
    <row r="119" spans="1:15" ht="12.5" x14ac:dyDescent="0.25">
      <c r="A119" s="764" t="s">
        <v>409</v>
      </c>
      <c r="B119" s="767">
        <v>9163731.8160403445</v>
      </c>
      <c r="C119" s="767">
        <v>6534044.9963873848</v>
      </c>
      <c r="D119" s="767">
        <v>364826.08958356665</v>
      </c>
      <c r="E119" s="767">
        <v>291122.48580641201</v>
      </c>
      <c r="F119" s="767">
        <v>689710.34884454042</v>
      </c>
      <c r="G119" s="767">
        <v>870022.65179156803</v>
      </c>
      <c r="H119" s="767">
        <v>0</v>
      </c>
      <c r="I119" s="767">
        <v>1868037.1693517407</v>
      </c>
      <c r="J119" s="767">
        <v>0</v>
      </c>
      <c r="K119" s="767">
        <v>0</v>
      </c>
      <c r="L119" s="767">
        <v>0</v>
      </c>
      <c r="M119" s="767">
        <v>0</v>
      </c>
      <c r="N119" s="767">
        <v>0</v>
      </c>
      <c r="O119" s="767">
        <f>SUM(B119:N119)</f>
        <v>19781495.557805557</v>
      </c>
    </row>
    <row r="120" spans="1:15" ht="12.5" x14ac:dyDescent="0.25">
      <c r="A120" s="764" t="s">
        <v>410</v>
      </c>
      <c r="B120" s="767">
        <v>-2779654.1303408174</v>
      </c>
      <c r="C120" s="767">
        <v>-2778178.4469676716</v>
      </c>
      <c r="D120" s="767">
        <v>-84319.535321798394</v>
      </c>
      <c r="E120" s="767">
        <v>-58831.1188740574</v>
      </c>
      <c r="F120" s="767">
        <v>-61878.930068966401</v>
      </c>
      <c r="G120" s="767">
        <v>-626794.98794520542</v>
      </c>
      <c r="H120" s="767">
        <v>0</v>
      </c>
      <c r="I120" s="767">
        <v>-1040353.4674273581</v>
      </c>
      <c r="J120" s="767">
        <v>0</v>
      </c>
      <c r="K120" s="767">
        <v>0</v>
      </c>
      <c r="L120" s="767">
        <v>0</v>
      </c>
      <c r="M120" s="767">
        <v>0</v>
      </c>
      <c r="N120" s="767">
        <v>0</v>
      </c>
      <c r="O120" s="767">
        <f>SUM(B120:N120)</f>
        <v>-7430010.6169458739</v>
      </c>
    </row>
    <row r="121" spans="1:15" ht="12.5" x14ac:dyDescent="0.25">
      <c r="A121" s="762" t="s">
        <v>4249</v>
      </c>
      <c r="B121" s="767">
        <f t="shared" ref="B121:O121" si="14">SUM(B119:B120)</f>
        <v>6384077.6856995272</v>
      </c>
      <c r="C121" s="767">
        <f t="shared" si="14"/>
        <v>3755866.5494197132</v>
      </c>
      <c r="D121" s="767">
        <f t="shared" si="14"/>
        <v>280506.55426176824</v>
      </c>
      <c r="E121" s="767">
        <f t="shared" si="14"/>
        <v>232291.36693235461</v>
      </c>
      <c r="F121" s="767">
        <f t="shared" si="14"/>
        <v>627831.41877557407</v>
      </c>
      <c r="G121" s="767">
        <f t="shared" si="14"/>
        <v>243227.66384636262</v>
      </c>
      <c r="H121" s="767">
        <f t="shared" si="14"/>
        <v>0</v>
      </c>
      <c r="I121" s="767">
        <f t="shared" si="14"/>
        <v>827683.70192438259</v>
      </c>
      <c r="J121" s="767">
        <f t="shared" si="14"/>
        <v>0</v>
      </c>
      <c r="K121" s="767">
        <f t="shared" si="14"/>
        <v>0</v>
      </c>
      <c r="L121" s="767">
        <f t="shared" si="14"/>
        <v>0</v>
      </c>
      <c r="M121" s="767">
        <f t="shared" si="14"/>
        <v>0</v>
      </c>
      <c r="N121" s="767">
        <f t="shared" si="14"/>
        <v>0</v>
      </c>
      <c r="O121" s="767">
        <f t="shared" si="14"/>
        <v>12351484.940859683</v>
      </c>
    </row>
    <row r="122" spans="1:15" ht="12.5" x14ac:dyDescent="0.25">
      <c r="A122" s="762" t="s">
        <v>411</v>
      </c>
      <c r="B122" s="763">
        <v>10098793.038814396</v>
      </c>
      <c r="C122" s="763">
        <v>420383.80105432257</v>
      </c>
      <c r="D122" s="763">
        <v>115964.30174385638</v>
      </c>
      <c r="E122" s="763">
        <v>24655.847950406402</v>
      </c>
      <c r="F122" s="763">
        <v>44738.4259357724</v>
      </c>
      <c r="G122" s="763">
        <v>244584.92867001859</v>
      </c>
      <c r="H122" s="763">
        <v>0</v>
      </c>
      <c r="I122" s="763">
        <v>357357.20836762042</v>
      </c>
      <c r="J122" s="763">
        <v>0</v>
      </c>
      <c r="K122" s="763">
        <v>2887.0003112423656</v>
      </c>
      <c r="L122" s="763">
        <v>0</v>
      </c>
      <c r="M122" s="763">
        <v>0</v>
      </c>
      <c r="N122" s="763">
        <v>-8333220.3282178678</v>
      </c>
      <c r="O122" s="763">
        <v>2976144.2246297672</v>
      </c>
    </row>
    <row r="123" spans="1:15" ht="12.5" x14ac:dyDescent="0.25">
      <c r="A123" s="764" t="s">
        <v>412</v>
      </c>
      <c r="B123" s="767">
        <v>-519586.71366217721</v>
      </c>
      <c r="C123" s="767">
        <v>0</v>
      </c>
      <c r="D123" s="767">
        <v>0</v>
      </c>
      <c r="E123" s="767">
        <v>0</v>
      </c>
      <c r="F123" s="767">
        <v>0</v>
      </c>
      <c r="G123" s="767">
        <v>0</v>
      </c>
      <c r="H123" s="767">
        <v>0</v>
      </c>
      <c r="I123" s="767">
        <v>0</v>
      </c>
      <c r="J123" s="767">
        <v>0</v>
      </c>
      <c r="K123" s="767">
        <v>0</v>
      </c>
      <c r="L123" s="767">
        <v>0</v>
      </c>
      <c r="M123" s="767">
        <v>0</v>
      </c>
      <c r="N123" s="767">
        <v>0</v>
      </c>
      <c r="O123" s="767">
        <f t="shared" ref="O123:O140" si="15">SUM(B123:N123)</f>
        <v>-519586.71366217721</v>
      </c>
    </row>
    <row r="124" spans="1:15" ht="12.5" x14ac:dyDescent="0.25">
      <c r="A124" s="764" t="s">
        <v>413</v>
      </c>
      <c r="B124" s="767">
        <v>0</v>
      </c>
      <c r="C124" s="767">
        <v>-480000.00120384002</v>
      </c>
      <c r="D124" s="767">
        <v>0</v>
      </c>
      <c r="E124" s="767">
        <v>0</v>
      </c>
      <c r="F124" s="767">
        <v>0</v>
      </c>
      <c r="G124" s="767">
        <v>0</v>
      </c>
      <c r="H124" s="767">
        <v>0</v>
      </c>
      <c r="I124" s="767">
        <v>0</v>
      </c>
      <c r="J124" s="767">
        <v>0</v>
      </c>
      <c r="K124" s="767">
        <v>0</v>
      </c>
      <c r="L124" s="767">
        <v>0</v>
      </c>
      <c r="M124" s="767">
        <v>0</v>
      </c>
      <c r="N124" s="767">
        <v>0</v>
      </c>
      <c r="O124" s="767">
        <f t="shared" si="15"/>
        <v>-480000.00120384002</v>
      </c>
    </row>
    <row r="125" spans="1:15" ht="12.5" x14ac:dyDescent="0.25">
      <c r="A125" s="764" t="s">
        <v>414</v>
      </c>
      <c r="B125" s="767">
        <v>76245.976313267805</v>
      </c>
      <c r="C125" s="767">
        <v>0</v>
      </c>
      <c r="D125" s="767">
        <v>0</v>
      </c>
      <c r="E125" s="767">
        <v>0</v>
      </c>
      <c r="F125" s="767">
        <v>0</v>
      </c>
      <c r="G125" s="767">
        <v>0</v>
      </c>
      <c r="H125" s="767">
        <v>0</v>
      </c>
      <c r="I125" s="767">
        <v>0</v>
      </c>
      <c r="J125" s="767">
        <v>0</v>
      </c>
      <c r="K125" s="767">
        <v>0</v>
      </c>
      <c r="L125" s="767">
        <v>0</v>
      </c>
      <c r="M125" s="767">
        <v>0</v>
      </c>
      <c r="N125" s="767">
        <v>0</v>
      </c>
      <c r="O125" s="767">
        <f t="shared" si="15"/>
        <v>76245.976313267805</v>
      </c>
    </row>
    <row r="126" spans="1:15" ht="12.5" x14ac:dyDescent="0.25">
      <c r="A126" s="764" t="s">
        <v>415</v>
      </c>
      <c r="B126" s="767">
        <v>921860.49313670001</v>
      </c>
      <c r="C126" s="767">
        <v>0</v>
      </c>
      <c r="D126" s="767">
        <v>6763.8035102203075</v>
      </c>
      <c r="E126" s="767">
        <v>0</v>
      </c>
      <c r="F126" s="767">
        <v>0</v>
      </c>
      <c r="G126" s="767">
        <v>0</v>
      </c>
      <c r="H126" s="767">
        <v>0</v>
      </c>
      <c r="I126" s="767">
        <v>191531.42860174042</v>
      </c>
      <c r="J126" s="767">
        <v>0</v>
      </c>
      <c r="K126" s="767">
        <v>0</v>
      </c>
      <c r="L126" s="767">
        <v>0</v>
      </c>
      <c r="M126" s="767">
        <v>0</v>
      </c>
      <c r="N126" s="767">
        <v>0</v>
      </c>
      <c r="O126" s="767">
        <f t="shared" si="15"/>
        <v>1120155.7252486607</v>
      </c>
    </row>
    <row r="127" spans="1:15" ht="12.5" x14ac:dyDescent="0.25">
      <c r="A127" s="764" t="s">
        <v>416</v>
      </c>
      <c r="B127" s="767">
        <v>519586.74682600662</v>
      </c>
      <c r="C127" s="767">
        <v>0</v>
      </c>
      <c r="D127" s="767">
        <v>0</v>
      </c>
      <c r="E127" s="767">
        <v>0</v>
      </c>
      <c r="F127" s="767">
        <v>0</v>
      </c>
      <c r="G127" s="767">
        <v>0</v>
      </c>
      <c r="H127" s="767">
        <v>0</v>
      </c>
      <c r="I127" s="767">
        <v>0</v>
      </c>
      <c r="J127" s="767">
        <v>0</v>
      </c>
      <c r="K127" s="767">
        <v>0</v>
      </c>
      <c r="L127" s="767">
        <v>0</v>
      </c>
      <c r="M127" s="767">
        <v>0</v>
      </c>
      <c r="N127" s="767">
        <v>0</v>
      </c>
      <c r="O127" s="767">
        <f t="shared" si="15"/>
        <v>519586.74682600662</v>
      </c>
    </row>
    <row r="128" spans="1:15" ht="12.5" x14ac:dyDescent="0.25">
      <c r="A128" s="764" t="s">
        <v>418</v>
      </c>
      <c r="B128" s="767">
        <v>137.38669059439999</v>
      </c>
      <c r="C128" s="767">
        <v>0</v>
      </c>
      <c r="D128" s="767">
        <v>0</v>
      </c>
      <c r="E128" s="767">
        <v>0</v>
      </c>
      <c r="F128" s="767">
        <v>0</v>
      </c>
      <c r="G128" s="767">
        <v>0</v>
      </c>
      <c r="H128" s="767">
        <v>0</v>
      </c>
      <c r="I128" s="767">
        <v>0</v>
      </c>
      <c r="J128" s="767">
        <v>0</v>
      </c>
      <c r="K128" s="767">
        <v>0</v>
      </c>
      <c r="L128" s="767">
        <v>0</v>
      </c>
      <c r="M128" s="767">
        <v>0</v>
      </c>
      <c r="N128" s="767">
        <v>-137.39774520419999</v>
      </c>
      <c r="O128" s="767">
        <f t="shared" si="15"/>
        <v>-1.1054609799998616E-2</v>
      </c>
    </row>
    <row r="129" spans="1:15" ht="12.5" x14ac:dyDescent="0.25">
      <c r="A129" s="764" t="s">
        <v>419</v>
      </c>
      <c r="B129" s="767">
        <v>78891.543421384195</v>
      </c>
      <c r="C129" s="767">
        <v>0</v>
      </c>
      <c r="D129" s="767">
        <v>0</v>
      </c>
      <c r="E129" s="767">
        <v>0</v>
      </c>
      <c r="F129" s="767">
        <v>0</v>
      </c>
      <c r="G129" s="767">
        <v>0</v>
      </c>
      <c r="H129" s="767">
        <v>0</v>
      </c>
      <c r="I129" s="767">
        <v>0</v>
      </c>
      <c r="J129" s="767">
        <v>0</v>
      </c>
      <c r="K129" s="767">
        <v>0</v>
      </c>
      <c r="L129" s="767">
        <v>0</v>
      </c>
      <c r="M129" s="767">
        <v>0</v>
      </c>
      <c r="N129" s="767">
        <v>-78891.543421384195</v>
      </c>
      <c r="O129" s="767">
        <f t="shared" si="15"/>
        <v>0</v>
      </c>
    </row>
    <row r="130" spans="1:15" ht="12.5" x14ac:dyDescent="0.25">
      <c r="A130" s="764" t="s">
        <v>420</v>
      </c>
      <c r="B130" s="767">
        <v>27636.5245</v>
      </c>
      <c r="C130" s="767">
        <v>0</v>
      </c>
      <c r="D130" s="767">
        <v>0</v>
      </c>
      <c r="E130" s="767">
        <v>0</v>
      </c>
      <c r="F130" s="767">
        <v>0</v>
      </c>
      <c r="G130" s="767">
        <v>0</v>
      </c>
      <c r="H130" s="767">
        <v>0</v>
      </c>
      <c r="I130" s="767">
        <v>0</v>
      </c>
      <c r="J130" s="767">
        <v>0</v>
      </c>
      <c r="K130" s="767">
        <v>0</v>
      </c>
      <c r="L130" s="767">
        <v>0</v>
      </c>
      <c r="M130" s="767">
        <v>0</v>
      </c>
      <c r="N130" s="767">
        <v>-27636.5245</v>
      </c>
      <c r="O130" s="767">
        <f t="shared" si="15"/>
        <v>0</v>
      </c>
    </row>
    <row r="131" spans="1:15" ht="12.5" x14ac:dyDescent="0.25">
      <c r="A131" s="764" t="s">
        <v>421</v>
      </c>
      <c r="B131" s="767">
        <v>1462.0053098794001</v>
      </c>
      <c r="C131" s="767">
        <v>0</v>
      </c>
      <c r="D131" s="767">
        <v>0</v>
      </c>
      <c r="E131" s="767">
        <v>0</v>
      </c>
      <c r="F131" s="767">
        <v>0</v>
      </c>
      <c r="G131" s="767">
        <v>0</v>
      </c>
      <c r="H131" s="767">
        <v>0</v>
      </c>
      <c r="I131" s="767">
        <v>0</v>
      </c>
      <c r="J131" s="767">
        <v>0</v>
      </c>
      <c r="K131" s="767">
        <v>0</v>
      </c>
      <c r="L131" s="767">
        <v>0</v>
      </c>
      <c r="M131" s="767">
        <v>0</v>
      </c>
      <c r="N131" s="767">
        <v>-1462.0053098794001</v>
      </c>
      <c r="O131" s="767">
        <f t="shared" si="15"/>
        <v>0</v>
      </c>
    </row>
    <row r="132" spans="1:15" ht="12.5" x14ac:dyDescent="0.25">
      <c r="A132" s="764" t="s">
        <v>4198</v>
      </c>
      <c r="B132" s="767">
        <v>11054.6098</v>
      </c>
      <c r="C132" s="767">
        <v>0</v>
      </c>
      <c r="D132" s="767">
        <v>0</v>
      </c>
      <c r="E132" s="767">
        <v>0</v>
      </c>
      <c r="F132" s="767">
        <v>0</v>
      </c>
      <c r="G132" s="767">
        <v>0</v>
      </c>
      <c r="H132" s="767">
        <v>0</v>
      </c>
      <c r="I132" s="767">
        <v>0</v>
      </c>
      <c r="J132" s="767">
        <v>0</v>
      </c>
      <c r="K132" s="767">
        <v>0</v>
      </c>
      <c r="L132" s="767">
        <v>0</v>
      </c>
      <c r="M132" s="767">
        <v>0</v>
      </c>
      <c r="N132" s="767">
        <v>-11054.6098</v>
      </c>
      <c r="O132" s="767">
        <f t="shared" si="15"/>
        <v>0</v>
      </c>
    </row>
    <row r="133" spans="1:15" ht="12.5" x14ac:dyDescent="0.25">
      <c r="A133" s="764" t="s">
        <v>422</v>
      </c>
      <c r="B133" s="767">
        <v>12862.6907242782</v>
      </c>
      <c r="C133" s="767">
        <v>0</v>
      </c>
      <c r="D133" s="767">
        <v>0</v>
      </c>
      <c r="E133" s="767">
        <v>0</v>
      </c>
      <c r="F133" s="767">
        <v>0</v>
      </c>
      <c r="G133" s="767">
        <v>0</v>
      </c>
      <c r="H133" s="767">
        <v>0</v>
      </c>
      <c r="I133" s="767">
        <v>0</v>
      </c>
      <c r="J133" s="767">
        <v>0</v>
      </c>
      <c r="K133" s="767">
        <v>0</v>
      </c>
      <c r="L133" s="767">
        <v>0</v>
      </c>
      <c r="M133" s="767">
        <v>0</v>
      </c>
      <c r="N133" s="767">
        <v>-12862.6907242782</v>
      </c>
      <c r="O133" s="767">
        <f t="shared" si="15"/>
        <v>0</v>
      </c>
    </row>
    <row r="134" spans="1:15" ht="12.5" x14ac:dyDescent="0.25">
      <c r="A134" s="764" t="s">
        <v>423</v>
      </c>
      <c r="B134" s="767">
        <v>71703.029142908796</v>
      </c>
      <c r="C134" s="767">
        <v>0</v>
      </c>
      <c r="D134" s="767">
        <v>0</v>
      </c>
      <c r="E134" s="767">
        <v>0</v>
      </c>
      <c r="F134" s="767">
        <v>0</v>
      </c>
      <c r="G134" s="767">
        <v>0</v>
      </c>
      <c r="H134" s="767">
        <v>0</v>
      </c>
      <c r="I134" s="767">
        <v>0</v>
      </c>
      <c r="J134" s="767">
        <v>0</v>
      </c>
      <c r="K134" s="767">
        <v>0</v>
      </c>
      <c r="L134" s="767">
        <v>0</v>
      </c>
      <c r="M134" s="767">
        <v>0</v>
      </c>
      <c r="N134" s="767">
        <v>-71703.029142908796</v>
      </c>
      <c r="O134" s="767">
        <f t="shared" si="15"/>
        <v>0</v>
      </c>
    </row>
    <row r="135" spans="1:15" ht="12.5" x14ac:dyDescent="0.25">
      <c r="A135" s="764" t="s">
        <v>424</v>
      </c>
      <c r="B135" s="767">
        <v>5227.4596637847999</v>
      </c>
      <c r="C135" s="767">
        <v>0</v>
      </c>
      <c r="D135" s="767">
        <v>0</v>
      </c>
      <c r="E135" s="767">
        <v>0</v>
      </c>
      <c r="F135" s="767">
        <v>0</v>
      </c>
      <c r="G135" s="767">
        <v>0</v>
      </c>
      <c r="H135" s="767">
        <v>0</v>
      </c>
      <c r="I135" s="767">
        <v>0</v>
      </c>
      <c r="J135" s="767">
        <v>0</v>
      </c>
      <c r="K135" s="767">
        <v>0</v>
      </c>
      <c r="L135" s="767">
        <v>0</v>
      </c>
      <c r="M135" s="767">
        <v>0</v>
      </c>
      <c r="N135" s="767">
        <v>-5227.4596637847999</v>
      </c>
      <c r="O135" s="767">
        <f t="shared" si="15"/>
        <v>0</v>
      </c>
    </row>
    <row r="136" spans="1:15" ht="12.5" x14ac:dyDescent="0.25">
      <c r="A136" s="764" t="s">
        <v>425</v>
      </c>
      <c r="B136" s="767">
        <v>130.90868925160001</v>
      </c>
      <c r="C136" s="767">
        <v>0</v>
      </c>
      <c r="D136" s="767">
        <v>0</v>
      </c>
      <c r="E136" s="767">
        <v>0</v>
      </c>
      <c r="F136" s="767">
        <v>0</v>
      </c>
      <c r="G136" s="767">
        <v>0</v>
      </c>
      <c r="H136" s="767">
        <v>0</v>
      </c>
      <c r="I136" s="767">
        <v>0</v>
      </c>
      <c r="J136" s="767">
        <v>0</v>
      </c>
      <c r="K136" s="767">
        <v>0</v>
      </c>
      <c r="L136" s="767">
        <v>0</v>
      </c>
      <c r="M136" s="767">
        <v>0</v>
      </c>
      <c r="N136" s="767">
        <v>-130.91974386140001</v>
      </c>
      <c r="O136" s="767">
        <f t="shared" si="15"/>
        <v>-1.1054609799998616E-2</v>
      </c>
    </row>
    <row r="137" spans="1:15" ht="12.5" x14ac:dyDescent="0.25">
      <c r="A137" s="764" t="s">
        <v>426</v>
      </c>
      <c r="B137" s="767">
        <v>8124114.1481665671</v>
      </c>
      <c r="C137" s="767">
        <v>0</v>
      </c>
      <c r="D137" s="767">
        <v>0</v>
      </c>
      <c r="E137" s="767">
        <v>0</v>
      </c>
      <c r="F137" s="767">
        <v>0</v>
      </c>
      <c r="G137" s="767">
        <v>0</v>
      </c>
      <c r="H137" s="767">
        <v>0</v>
      </c>
      <c r="I137" s="767">
        <v>0</v>
      </c>
      <c r="J137" s="767">
        <v>0</v>
      </c>
      <c r="K137" s="767">
        <v>0</v>
      </c>
      <c r="L137" s="767">
        <v>0</v>
      </c>
      <c r="M137" s="767">
        <v>0</v>
      </c>
      <c r="N137" s="767">
        <v>-8124114.1481665671</v>
      </c>
      <c r="O137" s="767">
        <f t="shared" si="15"/>
        <v>0</v>
      </c>
    </row>
    <row r="138" spans="1:15" ht="12.5" x14ac:dyDescent="0.25">
      <c r="A138" s="764" t="s">
        <v>427</v>
      </c>
      <c r="B138" s="767">
        <v>188779.37257162359</v>
      </c>
      <c r="C138" s="767">
        <v>0</v>
      </c>
      <c r="D138" s="767">
        <v>0</v>
      </c>
      <c r="E138" s="767">
        <v>0</v>
      </c>
      <c r="F138" s="767">
        <v>0</v>
      </c>
      <c r="G138" s="767">
        <v>0</v>
      </c>
      <c r="H138" s="767">
        <v>0</v>
      </c>
      <c r="I138" s="767">
        <v>0</v>
      </c>
      <c r="J138" s="767">
        <v>0</v>
      </c>
      <c r="K138" s="767">
        <v>0</v>
      </c>
      <c r="L138" s="767">
        <v>0</v>
      </c>
      <c r="M138" s="767">
        <v>0</v>
      </c>
      <c r="N138" s="767">
        <v>0</v>
      </c>
      <c r="O138" s="767">
        <f t="shared" si="15"/>
        <v>188779.37257162359</v>
      </c>
    </row>
    <row r="139" spans="1:15" ht="12.5" hidden="1" x14ac:dyDescent="0.25">
      <c r="A139" s="764" t="s">
        <v>428</v>
      </c>
      <c r="B139" s="767">
        <v>0</v>
      </c>
      <c r="C139" s="767">
        <v>480000.00120384002</v>
      </c>
      <c r="D139" s="767">
        <v>0</v>
      </c>
      <c r="E139" s="767">
        <v>0</v>
      </c>
      <c r="F139" s="767">
        <v>0</v>
      </c>
      <c r="G139" s="767">
        <v>0</v>
      </c>
      <c r="H139" s="767">
        <v>0</v>
      </c>
      <c r="I139" s="767">
        <v>0</v>
      </c>
      <c r="J139" s="767">
        <v>0</v>
      </c>
      <c r="K139" s="767">
        <v>0</v>
      </c>
      <c r="L139" s="767">
        <v>0</v>
      </c>
      <c r="M139" s="767">
        <v>0</v>
      </c>
      <c r="N139" s="767">
        <v>0</v>
      </c>
      <c r="O139" s="767">
        <f t="shared" si="15"/>
        <v>480000.00120384002</v>
      </c>
    </row>
    <row r="140" spans="1:15" ht="12.5" x14ac:dyDescent="0.25">
      <c r="A140" s="764" t="s">
        <v>429</v>
      </c>
      <c r="B140" s="767">
        <v>578686.85752032744</v>
      </c>
      <c r="C140" s="767">
        <v>420383.80105432257</v>
      </c>
      <c r="D140" s="767">
        <v>109200.49823363607</v>
      </c>
      <c r="E140" s="767">
        <v>24655.847950406402</v>
      </c>
      <c r="F140" s="767">
        <v>44738.4259357724</v>
      </c>
      <c r="G140" s="767">
        <v>244584.92867001859</v>
      </c>
      <c r="H140" s="767">
        <v>0</v>
      </c>
      <c r="I140" s="767">
        <v>165825.77976588</v>
      </c>
      <c r="J140" s="767">
        <v>0</v>
      </c>
      <c r="K140" s="767">
        <v>2887.0003112423656</v>
      </c>
      <c r="L140" s="767">
        <v>0</v>
      </c>
      <c r="M140" s="767">
        <v>0</v>
      </c>
      <c r="N140" s="767">
        <v>0</v>
      </c>
      <c r="O140" s="767">
        <f t="shared" si="15"/>
        <v>1590963.1394416061</v>
      </c>
    </row>
    <row r="141" spans="1:15" ht="12.5" x14ac:dyDescent="0.25">
      <c r="A141" s="762" t="s">
        <v>430</v>
      </c>
      <c r="B141" s="767">
        <f t="shared" ref="B141:O141" si="16">SUM(B123:B140)</f>
        <v>10098793.038814396</v>
      </c>
      <c r="C141" s="767">
        <f t="shared" si="16"/>
        <v>420383.80105432257</v>
      </c>
      <c r="D141" s="767">
        <f t="shared" si="16"/>
        <v>115964.30174385638</v>
      </c>
      <c r="E141" s="767">
        <f t="shared" si="16"/>
        <v>24655.847950406402</v>
      </c>
      <c r="F141" s="767">
        <f t="shared" si="16"/>
        <v>44738.4259357724</v>
      </c>
      <c r="G141" s="767">
        <f t="shared" si="16"/>
        <v>244584.92867001859</v>
      </c>
      <c r="H141" s="767">
        <f t="shared" si="16"/>
        <v>0</v>
      </c>
      <c r="I141" s="767">
        <f t="shared" si="16"/>
        <v>357357.20836762042</v>
      </c>
      <c r="J141" s="767">
        <f t="shared" si="16"/>
        <v>0</v>
      </c>
      <c r="K141" s="767">
        <f t="shared" si="16"/>
        <v>2887.0003112423656</v>
      </c>
      <c r="L141" s="767">
        <f t="shared" si="16"/>
        <v>0</v>
      </c>
      <c r="M141" s="767">
        <f t="shared" si="16"/>
        <v>0</v>
      </c>
      <c r="N141" s="767">
        <f t="shared" si="16"/>
        <v>-8333220.3282178678</v>
      </c>
      <c r="O141" s="767">
        <f t="shared" si="16"/>
        <v>2976144.2246297682</v>
      </c>
    </row>
    <row r="142" spans="1:15" ht="13" x14ac:dyDescent="0.2">
      <c r="A142" s="768" t="s">
        <v>431</v>
      </c>
      <c r="B142" s="769">
        <f t="shared" ref="B142:O142" si="17">B87+B91+B114+B117+B121+B141</f>
        <v>165667947.41969594</v>
      </c>
      <c r="C142" s="769">
        <f t="shared" si="17"/>
        <v>59440211.709076047</v>
      </c>
      <c r="D142" s="769">
        <f t="shared" si="17"/>
        <v>5428314.0694957068</v>
      </c>
      <c r="E142" s="769">
        <f t="shared" si="17"/>
        <v>656498.94040396123</v>
      </c>
      <c r="F142" s="769">
        <f t="shared" si="17"/>
        <v>2158162.5523947631</v>
      </c>
      <c r="G142" s="769">
        <f t="shared" si="17"/>
        <v>2053539.5140837287</v>
      </c>
      <c r="H142" s="769">
        <f t="shared" si="17"/>
        <v>241516.06295372138</v>
      </c>
      <c r="I142" s="769">
        <f t="shared" si="17"/>
        <v>3066424.9039863045</v>
      </c>
      <c r="J142" s="769">
        <f t="shared" si="17"/>
        <v>665018.82766830933</v>
      </c>
      <c r="K142" s="769">
        <f t="shared" si="17"/>
        <v>2582158.5306458524</v>
      </c>
      <c r="L142" s="769">
        <f t="shared" si="17"/>
        <v>337838.09503257321</v>
      </c>
      <c r="M142" s="769">
        <f t="shared" si="17"/>
        <v>0</v>
      </c>
      <c r="N142" s="769">
        <f t="shared" si="17"/>
        <v>-20258346.82286188</v>
      </c>
      <c r="O142" s="769">
        <f t="shared" si="17"/>
        <v>222039283.80257499</v>
      </c>
    </row>
    <row r="143" spans="1:15" ht="10.5" x14ac:dyDescent="0.2">
      <c r="A143" s="770"/>
      <c r="B143" s="771"/>
      <c r="C143" s="771"/>
      <c r="D143" s="771"/>
      <c r="E143" s="771"/>
      <c r="F143" s="771"/>
      <c r="G143" s="771"/>
      <c r="H143" s="771"/>
      <c r="I143" s="771"/>
      <c r="J143" s="771"/>
      <c r="K143" s="771"/>
      <c r="L143" s="771"/>
      <c r="M143" s="771"/>
      <c r="N143" s="771"/>
      <c r="O143" s="771"/>
    </row>
    <row r="144" spans="1:15" ht="13" x14ac:dyDescent="0.2">
      <c r="A144" s="768" t="s">
        <v>432</v>
      </c>
      <c r="B144" s="772"/>
      <c r="C144" s="772"/>
      <c r="D144" s="772"/>
      <c r="E144" s="772"/>
      <c r="F144" s="772"/>
      <c r="G144" s="772"/>
      <c r="H144" s="772"/>
      <c r="I144" s="772"/>
      <c r="J144" s="772"/>
      <c r="K144" s="772"/>
      <c r="L144" s="772"/>
      <c r="M144" s="772"/>
      <c r="N144" s="772"/>
      <c r="O144" s="772"/>
    </row>
    <row r="145" spans="1:15" ht="12.5" x14ac:dyDescent="0.25">
      <c r="A145" s="762" t="s">
        <v>433</v>
      </c>
      <c r="B145" s="763">
        <v>54309853.231499843</v>
      </c>
      <c r="C145" s="763">
        <v>42214493.615873948</v>
      </c>
      <c r="D145" s="763">
        <v>4850871.9146997035</v>
      </c>
      <c r="E145" s="763">
        <v>488880.69987745042</v>
      </c>
      <c r="F145" s="763">
        <v>877477.00861238607</v>
      </c>
      <c r="G145" s="763">
        <v>691250.19200957858</v>
      </c>
      <c r="H145" s="763">
        <v>126141.04608244621</v>
      </c>
      <c r="I145" s="763">
        <v>1342775.8924882878</v>
      </c>
      <c r="J145" s="763">
        <v>354523.38138881297</v>
      </c>
      <c r="K145" s="763">
        <v>2200239.3430563384</v>
      </c>
      <c r="L145" s="763">
        <v>265247.50232343219</v>
      </c>
      <c r="M145" s="763">
        <v>0</v>
      </c>
      <c r="N145" s="763">
        <v>-11921246.326604212</v>
      </c>
      <c r="O145" s="763">
        <v>95800507.501308024</v>
      </c>
    </row>
    <row r="146" spans="1:15" ht="12.5" x14ac:dyDescent="0.25">
      <c r="A146" s="764" t="s">
        <v>434</v>
      </c>
      <c r="B146" s="763"/>
      <c r="C146" s="763"/>
      <c r="D146" s="763"/>
      <c r="E146" s="763"/>
      <c r="F146" s="763"/>
      <c r="G146" s="763"/>
      <c r="H146" s="763"/>
      <c r="I146" s="763"/>
      <c r="J146" s="763"/>
      <c r="K146" s="763"/>
      <c r="L146" s="763"/>
      <c r="M146" s="763"/>
      <c r="N146" s="763"/>
      <c r="O146" s="763"/>
    </row>
    <row r="147" spans="1:15" ht="12.5" x14ac:dyDescent="0.25">
      <c r="A147" s="765" t="s">
        <v>435</v>
      </c>
      <c r="B147" s="767">
        <v>1556438.9382391667</v>
      </c>
      <c r="C147" s="767">
        <v>573758.86143898719</v>
      </c>
      <c r="D147" s="767">
        <v>9219.3011666108414</v>
      </c>
      <c r="E147" s="767">
        <v>716.4050426988</v>
      </c>
      <c r="F147" s="767">
        <v>8985.9053950769994</v>
      </c>
      <c r="G147" s="767">
        <v>29439.887347768468</v>
      </c>
      <c r="H147" s="767">
        <v>66652.984911804204</v>
      </c>
      <c r="I147" s="767">
        <v>26050.421780788802</v>
      </c>
      <c r="J147" s="767">
        <v>22852.874255855801</v>
      </c>
      <c r="K147" s="767">
        <v>140712.90840840212</v>
      </c>
      <c r="L147" s="767">
        <v>20.108335226200001</v>
      </c>
      <c r="M147" s="767">
        <v>0</v>
      </c>
      <c r="N147" s="767">
        <v>0</v>
      </c>
      <c r="O147" s="767">
        <f t="shared" ref="O147:O152" si="18">SUM(B147:N147)</f>
        <v>2434848.5963223856</v>
      </c>
    </row>
    <row r="148" spans="1:15" ht="12.5" x14ac:dyDescent="0.25">
      <c r="A148" s="765" t="s">
        <v>4381</v>
      </c>
      <c r="B148" s="767">
        <v>-154723.6019799106</v>
      </c>
      <c r="C148" s="767">
        <v>0</v>
      </c>
      <c r="D148" s="767">
        <v>0</v>
      </c>
      <c r="E148" s="767">
        <v>0</v>
      </c>
      <c r="F148" s="767">
        <v>0</v>
      </c>
      <c r="G148" s="767">
        <v>0</v>
      </c>
      <c r="H148" s="767">
        <v>0</v>
      </c>
      <c r="I148" s="767">
        <v>0</v>
      </c>
      <c r="J148" s="767">
        <v>0</v>
      </c>
      <c r="K148" s="767">
        <v>0</v>
      </c>
      <c r="L148" s="767">
        <v>0</v>
      </c>
      <c r="M148" s="767">
        <v>0</v>
      </c>
      <c r="N148" s="767">
        <v>0</v>
      </c>
      <c r="O148" s="767">
        <f t="shared" si="18"/>
        <v>-154723.6019799106</v>
      </c>
    </row>
    <row r="149" spans="1:15" ht="12.5" hidden="1" x14ac:dyDescent="0.25">
      <c r="A149" s="765" t="s">
        <v>436</v>
      </c>
      <c r="B149" s="767">
        <v>11685.993838726999</v>
      </c>
      <c r="C149" s="767">
        <v>12940.240032454121</v>
      </c>
      <c r="D149" s="767">
        <v>7157.405251645223</v>
      </c>
      <c r="E149" s="767">
        <v>7446.0203591565996</v>
      </c>
      <c r="F149" s="767">
        <v>1900.7517182316001</v>
      </c>
      <c r="G149" s="767">
        <v>2747.9842094123956</v>
      </c>
      <c r="H149" s="767">
        <v>280.96396267680001</v>
      </c>
      <c r="I149" s="767">
        <v>10142.777198442727</v>
      </c>
      <c r="J149" s="767">
        <v>2348.7287257667999</v>
      </c>
      <c r="K149" s="767">
        <v>301.53916060591752</v>
      </c>
      <c r="L149" s="767">
        <v>0</v>
      </c>
      <c r="M149" s="767">
        <v>0</v>
      </c>
      <c r="N149" s="767">
        <v>0</v>
      </c>
      <c r="O149" s="767">
        <f t="shared" si="18"/>
        <v>56952.404457119192</v>
      </c>
    </row>
    <row r="150" spans="1:15" ht="12.5" x14ac:dyDescent="0.25">
      <c r="A150" s="765" t="s">
        <v>437</v>
      </c>
      <c r="B150" s="767">
        <v>-782088.50516731478</v>
      </c>
      <c r="C150" s="767">
        <v>-62778.210157447749</v>
      </c>
      <c r="D150" s="767">
        <v>0</v>
      </c>
      <c r="E150" s="767">
        <v>0</v>
      </c>
      <c r="F150" s="767">
        <v>0</v>
      </c>
      <c r="G150" s="767">
        <v>0</v>
      </c>
      <c r="H150" s="767">
        <v>-59263.099861212002</v>
      </c>
      <c r="I150" s="767">
        <v>0</v>
      </c>
      <c r="J150" s="767">
        <v>-21240.868945600199</v>
      </c>
      <c r="K150" s="767">
        <v>0</v>
      </c>
      <c r="L150" s="767">
        <v>0</v>
      </c>
      <c r="M150" s="767">
        <v>0</v>
      </c>
      <c r="N150" s="767">
        <v>0</v>
      </c>
      <c r="O150" s="767">
        <f t="shared" si="18"/>
        <v>-925370.6841315747</v>
      </c>
    </row>
    <row r="151" spans="1:15" ht="12.5" x14ac:dyDescent="0.25">
      <c r="A151" s="765" t="s">
        <v>438</v>
      </c>
      <c r="B151" s="767">
        <v>1632125.9713717271</v>
      </c>
      <c r="C151" s="767">
        <v>8334469.0409028484</v>
      </c>
      <c r="D151" s="767">
        <v>509272.47205859516</v>
      </c>
      <c r="E151" s="767">
        <v>0</v>
      </c>
      <c r="F151" s="767">
        <v>1381.4945867060001</v>
      </c>
      <c r="G151" s="767">
        <v>15866.00429670107</v>
      </c>
      <c r="H151" s="767">
        <v>0</v>
      </c>
      <c r="I151" s="767">
        <v>50600.760125911795</v>
      </c>
      <c r="J151" s="767">
        <v>0</v>
      </c>
      <c r="K151" s="767">
        <v>1377530.5900444996</v>
      </c>
      <c r="L151" s="767">
        <v>0</v>
      </c>
      <c r="M151" s="767">
        <v>0</v>
      </c>
      <c r="N151" s="767">
        <v>-11921246.326604212</v>
      </c>
      <c r="O151" s="767">
        <f t="shared" si="18"/>
        <v>6.7827776074409485E-3</v>
      </c>
    </row>
    <row r="152" spans="1:15" ht="12.5" x14ac:dyDescent="0.25">
      <c r="A152" s="765" t="s">
        <v>4382</v>
      </c>
      <c r="B152" s="767">
        <v>0</v>
      </c>
      <c r="C152" s="767">
        <v>-0.14000000035112001</v>
      </c>
      <c r="D152" s="767">
        <v>0</v>
      </c>
      <c r="E152" s="767">
        <v>0</v>
      </c>
      <c r="F152" s="767">
        <v>0</v>
      </c>
      <c r="G152" s="767">
        <v>0</v>
      </c>
      <c r="H152" s="767">
        <v>0</v>
      </c>
      <c r="I152" s="767">
        <v>0</v>
      </c>
      <c r="J152" s="767">
        <v>0</v>
      </c>
      <c r="K152" s="767">
        <v>0</v>
      </c>
      <c r="L152" s="767">
        <v>0</v>
      </c>
      <c r="M152" s="767">
        <v>0</v>
      </c>
      <c r="N152" s="767">
        <v>0</v>
      </c>
      <c r="O152" s="767">
        <f t="shared" si="18"/>
        <v>-0.14000000035112001</v>
      </c>
    </row>
    <row r="153" spans="1:15" ht="12.5" x14ac:dyDescent="0.25">
      <c r="A153" s="764" t="s">
        <v>439</v>
      </c>
      <c r="B153" s="767">
        <f t="shared" ref="B153:O153" si="19">SUM(B147:B152)</f>
        <v>2263438.7963023954</v>
      </c>
      <c r="C153" s="767">
        <f t="shared" si="19"/>
        <v>8858389.7922168411</v>
      </c>
      <c r="D153" s="767">
        <f t="shared" si="19"/>
        <v>525649.1784768512</v>
      </c>
      <c r="E153" s="767">
        <f t="shared" si="19"/>
        <v>8162.4254018553993</v>
      </c>
      <c r="F153" s="767">
        <f t="shared" si="19"/>
        <v>12268.1517000146</v>
      </c>
      <c r="G153" s="767">
        <f t="shared" si="19"/>
        <v>48053.875853881938</v>
      </c>
      <c r="H153" s="767">
        <f t="shared" si="19"/>
        <v>7670.8490132690058</v>
      </c>
      <c r="I153" s="767">
        <f t="shared" si="19"/>
        <v>86793.959105143324</v>
      </c>
      <c r="J153" s="767">
        <f t="shared" si="19"/>
        <v>3960.7340360224007</v>
      </c>
      <c r="K153" s="767">
        <f t="shared" si="19"/>
        <v>1518545.0376135076</v>
      </c>
      <c r="L153" s="767">
        <f t="shared" si="19"/>
        <v>20.108335226200001</v>
      </c>
      <c r="M153" s="767">
        <f t="shared" si="19"/>
        <v>0</v>
      </c>
      <c r="N153" s="767">
        <f t="shared" si="19"/>
        <v>-11921246.326604212</v>
      </c>
      <c r="O153" s="767">
        <f t="shared" si="19"/>
        <v>1411706.5814507969</v>
      </c>
    </row>
    <row r="154" spans="1:15" ht="12.5" x14ac:dyDescent="0.25">
      <c r="A154" s="764" t="s">
        <v>440</v>
      </c>
      <c r="B154" s="763"/>
      <c r="C154" s="763"/>
      <c r="D154" s="763"/>
      <c r="E154" s="763"/>
      <c r="F154" s="763"/>
      <c r="G154" s="763"/>
      <c r="H154" s="763"/>
      <c r="I154" s="763"/>
      <c r="J154" s="763"/>
      <c r="K154" s="763"/>
      <c r="L154" s="763"/>
      <c r="M154" s="763"/>
      <c r="N154" s="763"/>
      <c r="O154" s="763"/>
    </row>
    <row r="155" spans="1:15" ht="12.5" x14ac:dyDescent="0.25">
      <c r="A155" s="765" t="s">
        <v>3868</v>
      </c>
      <c r="B155" s="767">
        <v>82714.780220714194</v>
      </c>
      <c r="C155" s="767">
        <v>0</v>
      </c>
      <c r="D155" s="767">
        <v>0</v>
      </c>
      <c r="E155" s="767">
        <v>0</v>
      </c>
      <c r="F155" s="767">
        <v>0</v>
      </c>
      <c r="G155" s="767">
        <v>0</v>
      </c>
      <c r="H155" s="767">
        <v>0</v>
      </c>
      <c r="I155" s="767">
        <v>0</v>
      </c>
      <c r="J155" s="767">
        <v>0</v>
      </c>
      <c r="K155" s="767">
        <v>0</v>
      </c>
      <c r="L155" s="767">
        <v>0</v>
      </c>
      <c r="M155" s="767">
        <v>0</v>
      </c>
      <c r="N155" s="767">
        <v>0</v>
      </c>
      <c r="O155" s="767">
        <f t="shared" ref="O155:O180" si="20">SUM(B155:N155)</f>
        <v>82714.780220714194</v>
      </c>
    </row>
    <row r="156" spans="1:15" ht="12.5" x14ac:dyDescent="0.25">
      <c r="A156" s="765" t="s">
        <v>441</v>
      </c>
      <c r="B156" s="767">
        <v>529218.83838233282</v>
      </c>
      <c r="C156" s="767">
        <v>800072.46200658171</v>
      </c>
      <c r="D156" s="767">
        <v>25964.93751902234</v>
      </c>
      <c r="E156" s="767">
        <v>206899.8678635876</v>
      </c>
      <c r="F156" s="767">
        <v>386123.80154323822</v>
      </c>
      <c r="G156" s="767">
        <v>42549.594714717918</v>
      </c>
      <c r="H156" s="767">
        <v>11987.884177755201</v>
      </c>
      <c r="I156" s="767">
        <v>12150.95214511089</v>
      </c>
      <c r="J156" s="767">
        <v>30700.585971314998</v>
      </c>
      <c r="K156" s="767">
        <v>29383.674478956251</v>
      </c>
      <c r="L156" s="767">
        <v>47930.002331130403</v>
      </c>
      <c r="M156" s="767">
        <v>0</v>
      </c>
      <c r="N156" s="767">
        <v>0</v>
      </c>
      <c r="O156" s="767">
        <f t="shared" si="20"/>
        <v>2122982.601133748</v>
      </c>
    </row>
    <row r="157" spans="1:15" ht="12.5" x14ac:dyDescent="0.25">
      <c r="A157" s="765" t="s">
        <v>442</v>
      </c>
      <c r="B157" s="767">
        <v>14128.6978024036</v>
      </c>
      <c r="C157" s="767">
        <v>0</v>
      </c>
      <c r="D157" s="767">
        <v>0</v>
      </c>
      <c r="E157" s="767">
        <v>0</v>
      </c>
      <c r="F157" s="767">
        <v>3345.6887105798</v>
      </c>
      <c r="G157" s="767">
        <v>6604.1062332334495</v>
      </c>
      <c r="H157" s="767">
        <v>0</v>
      </c>
      <c r="I157" s="767">
        <v>0</v>
      </c>
      <c r="J157" s="767">
        <v>14407.7714268046</v>
      </c>
      <c r="K157" s="767">
        <v>0</v>
      </c>
      <c r="L157" s="767">
        <v>2126.6747787141999</v>
      </c>
      <c r="M157" s="767">
        <v>0</v>
      </c>
      <c r="N157" s="767">
        <v>0</v>
      </c>
      <c r="O157" s="767">
        <f t="shared" si="20"/>
        <v>40612.938951735654</v>
      </c>
    </row>
    <row r="158" spans="1:15" ht="12.5" x14ac:dyDescent="0.25">
      <c r="A158" s="765" t="s">
        <v>443</v>
      </c>
      <c r="B158" s="767">
        <v>345988.26087216038</v>
      </c>
      <c r="C158" s="767">
        <v>147388.15036964949</v>
      </c>
      <c r="D158" s="767">
        <v>0</v>
      </c>
      <c r="E158" s="767">
        <v>11758.6447343326</v>
      </c>
      <c r="F158" s="767">
        <v>0</v>
      </c>
      <c r="G158" s="767">
        <v>19001.198329326464</v>
      </c>
      <c r="H158" s="767">
        <v>8464.3710139325995</v>
      </c>
      <c r="I158" s="767">
        <v>0</v>
      </c>
      <c r="J158" s="767">
        <v>0</v>
      </c>
      <c r="K158" s="767">
        <v>0</v>
      </c>
      <c r="L158" s="767">
        <v>22807.528246456201</v>
      </c>
      <c r="M158" s="767">
        <v>0</v>
      </c>
      <c r="N158" s="767">
        <v>0</v>
      </c>
      <c r="O158" s="767">
        <f t="shared" si="20"/>
        <v>555408.15356585768</v>
      </c>
    </row>
    <row r="159" spans="1:15" ht="12.5" x14ac:dyDescent="0.25">
      <c r="A159" s="765" t="s">
        <v>444</v>
      </c>
      <c r="B159" s="767">
        <v>1203634.9355855968</v>
      </c>
      <c r="C159" s="767">
        <v>2392930.6860014703</v>
      </c>
      <c r="D159" s="767">
        <v>153243.69686896927</v>
      </c>
      <c r="E159" s="767">
        <v>56079.670713276602</v>
      </c>
      <c r="F159" s="767">
        <v>100291.6982395926</v>
      </c>
      <c r="G159" s="767">
        <v>93249.347075346261</v>
      </c>
      <c r="H159" s="767">
        <v>3586.4360028042001</v>
      </c>
      <c r="I159" s="767">
        <v>149954.19952687001</v>
      </c>
      <c r="J159" s="767">
        <v>9751.4923967760005</v>
      </c>
      <c r="K159" s="767">
        <v>11386.814421660054</v>
      </c>
      <c r="L159" s="767">
        <v>12632.65534895</v>
      </c>
      <c r="M159" s="767">
        <v>0</v>
      </c>
      <c r="N159" s="767">
        <v>0</v>
      </c>
      <c r="O159" s="767">
        <f t="shared" si="20"/>
        <v>4186741.6321813129</v>
      </c>
    </row>
    <row r="160" spans="1:15" ht="12.5" x14ac:dyDescent="0.25">
      <c r="A160" s="765" t="s">
        <v>445</v>
      </c>
      <c r="B160" s="767">
        <v>0</v>
      </c>
      <c r="C160" s="767">
        <v>195.00000048906</v>
      </c>
      <c r="D160" s="767">
        <v>0</v>
      </c>
      <c r="E160" s="767">
        <v>0</v>
      </c>
      <c r="F160" s="767">
        <v>0</v>
      </c>
      <c r="G160" s="767">
        <v>0</v>
      </c>
      <c r="H160" s="767">
        <v>0</v>
      </c>
      <c r="I160" s="767">
        <v>0</v>
      </c>
      <c r="J160" s="767">
        <v>0</v>
      </c>
      <c r="K160" s="767">
        <v>0</v>
      </c>
      <c r="L160" s="767">
        <v>0</v>
      </c>
      <c r="M160" s="767">
        <v>0</v>
      </c>
      <c r="N160" s="767">
        <v>0</v>
      </c>
      <c r="O160" s="767">
        <f t="shared" si="20"/>
        <v>195.00000048906</v>
      </c>
    </row>
    <row r="161" spans="1:15" ht="12.5" x14ac:dyDescent="0.25">
      <c r="A161" s="765" t="s">
        <v>446</v>
      </c>
      <c r="B161" s="767">
        <v>0</v>
      </c>
      <c r="C161" s="767">
        <v>0</v>
      </c>
      <c r="D161" s="767">
        <v>0</v>
      </c>
      <c r="E161" s="767">
        <v>-229.2836618618</v>
      </c>
      <c r="F161" s="767">
        <v>0</v>
      </c>
      <c r="G161" s="767">
        <v>0</v>
      </c>
      <c r="H161" s="767">
        <v>0</v>
      </c>
      <c r="I161" s="767">
        <v>0</v>
      </c>
      <c r="J161" s="767">
        <v>0</v>
      </c>
      <c r="K161" s="767">
        <v>137118.47492160703</v>
      </c>
      <c r="L161" s="767">
        <v>19438.492199978798</v>
      </c>
      <c r="M161" s="767">
        <v>0</v>
      </c>
      <c r="N161" s="767">
        <v>0</v>
      </c>
      <c r="O161" s="767">
        <f t="shared" si="20"/>
        <v>156327.68345972404</v>
      </c>
    </row>
    <row r="162" spans="1:15" ht="12.5" x14ac:dyDescent="0.25">
      <c r="A162" s="765" t="s">
        <v>447</v>
      </c>
      <c r="B162" s="767">
        <v>235610.06028580281</v>
      </c>
      <c r="C162" s="767">
        <v>0</v>
      </c>
      <c r="D162" s="767">
        <v>0</v>
      </c>
      <c r="E162" s="767">
        <v>0</v>
      </c>
      <c r="F162" s="767">
        <v>50761.751177498401</v>
      </c>
      <c r="G162" s="767">
        <v>0</v>
      </c>
      <c r="H162" s="767">
        <v>0</v>
      </c>
      <c r="I162" s="767">
        <v>0</v>
      </c>
      <c r="J162" s="767">
        <v>0</v>
      </c>
      <c r="K162" s="767">
        <v>0</v>
      </c>
      <c r="L162" s="767">
        <v>0</v>
      </c>
      <c r="M162" s="767">
        <v>0</v>
      </c>
      <c r="N162" s="767">
        <v>0</v>
      </c>
      <c r="O162" s="767">
        <f t="shared" si="20"/>
        <v>286371.81146330119</v>
      </c>
    </row>
    <row r="163" spans="1:15" ht="12.5" x14ac:dyDescent="0.25">
      <c r="A163" s="765" t="s">
        <v>448</v>
      </c>
      <c r="B163" s="767">
        <v>-157291.62100027999</v>
      </c>
      <c r="C163" s="767">
        <v>43.490000109072923</v>
      </c>
      <c r="D163" s="767">
        <v>0</v>
      </c>
      <c r="E163" s="767">
        <v>0</v>
      </c>
      <c r="F163" s="767">
        <v>11175.978360994201</v>
      </c>
      <c r="G163" s="767">
        <v>0</v>
      </c>
      <c r="H163" s="767">
        <v>29479.648537344201</v>
      </c>
      <c r="I163" s="767">
        <v>70306.112589991229</v>
      </c>
      <c r="J163" s="767">
        <v>40387.884248982402</v>
      </c>
      <c r="K163" s="767">
        <v>0</v>
      </c>
      <c r="L163" s="767">
        <v>36683.219194367201</v>
      </c>
      <c r="M163" s="767">
        <v>0</v>
      </c>
      <c r="N163" s="767">
        <v>0</v>
      </c>
      <c r="O163" s="767">
        <f t="shared" si="20"/>
        <v>30784.711931508304</v>
      </c>
    </row>
    <row r="164" spans="1:15" ht="12.5" x14ac:dyDescent="0.25">
      <c r="A164" s="765" t="s">
        <v>449</v>
      </c>
      <c r="B164" s="767">
        <v>779784.21597294405</v>
      </c>
      <c r="C164" s="767">
        <v>255440.26064064418</v>
      </c>
      <c r="D164" s="767">
        <v>35228.50303241676</v>
      </c>
      <c r="E164" s="767">
        <v>0</v>
      </c>
      <c r="F164" s="767">
        <v>83420.263308930604</v>
      </c>
      <c r="G164" s="767">
        <v>18740.257836962981</v>
      </c>
      <c r="H164" s="767">
        <v>0</v>
      </c>
      <c r="I164" s="767">
        <v>0</v>
      </c>
      <c r="J164" s="767">
        <v>12701.912479347</v>
      </c>
      <c r="K164" s="767">
        <v>0</v>
      </c>
      <c r="L164" s="767">
        <v>17865.9960651484</v>
      </c>
      <c r="M164" s="767">
        <v>0</v>
      </c>
      <c r="N164" s="767">
        <v>0</v>
      </c>
      <c r="O164" s="767">
        <f t="shared" si="20"/>
        <v>1203181.4093363942</v>
      </c>
    </row>
    <row r="165" spans="1:15" ht="12.5" x14ac:dyDescent="0.25">
      <c r="A165" s="765" t="s">
        <v>450</v>
      </c>
      <c r="B165" s="767">
        <v>0</v>
      </c>
      <c r="C165" s="767">
        <v>0</v>
      </c>
      <c r="D165" s="767">
        <v>0</v>
      </c>
      <c r="E165" s="767">
        <v>0</v>
      </c>
      <c r="F165" s="767">
        <v>0</v>
      </c>
      <c r="G165" s="767">
        <v>0</v>
      </c>
      <c r="H165" s="767">
        <v>0</v>
      </c>
      <c r="I165" s="767">
        <v>0</v>
      </c>
      <c r="J165" s="767">
        <v>0</v>
      </c>
      <c r="K165" s="767">
        <v>1.0891001574960001E-2</v>
      </c>
      <c r="L165" s="767">
        <v>1.1054609799999999</v>
      </c>
      <c r="M165" s="767">
        <v>0</v>
      </c>
      <c r="N165" s="767">
        <v>0</v>
      </c>
      <c r="O165" s="767">
        <f t="shared" si="20"/>
        <v>1.1163519815749599</v>
      </c>
    </row>
    <row r="166" spans="1:15" ht="12.5" x14ac:dyDescent="0.25">
      <c r="A166" s="765" t="s">
        <v>451</v>
      </c>
      <c r="B166" s="767">
        <v>3495646.5155103933</v>
      </c>
      <c r="C166" s="767">
        <v>325658.42081675131</v>
      </c>
      <c r="D166" s="767">
        <v>157039.64573898035</v>
      </c>
      <c r="E166" s="767">
        <v>22294.682788614598</v>
      </c>
      <c r="F166" s="767">
        <v>0</v>
      </c>
      <c r="G166" s="767">
        <v>0</v>
      </c>
      <c r="H166" s="767">
        <v>38462.690788483</v>
      </c>
      <c r="I166" s="767">
        <v>358596.00372701744</v>
      </c>
      <c r="J166" s="767">
        <v>128920.9488088522</v>
      </c>
      <c r="K166" s="767">
        <v>59399.522589831839</v>
      </c>
      <c r="L166" s="767">
        <v>14707.9483013138</v>
      </c>
      <c r="M166" s="767">
        <v>0</v>
      </c>
      <c r="N166" s="767">
        <v>0</v>
      </c>
      <c r="O166" s="767">
        <f t="shared" si="20"/>
        <v>4600726.3790702373</v>
      </c>
    </row>
    <row r="167" spans="1:15" ht="12.5" x14ac:dyDescent="0.25">
      <c r="A167" s="765" t="s">
        <v>4365</v>
      </c>
      <c r="B167" s="767">
        <v>171391.66525408201</v>
      </c>
      <c r="C167" s="767">
        <v>0</v>
      </c>
      <c r="D167" s="767">
        <v>0</v>
      </c>
      <c r="E167" s="767">
        <v>0</v>
      </c>
      <c r="F167" s="767">
        <v>0</v>
      </c>
      <c r="G167" s="767">
        <v>0</v>
      </c>
      <c r="H167" s="767">
        <v>0</v>
      </c>
      <c r="I167" s="767">
        <v>0</v>
      </c>
      <c r="J167" s="767">
        <v>0</v>
      </c>
      <c r="K167" s="767">
        <v>0</v>
      </c>
      <c r="L167" s="767">
        <v>0</v>
      </c>
      <c r="M167" s="767">
        <v>0</v>
      </c>
      <c r="N167" s="767">
        <v>0</v>
      </c>
      <c r="O167" s="767">
        <f t="shared" si="20"/>
        <v>171391.66525408201</v>
      </c>
    </row>
    <row r="168" spans="1:15" ht="12.5" x14ac:dyDescent="0.25">
      <c r="A168" s="765" t="s">
        <v>452</v>
      </c>
      <c r="B168" s="767">
        <v>46826.409580186599</v>
      </c>
      <c r="C168" s="767">
        <v>0</v>
      </c>
      <c r="D168" s="767">
        <v>0</v>
      </c>
      <c r="E168" s="767">
        <v>0</v>
      </c>
      <c r="F168" s="767">
        <v>0</v>
      </c>
      <c r="G168" s="767">
        <v>0</v>
      </c>
      <c r="H168" s="767">
        <v>0</v>
      </c>
      <c r="I168" s="767">
        <v>0</v>
      </c>
      <c r="J168" s="767">
        <v>0</v>
      </c>
      <c r="K168" s="767">
        <v>0</v>
      </c>
      <c r="L168" s="767">
        <v>0</v>
      </c>
      <c r="M168" s="767">
        <v>0</v>
      </c>
      <c r="N168" s="767">
        <v>0</v>
      </c>
      <c r="O168" s="767">
        <f t="shared" si="20"/>
        <v>46826.409580186599</v>
      </c>
    </row>
    <row r="169" spans="1:15" ht="12.5" x14ac:dyDescent="0.25">
      <c r="A169" s="765" t="s">
        <v>4199</v>
      </c>
      <c r="B169" s="767">
        <v>6440.0287581370003</v>
      </c>
      <c r="C169" s="767">
        <v>0</v>
      </c>
      <c r="D169" s="767">
        <v>0</v>
      </c>
      <c r="E169" s="767">
        <v>0</v>
      </c>
      <c r="F169" s="767">
        <v>0</v>
      </c>
      <c r="G169" s="767">
        <v>0</v>
      </c>
      <c r="H169" s="767">
        <v>0</v>
      </c>
      <c r="I169" s="767">
        <v>0</v>
      </c>
      <c r="J169" s="767">
        <v>0</v>
      </c>
      <c r="K169" s="767">
        <v>0</v>
      </c>
      <c r="L169" s="767">
        <v>0</v>
      </c>
      <c r="M169" s="767">
        <v>0</v>
      </c>
      <c r="N169" s="767">
        <v>0</v>
      </c>
      <c r="O169" s="767">
        <f t="shared" si="20"/>
        <v>6440.0287581370003</v>
      </c>
    </row>
    <row r="170" spans="1:15" ht="12.5" x14ac:dyDescent="0.25">
      <c r="A170" s="765" t="s">
        <v>3869</v>
      </c>
      <c r="B170" s="767">
        <v>18793.842629491799</v>
      </c>
      <c r="C170" s="767">
        <v>0</v>
      </c>
      <c r="D170" s="767">
        <v>0</v>
      </c>
      <c r="E170" s="767">
        <v>0</v>
      </c>
      <c r="F170" s="767">
        <v>0</v>
      </c>
      <c r="G170" s="767">
        <v>0</v>
      </c>
      <c r="H170" s="767">
        <v>0</v>
      </c>
      <c r="I170" s="767">
        <v>0</v>
      </c>
      <c r="J170" s="767">
        <v>0</v>
      </c>
      <c r="K170" s="767">
        <v>0</v>
      </c>
      <c r="L170" s="767">
        <v>0</v>
      </c>
      <c r="M170" s="767">
        <v>0</v>
      </c>
      <c r="N170" s="767">
        <v>0</v>
      </c>
      <c r="O170" s="767">
        <f t="shared" si="20"/>
        <v>18793.842629491799</v>
      </c>
    </row>
    <row r="171" spans="1:15" ht="12.5" x14ac:dyDescent="0.25">
      <c r="A171" s="765" t="s">
        <v>454</v>
      </c>
      <c r="B171" s="767">
        <v>164364.9904630786</v>
      </c>
      <c r="C171" s="767">
        <v>0</v>
      </c>
      <c r="D171" s="767">
        <v>0</v>
      </c>
      <c r="E171" s="767">
        <v>0</v>
      </c>
      <c r="F171" s="767">
        <v>0</v>
      </c>
      <c r="G171" s="767">
        <v>0</v>
      </c>
      <c r="H171" s="767">
        <v>0</v>
      </c>
      <c r="I171" s="767">
        <v>0</v>
      </c>
      <c r="J171" s="767">
        <v>0</v>
      </c>
      <c r="K171" s="767">
        <v>0</v>
      </c>
      <c r="L171" s="767">
        <v>-1897.8885742934001</v>
      </c>
      <c r="M171" s="767">
        <v>0</v>
      </c>
      <c r="N171" s="767">
        <v>0</v>
      </c>
      <c r="O171" s="767">
        <f t="shared" si="20"/>
        <v>162467.1018887852</v>
      </c>
    </row>
    <row r="172" spans="1:15" ht="12.5" x14ac:dyDescent="0.25">
      <c r="A172" s="765" t="s">
        <v>4366</v>
      </c>
      <c r="B172" s="767">
        <v>77127.349298012006</v>
      </c>
      <c r="C172" s="767">
        <v>0</v>
      </c>
      <c r="D172" s="767">
        <v>0</v>
      </c>
      <c r="E172" s="767">
        <v>0</v>
      </c>
      <c r="F172" s="767">
        <v>0</v>
      </c>
      <c r="G172" s="767">
        <v>0</v>
      </c>
      <c r="H172" s="767">
        <v>0</v>
      </c>
      <c r="I172" s="767">
        <v>0</v>
      </c>
      <c r="J172" s="767">
        <v>0</v>
      </c>
      <c r="K172" s="767">
        <v>0</v>
      </c>
      <c r="L172" s="767">
        <v>0</v>
      </c>
      <c r="M172" s="767">
        <v>0</v>
      </c>
      <c r="N172" s="767">
        <v>0</v>
      </c>
      <c r="O172" s="767">
        <f t="shared" si="20"/>
        <v>77127.349298012006</v>
      </c>
    </row>
    <row r="173" spans="1:15" ht="12.5" x14ac:dyDescent="0.25">
      <c r="A173" s="765" t="s">
        <v>455</v>
      </c>
      <c r="B173" s="767">
        <v>1586596.9418522783</v>
      </c>
      <c r="C173" s="767">
        <v>38775.880097249908</v>
      </c>
      <c r="D173" s="767">
        <v>18844.755073572618</v>
      </c>
      <c r="E173" s="767">
        <v>0</v>
      </c>
      <c r="F173" s="767">
        <v>0</v>
      </c>
      <c r="G173" s="767">
        <v>0</v>
      </c>
      <c r="H173" s="767">
        <v>0</v>
      </c>
      <c r="I173" s="767">
        <v>0</v>
      </c>
      <c r="J173" s="767">
        <v>40506.964505748001</v>
      </c>
      <c r="K173" s="767">
        <v>0</v>
      </c>
      <c r="L173" s="767">
        <v>352.96263630419998</v>
      </c>
      <c r="M173" s="767">
        <v>0</v>
      </c>
      <c r="N173" s="767">
        <v>0</v>
      </c>
      <c r="O173" s="767">
        <f t="shared" si="20"/>
        <v>1685077.5041651528</v>
      </c>
    </row>
    <row r="174" spans="1:15" ht="12.5" hidden="1" x14ac:dyDescent="0.25">
      <c r="A174" s="765" t="s">
        <v>456</v>
      </c>
      <c r="B174" s="767">
        <v>0</v>
      </c>
      <c r="C174" s="767">
        <v>0</v>
      </c>
      <c r="D174" s="767">
        <v>0</v>
      </c>
      <c r="E174" s="767">
        <v>0</v>
      </c>
      <c r="F174" s="767">
        <v>0</v>
      </c>
      <c r="G174" s="767">
        <v>0</v>
      </c>
      <c r="H174" s="767">
        <v>0</v>
      </c>
      <c r="I174" s="767">
        <v>0</v>
      </c>
      <c r="J174" s="767">
        <v>0</v>
      </c>
      <c r="K174" s="767">
        <v>0</v>
      </c>
      <c r="L174" s="767">
        <v>11610.10394245</v>
      </c>
      <c r="M174" s="767">
        <v>0</v>
      </c>
      <c r="N174" s="767">
        <v>0</v>
      </c>
      <c r="O174" s="767">
        <f t="shared" si="20"/>
        <v>11610.10394245</v>
      </c>
    </row>
    <row r="175" spans="1:15" ht="12.5" x14ac:dyDescent="0.25">
      <c r="A175" s="765" t="s">
        <v>457</v>
      </c>
      <c r="B175" s="767">
        <v>-70114.680697625197</v>
      </c>
      <c r="C175" s="767">
        <v>0</v>
      </c>
      <c r="D175" s="767">
        <v>0</v>
      </c>
      <c r="E175" s="767">
        <v>0</v>
      </c>
      <c r="F175" s="767">
        <v>0</v>
      </c>
      <c r="G175" s="767">
        <v>0</v>
      </c>
      <c r="H175" s="767">
        <v>0</v>
      </c>
      <c r="I175" s="767">
        <v>0</v>
      </c>
      <c r="J175" s="767">
        <v>0</v>
      </c>
      <c r="K175" s="767">
        <v>0</v>
      </c>
      <c r="L175" s="767">
        <v>0</v>
      </c>
      <c r="M175" s="767">
        <v>0</v>
      </c>
      <c r="N175" s="767">
        <v>0</v>
      </c>
      <c r="O175" s="767">
        <f t="shared" si="20"/>
        <v>-70114.680697625197</v>
      </c>
    </row>
    <row r="176" spans="1:15" ht="12.5" x14ac:dyDescent="0.25">
      <c r="A176" s="765" t="s">
        <v>458</v>
      </c>
      <c r="B176" s="767">
        <v>0</v>
      </c>
      <c r="C176" s="767">
        <v>0</v>
      </c>
      <c r="D176" s="767">
        <v>0</v>
      </c>
      <c r="E176" s="767">
        <v>0</v>
      </c>
      <c r="F176" s="767">
        <v>0</v>
      </c>
      <c r="G176" s="767">
        <v>0</v>
      </c>
      <c r="H176" s="767">
        <v>0</v>
      </c>
      <c r="I176" s="767">
        <v>0</v>
      </c>
      <c r="J176" s="767">
        <v>57959.672928913598</v>
      </c>
      <c r="K176" s="767">
        <v>0</v>
      </c>
      <c r="L176" s="767">
        <v>12455.438899246201</v>
      </c>
      <c r="M176" s="767">
        <v>0</v>
      </c>
      <c r="N176" s="767">
        <v>0</v>
      </c>
      <c r="O176" s="767">
        <f t="shared" si="20"/>
        <v>70415.111828159803</v>
      </c>
    </row>
    <row r="177" spans="1:15" ht="12.5" x14ac:dyDescent="0.25">
      <c r="A177" s="765" t="s">
        <v>459</v>
      </c>
      <c r="B177" s="767">
        <v>0</v>
      </c>
      <c r="C177" s="767">
        <v>-4685.5300117513088</v>
      </c>
      <c r="D177" s="767">
        <v>65139.910842123936</v>
      </c>
      <c r="E177" s="767">
        <v>-9994.7048669857995</v>
      </c>
      <c r="F177" s="767">
        <v>0</v>
      </c>
      <c r="G177" s="767">
        <v>0</v>
      </c>
      <c r="H177" s="767">
        <v>-1.10546098E-2</v>
      </c>
      <c r="I177" s="767">
        <v>-73286.480464036853</v>
      </c>
      <c r="J177" s="767">
        <v>0</v>
      </c>
      <c r="K177" s="767">
        <v>0</v>
      </c>
      <c r="L177" s="767">
        <v>0</v>
      </c>
      <c r="M177" s="767">
        <v>0</v>
      </c>
      <c r="N177" s="767">
        <v>0</v>
      </c>
      <c r="O177" s="767">
        <f t="shared" si="20"/>
        <v>-22826.815555259825</v>
      </c>
    </row>
    <row r="178" spans="1:15" ht="12.5" x14ac:dyDescent="0.25">
      <c r="A178" s="765" t="s">
        <v>4260</v>
      </c>
      <c r="B178" s="767">
        <v>229.56002710679999</v>
      </c>
      <c r="C178" s="767">
        <v>0</v>
      </c>
      <c r="D178" s="767">
        <v>0</v>
      </c>
      <c r="E178" s="767">
        <v>0</v>
      </c>
      <c r="F178" s="767">
        <v>0</v>
      </c>
      <c r="G178" s="767">
        <v>0</v>
      </c>
      <c r="H178" s="767">
        <v>0</v>
      </c>
      <c r="I178" s="767">
        <v>0</v>
      </c>
      <c r="J178" s="767">
        <v>0</v>
      </c>
      <c r="K178" s="767">
        <v>0</v>
      </c>
      <c r="L178" s="767">
        <v>0</v>
      </c>
      <c r="M178" s="767">
        <v>0</v>
      </c>
      <c r="N178" s="767">
        <v>0</v>
      </c>
      <c r="O178" s="767">
        <f t="shared" si="20"/>
        <v>229.56002710679999</v>
      </c>
    </row>
    <row r="179" spans="1:15" ht="12.5" x14ac:dyDescent="0.25">
      <c r="A179" s="765" t="s">
        <v>4402</v>
      </c>
      <c r="B179" s="767">
        <v>49229.095856387197</v>
      </c>
      <c r="C179" s="767">
        <v>0</v>
      </c>
      <c r="D179" s="767">
        <v>0</v>
      </c>
      <c r="E179" s="767">
        <v>0</v>
      </c>
      <c r="F179" s="767">
        <v>0</v>
      </c>
      <c r="G179" s="767">
        <v>0</v>
      </c>
      <c r="H179" s="767">
        <v>0</v>
      </c>
      <c r="I179" s="767">
        <v>0</v>
      </c>
      <c r="J179" s="767">
        <v>0</v>
      </c>
      <c r="K179" s="767">
        <v>0</v>
      </c>
      <c r="L179" s="767">
        <v>0</v>
      </c>
      <c r="M179" s="767">
        <v>0</v>
      </c>
      <c r="N179" s="767">
        <v>0</v>
      </c>
      <c r="O179" s="767">
        <f t="shared" si="20"/>
        <v>49229.095856387197</v>
      </c>
    </row>
    <row r="180" spans="1:15" ht="12.5" x14ac:dyDescent="0.25">
      <c r="A180" s="765" t="s">
        <v>4403</v>
      </c>
      <c r="B180" s="767">
        <v>246145.73353796141</v>
      </c>
      <c r="C180" s="767">
        <v>0</v>
      </c>
      <c r="D180" s="767">
        <v>0</v>
      </c>
      <c r="E180" s="767">
        <v>0</v>
      </c>
      <c r="F180" s="767">
        <v>0</v>
      </c>
      <c r="G180" s="767">
        <v>0</v>
      </c>
      <c r="H180" s="767">
        <v>0</v>
      </c>
      <c r="I180" s="767">
        <v>0</v>
      </c>
      <c r="J180" s="767">
        <v>0</v>
      </c>
      <c r="K180" s="767">
        <v>0</v>
      </c>
      <c r="L180" s="767">
        <v>0</v>
      </c>
      <c r="M180" s="767">
        <v>0</v>
      </c>
      <c r="N180" s="767">
        <v>0</v>
      </c>
      <c r="O180" s="767">
        <f t="shared" si="20"/>
        <v>246145.73353796141</v>
      </c>
    </row>
    <row r="181" spans="1:15" ht="12.5" x14ac:dyDescent="0.25">
      <c r="A181" s="764" t="s">
        <v>461</v>
      </c>
      <c r="B181" s="767">
        <f t="shared" ref="B181:O181" si="21">SUM(B155:B180)</f>
        <v>8826465.6201911643</v>
      </c>
      <c r="C181" s="767">
        <f t="shared" si="21"/>
        <v>3955818.8199211936</v>
      </c>
      <c r="D181" s="767">
        <f t="shared" si="21"/>
        <v>455461.44907508523</v>
      </c>
      <c r="E181" s="767">
        <f t="shared" si="21"/>
        <v>286808.87757096381</v>
      </c>
      <c r="F181" s="767">
        <f t="shared" si="21"/>
        <v>635119.18134083389</v>
      </c>
      <c r="G181" s="767">
        <f t="shared" si="21"/>
        <v>180144.50418958708</v>
      </c>
      <c r="H181" s="767">
        <f t="shared" si="21"/>
        <v>91981.019465709396</v>
      </c>
      <c r="I181" s="767">
        <f t="shared" si="21"/>
        <v>517720.78752495273</v>
      </c>
      <c r="J181" s="767">
        <f t="shared" si="21"/>
        <v>335337.2327667388</v>
      </c>
      <c r="K181" s="767">
        <f t="shared" si="21"/>
        <v>237288.49730305676</v>
      </c>
      <c r="L181" s="767">
        <f t="shared" si="21"/>
        <v>196714.23883074601</v>
      </c>
      <c r="M181" s="767">
        <f t="shared" si="21"/>
        <v>0</v>
      </c>
      <c r="N181" s="767">
        <f t="shared" si="21"/>
        <v>0</v>
      </c>
      <c r="O181" s="767">
        <f t="shared" si="21"/>
        <v>15718860.22818003</v>
      </c>
    </row>
    <row r="182" spans="1:15" ht="12.5" x14ac:dyDescent="0.25">
      <c r="A182" s="764" t="s">
        <v>462</v>
      </c>
      <c r="B182" s="763"/>
      <c r="C182" s="763"/>
      <c r="D182" s="763"/>
      <c r="E182" s="763"/>
      <c r="F182" s="763"/>
      <c r="G182" s="763"/>
      <c r="H182" s="763"/>
      <c r="I182" s="763"/>
      <c r="J182" s="763"/>
      <c r="K182" s="763"/>
      <c r="L182" s="763"/>
      <c r="M182" s="763"/>
      <c r="N182" s="763"/>
      <c r="O182" s="763"/>
    </row>
    <row r="183" spans="1:15" ht="12.5" x14ac:dyDescent="0.25">
      <c r="A183" s="765" t="s">
        <v>463</v>
      </c>
      <c r="B183" s="767">
        <v>126960.31426933401</v>
      </c>
      <c r="C183" s="767">
        <v>796842.00199847971</v>
      </c>
      <c r="D183" s="767">
        <v>0</v>
      </c>
      <c r="E183" s="767">
        <v>0</v>
      </c>
      <c r="F183" s="767">
        <v>0</v>
      </c>
      <c r="G183" s="767">
        <v>0</v>
      </c>
      <c r="H183" s="767">
        <v>0</v>
      </c>
      <c r="I183" s="767">
        <v>0</v>
      </c>
      <c r="J183" s="767">
        <v>0</v>
      </c>
      <c r="K183" s="767">
        <v>30900.774661845815</v>
      </c>
      <c r="L183" s="767">
        <v>0</v>
      </c>
      <c r="M183" s="767">
        <v>0</v>
      </c>
      <c r="N183" s="767">
        <v>0</v>
      </c>
      <c r="O183" s="767">
        <f t="shared" ref="O183:O198" si="22">SUM(B183:N183)</f>
        <v>954703.09092965943</v>
      </c>
    </row>
    <row r="184" spans="1:15" ht="12.5" x14ac:dyDescent="0.25">
      <c r="A184" s="765" t="s">
        <v>464</v>
      </c>
      <c r="B184" s="767">
        <v>397700.23314423743</v>
      </c>
      <c r="C184" s="767">
        <v>225688.54056602684</v>
      </c>
      <c r="D184" s="767">
        <v>0</v>
      </c>
      <c r="E184" s="767">
        <v>0</v>
      </c>
      <c r="F184" s="767">
        <v>0</v>
      </c>
      <c r="G184" s="767">
        <v>0</v>
      </c>
      <c r="H184" s="767">
        <v>0</v>
      </c>
      <c r="I184" s="767">
        <v>0</v>
      </c>
      <c r="J184" s="767">
        <v>0</v>
      </c>
      <c r="K184" s="767">
        <v>219428.77673759247</v>
      </c>
      <c r="L184" s="767">
        <v>0</v>
      </c>
      <c r="M184" s="767">
        <v>0</v>
      </c>
      <c r="N184" s="767">
        <v>0</v>
      </c>
      <c r="O184" s="767">
        <f t="shared" si="22"/>
        <v>842817.55044785677</v>
      </c>
    </row>
    <row r="185" spans="1:15" ht="12.5" x14ac:dyDescent="0.25">
      <c r="A185" s="765" t="s">
        <v>465</v>
      </c>
      <c r="B185" s="767">
        <v>0</v>
      </c>
      <c r="C185" s="767">
        <v>739186.26185387908</v>
      </c>
      <c r="D185" s="767">
        <v>25208.775682945034</v>
      </c>
      <c r="E185" s="767">
        <v>31222.031915580999</v>
      </c>
      <c r="F185" s="767">
        <v>0</v>
      </c>
      <c r="G185" s="767">
        <v>0</v>
      </c>
      <c r="H185" s="767">
        <v>2950.5306286690002</v>
      </c>
      <c r="I185" s="767">
        <v>30188.614809407496</v>
      </c>
      <c r="J185" s="767">
        <v>0</v>
      </c>
      <c r="K185" s="767">
        <v>0</v>
      </c>
      <c r="L185" s="767">
        <v>0</v>
      </c>
      <c r="M185" s="767">
        <v>0</v>
      </c>
      <c r="N185" s="767">
        <v>0</v>
      </c>
      <c r="O185" s="767">
        <f t="shared" si="22"/>
        <v>828756.21489048155</v>
      </c>
    </row>
    <row r="186" spans="1:15" ht="12.5" x14ac:dyDescent="0.25">
      <c r="A186" s="765" t="s">
        <v>466</v>
      </c>
      <c r="B186" s="767">
        <v>2736212.542789903</v>
      </c>
      <c r="C186" s="767">
        <v>0</v>
      </c>
      <c r="D186" s="767">
        <v>0</v>
      </c>
      <c r="E186" s="767">
        <v>0</v>
      </c>
      <c r="F186" s="767">
        <v>34119.389871111998</v>
      </c>
      <c r="G186" s="767">
        <v>59290.624215028547</v>
      </c>
      <c r="H186" s="767">
        <v>0</v>
      </c>
      <c r="I186" s="767">
        <v>0</v>
      </c>
      <c r="J186" s="767">
        <v>9428.2556062240001</v>
      </c>
      <c r="K186" s="767">
        <v>86177.034846908035</v>
      </c>
      <c r="L186" s="767">
        <v>49745.744100000004</v>
      </c>
      <c r="M186" s="767">
        <v>0</v>
      </c>
      <c r="N186" s="767">
        <v>0</v>
      </c>
      <c r="O186" s="767">
        <f t="shared" si="22"/>
        <v>2974973.5914291753</v>
      </c>
    </row>
    <row r="187" spans="1:15" ht="12.5" x14ac:dyDescent="0.25">
      <c r="A187" s="765" t="s">
        <v>240</v>
      </c>
      <c r="B187" s="767">
        <v>103089.0561948728</v>
      </c>
      <c r="C187" s="767">
        <v>0</v>
      </c>
      <c r="D187" s="767">
        <v>92705.142233831051</v>
      </c>
      <c r="E187" s="767">
        <v>36496.1420327218</v>
      </c>
      <c r="F187" s="767">
        <v>66247.601315828404</v>
      </c>
      <c r="G187" s="767">
        <v>100562.30048568361</v>
      </c>
      <c r="H187" s="767">
        <v>23538.646974798801</v>
      </c>
      <c r="I187" s="767">
        <v>3262.5169535726204</v>
      </c>
      <c r="J187" s="767">
        <v>5797.1589798278001</v>
      </c>
      <c r="K187" s="767">
        <v>0</v>
      </c>
      <c r="L187" s="767">
        <v>18767.411057460002</v>
      </c>
      <c r="M187" s="767">
        <v>0</v>
      </c>
      <c r="N187" s="767">
        <v>0</v>
      </c>
      <c r="O187" s="767">
        <f t="shared" si="22"/>
        <v>450465.97622859688</v>
      </c>
    </row>
    <row r="188" spans="1:15" ht="12.5" x14ac:dyDescent="0.25">
      <c r="A188" s="765" t="s">
        <v>468</v>
      </c>
      <c r="B188" s="767">
        <v>0</v>
      </c>
      <c r="C188" s="767">
        <v>157280.90039446051</v>
      </c>
      <c r="D188" s="767">
        <v>8535.9547470327598</v>
      </c>
      <c r="E188" s="767">
        <v>0</v>
      </c>
      <c r="F188" s="767">
        <v>0</v>
      </c>
      <c r="G188" s="767">
        <v>0</v>
      </c>
      <c r="H188" s="767">
        <v>0</v>
      </c>
      <c r="I188" s="767">
        <v>0</v>
      </c>
      <c r="J188" s="767">
        <v>0</v>
      </c>
      <c r="K188" s="767">
        <v>0</v>
      </c>
      <c r="L188" s="767">
        <v>0</v>
      </c>
      <c r="M188" s="767">
        <v>0</v>
      </c>
      <c r="N188" s="767">
        <v>0</v>
      </c>
      <c r="O188" s="767">
        <f t="shared" si="22"/>
        <v>165816.85514149326</v>
      </c>
    </row>
    <row r="189" spans="1:15" ht="12.5" x14ac:dyDescent="0.25">
      <c r="A189" s="765" t="s">
        <v>470</v>
      </c>
      <c r="B189" s="767">
        <v>397361.79626521037</v>
      </c>
      <c r="C189" s="767">
        <v>0</v>
      </c>
      <c r="D189" s="767">
        <v>1870.9516739384223</v>
      </c>
      <c r="E189" s="767">
        <v>0</v>
      </c>
      <c r="F189" s="767">
        <v>1857.1744464000001</v>
      </c>
      <c r="G189" s="767">
        <v>0</v>
      </c>
      <c r="H189" s="767">
        <v>0</v>
      </c>
      <c r="I189" s="767">
        <v>0</v>
      </c>
      <c r="J189" s="767">
        <v>0</v>
      </c>
      <c r="K189" s="767">
        <v>0</v>
      </c>
      <c r="L189" s="767">
        <v>0</v>
      </c>
      <c r="M189" s="767">
        <v>0</v>
      </c>
      <c r="N189" s="767">
        <v>0</v>
      </c>
      <c r="O189" s="767">
        <f t="shared" si="22"/>
        <v>401089.92238554882</v>
      </c>
    </row>
    <row r="190" spans="1:15" ht="12.5" x14ac:dyDescent="0.25">
      <c r="A190" s="765" t="s">
        <v>471</v>
      </c>
      <c r="B190" s="767">
        <v>2432472.0047740866</v>
      </c>
      <c r="C190" s="767">
        <v>0</v>
      </c>
      <c r="D190" s="767">
        <v>0</v>
      </c>
      <c r="E190" s="767">
        <v>0</v>
      </c>
      <c r="F190" s="767">
        <v>0</v>
      </c>
      <c r="G190" s="767">
        <v>0</v>
      </c>
      <c r="H190" s="767">
        <v>0</v>
      </c>
      <c r="I190" s="767">
        <v>0</v>
      </c>
      <c r="J190" s="767">
        <v>0</v>
      </c>
      <c r="K190" s="767">
        <v>-55232.521922737185</v>
      </c>
      <c r="L190" s="767">
        <v>0</v>
      </c>
      <c r="M190" s="767">
        <v>0</v>
      </c>
      <c r="N190" s="767">
        <v>0</v>
      </c>
      <c r="O190" s="767">
        <f t="shared" si="22"/>
        <v>2377239.4828513493</v>
      </c>
    </row>
    <row r="191" spans="1:15" ht="12.5" x14ac:dyDescent="0.25">
      <c r="A191" s="765" t="s">
        <v>472</v>
      </c>
      <c r="B191" s="767">
        <v>397866.22916499421</v>
      </c>
      <c r="C191" s="767">
        <v>0</v>
      </c>
      <c r="D191" s="767">
        <v>0</v>
      </c>
      <c r="E191" s="767">
        <v>0</v>
      </c>
      <c r="F191" s="767">
        <v>0</v>
      </c>
      <c r="G191" s="767">
        <v>0</v>
      </c>
      <c r="H191" s="767">
        <v>0</v>
      </c>
      <c r="I191" s="767">
        <v>0</v>
      </c>
      <c r="J191" s="767">
        <v>0</v>
      </c>
      <c r="K191" s="767">
        <v>0</v>
      </c>
      <c r="L191" s="767">
        <v>0</v>
      </c>
      <c r="M191" s="767">
        <v>0</v>
      </c>
      <c r="N191" s="767">
        <v>0</v>
      </c>
      <c r="O191" s="767">
        <f t="shared" si="22"/>
        <v>397866.22916499421</v>
      </c>
    </row>
    <row r="192" spans="1:15" ht="12.5" x14ac:dyDescent="0.25">
      <c r="A192" s="765" t="s">
        <v>473</v>
      </c>
      <c r="B192" s="767">
        <v>299032.26915589819</v>
      </c>
      <c r="C192" s="767">
        <v>0</v>
      </c>
      <c r="D192" s="767">
        <v>0</v>
      </c>
      <c r="E192" s="767">
        <v>0</v>
      </c>
      <c r="F192" s="767">
        <v>0</v>
      </c>
      <c r="G192" s="767">
        <v>0</v>
      </c>
      <c r="H192" s="767">
        <v>0</v>
      </c>
      <c r="I192" s="767">
        <v>0</v>
      </c>
      <c r="J192" s="767">
        <v>0</v>
      </c>
      <c r="K192" s="767">
        <v>0</v>
      </c>
      <c r="L192" s="767">
        <v>0</v>
      </c>
      <c r="M192" s="767">
        <v>0</v>
      </c>
      <c r="N192" s="767">
        <v>0</v>
      </c>
      <c r="O192" s="767">
        <f t="shared" si="22"/>
        <v>299032.26915589819</v>
      </c>
    </row>
    <row r="193" spans="1:15" ht="12.5" x14ac:dyDescent="0.25">
      <c r="A193" s="765" t="s">
        <v>474</v>
      </c>
      <c r="B193" s="767">
        <v>298174.88467442</v>
      </c>
      <c r="C193" s="767">
        <v>0</v>
      </c>
      <c r="D193" s="767">
        <v>0</v>
      </c>
      <c r="E193" s="767">
        <v>0</v>
      </c>
      <c r="F193" s="767">
        <v>0</v>
      </c>
      <c r="G193" s="767">
        <v>0</v>
      </c>
      <c r="H193" s="767">
        <v>0</v>
      </c>
      <c r="I193" s="767">
        <v>0</v>
      </c>
      <c r="J193" s="767">
        <v>0</v>
      </c>
      <c r="K193" s="767">
        <v>-10854.666470955539</v>
      </c>
      <c r="L193" s="767">
        <v>0</v>
      </c>
      <c r="M193" s="767">
        <v>0</v>
      </c>
      <c r="N193" s="767">
        <v>0</v>
      </c>
      <c r="O193" s="767">
        <f t="shared" si="22"/>
        <v>287320.21820346446</v>
      </c>
    </row>
    <row r="194" spans="1:15" ht="12.5" hidden="1" x14ac:dyDescent="0.25">
      <c r="A194" s="765" t="s">
        <v>475</v>
      </c>
      <c r="B194" s="767">
        <v>-24076.807489082399</v>
      </c>
      <c r="C194" s="767">
        <v>0</v>
      </c>
      <c r="D194" s="767">
        <v>0</v>
      </c>
      <c r="E194" s="767">
        <v>0</v>
      </c>
      <c r="F194" s="767">
        <v>0</v>
      </c>
      <c r="G194" s="767">
        <v>0</v>
      </c>
      <c r="H194" s="767">
        <v>0</v>
      </c>
      <c r="I194" s="767">
        <v>0</v>
      </c>
      <c r="J194" s="767">
        <v>0</v>
      </c>
      <c r="K194" s="767">
        <v>0</v>
      </c>
      <c r="L194" s="767">
        <v>0</v>
      </c>
      <c r="M194" s="767">
        <v>0</v>
      </c>
      <c r="N194" s="767">
        <v>0</v>
      </c>
      <c r="O194" s="767">
        <f t="shared" si="22"/>
        <v>-24076.807489082399</v>
      </c>
    </row>
    <row r="195" spans="1:15" ht="12.5" x14ac:dyDescent="0.25">
      <c r="A195" s="765" t="s">
        <v>476</v>
      </c>
      <c r="B195" s="767">
        <v>0</v>
      </c>
      <c r="C195" s="767">
        <v>0</v>
      </c>
      <c r="D195" s="767">
        <v>0</v>
      </c>
      <c r="E195" s="767">
        <v>0</v>
      </c>
      <c r="F195" s="767">
        <v>0</v>
      </c>
      <c r="G195" s="767">
        <v>0</v>
      </c>
      <c r="H195" s="767">
        <v>0</v>
      </c>
      <c r="I195" s="767">
        <v>0</v>
      </c>
      <c r="J195" s="767">
        <v>0</v>
      </c>
      <c r="K195" s="767">
        <v>63849.368013328996</v>
      </c>
      <c r="L195" s="767">
        <v>0</v>
      </c>
      <c r="M195" s="767">
        <v>0</v>
      </c>
      <c r="N195" s="767">
        <v>0</v>
      </c>
      <c r="O195" s="767">
        <f t="shared" si="22"/>
        <v>63849.368013328996</v>
      </c>
    </row>
    <row r="196" spans="1:15" ht="12.5" x14ac:dyDescent="0.25">
      <c r="A196" s="765" t="s">
        <v>477</v>
      </c>
      <c r="B196" s="767">
        <v>0</v>
      </c>
      <c r="C196" s="767">
        <v>0</v>
      </c>
      <c r="D196" s="767">
        <v>272629.17601340241</v>
      </c>
      <c r="E196" s="767">
        <v>0</v>
      </c>
      <c r="F196" s="767">
        <v>0</v>
      </c>
      <c r="G196" s="767">
        <v>0</v>
      </c>
      <c r="H196" s="767">
        <v>0</v>
      </c>
      <c r="I196" s="767">
        <v>20799.057475997775</v>
      </c>
      <c r="J196" s="767">
        <v>0</v>
      </c>
      <c r="K196" s="767">
        <v>0</v>
      </c>
      <c r="L196" s="767">
        <v>0</v>
      </c>
      <c r="M196" s="767">
        <v>0</v>
      </c>
      <c r="N196" s="767">
        <v>0</v>
      </c>
      <c r="O196" s="767">
        <f t="shared" si="22"/>
        <v>293428.23348940018</v>
      </c>
    </row>
    <row r="197" spans="1:15" ht="12.5" hidden="1" x14ac:dyDescent="0.25">
      <c r="A197" s="765" t="s">
        <v>478</v>
      </c>
      <c r="B197" s="767">
        <v>0</v>
      </c>
      <c r="C197" s="767">
        <v>0</v>
      </c>
      <c r="D197" s="767">
        <v>32446.619026324162</v>
      </c>
      <c r="E197" s="767">
        <v>0</v>
      </c>
      <c r="F197" s="767">
        <v>0</v>
      </c>
      <c r="G197" s="767">
        <v>0</v>
      </c>
      <c r="H197" s="767">
        <v>0</v>
      </c>
      <c r="I197" s="767">
        <v>0</v>
      </c>
      <c r="J197" s="767">
        <v>0</v>
      </c>
      <c r="K197" s="767">
        <v>0</v>
      </c>
      <c r="L197" s="767">
        <v>0</v>
      </c>
      <c r="M197" s="767">
        <v>0</v>
      </c>
      <c r="N197" s="767">
        <v>0</v>
      </c>
      <c r="O197" s="767">
        <f t="shared" si="22"/>
        <v>32446.619026324162</v>
      </c>
    </row>
    <row r="198" spans="1:15" ht="12.5" x14ac:dyDescent="0.25">
      <c r="A198" s="765" t="s">
        <v>479</v>
      </c>
      <c r="B198" s="767">
        <v>0</v>
      </c>
      <c r="C198" s="767">
        <v>0</v>
      </c>
      <c r="D198" s="767">
        <v>0</v>
      </c>
      <c r="E198" s="767">
        <v>0</v>
      </c>
      <c r="F198" s="767">
        <v>0</v>
      </c>
      <c r="G198" s="767">
        <v>0</v>
      </c>
      <c r="H198" s="767">
        <v>0</v>
      </c>
      <c r="I198" s="767">
        <v>1945.9072462024667</v>
      </c>
      <c r="J198" s="767">
        <v>0</v>
      </c>
      <c r="K198" s="767">
        <v>0</v>
      </c>
      <c r="L198" s="767">
        <v>0</v>
      </c>
      <c r="M198" s="767">
        <v>0</v>
      </c>
      <c r="N198" s="767">
        <v>0</v>
      </c>
      <c r="O198" s="767">
        <f t="shared" si="22"/>
        <v>1945.9072462024667</v>
      </c>
    </row>
    <row r="199" spans="1:15" ht="12.5" x14ac:dyDescent="0.25">
      <c r="A199" s="764" t="s">
        <v>480</v>
      </c>
      <c r="B199" s="767">
        <f t="shared" ref="B199:O199" si="23">SUM(B183:B198)</f>
        <v>7164792.5229438739</v>
      </c>
      <c r="C199" s="767">
        <f t="shared" si="23"/>
        <v>1918997.7048128459</v>
      </c>
      <c r="D199" s="767">
        <f t="shared" si="23"/>
        <v>433396.61937747389</v>
      </c>
      <c r="E199" s="767">
        <f t="shared" si="23"/>
        <v>67718.173948302807</v>
      </c>
      <c r="F199" s="767">
        <f t="shared" si="23"/>
        <v>102224.1656333404</v>
      </c>
      <c r="G199" s="767">
        <f t="shared" si="23"/>
        <v>159852.92470071214</v>
      </c>
      <c r="H199" s="767">
        <f t="shared" si="23"/>
        <v>26489.177603467801</v>
      </c>
      <c r="I199" s="767">
        <f t="shared" si="23"/>
        <v>56196.096485180358</v>
      </c>
      <c r="J199" s="767">
        <f t="shared" si="23"/>
        <v>15225.4145860518</v>
      </c>
      <c r="K199" s="767">
        <f t="shared" si="23"/>
        <v>334268.76586598263</v>
      </c>
      <c r="L199" s="767">
        <f t="shared" si="23"/>
        <v>68513.155157460002</v>
      </c>
      <c r="M199" s="767">
        <f t="shared" si="23"/>
        <v>0</v>
      </c>
      <c r="N199" s="767">
        <f t="shared" si="23"/>
        <v>0</v>
      </c>
      <c r="O199" s="767">
        <f t="shared" si="23"/>
        <v>10347674.721114691</v>
      </c>
    </row>
    <row r="200" spans="1:15" ht="12.5" x14ac:dyDescent="0.25">
      <c r="A200" s="764" t="s">
        <v>4250</v>
      </c>
      <c r="B200" s="763"/>
      <c r="C200" s="763"/>
      <c r="D200" s="763"/>
      <c r="E200" s="763"/>
      <c r="F200" s="763"/>
      <c r="G200" s="763"/>
      <c r="H200" s="763"/>
      <c r="I200" s="763"/>
      <c r="J200" s="763"/>
      <c r="K200" s="763"/>
      <c r="L200" s="763"/>
      <c r="M200" s="763"/>
      <c r="N200" s="763"/>
      <c r="O200" s="763"/>
    </row>
    <row r="201" spans="1:15" ht="12.5" x14ac:dyDescent="0.25">
      <c r="A201" s="765" t="s">
        <v>481</v>
      </c>
      <c r="B201" s="767">
        <v>1652575.1202180609</v>
      </c>
      <c r="C201" s="767">
        <v>1523070.6638198611</v>
      </c>
      <c r="D201" s="767">
        <v>58422.741500492841</v>
      </c>
      <c r="E201" s="767">
        <v>126191.22295632841</v>
      </c>
      <c r="F201" s="767">
        <v>127865.5099381972</v>
      </c>
      <c r="G201" s="767">
        <v>303198.88726539741</v>
      </c>
      <c r="H201" s="767">
        <v>0</v>
      </c>
      <c r="I201" s="767">
        <v>682065.04937301134</v>
      </c>
      <c r="J201" s="767">
        <v>0</v>
      </c>
      <c r="K201" s="767">
        <v>0</v>
      </c>
      <c r="L201" s="767">
        <v>0</v>
      </c>
      <c r="M201" s="767">
        <v>0</v>
      </c>
      <c r="N201" s="767">
        <v>0</v>
      </c>
      <c r="O201" s="767">
        <f>SUM(B201:N201)</f>
        <v>4473389.1950713489</v>
      </c>
    </row>
    <row r="202" spans="1:15" ht="12.5" x14ac:dyDescent="0.25">
      <c r="A202" s="764" t="s">
        <v>4251</v>
      </c>
      <c r="B202" s="767">
        <f t="shared" ref="B202:O202" si="24">SUM(B201)</f>
        <v>1652575.1202180609</v>
      </c>
      <c r="C202" s="767">
        <f t="shared" si="24"/>
        <v>1523070.6638198611</v>
      </c>
      <c r="D202" s="767">
        <f t="shared" si="24"/>
        <v>58422.741500492841</v>
      </c>
      <c r="E202" s="767">
        <f t="shared" si="24"/>
        <v>126191.22295632841</v>
      </c>
      <c r="F202" s="767">
        <f t="shared" si="24"/>
        <v>127865.5099381972</v>
      </c>
      <c r="G202" s="767">
        <f t="shared" si="24"/>
        <v>303198.88726539741</v>
      </c>
      <c r="H202" s="767">
        <f t="shared" si="24"/>
        <v>0</v>
      </c>
      <c r="I202" s="767">
        <f t="shared" si="24"/>
        <v>682065.04937301134</v>
      </c>
      <c r="J202" s="767">
        <f t="shared" si="24"/>
        <v>0</v>
      </c>
      <c r="K202" s="767">
        <f t="shared" si="24"/>
        <v>0</v>
      </c>
      <c r="L202" s="767">
        <f t="shared" si="24"/>
        <v>0</v>
      </c>
      <c r="M202" s="767">
        <f t="shared" si="24"/>
        <v>0</v>
      </c>
      <c r="N202" s="767">
        <f t="shared" si="24"/>
        <v>0</v>
      </c>
      <c r="O202" s="767">
        <f t="shared" si="24"/>
        <v>4473389.1950713489</v>
      </c>
    </row>
    <row r="203" spans="1:15" ht="12.5" x14ac:dyDescent="0.25">
      <c r="A203" s="764" t="s">
        <v>482</v>
      </c>
      <c r="B203" s="763"/>
      <c r="C203" s="763"/>
      <c r="D203" s="763"/>
      <c r="E203" s="763"/>
      <c r="F203" s="763"/>
      <c r="G203" s="763"/>
      <c r="H203" s="763"/>
      <c r="I203" s="763"/>
      <c r="J203" s="763"/>
      <c r="K203" s="763"/>
      <c r="L203" s="763"/>
      <c r="M203" s="763"/>
      <c r="N203" s="763"/>
      <c r="O203" s="763"/>
    </row>
    <row r="204" spans="1:15" ht="12.5" x14ac:dyDescent="0.25">
      <c r="A204" s="765" t="s">
        <v>483</v>
      </c>
      <c r="B204" s="767">
        <v>32390894.122801695</v>
      </c>
      <c r="C204" s="767">
        <v>24689633.961921602</v>
      </c>
      <c r="D204" s="767">
        <v>3398585.8666620571</v>
      </c>
      <c r="E204" s="767">
        <v>0</v>
      </c>
      <c r="F204" s="767">
        <v>0</v>
      </c>
      <c r="G204" s="767">
        <v>0</v>
      </c>
      <c r="H204" s="767">
        <v>0</v>
      </c>
      <c r="I204" s="767">
        <v>0</v>
      </c>
      <c r="J204" s="767">
        <v>0</v>
      </c>
      <c r="K204" s="767">
        <v>74689.410591919761</v>
      </c>
      <c r="L204" s="767">
        <v>0</v>
      </c>
      <c r="M204" s="767">
        <v>0</v>
      </c>
      <c r="N204" s="767">
        <v>0</v>
      </c>
      <c r="O204" s="767">
        <f t="shared" ref="O204:O214" si="25">SUM(B204:N204)</f>
        <v>60553803.361977272</v>
      </c>
    </row>
    <row r="205" spans="1:15" ht="12.5" x14ac:dyDescent="0.25">
      <c r="A205" s="765" t="s">
        <v>484</v>
      </c>
      <c r="B205" s="767">
        <v>1237587.1465927034</v>
      </c>
      <c r="C205" s="767">
        <v>71357.010178963377</v>
      </c>
      <c r="D205" s="767">
        <v>9.8113641634528001E-2</v>
      </c>
      <c r="E205" s="767">
        <v>0</v>
      </c>
      <c r="F205" s="767">
        <v>0</v>
      </c>
      <c r="G205" s="767">
        <v>0</v>
      </c>
      <c r="H205" s="767">
        <v>0</v>
      </c>
      <c r="I205" s="767">
        <v>0</v>
      </c>
      <c r="J205" s="767">
        <v>0</v>
      </c>
      <c r="K205" s="767">
        <v>0</v>
      </c>
      <c r="L205" s="767">
        <v>0</v>
      </c>
      <c r="M205" s="767">
        <v>0</v>
      </c>
      <c r="N205" s="767">
        <v>0</v>
      </c>
      <c r="O205" s="767">
        <f t="shared" si="25"/>
        <v>1308944.2548853084</v>
      </c>
    </row>
    <row r="206" spans="1:15" ht="12.5" x14ac:dyDescent="0.25">
      <c r="A206" s="765" t="s">
        <v>485</v>
      </c>
      <c r="B206" s="767">
        <v>256013.82995890779</v>
      </c>
      <c r="C206" s="767">
        <v>-0.32000000080256003</v>
      </c>
      <c r="D206" s="767">
        <v>0.24151050248499201</v>
      </c>
      <c r="E206" s="767">
        <v>0</v>
      </c>
      <c r="F206" s="767">
        <v>0</v>
      </c>
      <c r="G206" s="767">
        <v>0</v>
      </c>
      <c r="H206" s="767">
        <v>0</v>
      </c>
      <c r="I206" s="767">
        <v>0</v>
      </c>
      <c r="J206" s="767">
        <v>0</v>
      </c>
      <c r="K206" s="767">
        <v>0</v>
      </c>
      <c r="L206" s="767">
        <v>0</v>
      </c>
      <c r="M206" s="767">
        <v>0</v>
      </c>
      <c r="N206" s="767">
        <v>0</v>
      </c>
      <c r="O206" s="767">
        <f t="shared" si="25"/>
        <v>256013.7514694095</v>
      </c>
    </row>
    <row r="207" spans="1:15" ht="12.5" x14ac:dyDescent="0.25">
      <c r="A207" s="765" t="s">
        <v>486</v>
      </c>
      <c r="B207" s="767">
        <v>206925.21608385901</v>
      </c>
      <c r="C207" s="767">
        <v>0.21000000052668</v>
      </c>
      <c r="D207" s="767">
        <v>0</v>
      </c>
      <c r="E207" s="767">
        <v>0</v>
      </c>
      <c r="F207" s="767">
        <v>0</v>
      </c>
      <c r="G207" s="767">
        <v>0</v>
      </c>
      <c r="H207" s="767">
        <v>0</v>
      </c>
      <c r="I207" s="767">
        <v>0</v>
      </c>
      <c r="J207" s="767">
        <v>0</v>
      </c>
      <c r="K207" s="767">
        <v>35447.759651140434</v>
      </c>
      <c r="L207" s="767">
        <v>0</v>
      </c>
      <c r="M207" s="767">
        <v>0</v>
      </c>
      <c r="N207" s="767">
        <v>0</v>
      </c>
      <c r="O207" s="767">
        <f t="shared" si="25"/>
        <v>242373.18573499995</v>
      </c>
    </row>
    <row r="208" spans="1:15" ht="12.5" x14ac:dyDescent="0.25">
      <c r="A208" s="765" t="s">
        <v>489</v>
      </c>
      <c r="B208" s="767">
        <v>0</v>
      </c>
      <c r="C208" s="767">
        <v>90283.300226430511</v>
      </c>
      <c r="D208" s="767">
        <v>0</v>
      </c>
      <c r="E208" s="767">
        <v>0</v>
      </c>
      <c r="F208" s="767">
        <v>0</v>
      </c>
      <c r="G208" s="767">
        <v>0</v>
      </c>
      <c r="H208" s="767">
        <v>0</v>
      </c>
      <c r="I208" s="767">
        <v>0</v>
      </c>
      <c r="J208" s="767">
        <v>0</v>
      </c>
      <c r="K208" s="767">
        <v>0</v>
      </c>
      <c r="L208" s="767">
        <v>0</v>
      </c>
      <c r="M208" s="767">
        <v>0</v>
      </c>
      <c r="N208" s="767">
        <v>0</v>
      </c>
      <c r="O208" s="767">
        <f t="shared" si="25"/>
        <v>90283.300226430511</v>
      </c>
    </row>
    <row r="209" spans="1:15" ht="12.5" x14ac:dyDescent="0.25">
      <c r="A209" s="765" t="s">
        <v>490</v>
      </c>
      <c r="B209" s="767">
        <v>59980.853566306403</v>
      </c>
      <c r="C209" s="767">
        <v>428835.0910755184</v>
      </c>
      <c r="D209" s="767">
        <v>12860.532370967459</v>
      </c>
      <c r="E209" s="767">
        <v>0</v>
      </c>
      <c r="F209" s="767">
        <v>0</v>
      </c>
      <c r="G209" s="767">
        <v>0</v>
      </c>
      <c r="H209" s="767">
        <v>0</v>
      </c>
      <c r="I209" s="767">
        <v>0</v>
      </c>
      <c r="J209" s="767">
        <v>0</v>
      </c>
      <c r="K209" s="767">
        <v>0</v>
      </c>
      <c r="L209" s="767">
        <v>0</v>
      </c>
      <c r="M209" s="767">
        <v>0</v>
      </c>
      <c r="N209" s="767">
        <v>0</v>
      </c>
      <c r="O209" s="767">
        <f t="shared" si="25"/>
        <v>501676.47701279225</v>
      </c>
    </row>
    <row r="210" spans="1:15" ht="12.5" x14ac:dyDescent="0.25">
      <c r="A210" s="765" t="s">
        <v>491</v>
      </c>
      <c r="B210" s="767">
        <v>251180.37869761459</v>
      </c>
      <c r="C210" s="767">
        <v>1029886.3125829549</v>
      </c>
      <c r="D210" s="767">
        <v>38.083187360602174</v>
      </c>
      <c r="E210" s="767">
        <v>0</v>
      </c>
      <c r="F210" s="767">
        <v>0</v>
      </c>
      <c r="G210" s="767">
        <v>0</v>
      </c>
      <c r="H210" s="767">
        <v>0</v>
      </c>
      <c r="I210" s="767">
        <v>0</v>
      </c>
      <c r="J210" s="767">
        <v>0</v>
      </c>
      <c r="K210" s="767">
        <v>-0.12796926850578</v>
      </c>
      <c r="L210" s="767">
        <v>0</v>
      </c>
      <c r="M210" s="767">
        <v>0</v>
      </c>
      <c r="N210" s="767">
        <v>0</v>
      </c>
      <c r="O210" s="767">
        <f t="shared" si="25"/>
        <v>1281104.6464986615</v>
      </c>
    </row>
    <row r="211" spans="1:15" ht="12.5" x14ac:dyDescent="0.25">
      <c r="A211" s="765" t="s">
        <v>492</v>
      </c>
      <c r="B211" s="767">
        <v>0</v>
      </c>
      <c r="C211" s="767">
        <v>-0.26000000065208001</v>
      </c>
      <c r="D211" s="767">
        <v>0</v>
      </c>
      <c r="E211" s="767">
        <v>0</v>
      </c>
      <c r="F211" s="767">
        <v>0</v>
      </c>
      <c r="G211" s="767">
        <v>0</v>
      </c>
      <c r="H211" s="767">
        <v>0</v>
      </c>
      <c r="I211" s="767">
        <v>0</v>
      </c>
      <c r="J211" s="767">
        <v>0</v>
      </c>
      <c r="K211" s="767">
        <v>0</v>
      </c>
      <c r="L211" s="767">
        <v>0</v>
      </c>
      <c r="M211" s="767">
        <v>0</v>
      </c>
      <c r="N211" s="767">
        <v>0</v>
      </c>
      <c r="O211" s="767">
        <f t="shared" si="25"/>
        <v>-0.26000000065208001</v>
      </c>
    </row>
    <row r="212" spans="1:15" ht="12.5" hidden="1" x14ac:dyDescent="0.25">
      <c r="A212" s="765" t="s">
        <v>493</v>
      </c>
      <c r="B212" s="767">
        <v>0</v>
      </c>
      <c r="C212" s="767">
        <v>-6.0000000150480001E-2</v>
      </c>
      <c r="D212" s="767">
        <v>0</v>
      </c>
      <c r="E212" s="767">
        <v>0</v>
      </c>
      <c r="F212" s="767">
        <v>0</v>
      </c>
      <c r="G212" s="767">
        <v>0</v>
      </c>
      <c r="H212" s="767">
        <v>0</v>
      </c>
      <c r="I212" s="767">
        <v>0</v>
      </c>
      <c r="J212" s="767">
        <v>0</v>
      </c>
      <c r="K212" s="767">
        <v>0</v>
      </c>
      <c r="L212" s="767">
        <v>0</v>
      </c>
      <c r="M212" s="767">
        <v>0</v>
      </c>
      <c r="N212" s="767">
        <v>0</v>
      </c>
      <c r="O212" s="767">
        <f t="shared" si="25"/>
        <v>-6.0000000150480001E-2</v>
      </c>
    </row>
    <row r="213" spans="1:15" ht="12.5" x14ac:dyDescent="0.25">
      <c r="A213" s="765" t="s">
        <v>494</v>
      </c>
      <c r="B213" s="767">
        <v>-0.37585673320000001</v>
      </c>
      <c r="C213" s="767">
        <v>-351778.6808822609</v>
      </c>
      <c r="D213" s="767">
        <v>-33542.895574729162</v>
      </c>
      <c r="E213" s="767">
        <v>0</v>
      </c>
      <c r="F213" s="767">
        <v>0</v>
      </c>
      <c r="G213" s="767">
        <v>0</v>
      </c>
      <c r="H213" s="767">
        <v>0</v>
      </c>
      <c r="I213" s="767">
        <v>0</v>
      </c>
      <c r="J213" s="767">
        <v>0</v>
      </c>
      <c r="K213" s="767">
        <v>0</v>
      </c>
      <c r="L213" s="767">
        <v>0</v>
      </c>
      <c r="M213" s="767">
        <v>0</v>
      </c>
      <c r="N213" s="767">
        <v>0</v>
      </c>
      <c r="O213" s="767">
        <f t="shared" si="25"/>
        <v>-385321.95231372328</v>
      </c>
    </row>
    <row r="214" spans="1:15" ht="12.5" x14ac:dyDescent="0.25">
      <c r="A214" s="765" t="s">
        <v>495</v>
      </c>
      <c r="B214" s="767">
        <v>0</v>
      </c>
      <c r="C214" s="767">
        <v>7.0000000175560004E-2</v>
      </c>
      <c r="D214" s="767">
        <v>0</v>
      </c>
      <c r="E214" s="767">
        <v>0</v>
      </c>
      <c r="F214" s="767">
        <v>0</v>
      </c>
      <c r="G214" s="767">
        <v>0</v>
      </c>
      <c r="H214" s="767">
        <v>0</v>
      </c>
      <c r="I214" s="767">
        <v>0</v>
      </c>
      <c r="J214" s="767">
        <v>0</v>
      </c>
      <c r="K214" s="767">
        <v>0</v>
      </c>
      <c r="L214" s="767">
        <v>0</v>
      </c>
      <c r="M214" s="767">
        <v>0</v>
      </c>
      <c r="N214" s="767">
        <v>0</v>
      </c>
      <c r="O214" s="767">
        <f t="shared" si="25"/>
        <v>7.0000000175560004E-2</v>
      </c>
    </row>
    <row r="215" spans="1:15" ht="12.5" x14ac:dyDescent="0.25">
      <c r="A215" s="764" t="s">
        <v>496</v>
      </c>
      <c r="B215" s="767">
        <f t="shared" ref="B215:O215" si="26">SUM(B204:B214)</f>
        <v>34402581.171844348</v>
      </c>
      <c r="C215" s="767">
        <f t="shared" si="26"/>
        <v>25958216.635103211</v>
      </c>
      <c r="D215" s="767">
        <f t="shared" si="26"/>
        <v>3377941.9262698004</v>
      </c>
      <c r="E215" s="767">
        <f t="shared" si="26"/>
        <v>0</v>
      </c>
      <c r="F215" s="767">
        <f t="shared" si="26"/>
        <v>0</v>
      </c>
      <c r="G215" s="767">
        <f t="shared" si="26"/>
        <v>0</v>
      </c>
      <c r="H215" s="767">
        <f t="shared" si="26"/>
        <v>0</v>
      </c>
      <c r="I215" s="767">
        <f t="shared" si="26"/>
        <v>0</v>
      </c>
      <c r="J215" s="767">
        <f t="shared" si="26"/>
        <v>0</v>
      </c>
      <c r="K215" s="767">
        <f t="shared" si="26"/>
        <v>110137.04227379168</v>
      </c>
      <c r="L215" s="767">
        <f t="shared" si="26"/>
        <v>0</v>
      </c>
      <c r="M215" s="767">
        <f t="shared" si="26"/>
        <v>0</v>
      </c>
      <c r="N215" s="767">
        <f t="shared" si="26"/>
        <v>0</v>
      </c>
      <c r="O215" s="767">
        <f t="shared" si="26"/>
        <v>63848876.775491148</v>
      </c>
    </row>
    <row r="216" spans="1:15" ht="12.5" x14ac:dyDescent="0.25">
      <c r="A216" s="762" t="s">
        <v>497</v>
      </c>
      <c r="B216" s="767">
        <f t="shared" ref="B216:O216" si="27">B153+B181+B199+B202+B215</f>
        <v>54309853.231499843</v>
      </c>
      <c r="C216" s="767">
        <f t="shared" si="27"/>
        <v>42214493.615873948</v>
      </c>
      <c r="D216" s="767">
        <f t="shared" si="27"/>
        <v>4850871.9146997035</v>
      </c>
      <c r="E216" s="767">
        <f t="shared" si="27"/>
        <v>488880.69987745042</v>
      </c>
      <c r="F216" s="767">
        <f t="shared" si="27"/>
        <v>877477.00861238607</v>
      </c>
      <c r="G216" s="767">
        <f t="shared" si="27"/>
        <v>691250.19200957858</v>
      </c>
      <c r="H216" s="767">
        <f t="shared" si="27"/>
        <v>126141.04608244621</v>
      </c>
      <c r="I216" s="767">
        <f t="shared" si="27"/>
        <v>1342775.8924882878</v>
      </c>
      <c r="J216" s="767">
        <f t="shared" si="27"/>
        <v>354523.38138881297</v>
      </c>
      <c r="K216" s="767">
        <f t="shared" si="27"/>
        <v>2200239.3430563384</v>
      </c>
      <c r="L216" s="767">
        <f t="shared" si="27"/>
        <v>265247.50232343219</v>
      </c>
      <c r="M216" s="767">
        <f t="shared" si="27"/>
        <v>0</v>
      </c>
      <c r="N216" s="767">
        <f t="shared" si="27"/>
        <v>-11921246.326604212</v>
      </c>
      <c r="O216" s="767">
        <f t="shared" si="27"/>
        <v>95800507.501308024</v>
      </c>
    </row>
    <row r="217" spans="1:15" ht="12.5" x14ac:dyDescent="0.25">
      <c r="A217" s="762" t="s">
        <v>4252</v>
      </c>
      <c r="B217" s="763">
        <v>5350866.2968601668</v>
      </c>
      <c r="C217" s="763">
        <v>2515079.6363078197</v>
      </c>
      <c r="D217" s="763">
        <v>311633.09197591583</v>
      </c>
      <c r="E217" s="763">
        <v>98864.503895973394</v>
      </c>
      <c r="F217" s="763">
        <v>501788.85821183602</v>
      </c>
      <c r="G217" s="763">
        <v>0</v>
      </c>
      <c r="H217" s="763">
        <v>0</v>
      </c>
      <c r="I217" s="763">
        <v>180630.18231118986</v>
      </c>
      <c r="J217" s="763">
        <v>0</v>
      </c>
      <c r="K217" s="763">
        <v>0</v>
      </c>
      <c r="L217" s="763">
        <v>0</v>
      </c>
      <c r="M217" s="763">
        <v>0</v>
      </c>
      <c r="N217" s="763">
        <v>0</v>
      </c>
      <c r="O217" s="763">
        <v>8958862.5695629027</v>
      </c>
    </row>
    <row r="218" spans="1:15" ht="12.5" x14ac:dyDescent="0.25">
      <c r="A218" s="764" t="s">
        <v>498</v>
      </c>
      <c r="B218" s="763">
        <v>5350866.2968601668</v>
      </c>
      <c r="C218" s="763">
        <v>2515079.6363078197</v>
      </c>
      <c r="D218" s="763">
        <v>311633.09197591583</v>
      </c>
      <c r="E218" s="763">
        <v>98864.503895973394</v>
      </c>
      <c r="F218" s="763">
        <v>501788.85821183602</v>
      </c>
      <c r="G218" s="763">
        <v>0</v>
      </c>
      <c r="H218" s="763">
        <v>0</v>
      </c>
      <c r="I218" s="763">
        <v>180630.18231118986</v>
      </c>
      <c r="J218" s="763">
        <v>0</v>
      </c>
      <c r="K218" s="763">
        <v>0</v>
      </c>
      <c r="L218" s="763">
        <v>0</v>
      </c>
      <c r="M218" s="763">
        <v>0</v>
      </c>
      <c r="N218" s="763">
        <v>0</v>
      </c>
      <c r="O218" s="763">
        <f>SUM(B218:N218)</f>
        <v>8958862.5695629027</v>
      </c>
    </row>
    <row r="219" spans="1:15" ht="12.5" x14ac:dyDescent="0.25">
      <c r="A219" s="762" t="s">
        <v>4253</v>
      </c>
      <c r="B219" s="763">
        <f t="shared" ref="B219:O219" si="28">SUM(B218)</f>
        <v>5350866.2968601668</v>
      </c>
      <c r="C219" s="763">
        <f t="shared" si="28"/>
        <v>2515079.6363078197</v>
      </c>
      <c r="D219" s="763">
        <f t="shared" si="28"/>
        <v>311633.09197591583</v>
      </c>
      <c r="E219" s="763">
        <f t="shared" si="28"/>
        <v>98864.503895973394</v>
      </c>
      <c r="F219" s="763">
        <f t="shared" si="28"/>
        <v>501788.85821183602</v>
      </c>
      <c r="G219" s="763">
        <f t="shared" si="28"/>
        <v>0</v>
      </c>
      <c r="H219" s="763">
        <f t="shared" si="28"/>
        <v>0</v>
      </c>
      <c r="I219" s="763">
        <f t="shared" si="28"/>
        <v>180630.18231118986</v>
      </c>
      <c r="J219" s="763">
        <f t="shared" si="28"/>
        <v>0</v>
      </c>
      <c r="K219" s="763">
        <f t="shared" si="28"/>
        <v>0</v>
      </c>
      <c r="L219" s="763">
        <f t="shared" si="28"/>
        <v>0</v>
      </c>
      <c r="M219" s="763">
        <f t="shared" si="28"/>
        <v>0</v>
      </c>
      <c r="N219" s="763">
        <f t="shared" si="28"/>
        <v>0</v>
      </c>
      <c r="O219" s="763">
        <f t="shared" si="28"/>
        <v>8958862.5695629027</v>
      </c>
    </row>
    <row r="220" spans="1:15" ht="12.5" x14ac:dyDescent="0.25">
      <c r="A220" s="762" t="s">
        <v>499</v>
      </c>
      <c r="B220" s="763">
        <v>3331150.030463744</v>
      </c>
      <c r="C220" s="763">
        <v>872453.01218811213</v>
      </c>
      <c r="D220" s="763">
        <v>33542.789913884328</v>
      </c>
      <c r="E220" s="763">
        <v>0</v>
      </c>
      <c r="F220" s="763">
        <v>0</v>
      </c>
      <c r="G220" s="763">
        <v>0</v>
      </c>
      <c r="H220" s="763">
        <v>0</v>
      </c>
      <c r="I220" s="763">
        <v>190651.48515646477</v>
      </c>
      <c r="J220" s="763">
        <v>0</v>
      </c>
      <c r="K220" s="763">
        <v>0</v>
      </c>
      <c r="L220" s="763">
        <v>0</v>
      </c>
      <c r="M220" s="763">
        <v>0</v>
      </c>
      <c r="N220" s="763">
        <v>0</v>
      </c>
      <c r="O220" s="763">
        <v>4427797.3177222051</v>
      </c>
    </row>
    <row r="221" spans="1:15" ht="12.5" x14ac:dyDescent="0.25">
      <c r="A221" s="764" t="s">
        <v>777</v>
      </c>
      <c r="B221" s="767">
        <v>0</v>
      </c>
      <c r="C221" s="767">
        <v>351779.00088226172</v>
      </c>
      <c r="D221" s="767">
        <v>33542.789913884328</v>
      </c>
      <c r="E221" s="767">
        <v>0</v>
      </c>
      <c r="F221" s="767">
        <v>0</v>
      </c>
      <c r="G221" s="767">
        <v>0</v>
      </c>
      <c r="H221" s="767">
        <v>0</v>
      </c>
      <c r="I221" s="767">
        <v>0</v>
      </c>
      <c r="J221" s="767">
        <v>0</v>
      </c>
      <c r="K221" s="767">
        <v>0</v>
      </c>
      <c r="L221" s="767">
        <v>0</v>
      </c>
      <c r="M221" s="767">
        <v>0</v>
      </c>
      <c r="N221" s="767">
        <v>0</v>
      </c>
      <c r="O221" s="767">
        <f t="shared" ref="O221:O227" si="29">SUM(B221:N221)</f>
        <v>385321.79079614603</v>
      </c>
    </row>
    <row r="222" spans="1:15" ht="12.5" x14ac:dyDescent="0.25">
      <c r="A222" s="764" t="s">
        <v>500</v>
      </c>
      <c r="B222" s="767">
        <v>0</v>
      </c>
      <c r="C222" s="767">
        <v>1.0000000025080001E-2</v>
      </c>
      <c r="D222" s="767">
        <v>0</v>
      </c>
      <c r="E222" s="767">
        <v>0</v>
      </c>
      <c r="F222" s="767">
        <v>0</v>
      </c>
      <c r="G222" s="767">
        <v>0</v>
      </c>
      <c r="H222" s="767">
        <v>0</v>
      </c>
      <c r="I222" s="767">
        <v>0</v>
      </c>
      <c r="J222" s="767">
        <v>0</v>
      </c>
      <c r="K222" s="767">
        <v>0</v>
      </c>
      <c r="L222" s="767">
        <v>0</v>
      </c>
      <c r="M222" s="767">
        <v>0</v>
      </c>
      <c r="N222" s="767">
        <v>0</v>
      </c>
      <c r="O222" s="767">
        <f t="shared" si="29"/>
        <v>1.0000000025080001E-2</v>
      </c>
    </row>
    <row r="223" spans="1:15" ht="12.5" x14ac:dyDescent="0.25">
      <c r="A223" s="764" t="s">
        <v>501</v>
      </c>
      <c r="B223" s="767">
        <v>63131.439468525998</v>
      </c>
      <c r="C223" s="767">
        <v>0</v>
      </c>
      <c r="D223" s="767">
        <v>0</v>
      </c>
      <c r="E223" s="767">
        <v>0</v>
      </c>
      <c r="F223" s="767">
        <v>0</v>
      </c>
      <c r="G223" s="767">
        <v>0</v>
      </c>
      <c r="H223" s="767">
        <v>0</v>
      </c>
      <c r="I223" s="767">
        <v>0</v>
      </c>
      <c r="J223" s="767">
        <v>0</v>
      </c>
      <c r="K223" s="767">
        <v>0</v>
      </c>
      <c r="L223" s="767">
        <v>0</v>
      </c>
      <c r="M223" s="767">
        <v>0</v>
      </c>
      <c r="N223" s="767">
        <v>0</v>
      </c>
      <c r="O223" s="767">
        <f t="shared" si="29"/>
        <v>63131.439468525998</v>
      </c>
    </row>
    <row r="224" spans="1:15" ht="12.5" x14ac:dyDescent="0.25">
      <c r="A224" s="764" t="s">
        <v>502</v>
      </c>
      <c r="B224" s="767">
        <v>284772.18731602159</v>
      </c>
      <c r="C224" s="767">
        <v>0</v>
      </c>
      <c r="D224" s="767">
        <v>0</v>
      </c>
      <c r="E224" s="767">
        <v>0</v>
      </c>
      <c r="F224" s="767">
        <v>0</v>
      </c>
      <c r="G224" s="767">
        <v>0</v>
      </c>
      <c r="H224" s="767">
        <v>0</v>
      </c>
      <c r="I224" s="767">
        <v>0</v>
      </c>
      <c r="J224" s="767">
        <v>0</v>
      </c>
      <c r="K224" s="767">
        <v>0</v>
      </c>
      <c r="L224" s="767">
        <v>0</v>
      </c>
      <c r="M224" s="767">
        <v>0</v>
      </c>
      <c r="N224" s="767">
        <v>0</v>
      </c>
      <c r="O224" s="767">
        <f t="shared" si="29"/>
        <v>284772.18731602159</v>
      </c>
    </row>
    <row r="225" spans="1:15" ht="12.5" hidden="1" x14ac:dyDescent="0.25">
      <c r="A225" s="764" t="s">
        <v>503</v>
      </c>
      <c r="B225" s="767">
        <v>0</v>
      </c>
      <c r="C225" s="767">
        <v>520674.0013058504</v>
      </c>
      <c r="D225" s="767">
        <v>0</v>
      </c>
      <c r="E225" s="767">
        <v>0</v>
      </c>
      <c r="F225" s="767">
        <v>0</v>
      </c>
      <c r="G225" s="767">
        <v>0</v>
      </c>
      <c r="H225" s="767">
        <v>0</v>
      </c>
      <c r="I225" s="767">
        <v>0</v>
      </c>
      <c r="J225" s="767">
        <v>0</v>
      </c>
      <c r="K225" s="767">
        <v>0</v>
      </c>
      <c r="L225" s="767">
        <v>0</v>
      </c>
      <c r="M225" s="767">
        <v>0</v>
      </c>
      <c r="N225" s="767">
        <v>0</v>
      </c>
      <c r="O225" s="767">
        <f t="shared" si="29"/>
        <v>520674.0013058504</v>
      </c>
    </row>
    <row r="226" spans="1:15" ht="12.5" x14ac:dyDescent="0.25">
      <c r="A226" s="764" t="s">
        <v>504</v>
      </c>
      <c r="B226" s="767">
        <v>2981475.5878445539</v>
      </c>
      <c r="C226" s="767">
        <v>0</v>
      </c>
      <c r="D226" s="767">
        <v>0</v>
      </c>
      <c r="E226" s="767">
        <v>0</v>
      </c>
      <c r="F226" s="767">
        <v>0</v>
      </c>
      <c r="G226" s="767">
        <v>0</v>
      </c>
      <c r="H226" s="767">
        <v>0</v>
      </c>
      <c r="I226" s="767">
        <v>190651.48515646477</v>
      </c>
      <c r="J226" s="767">
        <v>0</v>
      </c>
      <c r="K226" s="767">
        <v>0</v>
      </c>
      <c r="L226" s="767">
        <v>0</v>
      </c>
      <c r="M226" s="767">
        <v>0</v>
      </c>
      <c r="N226" s="767">
        <v>0</v>
      </c>
      <c r="O226" s="767">
        <f t="shared" si="29"/>
        <v>3172127.0730010187</v>
      </c>
    </row>
    <row r="227" spans="1:15" ht="12.5" x14ac:dyDescent="0.25">
      <c r="A227" s="764" t="s">
        <v>505</v>
      </c>
      <c r="B227" s="767">
        <v>1770.8158346424</v>
      </c>
      <c r="C227" s="767">
        <v>0</v>
      </c>
      <c r="D227" s="767">
        <v>0</v>
      </c>
      <c r="E227" s="767">
        <v>0</v>
      </c>
      <c r="F227" s="767">
        <v>0</v>
      </c>
      <c r="G227" s="767">
        <v>0</v>
      </c>
      <c r="H227" s="767">
        <v>0</v>
      </c>
      <c r="I227" s="767">
        <v>0</v>
      </c>
      <c r="J227" s="767">
        <v>0</v>
      </c>
      <c r="K227" s="767">
        <v>0</v>
      </c>
      <c r="L227" s="767">
        <v>0</v>
      </c>
      <c r="M227" s="767">
        <v>0</v>
      </c>
      <c r="N227" s="767">
        <v>0</v>
      </c>
      <c r="O227" s="767">
        <f t="shared" si="29"/>
        <v>1770.8158346424</v>
      </c>
    </row>
    <row r="228" spans="1:15" ht="12.5" x14ac:dyDescent="0.25">
      <c r="A228" s="762" t="s">
        <v>506</v>
      </c>
      <c r="B228" s="767">
        <f t="shared" ref="B228:O228" si="30">SUM(B221:B227)</f>
        <v>3331150.030463744</v>
      </c>
      <c r="C228" s="767">
        <f t="shared" si="30"/>
        <v>872453.01218811213</v>
      </c>
      <c r="D228" s="767">
        <f t="shared" si="30"/>
        <v>33542.789913884328</v>
      </c>
      <c r="E228" s="767">
        <f t="shared" si="30"/>
        <v>0</v>
      </c>
      <c r="F228" s="767">
        <f t="shared" si="30"/>
        <v>0</v>
      </c>
      <c r="G228" s="767">
        <f t="shared" si="30"/>
        <v>0</v>
      </c>
      <c r="H228" s="767">
        <f t="shared" si="30"/>
        <v>0</v>
      </c>
      <c r="I228" s="767">
        <f t="shared" si="30"/>
        <v>190651.48515646477</v>
      </c>
      <c r="J228" s="767">
        <f t="shared" si="30"/>
        <v>0</v>
      </c>
      <c r="K228" s="767">
        <f t="shared" si="30"/>
        <v>0</v>
      </c>
      <c r="L228" s="767">
        <f t="shared" si="30"/>
        <v>0</v>
      </c>
      <c r="M228" s="767">
        <f t="shared" si="30"/>
        <v>0</v>
      </c>
      <c r="N228" s="767">
        <f t="shared" si="30"/>
        <v>0</v>
      </c>
      <c r="O228" s="767">
        <f t="shared" si="30"/>
        <v>4427797.3177222051</v>
      </c>
    </row>
    <row r="229" spans="1:15" ht="12.5" x14ac:dyDescent="0.2">
      <c r="A229" s="773" t="s">
        <v>507</v>
      </c>
      <c r="B229" s="767">
        <f t="shared" ref="B229:O229" si="31">B216+B219+B228</f>
        <v>62991869.558823749</v>
      </c>
      <c r="C229" s="767">
        <f t="shared" si="31"/>
        <v>45602026.264369883</v>
      </c>
      <c r="D229" s="767">
        <f t="shared" si="31"/>
        <v>5196047.796589504</v>
      </c>
      <c r="E229" s="767">
        <f t="shared" si="31"/>
        <v>587745.2037734238</v>
      </c>
      <c r="F229" s="767">
        <f t="shared" si="31"/>
        <v>1379265.866824222</v>
      </c>
      <c r="G229" s="767">
        <f t="shared" si="31"/>
        <v>691250.19200957858</v>
      </c>
      <c r="H229" s="767">
        <f t="shared" si="31"/>
        <v>126141.04608244621</v>
      </c>
      <c r="I229" s="767">
        <f t="shared" si="31"/>
        <v>1714057.5599559424</v>
      </c>
      <c r="J229" s="767">
        <f t="shared" si="31"/>
        <v>354523.38138881297</v>
      </c>
      <c r="K229" s="767">
        <f t="shared" si="31"/>
        <v>2200239.3430563384</v>
      </c>
      <c r="L229" s="767">
        <f t="shared" si="31"/>
        <v>265247.50232343219</v>
      </c>
      <c r="M229" s="767">
        <f t="shared" si="31"/>
        <v>0</v>
      </c>
      <c r="N229" s="767">
        <f t="shared" si="31"/>
        <v>-11921246.326604212</v>
      </c>
      <c r="O229" s="767">
        <f t="shared" si="31"/>
        <v>109187167.38859312</v>
      </c>
    </row>
    <row r="230" spans="1:15" ht="10.5" x14ac:dyDescent="0.2">
      <c r="A230" s="770"/>
      <c r="B230" s="771"/>
      <c r="C230" s="771"/>
      <c r="D230" s="771"/>
      <c r="E230" s="771"/>
      <c r="F230" s="771"/>
      <c r="G230" s="771"/>
      <c r="H230" s="771"/>
      <c r="I230" s="771"/>
      <c r="J230" s="771"/>
      <c r="K230" s="771"/>
      <c r="L230" s="771"/>
      <c r="M230" s="771"/>
      <c r="N230" s="771"/>
      <c r="O230" s="771"/>
    </row>
    <row r="231" spans="1:15" ht="12.5" hidden="1" x14ac:dyDescent="0.2">
      <c r="A231" s="773" t="s">
        <v>508</v>
      </c>
      <c r="B231" s="763"/>
      <c r="C231" s="763"/>
      <c r="D231" s="763"/>
      <c r="E231" s="763"/>
      <c r="F231" s="763"/>
      <c r="G231" s="763"/>
      <c r="H231" s="763"/>
      <c r="I231" s="763"/>
      <c r="J231" s="763"/>
      <c r="K231" s="763"/>
      <c r="L231" s="763"/>
      <c r="M231" s="763"/>
      <c r="N231" s="763"/>
      <c r="O231" s="763"/>
    </row>
    <row r="232" spans="1:15" ht="12.5" hidden="1" x14ac:dyDescent="0.25">
      <c r="A232" s="762" t="s">
        <v>509</v>
      </c>
      <c r="B232" s="763">
        <v>129489300.51361388</v>
      </c>
      <c r="C232" s="763">
        <v>0</v>
      </c>
      <c r="D232" s="763">
        <v>0</v>
      </c>
      <c r="E232" s="763">
        <v>0</v>
      </c>
      <c r="F232" s="763">
        <v>0</v>
      </c>
      <c r="G232" s="763">
        <v>0</v>
      </c>
      <c r="H232" s="763">
        <v>0</v>
      </c>
      <c r="I232" s="763">
        <v>0</v>
      </c>
      <c r="J232" s="763">
        <v>0</v>
      </c>
      <c r="K232" s="763">
        <v>0</v>
      </c>
      <c r="L232" s="763">
        <v>0</v>
      </c>
      <c r="M232" s="763">
        <v>0</v>
      </c>
      <c r="N232" s="763">
        <v>0</v>
      </c>
      <c r="O232" s="763">
        <v>129489300.51361388</v>
      </c>
    </row>
    <row r="233" spans="1:15" ht="12.5" x14ac:dyDescent="0.25">
      <c r="A233" s="764" t="s">
        <v>510</v>
      </c>
      <c r="B233" s="767">
        <v>129489300.51361388</v>
      </c>
      <c r="C233" s="767">
        <v>0</v>
      </c>
      <c r="D233" s="767">
        <v>0</v>
      </c>
      <c r="E233" s="767">
        <v>0</v>
      </c>
      <c r="F233" s="767">
        <v>0</v>
      </c>
      <c r="G233" s="767">
        <v>0</v>
      </c>
      <c r="H233" s="767">
        <v>0</v>
      </c>
      <c r="I233" s="767">
        <v>0</v>
      </c>
      <c r="J233" s="767">
        <v>0</v>
      </c>
      <c r="K233" s="767">
        <v>0</v>
      </c>
      <c r="L233" s="767">
        <v>0</v>
      </c>
      <c r="M233" s="767">
        <v>0</v>
      </c>
      <c r="N233" s="767">
        <v>0</v>
      </c>
      <c r="O233" s="767">
        <f>SUM(B233:N233)</f>
        <v>129489300.51361388</v>
      </c>
    </row>
    <row r="234" spans="1:15" ht="12.5" x14ac:dyDescent="0.25">
      <c r="A234" s="762" t="s">
        <v>511</v>
      </c>
      <c r="B234" s="767">
        <f t="shared" ref="B234:O234" si="32">SUM(B233)</f>
        <v>129489300.51361388</v>
      </c>
      <c r="C234" s="767">
        <f t="shared" si="32"/>
        <v>0</v>
      </c>
      <c r="D234" s="767">
        <f t="shared" si="32"/>
        <v>0</v>
      </c>
      <c r="E234" s="767">
        <f t="shared" si="32"/>
        <v>0</v>
      </c>
      <c r="F234" s="767">
        <f t="shared" si="32"/>
        <v>0</v>
      </c>
      <c r="G234" s="767">
        <f t="shared" si="32"/>
        <v>0</v>
      </c>
      <c r="H234" s="767">
        <f t="shared" si="32"/>
        <v>0</v>
      </c>
      <c r="I234" s="767">
        <f t="shared" si="32"/>
        <v>0</v>
      </c>
      <c r="J234" s="767">
        <f t="shared" si="32"/>
        <v>0</v>
      </c>
      <c r="K234" s="767">
        <f t="shared" si="32"/>
        <v>0</v>
      </c>
      <c r="L234" s="767">
        <f t="shared" si="32"/>
        <v>0</v>
      </c>
      <c r="M234" s="767">
        <f t="shared" si="32"/>
        <v>0</v>
      </c>
      <c r="N234" s="767">
        <f t="shared" si="32"/>
        <v>0</v>
      </c>
      <c r="O234" s="767">
        <f t="shared" si="32"/>
        <v>129489300.51361388</v>
      </c>
    </row>
    <row r="235" spans="1:15" ht="12.5" x14ac:dyDescent="0.2">
      <c r="A235" s="773" t="s">
        <v>512</v>
      </c>
      <c r="B235" s="767">
        <f t="shared" ref="B235:O235" si="33">B234</f>
        <v>129489300.51361388</v>
      </c>
      <c r="C235" s="767">
        <f t="shared" si="33"/>
        <v>0</v>
      </c>
      <c r="D235" s="767">
        <f t="shared" si="33"/>
        <v>0</v>
      </c>
      <c r="E235" s="767">
        <f t="shared" si="33"/>
        <v>0</v>
      </c>
      <c r="F235" s="767">
        <f t="shared" si="33"/>
        <v>0</v>
      </c>
      <c r="G235" s="767">
        <f t="shared" si="33"/>
        <v>0</v>
      </c>
      <c r="H235" s="767">
        <f t="shared" si="33"/>
        <v>0</v>
      </c>
      <c r="I235" s="767">
        <f t="shared" si="33"/>
        <v>0</v>
      </c>
      <c r="J235" s="767">
        <f t="shared" si="33"/>
        <v>0</v>
      </c>
      <c r="K235" s="767">
        <f t="shared" si="33"/>
        <v>0</v>
      </c>
      <c r="L235" s="767">
        <f t="shared" si="33"/>
        <v>0</v>
      </c>
      <c r="M235" s="767">
        <f t="shared" si="33"/>
        <v>0</v>
      </c>
      <c r="N235" s="767">
        <f t="shared" si="33"/>
        <v>0</v>
      </c>
      <c r="O235" s="767">
        <f t="shared" si="33"/>
        <v>129489300.51361388</v>
      </c>
    </row>
    <row r="236" spans="1:15" ht="10.5" x14ac:dyDescent="0.2">
      <c r="A236" s="770"/>
      <c r="B236" s="771"/>
      <c r="C236" s="771"/>
      <c r="D236" s="771"/>
      <c r="E236" s="771"/>
      <c r="F236" s="771"/>
      <c r="G236" s="771"/>
      <c r="H236" s="771"/>
      <c r="I236" s="771"/>
      <c r="J236" s="771"/>
      <c r="K236" s="771"/>
      <c r="L236" s="771"/>
      <c r="M236" s="771"/>
      <c r="N236" s="771"/>
      <c r="O236" s="771"/>
    </row>
    <row r="237" spans="1:15" ht="12.5" x14ac:dyDescent="0.2">
      <c r="A237" s="773" t="s">
        <v>513</v>
      </c>
      <c r="B237" s="763"/>
      <c r="C237" s="763"/>
      <c r="D237" s="763"/>
      <c r="E237" s="763"/>
      <c r="F237" s="763"/>
      <c r="G237" s="763"/>
      <c r="H237" s="763"/>
      <c r="I237" s="763"/>
      <c r="J237" s="763"/>
      <c r="K237" s="763"/>
      <c r="L237" s="763"/>
      <c r="M237" s="763"/>
      <c r="N237" s="763"/>
      <c r="O237" s="763"/>
    </row>
    <row r="238" spans="1:15" ht="12.5" hidden="1" x14ac:dyDescent="0.25">
      <c r="A238" s="762" t="s">
        <v>514</v>
      </c>
      <c r="B238" s="763">
        <v>87113.481882237495</v>
      </c>
      <c r="C238" s="763">
        <v>7857221.0067916652</v>
      </c>
      <c r="D238" s="763">
        <v>80034.031776300006</v>
      </c>
      <c r="E238" s="763">
        <v>72740.78714</v>
      </c>
      <c r="F238" s="763">
        <v>28036.83</v>
      </c>
      <c r="G238" s="763">
        <v>140.87610301999999</v>
      </c>
      <c r="H238" s="763">
        <v>70.040770199999997</v>
      </c>
      <c r="I238" s="763">
        <v>1483.1800070769</v>
      </c>
      <c r="J238" s="763">
        <v>5353.4203799999996</v>
      </c>
      <c r="K238" s="763">
        <v>13265.579235314999</v>
      </c>
      <c r="L238" s="763">
        <v>10409.6185</v>
      </c>
      <c r="M238" s="763">
        <v>0</v>
      </c>
      <c r="N238" s="763">
        <v>-8068755.4935888806</v>
      </c>
      <c r="O238" s="763">
        <v>87113.358996934257</v>
      </c>
    </row>
    <row r="239" spans="1:15" ht="12.5" x14ac:dyDescent="0.25">
      <c r="A239" s="764" t="s">
        <v>515</v>
      </c>
      <c r="B239" s="767">
        <v>87113.481882237495</v>
      </c>
      <c r="C239" s="767">
        <v>-1.5962960000000001E-7</v>
      </c>
      <c r="D239" s="767">
        <v>0</v>
      </c>
      <c r="E239" s="767">
        <v>0</v>
      </c>
      <c r="F239" s="767">
        <v>0</v>
      </c>
      <c r="G239" s="767">
        <v>0</v>
      </c>
      <c r="H239" s="767">
        <v>0</v>
      </c>
      <c r="I239" s="767">
        <v>0</v>
      </c>
      <c r="J239" s="767">
        <v>0</v>
      </c>
      <c r="K239" s="767">
        <v>0</v>
      </c>
      <c r="L239" s="767">
        <v>0</v>
      </c>
      <c r="M239" s="767">
        <v>0</v>
      </c>
      <c r="N239" s="767">
        <v>0</v>
      </c>
      <c r="O239" s="767">
        <f>SUM(B239:N239)</f>
        <v>87113.48188207786</v>
      </c>
    </row>
    <row r="240" spans="1:15" ht="12.5" x14ac:dyDescent="0.25">
      <c r="A240" s="764" t="s">
        <v>4122</v>
      </c>
      <c r="B240" s="767">
        <v>0</v>
      </c>
      <c r="C240" s="767">
        <v>7857221.0067918245</v>
      </c>
      <c r="D240" s="767">
        <v>80034.031776300006</v>
      </c>
      <c r="E240" s="767">
        <v>72740.78714</v>
      </c>
      <c r="F240" s="767">
        <v>28036.83</v>
      </c>
      <c r="G240" s="767">
        <v>140.87610301999999</v>
      </c>
      <c r="H240" s="767">
        <v>70.040770199999997</v>
      </c>
      <c r="I240" s="767">
        <v>1483.1800070769</v>
      </c>
      <c r="J240" s="767">
        <v>5353.4203799999996</v>
      </c>
      <c r="K240" s="767">
        <v>13265.579235314999</v>
      </c>
      <c r="L240" s="767">
        <v>10409.6185</v>
      </c>
      <c r="M240" s="767">
        <v>0</v>
      </c>
      <c r="N240" s="767">
        <v>-8068755.4935888806</v>
      </c>
      <c r="O240" s="767">
        <f>SUM(B240:N240)</f>
        <v>-0.12288514431566</v>
      </c>
    </row>
    <row r="241" spans="1:15" ht="12.5" hidden="1" x14ac:dyDescent="0.25">
      <c r="A241" s="762" t="s">
        <v>516</v>
      </c>
      <c r="B241" s="767">
        <f t="shared" ref="B241:O241" si="34">SUM(B239:B240)</f>
        <v>87113.481882237495</v>
      </c>
      <c r="C241" s="767">
        <f t="shared" si="34"/>
        <v>7857221.0067916652</v>
      </c>
      <c r="D241" s="767">
        <f t="shared" si="34"/>
        <v>80034.031776300006</v>
      </c>
      <c r="E241" s="767">
        <f t="shared" si="34"/>
        <v>72740.78714</v>
      </c>
      <c r="F241" s="767">
        <f t="shared" si="34"/>
        <v>28036.83</v>
      </c>
      <c r="G241" s="767">
        <f t="shared" si="34"/>
        <v>140.87610301999999</v>
      </c>
      <c r="H241" s="767">
        <f t="shared" si="34"/>
        <v>70.040770199999997</v>
      </c>
      <c r="I241" s="767">
        <f t="shared" si="34"/>
        <v>1483.1800070769</v>
      </c>
      <c r="J241" s="767">
        <f t="shared" si="34"/>
        <v>5353.4203799999996</v>
      </c>
      <c r="K241" s="767">
        <f t="shared" si="34"/>
        <v>13265.579235314999</v>
      </c>
      <c r="L241" s="767">
        <f t="shared" si="34"/>
        <v>10409.6185</v>
      </c>
      <c r="M241" s="767">
        <f t="shared" si="34"/>
        <v>0</v>
      </c>
      <c r="N241" s="767">
        <f t="shared" si="34"/>
        <v>-8068755.4935888806</v>
      </c>
      <c r="O241" s="767">
        <f t="shared" si="34"/>
        <v>87113.358996933544</v>
      </c>
    </row>
    <row r="242" spans="1:15" ht="12.5" x14ac:dyDescent="0.25">
      <c r="A242" s="762" t="s">
        <v>517</v>
      </c>
      <c r="B242" s="763">
        <v>2786435.2708193175</v>
      </c>
      <c r="C242" s="763">
        <v>75471.474921602261</v>
      </c>
      <c r="D242" s="763">
        <v>0</v>
      </c>
      <c r="E242" s="763">
        <v>0</v>
      </c>
      <c r="F242" s="763">
        <v>0</v>
      </c>
      <c r="G242" s="763">
        <v>0</v>
      </c>
      <c r="H242" s="763">
        <v>0</v>
      </c>
      <c r="I242" s="763">
        <v>0</v>
      </c>
      <c r="J242" s="763">
        <v>0</v>
      </c>
      <c r="K242" s="763">
        <v>0</v>
      </c>
      <c r="L242" s="763">
        <v>0</v>
      </c>
      <c r="M242" s="763">
        <v>0</v>
      </c>
      <c r="N242" s="763">
        <v>0</v>
      </c>
      <c r="O242" s="763">
        <v>2861906.7457409198</v>
      </c>
    </row>
    <row r="243" spans="1:15" ht="12.5" hidden="1" x14ac:dyDescent="0.25">
      <c r="A243" s="764" t="s">
        <v>518</v>
      </c>
      <c r="B243" s="767">
        <v>2786435.2708193175</v>
      </c>
      <c r="C243" s="767">
        <v>75471.474921602261</v>
      </c>
      <c r="D243" s="767">
        <v>0</v>
      </c>
      <c r="E243" s="767">
        <v>0</v>
      </c>
      <c r="F243" s="767">
        <v>0</v>
      </c>
      <c r="G243" s="767">
        <v>0</v>
      </c>
      <c r="H243" s="767">
        <v>0</v>
      </c>
      <c r="I243" s="767">
        <v>0</v>
      </c>
      <c r="J243" s="767">
        <v>0</v>
      </c>
      <c r="K243" s="767">
        <v>0</v>
      </c>
      <c r="L243" s="767">
        <v>0</v>
      </c>
      <c r="M243" s="767">
        <v>0</v>
      </c>
      <c r="N243" s="767">
        <v>0</v>
      </c>
      <c r="O243" s="767">
        <f>SUM(B243:N243)</f>
        <v>2861906.7457409198</v>
      </c>
    </row>
    <row r="244" spans="1:15" ht="12.5" x14ac:dyDescent="0.25">
      <c r="A244" s="762" t="s">
        <v>519</v>
      </c>
      <c r="B244" s="767">
        <f t="shared" ref="B244:O244" si="35">SUM(B243)</f>
        <v>2786435.2708193175</v>
      </c>
      <c r="C244" s="767">
        <f t="shared" si="35"/>
        <v>75471.474921602261</v>
      </c>
      <c r="D244" s="767">
        <f t="shared" si="35"/>
        <v>0</v>
      </c>
      <c r="E244" s="767">
        <f t="shared" si="35"/>
        <v>0</v>
      </c>
      <c r="F244" s="767">
        <f t="shared" si="35"/>
        <v>0</v>
      </c>
      <c r="G244" s="767">
        <f t="shared" si="35"/>
        <v>0</v>
      </c>
      <c r="H244" s="767">
        <f t="shared" si="35"/>
        <v>0</v>
      </c>
      <c r="I244" s="767">
        <f t="shared" si="35"/>
        <v>0</v>
      </c>
      <c r="J244" s="767">
        <f t="shared" si="35"/>
        <v>0</v>
      </c>
      <c r="K244" s="767">
        <f t="shared" si="35"/>
        <v>0</v>
      </c>
      <c r="L244" s="767">
        <f t="shared" si="35"/>
        <v>0</v>
      </c>
      <c r="M244" s="767">
        <f t="shared" si="35"/>
        <v>0</v>
      </c>
      <c r="N244" s="767">
        <f t="shared" si="35"/>
        <v>0</v>
      </c>
      <c r="O244" s="767">
        <f t="shared" si="35"/>
        <v>2861906.7457409198</v>
      </c>
    </row>
    <row r="245" spans="1:15" ht="12.5" x14ac:dyDescent="0.25">
      <c r="A245" s="762" t="s">
        <v>520</v>
      </c>
      <c r="B245" s="763">
        <v>-2704915.6461159233</v>
      </c>
      <c r="C245" s="763">
        <v>-13458.547136269295</v>
      </c>
      <c r="D245" s="763">
        <v>-501834.744718</v>
      </c>
      <c r="E245" s="763">
        <v>-6038.9844949999997</v>
      </c>
      <c r="F245" s="763">
        <v>2739.6003700000001</v>
      </c>
      <c r="G245" s="763">
        <v>-81785.377659000005</v>
      </c>
      <c r="H245" s="763">
        <v>-2141.268505</v>
      </c>
      <c r="I245" s="763">
        <v>-73516.281197999997</v>
      </c>
      <c r="J245" s="763">
        <v>-6567.0339949999998</v>
      </c>
      <c r="K245" s="763">
        <v>9901.9288770000003</v>
      </c>
      <c r="L245" s="763">
        <v>2417.6278510000002</v>
      </c>
      <c r="M245" s="763">
        <v>0</v>
      </c>
      <c r="N245" s="763">
        <v>-282378.91655996395</v>
      </c>
      <c r="O245" s="763">
        <v>-3657577.6432841565</v>
      </c>
    </row>
    <row r="246" spans="1:15" ht="12.5" x14ac:dyDescent="0.25">
      <c r="A246" s="762" t="s">
        <v>4254</v>
      </c>
      <c r="B246" s="763"/>
      <c r="C246" s="763"/>
      <c r="D246" s="763"/>
      <c r="E246" s="763"/>
      <c r="F246" s="763"/>
      <c r="G246" s="763"/>
      <c r="H246" s="763"/>
      <c r="I246" s="763"/>
      <c r="J246" s="763"/>
      <c r="K246" s="763"/>
      <c r="L246" s="763"/>
      <c r="M246" s="763"/>
      <c r="N246" s="763"/>
      <c r="O246" s="763"/>
    </row>
    <row r="247" spans="1:15" ht="12.5" hidden="1" x14ac:dyDescent="0.25">
      <c r="A247" s="764" t="s">
        <v>4200</v>
      </c>
      <c r="B247" s="767">
        <v>0</v>
      </c>
      <c r="C247" s="767">
        <v>-0.50260326929499999</v>
      </c>
      <c r="D247" s="767">
        <v>0</v>
      </c>
      <c r="E247" s="767">
        <v>0</v>
      </c>
      <c r="F247" s="767">
        <v>0</v>
      </c>
      <c r="G247" s="767">
        <v>0</v>
      </c>
      <c r="H247" s="767">
        <v>0</v>
      </c>
      <c r="I247" s="767">
        <v>0</v>
      </c>
      <c r="J247" s="767">
        <v>0</v>
      </c>
      <c r="K247" s="767">
        <v>0</v>
      </c>
      <c r="L247" s="767">
        <v>0</v>
      </c>
      <c r="M247" s="767">
        <v>356411.46</v>
      </c>
      <c r="N247" s="767">
        <v>-53332.008604963936</v>
      </c>
      <c r="O247" s="767">
        <f>SUM(B247:N247)</f>
        <v>303078.94879176677</v>
      </c>
    </row>
    <row r="248" spans="1:15" ht="12.5" x14ac:dyDescent="0.25">
      <c r="A248" s="764" t="s">
        <v>4201</v>
      </c>
      <c r="B248" s="767">
        <v>-1948398.6987062742</v>
      </c>
      <c r="C248" s="767">
        <v>0</v>
      </c>
      <c r="D248" s="767">
        <v>0</v>
      </c>
      <c r="E248" s="767">
        <v>0</v>
      </c>
      <c r="F248" s="767">
        <v>0</v>
      </c>
      <c r="G248" s="767">
        <v>0</v>
      </c>
      <c r="H248" s="767">
        <v>0</v>
      </c>
      <c r="I248" s="767">
        <v>0</v>
      </c>
      <c r="J248" s="767">
        <v>0</v>
      </c>
      <c r="K248" s="767">
        <v>0</v>
      </c>
      <c r="L248" s="767">
        <v>0</v>
      </c>
      <c r="M248" s="767">
        <v>-356411.46</v>
      </c>
      <c r="N248" s="767">
        <v>0</v>
      </c>
      <c r="O248" s="767">
        <f>SUM(B248:N248)</f>
        <v>-2304810.1587062743</v>
      </c>
    </row>
    <row r="249" spans="1:15" ht="12.5" hidden="1" x14ac:dyDescent="0.25">
      <c r="A249" s="764" t="s">
        <v>4202</v>
      </c>
      <c r="B249" s="767">
        <v>-445865.37525940943</v>
      </c>
      <c r="C249" s="767">
        <v>0</v>
      </c>
      <c r="D249" s="767">
        <v>0</v>
      </c>
      <c r="E249" s="767">
        <v>0</v>
      </c>
      <c r="F249" s="767">
        <v>0</v>
      </c>
      <c r="G249" s="767">
        <v>0</v>
      </c>
      <c r="H249" s="767">
        <v>0</v>
      </c>
      <c r="I249" s="767">
        <v>0</v>
      </c>
      <c r="J249" s="767">
        <v>0</v>
      </c>
      <c r="K249" s="767">
        <v>0</v>
      </c>
      <c r="L249" s="767">
        <v>0</v>
      </c>
      <c r="M249" s="767">
        <v>0</v>
      </c>
      <c r="N249" s="767">
        <v>0</v>
      </c>
      <c r="O249" s="767">
        <f>SUM(B249:N249)</f>
        <v>-445865.37525940943</v>
      </c>
    </row>
    <row r="250" spans="1:15" ht="12.5" hidden="1" x14ac:dyDescent="0.25">
      <c r="A250" s="764" t="s">
        <v>4396</v>
      </c>
      <c r="B250" s="767">
        <v>274376.52069698001</v>
      </c>
      <c r="C250" s="767">
        <v>0</v>
      </c>
      <c r="D250" s="767">
        <v>0</v>
      </c>
      <c r="E250" s="767">
        <v>0</v>
      </c>
      <c r="F250" s="767">
        <v>0</v>
      </c>
      <c r="G250" s="767">
        <v>0</v>
      </c>
      <c r="H250" s="767">
        <v>0</v>
      </c>
      <c r="I250" s="767">
        <v>0</v>
      </c>
      <c r="J250" s="767">
        <v>0</v>
      </c>
      <c r="K250" s="767">
        <v>0</v>
      </c>
      <c r="L250" s="767">
        <v>0</v>
      </c>
      <c r="M250" s="767">
        <v>0</v>
      </c>
      <c r="N250" s="767">
        <v>0</v>
      </c>
      <c r="O250" s="767">
        <f>SUM(B250:N250)</f>
        <v>274376.52069698001</v>
      </c>
    </row>
    <row r="251" spans="1:15" ht="12.5" x14ac:dyDescent="0.25">
      <c r="A251" s="764" t="s">
        <v>4397</v>
      </c>
      <c r="B251" s="767">
        <v>94307.981664780003</v>
      </c>
      <c r="C251" s="767">
        <v>0</v>
      </c>
      <c r="D251" s="767">
        <v>0</v>
      </c>
      <c r="E251" s="767">
        <v>0</v>
      </c>
      <c r="F251" s="767">
        <v>0</v>
      </c>
      <c r="G251" s="767">
        <v>0</v>
      </c>
      <c r="H251" s="767">
        <v>0</v>
      </c>
      <c r="I251" s="767">
        <v>0</v>
      </c>
      <c r="J251" s="767">
        <v>0</v>
      </c>
      <c r="K251" s="767">
        <v>0</v>
      </c>
      <c r="L251" s="767">
        <v>0</v>
      </c>
      <c r="M251" s="767">
        <v>0</v>
      </c>
      <c r="N251" s="767">
        <v>0</v>
      </c>
      <c r="O251" s="767">
        <f>SUM(B251:N251)</f>
        <v>94307.981664780003</v>
      </c>
    </row>
    <row r="252" spans="1:15" ht="13" x14ac:dyDescent="0.3">
      <c r="A252" s="774" t="s">
        <v>4255</v>
      </c>
      <c r="B252" s="769">
        <f t="shared" ref="B252:O252" si="36">SUM(B247:B251)</f>
        <v>-2025579.5716039236</v>
      </c>
      <c r="C252" s="769">
        <f t="shared" si="36"/>
        <v>-0.50260326929499999</v>
      </c>
      <c r="D252" s="769">
        <f t="shared" si="36"/>
        <v>0</v>
      </c>
      <c r="E252" s="769">
        <f t="shared" si="36"/>
        <v>0</v>
      </c>
      <c r="F252" s="769">
        <f t="shared" si="36"/>
        <v>0</v>
      </c>
      <c r="G252" s="769">
        <f t="shared" si="36"/>
        <v>0</v>
      </c>
      <c r="H252" s="769">
        <f t="shared" si="36"/>
        <v>0</v>
      </c>
      <c r="I252" s="769">
        <f t="shared" si="36"/>
        <v>0</v>
      </c>
      <c r="J252" s="769">
        <f t="shared" si="36"/>
        <v>0</v>
      </c>
      <c r="K252" s="769">
        <f t="shared" si="36"/>
        <v>0</v>
      </c>
      <c r="L252" s="769">
        <f t="shared" si="36"/>
        <v>0</v>
      </c>
      <c r="M252" s="769">
        <f t="shared" si="36"/>
        <v>0</v>
      </c>
      <c r="N252" s="769">
        <f t="shared" si="36"/>
        <v>-53332.008604963936</v>
      </c>
      <c r="O252" s="769">
        <f t="shared" si="36"/>
        <v>-2078912.082812157</v>
      </c>
    </row>
    <row r="253" spans="1:15" ht="12.5" x14ac:dyDescent="0.25">
      <c r="A253" s="764" t="s">
        <v>4203</v>
      </c>
      <c r="B253" s="767">
        <f>-679336.074512</f>
        <v>-679336.07451199996</v>
      </c>
      <c r="C253" s="767">
        <f>-13458.044533</f>
        <v>-13458.044533</v>
      </c>
      <c r="D253" s="767">
        <f>-501834.744718</f>
        <v>-501834.744718</v>
      </c>
      <c r="E253" s="767">
        <f>-6038.984495</f>
        <v>-6038.9844949999997</v>
      </c>
      <c r="F253" s="767">
        <f>2739.60037</f>
        <v>2739.6003700000001</v>
      </c>
      <c r="G253" s="767">
        <f>-81785.377659</f>
        <v>-81785.377659000005</v>
      </c>
      <c r="H253" s="767">
        <f>-2141.268505</f>
        <v>-2141.268505</v>
      </c>
      <c r="I253" s="767">
        <f>-73516.281198</f>
        <v>-73516.281197999997</v>
      </c>
      <c r="J253" s="767">
        <f>-6567.033995</f>
        <v>-6567.0339949999998</v>
      </c>
      <c r="K253" s="767">
        <f>9901.928877</f>
        <v>9901.9288770000003</v>
      </c>
      <c r="L253" s="767">
        <f>2417.627851</f>
        <v>2417.6278510000002</v>
      </c>
      <c r="M253" s="767">
        <f>0</f>
        <v>0</v>
      </c>
      <c r="N253" s="767">
        <f>-229046.907955</f>
        <v>-229046.907955</v>
      </c>
      <c r="O253" s="767">
        <f>-1578665.56047199</f>
        <v>-1578665.5604719899</v>
      </c>
    </row>
    <row r="254" spans="1:15" ht="12.5" x14ac:dyDescent="0.25">
      <c r="A254" s="762" t="s">
        <v>4256</v>
      </c>
      <c r="B254" s="767">
        <f t="shared" ref="B254:O254" si="37">B252+B253</f>
        <v>-2704915.6461159233</v>
      </c>
      <c r="C254" s="767">
        <f t="shared" si="37"/>
        <v>-13458.547136269295</v>
      </c>
      <c r="D254" s="767">
        <f t="shared" si="37"/>
        <v>-501834.744718</v>
      </c>
      <c r="E254" s="767">
        <f t="shared" si="37"/>
        <v>-6038.9844949999997</v>
      </c>
      <c r="F254" s="767">
        <f t="shared" si="37"/>
        <v>2739.6003700000001</v>
      </c>
      <c r="G254" s="767">
        <f t="shared" si="37"/>
        <v>-81785.377659000005</v>
      </c>
      <c r="H254" s="767">
        <f t="shared" si="37"/>
        <v>-2141.268505</v>
      </c>
      <c r="I254" s="767">
        <f t="shared" si="37"/>
        <v>-73516.281197999997</v>
      </c>
      <c r="J254" s="767">
        <f t="shared" si="37"/>
        <v>-6567.0339949999998</v>
      </c>
      <c r="K254" s="767">
        <f t="shared" si="37"/>
        <v>9901.9288770000003</v>
      </c>
      <c r="L254" s="767">
        <f t="shared" si="37"/>
        <v>2417.6278510000002</v>
      </c>
      <c r="M254" s="767">
        <f t="shared" si="37"/>
        <v>0</v>
      </c>
      <c r="N254" s="767">
        <f t="shared" si="37"/>
        <v>-282378.91655996395</v>
      </c>
      <c r="O254" s="767">
        <f t="shared" si="37"/>
        <v>-3657577.6432841467</v>
      </c>
    </row>
    <row r="255" spans="1:15" x14ac:dyDescent="0.2">
      <c r="A255" s="775" t="s">
        <v>520</v>
      </c>
      <c r="B255" s="776">
        <f>B252+-679336.074512</f>
        <v>-2704915.6461159233</v>
      </c>
      <c r="C255" s="776">
        <f>C252+-13458.044533</f>
        <v>-13458.547136269295</v>
      </c>
      <c r="D255" s="776">
        <f>D252+-501834.744718</f>
        <v>-501834.744718</v>
      </c>
      <c r="E255" s="776">
        <f>E252+-6038.984495</f>
        <v>-6038.9844949999997</v>
      </c>
      <c r="F255" s="776">
        <f>F252+2739.60037</f>
        <v>2739.6003700000001</v>
      </c>
      <c r="G255" s="776">
        <f>G252+-81785.377659</f>
        <v>-81785.377659000005</v>
      </c>
      <c r="H255" s="776">
        <f>H252+-2141.268505</f>
        <v>-2141.268505</v>
      </c>
      <c r="I255" s="776">
        <f>I252+-73516.281198</f>
        <v>-73516.281197999997</v>
      </c>
      <c r="J255" s="776">
        <f>J252+-6567.033995</f>
        <v>-6567.0339949999998</v>
      </c>
      <c r="K255" s="776">
        <f>K252+9901.928877</f>
        <v>9901.9288770000003</v>
      </c>
      <c r="L255" s="776">
        <f>L252+2417.627851</f>
        <v>2417.6278510000002</v>
      </c>
      <c r="M255" s="776">
        <f>M252+0</f>
        <v>0</v>
      </c>
      <c r="N255" s="776">
        <f>N252+-229046.907955</f>
        <v>-282378.91655996395</v>
      </c>
      <c r="O255" s="776">
        <f>O252+-1578665.56047199</f>
        <v>-3657577.6432841467</v>
      </c>
    </row>
    <row r="256" spans="1:15" ht="12.5" hidden="1" x14ac:dyDescent="0.25">
      <c r="A256" s="762" t="s">
        <v>521</v>
      </c>
      <c r="B256" s="763">
        <v>-26963991.046690032</v>
      </c>
      <c r="C256" s="763">
        <v>5918951.51012953</v>
      </c>
      <c r="D256" s="763">
        <v>654066.98584830516</v>
      </c>
      <c r="E256" s="763">
        <v>2051.9339856434963</v>
      </c>
      <c r="F256" s="763">
        <v>748120.25520005252</v>
      </c>
      <c r="G256" s="763">
        <v>1443933.8236301481</v>
      </c>
      <c r="H256" s="763">
        <v>117446.24460624036</v>
      </c>
      <c r="I256" s="763">
        <v>1424400.4452207997</v>
      </c>
      <c r="J256" s="763">
        <v>311709.05989400321</v>
      </c>
      <c r="K256" s="763">
        <v>358751.67947725224</v>
      </c>
      <c r="L256" s="763">
        <v>59763.346358473973</v>
      </c>
      <c r="M256" s="763">
        <v>0</v>
      </c>
      <c r="N256" s="763">
        <v>14033.913891096168</v>
      </c>
      <c r="O256" s="763">
        <v>-15910761.848448489</v>
      </c>
    </row>
    <row r="257" spans="1:15" ht="12.5" x14ac:dyDescent="0.25">
      <c r="A257" s="764" t="s">
        <v>522</v>
      </c>
      <c r="B257" s="763"/>
      <c r="C257" s="763"/>
      <c r="D257" s="763"/>
      <c r="E257" s="763"/>
      <c r="F257" s="763"/>
      <c r="G257" s="763"/>
      <c r="H257" s="763"/>
      <c r="I257" s="763"/>
      <c r="J257" s="763"/>
      <c r="K257" s="763"/>
      <c r="L257" s="763"/>
      <c r="M257" s="763"/>
      <c r="N257" s="763"/>
      <c r="O257" s="763"/>
    </row>
    <row r="258" spans="1:15" ht="12.5" x14ac:dyDescent="0.25">
      <c r="A258" s="765" t="s">
        <v>523</v>
      </c>
      <c r="B258" s="767">
        <v>-2500748.0100769941</v>
      </c>
      <c r="C258" s="767">
        <v>0</v>
      </c>
      <c r="D258" s="767">
        <v>0</v>
      </c>
      <c r="E258" s="767">
        <v>0</v>
      </c>
      <c r="F258" s="767">
        <v>0</v>
      </c>
      <c r="G258" s="767">
        <v>0</v>
      </c>
      <c r="H258" s="767">
        <v>0</v>
      </c>
      <c r="I258" s="767">
        <v>0</v>
      </c>
      <c r="J258" s="767">
        <v>0</v>
      </c>
      <c r="K258" s="767">
        <v>0</v>
      </c>
      <c r="L258" s="767">
        <v>0</v>
      </c>
      <c r="M258" s="767">
        <v>0</v>
      </c>
      <c r="N258" s="767">
        <v>0</v>
      </c>
      <c r="O258" s="767">
        <f>SUM(B258:N258)</f>
        <v>-2500748.0100769941</v>
      </c>
    </row>
    <row r="259" spans="1:15" ht="12.5" hidden="1" x14ac:dyDescent="0.25">
      <c r="A259" s="765" t="s">
        <v>524</v>
      </c>
      <c r="B259" s="767">
        <v>-32837027.326849319</v>
      </c>
      <c r="C259" s="767">
        <v>-4689224.4721418163</v>
      </c>
      <c r="D259" s="767">
        <v>-57935.51839781009</v>
      </c>
      <c r="E259" s="767">
        <v>45152.037120596797</v>
      </c>
      <c r="F259" s="767">
        <v>0</v>
      </c>
      <c r="G259" s="767">
        <v>0</v>
      </c>
      <c r="H259" s="767">
        <v>0</v>
      </c>
      <c r="I259" s="767">
        <v>0</v>
      </c>
      <c r="J259" s="767">
        <v>0</v>
      </c>
      <c r="K259" s="767">
        <v>0</v>
      </c>
      <c r="L259" s="767">
        <v>0</v>
      </c>
      <c r="M259" s="767">
        <v>0</v>
      </c>
      <c r="N259" s="767">
        <v>-883.98403809659999</v>
      </c>
      <c r="O259" s="767">
        <f>SUM(B259:N259)</f>
        <v>-37539919.264306448</v>
      </c>
    </row>
    <row r="260" spans="1:15" ht="12.5" hidden="1" x14ac:dyDescent="0.25">
      <c r="A260" s="765" t="s">
        <v>525</v>
      </c>
      <c r="B260" s="767">
        <v>6355403.2071198002</v>
      </c>
      <c r="C260" s="767">
        <v>0</v>
      </c>
      <c r="D260" s="767">
        <v>0</v>
      </c>
      <c r="E260" s="767">
        <v>0</v>
      </c>
      <c r="F260" s="767">
        <v>0</v>
      </c>
      <c r="G260" s="767">
        <v>0</v>
      </c>
      <c r="H260" s="767">
        <v>0</v>
      </c>
      <c r="I260" s="767">
        <v>0</v>
      </c>
      <c r="J260" s="767">
        <v>0</v>
      </c>
      <c r="K260" s="767">
        <v>0</v>
      </c>
      <c r="L260" s="767">
        <v>0</v>
      </c>
      <c r="M260" s="767">
        <v>0</v>
      </c>
      <c r="N260" s="767">
        <v>0</v>
      </c>
      <c r="O260" s="767">
        <f>SUM(B260:N260)</f>
        <v>6355403.2071198002</v>
      </c>
    </row>
    <row r="261" spans="1:15" ht="12.5" x14ac:dyDescent="0.25">
      <c r="A261" s="764" t="s">
        <v>526</v>
      </c>
      <c r="B261" s="767">
        <f t="shared" ref="B261:O261" si="38">SUM(B258:B260)</f>
        <v>-28982372.129806511</v>
      </c>
      <c r="C261" s="767">
        <f t="shared" si="38"/>
        <v>-4689224.4721418163</v>
      </c>
      <c r="D261" s="767">
        <f t="shared" si="38"/>
        <v>-57935.51839781009</v>
      </c>
      <c r="E261" s="767">
        <f t="shared" si="38"/>
        <v>45152.037120596797</v>
      </c>
      <c r="F261" s="767">
        <f t="shared" si="38"/>
        <v>0</v>
      </c>
      <c r="G261" s="767">
        <f t="shared" si="38"/>
        <v>0</v>
      </c>
      <c r="H261" s="767">
        <f t="shared" si="38"/>
        <v>0</v>
      </c>
      <c r="I261" s="767">
        <f t="shared" si="38"/>
        <v>0</v>
      </c>
      <c r="J261" s="767">
        <f t="shared" si="38"/>
        <v>0</v>
      </c>
      <c r="K261" s="767">
        <f t="shared" si="38"/>
        <v>0</v>
      </c>
      <c r="L261" s="767">
        <f t="shared" si="38"/>
        <v>0</v>
      </c>
      <c r="M261" s="767">
        <f t="shared" si="38"/>
        <v>0</v>
      </c>
      <c r="N261" s="767">
        <f t="shared" si="38"/>
        <v>-883.98403809659999</v>
      </c>
      <c r="O261" s="767">
        <f t="shared" si="38"/>
        <v>-33685264.06726364</v>
      </c>
    </row>
    <row r="262" spans="1:15" ht="12.5" x14ac:dyDescent="0.25">
      <c r="A262" s="764" t="s">
        <v>527</v>
      </c>
      <c r="B262" s="767">
        <v>10255336.190011919</v>
      </c>
      <c r="C262" s="767">
        <v>3956676.2520843931</v>
      </c>
      <c r="D262" s="767">
        <v>134278.04917800188</v>
      </c>
      <c r="E262" s="767">
        <v>125750.87400889995</v>
      </c>
      <c r="F262" s="767">
        <v>259212.32165144841</v>
      </c>
      <c r="G262" s="767">
        <v>282035.19344410452</v>
      </c>
      <c r="H262" s="767">
        <v>69495.023671625575</v>
      </c>
      <c r="I262" s="767">
        <v>588975.77474530705</v>
      </c>
      <c r="J262" s="767">
        <v>104377.10229836378</v>
      </c>
      <c r="K262" s="767">
        <v>-97626.809540229864</v>
      </c>
      <c r="L262" s="767">
        <v>59763.346358473973</v>
      </c>
      <c r="M262" s="767">
        <v>0</v>
      </c>
      <c r="N262" s="767">
        <v>-3367.101687976814</v>
      </c>
      <c r="O262" s="767">
        <f>SUM(B262:N262)</f>
        <v>15734906.21622433</v>
      </c>
    </row>
    <row r="263" spans="1:15" ht="12.5" x14ac:dyDescent="0.25">
      <c r="A263" s="764" t="s">
        <v>528</v>
      </c>
      <c r="B263" s="767">
        <v>-8236955.1068954375</v>
      </c>
      <c r="C263" s="767">
        <v>6651499.7308850214</v>
      </c>
      <c r="D263" s="767">
        <v>577724.4550681134</v>
      </c>
      <c r="E263" s="767">
        <v>-168850.97714385326</v>
      </c>
      <c r="F263" s="767">
        <v>488907.93354860414</v>
      </c>
      <c r="G263" s="767">
        <v>1161898.6301860434</v>
      </c>
      <c r="H263" s="767">
        <v>47951.220934614787</v>
      </c>
      <c r="I263" s="767">
        <v>835424.67047549272</v>
      </c>
      <c r="J263" s="767">
        <v>207331.9575956394</v>
      </c>
      <c r="K263" s="767">
        <v>456378.48901748209</v>
      </c>
      <c r="L263" s="767">
        <v>0</v>
      </c>
      <c r="M263" s="767">
        <v>0</v>
      </c>
      <c r="N263" s="767">
        <v>18284.999617169582</v>
      </c>
      <c r="O263" s="767">
        <f>SUM(B263:N263)</f>
        <v>2039596.0032888902</v>
      </c>
    </row>
    <row r="264" spans="1:15" ht="12.5" x14ac:dyDescent="0.2">
      <c r="A264" s="773" t="s">
        <v>529</v>
      </c>
      <c r="B264" s="767">
        <f>0+B261+B262+B263</f>
        <v>-26963991.046690032</v>
      </c>
      <c r="C264" s="767">
        <f>-0.0006980684+C261+C262+C263</f>
        <v>5918951.51012953</v>
      </c>
      <c r="D264" s="767">
        <f t="shared" ref="D264:N264" si="39">0+D261+D262+D263</f>
        <v>654066.98584830516</v>
      </c>
      <c r="E264" s="767">
        <f t="shared" si="39"/>
        <v>2051.9339856434963</v>
      </c>
      <c r="F264" s="767">
        <f t="shared" si="39"/>
        <v>748120.25520005252</v>
      </c>
      <c r="G264" s="767">
        <f t="shared" si="39"/>
        <v>1443933.8236301481</v>
      </c>
      <c r="H264" s="767">
        <f t="shared" si="39"/>
        <v>117446.24460624036</v>
      </c>
      <c r="I264" s="767">
        <f t="shared" si="39"/>
        <v>1424400.4452207997</v>
      </c>
      <c r="J264" s="767">
        <f t="shared" si="39"/>
        <v>311709.05989400321</v>
      </c>
      <c r="K264" s="767">
        <f t="shared" si="39"/>
        <v>358751.67947725224</v>
      </c>
      <c r="L264" s="767">
        <f t="shared" si="39"/>
        <v>59763.346358473973</v>
      </c>
      <c r="M264" s="767">
        <f t="shared" si="39"/>
        <v>0</v>
      </c>
      <c r="N264" s="767">
        <f t="shared" si="39"/>
        <v>14033.913891096168</v>
      </c>
      <c r="O264" s="767">
        <f>-0.0006980684+O261+O262+O263</f>
        <v>-15910761.848448489</v>
      </c>
    </row>
    <row r="265" spans="1:15" ht="12.5" x14ac:dyDescent="0.25">
      <c r="A265" s="762" t="s">
        <v>4352</v>
      </c>
      <c r="B265" s="763">
        <v>-17864.712637245899</v>
      </c>
      <c r="C265" s="763">
        <v>0</v>
      </c>
      <c r="D265" s="763">
        <v>0</v>
      </c>
      <c r="E265" s="763">
        <v>0</v>
      </c>
      <c r="F265" s="763">
        <v>0</v>
      </c>
      <c r="G265" s="763">
        <v>0</v>
      </c>
      <c r="H265" s="763">
        <v>0</v>
      </c>
      <c r="I265" s="763">
        <v>0</v>
      </c>
      <c r="J265" s="763">
        <v>0</v>
      </c>
      <c r="K265" s="763">
        <v>0</v>
      </c>
      <c r="L265" s="763">
        <v>0</v>
      </c>
      <c r="M265" s="763">
        <v>0</v>
      </c>
      <c r="N265" s="763">
        <v>0</v>
      </c>
      <c r="O265" s="763">
        <v>-17864.712637245899</v>
      </c>
    </row>
    <row r="266" spans="1:15" ht="12.5" x14ac:dyDescent="0.25">
      <c r="A266" s="764" t="s">
        <v>4330</v>
      </c>
      <c r="B266" s="767">
        <v>-17864.712637245899</v>
      </c>
      <c r="C266" s="767">
        <v>0</v>
      </c>
      <c r="D266" s="767">
        <v>0</v>
      </c>
      <c r="E266" s="767">
        <v>0</v>
      </c>
      <c r="F266" s="767">
        <v>0</v>
      </c>
      <c r="G266" s="767">
        <v>0</v>
      </c>
      <c r="H266" s="767">
        <v>0</v>
      </c>
      <c r="I266" s="767">
        <v>0</v>
      </c>
      <c r="J266" s="767">
        <v>0</v>
      </c>
      <c r="K266" s="767">
        <v>0</v>
      </c>
      <c r="L266" s="767">
        <v>0</v>
      </c>
      <c r="M266" s="767">
        <v>0</v>
      </c>
      <c r="N266" s="767">
        <v>0</v>
      </c>
      <c r="O266" s="767">
        <f>SUM(B266:N266)</f>
        <v>-17864.712637245899</v>
      </c>
    </row>
    <row r="267" spans="1:15" ht="12.5" x14ac:dyDescent="0.25">
      <c r="A267" s="762" t="s">
        <v>4353</v>
      </c>
      <c r="B267" s="767">
        <f t="shared" ref="B267:O267" si="40">SUM(B266)</f>
        <v>-17864.712637245899</v>
      </c>
      <c r="C267" s="767">
        <f t="shared" si="40"/>
        <v>0</v>
      </c>
      <c r="D267" s="767">
        <f t="shared" si="40"/>
        <v>0</v>
      </c>
      <c r="E267" s="767">
        <f t="shared" si="40"/>
        <v>0</v>
      </c>
      <c r="F267" s="767">
        <f t="shared" si="40"/>
        <v>0</v>
      </c>
      <c r="G267" s="767">
        <f t="shared" si="40"/>
        <v>0</v>
      </c>
      <c r="H267" s="767">
        <f t="shared" si="40"/>
        <v>0</v>
      </c>
      <c r="I267" s="767">
        <f t="shared" si="40"/>
        <v>0</v>
      </c>
      <c r="J267" s="767">
        <f t="shared" si="40"/>
        <v>0</v>
      </c>
      <c r="K267" s="767">
        <f t="shared" si="40"/>
        <v>0</v>
      </c>
      <c r="L267" s="767">
        <f t="shared" si="40"/>
        <v>0</v>
      </c>
      <c r="M267" s="767">
        <f t="shared" si="40"/>
        <v>0</v>
      </c>
      <c r="N267" s="767">
        <f t="shared" si="40"/>
        <v>0</v>
      </c>
      <c r="O267" s="767">
        <f t="shared" si="40"/>
        <v>-17864.712637245899</v>
      </c>
    </row>
    <row r="268" spans="1:15" ht="12.5" x14ac:dyDescent="0.2">
      <c r="A268" s="773" t="s">
        <v>530</v>
      </c>
      <c r="B268" s="767">
        <f t="shared" ref="B268:O268" si="41">B241+B244+B254+B255+B264+B267</f>
        <v>-29518138.29885757</v>
      </c>
      <c r="C268" s="767">
        <f t="shared" si="41"/>
        <v>13824726.897570258</v>
      </c>
      <c r="D268" s="767">
        <f t="shared" si="41"/>
        <v>-269568.47181139479</v>
      </c>
      <c r="E268" s="767">
        <f t="shared" si="41"/>
        <v>62714.752135643503</v>
      </c>
      <c r="F268" s="767">
        <f t="shared" si="41"/>
        <v>781636.28594005248</v>
      </c>
      <c r="G268" s="767">
        <f t="shared" si="41"/>
        <v>1280503.9444151681</v>
      </c>
      <c r="H268" s="767">
        <f t="shared" si="41"/>
        <v>113233.74836644036</v>
      </c>
      <c r="I268" s="767">
        <f t="shared" si="41"/>
        <v>1278851.0628318766</v>
      </c>
      <c r="J268" s="767">
        <f t="shared" si="41"/>
        <v>303928.41228400322</v>
      </c>
      <c r="K268" s="767">
        <f t="shared" si="41"/>
        <v>391821.11646656727</v>
      </c>
      <c r="L268" s="767">
        <f t="shared" si="41"/>
        <v>75008.220560473972</v>
      </c>
      <c r="M268" s="767">
        <f t="shared" si="41"/>
        <v>0</v>
      </c>
      <c r="N268" s="767">
        <f t="shared" si="41"/>
        <v>-8619479.4128177129</v>
      </c>
      <c r="O268" s="767">
        <f t="shared" si="41"/>
        <v>-20294761.742916174</v>
      </c>
    </row>
    <row r="269" spans="1:15" ht="12.5" x14ac:dyDescent="0.2">
      <c r="A269" s="773" t="s">
        <v>531</v>
      </c>
      <c r="B269" s="767">
        <f t="shared" ref="B269:O269" si="42">B264+B241+B244+B254+B267</f>
        <v>-26813222.652741648</v>
      </c>
      <c r="C269" s="767">
        <f t="shared" si="42"/>
        <v>13838185.444706529</v>
      </c>
      <c r="D269" s="767">
        <f t="shared" si="42"/>
        <v>232266.27290660521</v>
      </c>
      <c r="E269" s="767">
        <f t="shared" si="42"/>
        <v>68753.7366306435</v>
      </c>
      <c r="F269" s="767">
        <f t="shared" si="42"/>
        <v>778896.68557005248</v>
      </c>
      <c r="G269" s="767">
        <f t="shared" si="42"/>
        <v>1362289.3220741681</v>
      </c>
      <c r="H269" s="767">
        <f t="shared" si="42"/>
        <v>115375.01687144036</v>
      </c>
      <c r="I269" s="767">
        <f t="shared" si="42"/>
        <v>1352367.3440298764</v>
      </c>
      <c r="J269" s="767">
        <f t="shared" si="42"/>
        <v>310495.44627900323</v>
      </c>
      <c r="K269" s="767">
        <f t="shared" si="42"/>
        <v>381919.18758956721</v>
      </c>
      <c r="L269" s="767">
        <f t="shared" si="42"/>
        <v>72590.592709473975</v>
      </c>
      <c r="M269" s="767">
        <f t="shared" si="42"/>
        <v>0</v>
      </c>
      <c r="N269" s="767">
        <f t="shared" si="42"/>
        <v>-8337100.4962577485</v>
      </c>
      <c r="O269" s="767">
        <f t="shared" si="42"/>
        <v>-16637184.099632028</v>
      </c>
    </row>
    <row r="270" spans="1:15" ht="13" x14ac:dyDescent="0.2">
      <c r="A270" s="768" t="s">
        <v>532</v>
      </c>
      <c r="B270" s="769">
        <f t="shared" ref="B270:O270" si="43">B216+B235+B269+B228+B219</f>
        <v>165667947.419696</v>
      </c>
      <c r="C270" s="769">
        <f t="shared" si="43"/>
        <v>59440211.709076412</v>
      </c>
      <c r="D270" s="769">
        <f t="shared" si="43"/>
        <v>5428314.0694961092</v>
      </c>
      <c r="E270" s="769">
        <f t="shared" si="43"/>
        <v>656498.9404040674</v>
      </c>
      <c r="F270" s="769">
        <f t="shared" si="43"/>
        <v>2158162.5523942746</v>
      </c>
      <c r="G270" s="769">
        <f t="shared" si="43"/>
        <v>2053539.5140837468</v>
      </c>
      <c r="H270" s="769">
        <f t="shared" si="43"/>
        <v>241516.06295388658</v>
      </c>
      <c r="I270" s="769">
        <f t="shared" si="43"/>
        <v>3066424.9039858188</v>
      </c>
      <c r="J270" s="769">
        <f t="shared" si="43"/>
        <v>665018.82766781619</v>
      </c>
      <c r="K270" s="769">
        <f t="shared" si="43"/>
        <v>2582158.5306459055</v>
      </c>
      <c r="L270" s="769">
        <f t="shared" si="43"/>
        <v>337838.09503290616</v>
      </c>
      <c r="M270" s="769">
        <f t="shared" si="43"/>
        <v>0</v>
      </c>
      <c r="N270" s="769">
        <f t="shared" si="43"/>
        <v>-20258346.822861962</v>
      </c>
      <c r="O270" s="769">
        <f t="shared" si="43"/>
        <v>222039283.80257499</v>
      </c>
    </row>
    <row r="271" spans="1:15" x14ac:dyDescent="0.2">
      <c r="A271" s="777" t="s">
        <v>533</v>
      </c>
      <c r="B271" s="778">
        <f t="shared" ref="B271:O271" si="44">B142-B270</f>
        <v>0</v>
      </c>
      <c r="C271" s="778">
        <f t="shared" si="44"/>
        <v>-3.6507844924926758E-7</v>
      </c>
      <c r="D271" s="778">
        <f t="shared" si="44"/>
        <v>-4.0233135223388672E-7</v>
      </c>
      <c r="E271" s="778">
        <f t="shared" si="44"/>
        <v>-1.0617077350616455E-7</v>
      </c>
      <c r="F271" s="778">
        <f t="shared" si="44"/>
        <v>4.8847869038581848E-7</v>
      </c>
      <c r="G271" s="778">
        <f t="shared" si="44"/>
        <v>-1.8160790205001831E-8</v>
      </c>
      <c r="H271" s="778">
        <f t="shared" si="44"/>
        <v>-1.651933416724205E-7</v>
      </c>
      <c r="I271" s="778">
        <f t="shared" si="44"/>
        <v>4.8568472266197205E-7</v>
      </c>
      <c r="J271" s="778">
        <f t="shared" si="44"/>
        <v>4.9313530325889587E-7</v>
      </c>
      <c r="K271" s="778">
        <f t="shared" si="44"/>
        <v>-5.3085386753082275E-8</v>
      </c>
      <c r="L271" s="778">
        <f t="shared" si="44"/>
        <v>-3.3294782042503357E-7</v>
      </c>
      <c r="M271" s="778">
        <f t="shared" si="44"/>
        <v>0</v>
      </c>
      <c r="N271" s="778">
        <f t="shared" si="44"/>
        <v>8.1956386566162109E-8</v>
      </c>
      <c r="O271" s="778">
        <f t="shared" si="44"/>
        <v>0</v>
      </c>
    </row>
  </sheetData>
  <mergeCells count="5">
    <mergeCell ref="A5:O5"/>
    <mergeCell ref="A1:O1"/>
    <mergeCell ref="A2:O2"/>
    <mergeCell ref="A3:O3"/>
    <mergeCell ref="A4:O4"/>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7092A-A706-4EA6-AA43-B13C4C0FF042}">
  <sheetPr codeName="Sheet36"/>
  <dimension ref="A1:H199"/>
  <sheetViews>
    <sheetView workbookViewId="0"/>
  </sheetViews>
  <sheetFormatPr defaultColWidth="9.109375" defaultRowHeight="10" x14ac:dyDescent="0.2"/>
  <cols>
    <col min="1" max="1" width="17.77734375" style="598" bestFit="1" customWidth="1"/>
    <col min="2" max="2" width="19.5546875" style="598" bestFit="1" customWidth="1"/>
    <col min="3" max="3" width="18" style="598" bestFit="1" customWidth="1"/>
    <col min="4" max="4" width="17.33203125" style="598" bestFit="1" customWidth="1"/>
    <col min="5" max="16384" width="9.109375" style="598"/>
  </cols>
  <sheetData>
    <row r="1" spans="1:4" x14ac:dyDescent="0.2">
      <c r="A1" s="599" t="s">
        <v>4276</v>
      </c>
      <c r="B1" s="599" t="s">
        <v>4277</v>
      </c>
      <c r="C1" s="599" t="s">
        <v>4278</v>
      </c>
      <c r="D1" s="599" t="s">
        <v>4279</v>
      </c>
    </row>
    <row r="2" spans="1:4" x14ac:dyDescent="0.2">
      <c r="A2" s="598" t="s">
        <v>4055</v>
      </c>
      <c r="B2" s="598" t="s">
        <v>4055</v>
      </c>
      <c r="C2" s="598">
        <v>1</v>
      </c>
      <c r="D2" s="605">
        <v>45473</v>
      </c>
    </row>
    <row r="3" spans="1:4" x14ac:dyDescent="0.2">
      <c r="A3" s="598" t="s">
        <v>4055</v>
      </c>
      <c r="B3" s="598" t="s">
        <v>958</v>
      </c>
      <c r="C3" s="598">
        <v>2.4522504000000001</v>
      </c>
      <c r="D3" s="605">
        <v>45473</v>
      </c>
    </row>
    <row r="4" spans="1:4" x14ac:dyDescent="0.2">
      <c r="A4" s="598" t="s">
        <v>4055</v>
      </c>
      <c r="B4" s="598" t="s">
        <v>4056</v>
      </c>
      <c r="C4" s="598">
        <v>0.65666049000000004</v>
      </c>
      <c r="D4" s="605">
        <v>45473</v>
      </c>
    </row>
    <row r="5" spans="1:4" x14ac:dyDescent="0.2">
      <c r="A5" s="598" t="s">
        <v>4055</v>
      </c>
      <c r="B5" s="598" t="s">
        <v>868</v>
      </c>
      <c r="C5" s="598">
        <v>2.6865606899999999</v>
      </c>
      <c r="D5" s="605">
        <v>45473</v>
      </c>
    </row>
    <row r="6" spans="1:4" x14ac:dyDescent="0.2">
      <c r="A6" s="598" t="s">
        <v>4055</v>
      </c>
      <c r="B6" s="598" t="s">
        <v>4280</v>
      </c>
      <c r="C6" s="598">
        <v>4.0883988799999997</v>
      </c>
      <c r="D6" s="605">
        <v>45473</v>
      </c>
    </row>
    <row r="7" spans="1:4" x14ac:dyDescent="0.2">
      <c r="A7" s="598" t="s">
        <v>4055</v>
      </c>
      <c r="B7" s="598" t="s">
        <v>4282</v>
      </c>
      <c r="C7" s="598">
        <v>0.50542385000000001</v>
      </c>
      <c r="D7" s="605">
        <v>45473</v>
      </c>
    </row>
    <row r="8" spans="1:4" x14ac:dyDescent="0.2">
      <c r="A8" s="598" t="s">
        <v>4055</v>
      </c>
      <c r="B8" s="598" t="s">
        <v>4283</v>
      </c>
      <c r="C8" s="598">
        <v>0.52901266000000002</v>
      </c>
      <c r="D8" s="605">
        <v>45473</v>
      </c>
    </row>
    <row r="9" spans="1:4" x14ac:dyDescent="0.2">
      <c r="A9" s="598" t="s">
        <v>4055</v>
      </c>
      <c r="B9" s="598" t="s">
        <v>956</v>
      </c>
      <c r="C9" s="598">
        <v>3.9446175700000001</v>
      </c>
      <c r="D9" s="605">
        <v>45473</v>
      </c>
    </row>
    <row r="10" spans="1:4" x14ac:dyDescent="0.2">
      <c r="A10" s="598" t="s">
        <v>4055</v>
      </c>
      <c r="B10" s="598" t="s">
        <v>957</v>
      </c>
      <c r="C10" s="598">
        <v>4.6464833700000003</v>
      </c>
      <c r="D10" s="605">
        <v>45473</v>
      </c>
    </row>
    <row r="11" spans="1:4" x14ac:dyDescent="0.2">
      <c r="A11" s="598" t="s">
        <v>4055</v>
      </c>
      <c r="B11" s="598" t="s">
        <v>959</v>
      </c>
      <c r="C11" s="598">
        <v>4.4061379999999997E-2</v>
      </c>
      <c r="D11" s="605">
        <v>45473</v>
      </c>
    </row>
    <row r="12" spans="1:4" x14ac:dyDescent="0.2">
      <c r="A12" s="598" t="s">
        <v>4055</v>
      </c>
      <c r="B12" s="598" t="s">
        <v>4284</v>
      </c>
      <c r="C12" s="598">
        <v>0.77858861999999995</v>
      </c>
      <c r="D12" s="605">
        <v>45473</v>
      </c>
    </row>
    <row r="13" spans="1:4" x14ac:dyDescent="0.2">
      <c r="A13" s="598" t="s">
        <v>4055</v>
      </c>
      <c r="B13" s="598" t="s">
        <v>4285</v>
      </c>
      <c r="C13" s="598">
        <v>0.34511459</v>
      </c>
      <c r="D13" s="605">
        <v>45473</v>
      </c>
    </row>
    <row r="14" spans="1:4" x14ac:dyDescent="0.2">
      <c r="A14" s="598" t="s">
        <v>4055</v>
      </c>
      <c r="B14" s="598" t="s">
        <v>4286</v>
      </c>
      <c r="C14" s="598">
        <v>2.23766321</v>
      </c>
      <c r="D14" s="605">
        <v>45473</v>
      </c>
    </row>
    <row r="15" spans="1:4" x14ac:dyDescent="0.2">
      <c r="A15" s="598" t="s">
        <v>4055</v>
      </c>
      <c r="B15" s="598" t="s">
        <v>4287</v>
      </c>
      <c r="C15" s="598">
        <v>0.91377065999999996</v>
      </c>
      <c r="D15" s="605">
        <v>45473</v>
      </c>
    </row>
    <row r="16" spans="1:4" x14ac:dyDescent="0.2">
      <c r="A16" s="598" t="s">
        <v>4055</v>
      </c>
      <c r="B16" s="598" t="s">
        <v>4288</v>
      </c>
      <c r="C16" s="598">
        <v>1.0079681300000001</v>
      </c>
      <c r="D16" s="605">
        <v>45473</v>
      </c>
    </row>
    <row r="17" spans="1:4" x14ac:dyDescent="0.2">
      <c r="A17" s="598" t="s">
        <v>4055</v>
      </c>
      <c r="B17" s="598" t="s">
        <v>3825</v>
      </c>
      <c r="C17" s="598">
        <v>0.34775749</v>
      </c>
      <c r="D17" s="605">
        <v>45473</v>
      </c>
    </row>
    <row r="18" spans="1:4" x14ac:dyDescent="0.2">
      <c r="A18" s="598" t="s">
        <v>4055</v>
      </c>
      <c r="B18" s="598" t="s">
        <v>955</v>
      </c>
      <c r="C18" s="598">
        <v>2.7097155900000001</v>
      </c>
      <c r="D18" s="605">
        <v>45473</v>
      </c>
    </row>
    <row r="19" spans="1:4" x14ac:dyDescent="0.2">
      <c r="A19" s="598" t="s">
        <v>4055</v>
      </c>
      <c r="B19" s="598" t="s">
        <v>961</v>
      </c>
      <c r="C19" s="598">
        <v>3.6729911999999998</v>
      </c>
      <c r="D19" s="605">
        <v>45473</v>
      </c>
    </row>
    <row r="20" spans="1:4" x14ac:dyDescent="0.2">
      <c r="A20" s="598" t="s">
        <v>958</v>
      </c>
      <c r="B20" s="598" t="s">
        <v>4055</v>
      </c>
      <c r="C20" s="598">
        <v>0.4077887</v>
      </c>
      <c r="D20" s="605">
        <v>45473</v>
      </c>
    </row>
    <row r="21" spans="1:4" x14ac:dyDescent="0.2">
      <c r="A21" s="598" t="s">
        <v>958</v>
      </c>
      <c r="B21" s="598" t="s">
        <v>958</v>
      </c>
      <c r="C21" s="598">
        <v>1</v>
      </c>
      <c r="D21" s="605">
        <v>45473</v>
      </c>
    </row>
    <row r="22" spans="1:4" x14ac:dyDescent="0.2">
      <c r="A22" s="598" t="s">
        <v>958</v>
      </c>
      <c r="B22" s="598" t="s">
        <v>4056</v>
      </c>
      <c r="C22" s="598">
        <v>0.26777873000000002</v>
      </c>
      <c r="D22" s="605">
        <v>45473</v>
      </c>
    </row>
    <row r="23" spans="1:4" x14ac:dyDescent="0.2">
      <c r="A23" s="598" t="s">
        <v>958</v>
      </c>
      <c r="B23" s="598" t="s">
        <v>868</v>
      </c>
      <c r="C23" s="598">
        <v>1.09554909</v>
      </c>
      <c r="D23" s="605">
        <v>45473</v>
      </c>
    </row>
    <row r="24" spans="1:4" x14ac:dyDescent="0.2">
      <c r="A24" s="598" t="s">
        <v>958</v>
      </c>
      <c r="B24" s="598" t="s">
        <v>4280</v>
      </c>
      <c r="C24" s="598">
        <v>1.66720286</v>
      </c>
      <c r="D24" s="605">
        <v>45473</v>
      </c>
    </row>
    <row r="25" spans="1:4" x14ac:dyDescent="0.2">
      <c r="A25" s="598" t="s">
        <v>958</v>
      </c>
      <c r="B25" s="598" t="s">
        <v>4282</v>
      </c>
      <c r="C25" s="598">
        <v>0.20610613</v>
      </c>
      <c r="D25" s="605">
        <v>45473</v>
      </c>
    </row>
    <row r="26" spans="1:4" x14ac:dyDescent="0.2">
      <c r="A26" s="598" t="s">
        <v>958</v>
      </c>
      <c r="B26" s="598" t="s">
        <v>4283</v>
      </c>
      <c r="C26" s="598">
        <v>0.21572538999999999</v>
      </c>
      <c r="D26" s="605">
        <v>45473</v>
      </c>
    </row>
    <row r="27" spans="1:4" x14ac:dyDescent="0.2">
      <c r="A27" s="598" t="s">
        <v>958</v>
      </c>
      <c r="B27" s="598" t="s">
        <v>956</v>
      </c>
      <c r="C27" s="598">
        <v>1.6085704599999999</v>
      </c>
      <c r="D27" s="605">
        <v>45473</v>
      </c>
    </row>
    <row r="28" spans="1:4" x14ac:dyDescent="0.2">
      <c r="A28" s="598" t="s">
        <v>958</v>
      </c>
      <c r="B28" s="598" t="s">
        <v>957</v>
      </c>
      <c r="C28" s="598">
        <v>1.8947834100000001</v>
      </c>
      <c r="D28" s="605">
        <v>45473</v>
      </c>
    </row>
    <row r="29" spans="1:4" x14ac:dyDescent="0.2">
      <c r="A29" s="598" t="s">
        <v>958</v>
      </c>
      <c r="B29" s="598" t="s">
        <v>959</v>
      </c>
      <c r="C29" s="598">
        <v>1.7967730000000001E-2</v>
      </c>
      <c r="D29" s="605">
        <v>45473</v>
      </c>
    </row>
    <row r="30" spans="1:4" x14ac:dyDescent="0.2">
      <c r="A30" s="598" t="s">
        <v>958</v>
      </c>
      <c r="B30" s="598" t="s">
        <v>4284</v>
      </c>
      <c r="C30" s="598">
        <v>0.31749964000000003</v>
      </c>
      <c r="D30" s="605">
        <v>45473</v>
      </c>
    </row>
    <row r="31" spans="1:4" x14ac:dyDescent="0.2">
      <c r="A31" s="598" t="s">
        <v>958</v>
      </c>
      <c r="B31" s="598" t="s">
        <v>4285</v>
      </c>
      <c r="C31" s="598">
        <v>0.14073383</v>
      </c>
      <c r="D31" s="605">
        <v>45473</v>
      </c>
    </row>
    <row r="32" spans="1:4" x14ac:dyDescent="0.2">
      <c r="A32" s="598" t="s">
        <v>958</v>
      </c>
      <c r="B32" s="598" t="s">
        <v>4286</v>
      </c>
      <c r="C32" s="598">
        <v>0.91249376999999998</v>
      </c>
      <c r="D32" s="605">
        <v>45473</v>
      </c>
    </row>
    <row r="33" spans="1:4" x14ac:dyDescent="0.2">
      <c r="A33" s="598" t="s">
        <v>958</v>
      </c>
      <c r="B33" s="598" t="s">
        <v>4287</v>
      </c>
      <c r="C33" s="598">
        <v>0.37262535000000002</v>
      </c>
      <c r="D33" s="605">
        <v>45473</v>
      </c>
    </row>
    <row r="34" spans="1:4" x14ac:dyDescent="0.2">
      <c r="A34" s="598" t="s">
        <v>958</v>
      </c>
      <c r="B34" s="598" t="s">
        <v>4288</v>
      </c>
      <c r="C34" s="598">
        <v>0.41103801000000001</v>
      </c>
      <c r="D34" s="605">
        <v>45473</v>
      </c>
    </row>
    <row r="35" spans="1:4" x14ac:dyDescent="0.2">
      <c r="A35" s="598" t="s">
        <v>958</v>
      </c>
      <c r="B35" s="598" t="s">
        <v>3825</v>
      </c>
      <c r="C35" s="598">
        <v>0.14181157</v>
      </c>
      <c r="D35" s="605">
        <v>45473</v>
      </c>
    </row>
    <row r="36" spans="1:4" x14ac:dyDescent="0.2">
      <c r="A36" s="598" t="s">
        <v>958</v>
      </c>
      <c r="B36" s="598" t="s">
        <v>955</v>
      </c>
      <c r="C36" s="598">
        <v>1.1049913899999999</v>
      </c>
      <c r="D36" s="605">
        <v>45473</v>
      </c>
    </row>
    <row r="37" spans="1:4" x14ac:dyDescent="0.2">
      <c r="A37" s="598" t="s">
        <v>958</v>
      </c>
      <c r="B37" s="598" t="s">
        <v>961</v>
      </c>
      <c r="C37" s="598">
        <v>1.4978043000000001</v>
      </c>
      <c r="D37" s="605">
        <v>45473</v>
      </c>
    </row>
    <row r="38" spans="1:4" x14ac:dyDescent="0.2">
      <c r="A38" s="598" t="s">
        <v>4056</v>
      </c>
      <c r="B38" s="598" t="s">
        <v>4055</v>
      </c>
      <c r="C38" s="598">
        <v>1.5228569700000001</v>
      </c>
      <c r="D38" s="605">
        <v>45473</v>
      </c>
    </row>
    <row r="39" spans="1:4" x14ac:dyDescent="0.2">
      <c r="A39" s="598" t="s">
        <v>4056</v>
      </c>
      <c r="B39" s="598" t="s">
        <v>958</v>
      </c>
      <c r="C39" s="598">
        <v>3.7344266199999998</v>
      </c>
      <c r="D39" s="605">
        <v>45473</v>
      </c>
    </row>
    <row r="40" spans="1:4" x14ac:dyDescent="0.2">
      <c r="A40" s="598" t="s">
        <v>4056</v>
      </c>
      <c r="B40" s="598" t="s">
        <v>4056</v>
      </c>
      <c r="C40" s="598">
        <v>1</v>
      </c>
      <c r="D40" s="605">
        <v>45473</v>
      </c>
    </row>
    <row r="41" spans="1:4" x14ac:dyDescent="0.2">
      <c r="A41" s="598" t="s">
        <v>4056</v>
      </c>
      <c r="B41" s="598" t="s">
        <v>868</v>
      </c>
      <c r="C41" s="598">
        <v>4.0912476699999996</v>
      </c>
      <c r="D41" s="605">
        <v>45473</v>
      </c>
    </row>
    <row r="42" spans="1:4" x14ac:dyDescent="0.2">
      <c r="A42" s="598" t="s">
        <v>4056</v>
      </c>
      <c r="B42" s="598" t="s">
        <v>4280</v>
      </c>
      <c r="C42" s="598">
        <v>6.2260467400000001</v>
      </c>
      <c r="D42" s="605">
        <v>45473</v>
      </c>
    </row>
    <row r="43" spans="1:4" x14ac:dyDescent="0.2">
      <c r="A43" s="598" t="s">
        <v>4056</v>
      </c>
      <c r="B43" s="598" t="s">
        <v>4282</v>
      </c>
      <c r="C43" s="598">
        <v>0.76968822999999997</v>
      </c>
      <c r="D43" s="605">
        <v>45473</v>
      </c>
    </row>
    <row r="44" spans="1:4" x14ac:dyDescent="0.2">
      <c r="A44" s="598" t="s">
        <v>4056</v>
      </c>
      <c r="B44" s="598" t="s">
        <v>4283</v>
      </c>
      <c r="C44" s="598">
        <v>0.80561062000000006</v>
      </c>
      <c r="D44" s="605">
        <v>45473</v>
      </c>
    </row>
    <row r="45" spans="1:4" x14ac:dyDescent="0.2">
      <c r="A45" s="598" t="s">
        <v>4056</v>
      </c>
      <c r="B45" s="598" t="s">
        <v>956</v>
      </c>
      <c r="C45" s="598">
        <v>6.00708836</v>
      </c>
      <c r="D45" s="605">
        <v>45473</v>
      </c>
    </row>
    <row r="46" spans="1:4" x14ac:dyDescent="0.2">
      <c r="A46" s="598" t="s">
        <v>4056</v>
      </c>
      <c r="B46" s="598" t="s">
        <v>957</v>
      </c>
      <c r="C46" s="598">
        <v>7.0759296000000003</v>
      </c>
      <c r="D46" s="605">
        <v>45473</v>
      </c>
    </row>
    <row r="47" spans="1:4" x14ac:dyDescent="0.2">
      <c r="A47" s="598" t="s">
        <v>4056</v>
      </c>
      <c r="B47" s="598" t="s">
        <v>959</v>
      </c>
      <c r="C47" s="598">
        <v>6.7099179999999994E-2</v>
      </c>
      <c r="D47" s="605">
        <v>45473</v>
      </c>
    </row>
    <row r="48" spans="1:4" x14ac:dyDescent="0.2">
      <c r="A48" s="598" t="s">
        <v>4056</v>
      </c>
      <c r="B48" s="598" t="s">
        <v>4284</v>
      </c>
      <c r="C48" s="598">
        <v>1.1856791</v>
      </c>
      <c r="D48" s="605">
        <v>45473</v>
      </c>
    </row>
    <row r="49" spans="1:4" x14ac:dyDescent="0.2">
      <c r="A49" s="598" t="s">
        <v>4056</v>
      </c>
      <c r="B49" s="598" t="s">
        <v>4285</v>
      </c>
      <c r="C49" s="598">
        <v>0.52556016000000005</v>
      </c>
      <c r="D49" s="605">
        <v>45473</v>
      </c>
    </row>
    <row r="50" spans="1:4" x14ac:dyDescent="0.2">
      <c r="A50" s="598" t="s">
        <v>4056</v>
      </c>
      <c r="B50" s="598" t="s">
        <v>4286</v>
      </c>
      <c r="C50" s="598">
        <v>3.4076410199999998</v>
      </c>
      <c r="D50" s="605">
        <v>45473</v>
      </c>
    </row>
    <row r="51" spans="1:4" x14ac:dyDescent="0.2">
      <c r="A51" s="598" t="s">
        <v>4056</v>
      </c>
      <c r="B51" s="598" t="s">
        <v>4287</v>
      </c>
      <c r="C51" s="598">
        <v>1.3915420199999999</v>
      </c>
      <c r="D51" s="605">
        <v>45473</v>
      </c>
    </row>
    <row r="52" spans="1:4" x14ac:dyDescent="0.2">
      <c r="A52" s="598" t="s">
        <v>4056</v>
      </c>
      <c r="B52" s="598" t="s">
        <v>4288</v>
      </c>
      <c r="C52" s="598">
        <v>1.53499129</v>
      </c>
      <c r="D52" s="605">
        <v>45473</v>
      </c>
    </row>
    <row r="53" spans="1:4" x14ac:dyDescent="0.2">
      <c r="A53" s="598" t="s">
        <v>4056</v>
      </c>
      <c r="B53" s="598" t="s">
        <v>3825</v>
      </c>
      <c r="C53" s="598">
        <v>0.52958490999999996</v>
      </c>
      <c r="D53" s="605">
        <v>45473</v>
      </c>
    </row>
    <row r="54" spans="1:4" x14ac:dyDescent="0.2">
      <c r="A54" s="598" t="s">
        <v>4056</v>
      </c>
      <c r="B54" s="598" t="s">
        <v>955</v>
      </c>
      <c r="C54" s="598">
        <v>4.1265092799999996</v>
      </c>
      <c r="D54" s="605">
        <v>45473</v>
      </c>
    </row>
    <row r="55" spans="1:4" x14ac:dyDescent="0.2">
      <c r="A55" s="598" t="s">
        <v>4056</v>
      </c>
      <c r="B55" s="598" t="s">
        <v>961</v>
      </c>
      <c r="C55" s="598">
        <v>5.5934402600000004</v>
      </c>
      <c r="D55" s="605">
        <v>45473</v>
      </c>
    </row>
    <row r="56" spans="1:4" x14ac:dyDescent="0.2">
      <c r="A56" s="598" t="s">
        <v>868</v>
      </c>
      <c r="B56" s="598" t="s">
        <v>4055</v>
      </c>
      <c r="C56" s="598">
        <v>0.37222312000000002</v>
      </c>
      <c r="D56" s="605">
        <v>45473</v>
      </c>
    </row>
    <row r="57" spans="1:4" x14ac:dyDescent="0.2">
      <c r="A57" s="598" t="s">
        <v>868</v>
      </c>
      <c r="B57" s="598" t="s">
        <v>958</v>
      </c>
      <c r="C57" s="598">
        <v>0.91278429999999999</v>
      </c>
      <c r="D57" s="605">
        <v>45473</v>
      </c>
    </row>
    <row r="58" spans="1:4" x14ac:dyDescent="0.2">
      <c r="A58" s="598" t="s">
        <v>868</v>
      </c>
      <c r="B58" s="598" t="s">
        <v>4056</v>
      </c>
      <c r="C58" s="598">
        <v>0.24442422</v>
      </c>
      <c r="D58" s="605">
        <v>45473</v>
      </c>
    </row>
    <row r="59" spans="1:4" x14ac:dyDescent="0.2">
      <c r="A59" s="598" t="s">
        <v>868</v>
      </c>
      <c r="B59" s="598" t="s">
        <v>868</v>
      </c>
      <c r="C59" s="598">
        <v>1</v>
      </c>
      <c r="D59" s="605">
        <v>45473</v>
      </c>
    </row>
    <row r="60" spans="1:4" x14ac:dyDescent="0.2">
      <c r="A60" s="598" t="s">
        <v>868</v>
      </c>
      <c r="B60" s="598" t="s">
        <v>4280</v>
      </c>
      <c r="C60" s="598">
        <v>1.5217965899999999</v>
      </c>
      <c r="D60" s="605">
        <v>45473</v>
      </c>
    </row>
    <row r="61" spans="1:4" x14ac:dyDescent="0.2">
      <c r="A61" s="598" t="s">
        <v>868</v>
      </c>
      <c r="B61" s="598" t="s">
        <v>4282</v>
      </c>
      <c r="C61" s="598">
        <v>0.18813044000000001</v>
      </c>
      <c r="D61" s="605">
        <v>45473</v>
      </c>
    </row>
    <row r="62" spans="1:4" x14ac:dyDescent="0.2">
      <c r="A62" s="598" t="s">
        <v>868</v>
      </c>
      <c r="B62" s="598" t="s">
        <v>4283</v>
      </c>
      <c r="C62" s="598">
        <v>0.19691074</v>
      </c>
      <c r="D62" s="605">
        <v>45473</v>
      </c>
    </row>
    <row r="63" spans="1:4" x14ac:dyDescent="0.2">
      <c r="A63" s="598" t="s">
        <v>868</v>
      </c>
      <c r="B63" s="598" t="s">
        <v>956</v>
      </c>
      <c r="C63" s="598">
        <v>1.4682778599999999</v>
      </c>
      <c r="D63" s="605">
        <v>45473</v>
      </c>
    </row>
    <row r="64" spans="1:4" x14ac:dyDescent="0.2">
      <c r="A64" s="598" t="s">
        <v>868</v>
      </c>
      <c r="B64" s="598" t="s">
        <v>957</v>
      </c>
      <c r="C64" s="598">
        <v>1.72952854</v>
      </c>
      <c r="D64" s="605">
        <v>45473</v>
      </c>
    </row>
    <row r="65" spans="1:4" x14ac:dyDescent="0.2">
      <c r="A65" s="598" t="s">
        <v>868</v>
      </c>
      <c r="B65" s="598" t="s">
        <v>959</v>
      </c>
      <c r="C65" s="598">
        <v>1.6400660000000001E-2</v>
      </c>
      <c r="D65" s="605">
        <v>45473</v>
      </c>
    </row>
    <row r="66" spans="1:4" x14ac:dyDescent="0.2">
      <c r="A66" s="598" t="s">
        <v>868</v>
      </c>
      <c r="B66" s="598" t="s">
        <v>4284</v>
      </c>
      <c r="C66" s="598">
        <v>0.28980867999999999</v>
      </c>
      <c r="D66" s="605">
        <v>45473</v>
      </c>
    </row>
    <row r="67" spans="1:4" x14ac:dyDescent="0.2">
      <c r="A67" s="598" t="s">
        <v>868</v>
      </c>
      <c r="B67" s="598" t="s">
        <v>4285</v>
      </c>
      <c r="C67" s="598">
        <v>0.12845962999999999</v>
      </c>
      <c r="D67" s="605">
        <v>45473</v>
      </c>
    </row>
    <row r="68" spans="1:4" x14ac:dyDescent="0.2">
      <c r="A68" s="598" t="s">
        <v>868</v>
      </c>
      <c r="B68" s="598" t="s">
        <v>4286</v>
      </c>
      <c r="C68" s="598">
        <v>0.83290998000000005</v>
      </c>
      <c r="D68" s="605">
        <v>45473</v>
      </c>
    </row>
    <row r="69" spans="1:4" x14ac:dyDescent="0.2">
      <c r="A69" s="598" t="s">
        <v>868</v>
      </c>
      <c r="B69" s="598" t="s">
        <v>4287</v>
      </c>
      <c r="C69" s="598">
        <v>0.34012657000000002</v>
      </c>
      <c r="D69" s="605">
        <v>45473</v>
      </c>
    </row>
    <row r="70" spans="1:4" x14ac:dyDescent="0.2">
      <c r="A70" s="598" t="s">
        <v>868</v>
      </c>
      <c r="B70" s="598" t="s">
        <v>4288</v>
      </c>
      <c r="C70" s="598">
        <v>0.37518903999999997</v>
      </c>
      <c r="D70" s="605">
        <v>45473</v>
      </c>
    </row>
    <row r="71" spans="1:4" x14ac:dyDescent="0.2">
      <c r="A71" s="598" t="s">
        <v>868</v>
      </c>
      <c r="B71" s="598" t="s">
        <v>3825</v>
      </c>
      <c r="C71" s="598">
        <v>0.12944338</v>
      </c>
      <c r="D71" s="605">
        <v>45473</v>
      </c>
    </row>
    <row r="72" spans="1:4" x14ac:dyDescent="0.2">
      <c r="A72" s="598" t="s">
        <v>868</v>
      </c>
      <c r="B72" s="598" t="s">
        <v>955</v>
      </c>
      <c r="C72" s="598">
        <v>1.0086187900000001</v>
      </c>
      <c r="D72" s="605">
        <v>45473</v>
      </c>
    </row>
    <row r="73" spans="1:4" x14ac:dyDescent="0.2">
      <c r="A73" s="598" t="s">
        <v>868</v>
      </c>
      <c r="B73" s="598" t="s">
        <v>961</v>
      </c>
      <c r="C73" s="598">
        <v>1.3671722399999999</v>
      </c>
      <c r="D73" s="605">
        <v>45473</v>
      </c>
    </row>
    <row r="74" spans="1:4" x14ac:dyDescent="0.2">
      <c r="A74" s="598" t="s">
        <v>4280</v>
      </c>
      <c r="B74" s="598" t="s">
        <v>4055</v>
      </c>
      <c r="C74" s="598">
        <v>0.24459453</v>
      </c>
      <c r="D74" s="605">
        <v>45473</v>
      </c>
    </row>
    <row r="75" spans="1:4" x14ac:dyDescent="0.2">
      <c r="A75" s="598" t="s">
        <v>4280</v>
      </c>
      <c r="B75" s="598" t="s">
        <v>958</v>
      </c>
      <c r="C75" s="598">
        <v>0.59980703000000002</v>
      </c>
      <c r="D75" s="605">
        <v>45473</v>
      </c>
    </row>
    <row r="76" spans="1:4" x14ac:dyDescent="0.2">
      <c r="A76" s="598" t="s">
        <v>4280</v>
      </c>
      <c r="B76" s="598" t="s">
        <v>4056</v>
      </c>
      <c r="C76" s="598">
        <v>0.16061555999999999</v>
      </c>
      <c r="D76" s="605">
        <v>45473</v>
      </c>
    </row>
    <row r="77" spans="1:4" x14ac:dyDescent="0.2">
      <c r="A77" s="598" t="s">
        <v>4280</v>
      </c>
      <c r="B77" s="598" t="s">
        <v>868</v>
      </c>
      <c r="C77" s="598">
        <v>0.65711805000000001</v>
      </c>
      <c r="D77" s="605">
        <v>45473</v>
      </c>
    </row>
    <row r="78" spans="1:4" x14ac:dyDescent="0.2">
      <c r="A78" s="598" t="s">
        <v>4280</v>
      </c>
      <c r="B78" s="598" t="s">
        <v>4280</v>
      </c>
      <c r="C78" s="598">
        <v>1</v>
      </c>
      <c r="D78" s="605">
        <v>45473</v>
      </c>
    </row>
    <row r="79" spans="1:4" x14ac:dyDescent="0.2">
      <c r="A79" s="598" t="s">
        <v>4280</v>
      </c>
      <c r="B79" s="598" t="s">
        <v>4282</v>
      </c>
      <c r="C79" s="598">
        <v>0.12362391</v>
      </c>
      <c r="D79" s="605">
        <v>45473</v>
      </c>
    </row>
    <row r="80" spans="1:4" x14ac:dyDescent="0.2">
      <c r="A80" s="598" t="s">
        <v>4280</v>
      </c>
      <c r="B80" s="598" t="s">
        <v>4283</v>
      </c>
      <c r="C80" s="598">
        <v>0.1293936</v>
      </c>
      <c r="D80" s="605">
        <v>45473</v>
      </c>
    </row>
    <row r="81" spans="1:8" x14ac:dyDescent="0.2">
      <c r="A81" s="598" t="s">
        <v>4280</v>
      </c>
      <c r="B81" s="598" t="s">
        <v>956</v>
      </c>
      <c r="C81" s="598">
        <v>0.96483187999999998</v>
      </c>
      <c r="D81" s="605">
        <v>45473</v>
      </c>
    </row>
    <row r="82" spans="1:8" x14ac:dyDescent="0.2">
      <c r="A82" s="598" t="s">
        <v>4280</v>
      </c>
      <c r="B82" s="598" t="s">
        <v>957</v>
      </c>
      <c r="C82" s="598">
        <v>1.1365044099999999</v>
      </c>
      <c r="D82" s="605">
        <v>45473</v>
      </c>
    </row>
    <row r="83" spans="1:8" x14ac:dyDescent="0.2">
      <c r="A83" s="598" t="s">
        <v>4280</v>
      </c>
      <c r="B83" s="598" t="s">
        <v>959</v>
      </c>
      <c r="C83" s="598">
        <v>1.0777170000000001E-2</v>
      </c>
      <c r="D83" s="605">
        <v>45473</v>
      </c>
      <c r="H83" s="598">
        <f>H81+H80</f>
        <v>0</v>
      </c>
    </row>
    <row r="84" spans="1:8" x14ac:dyDescent="0.2">
      <c r="A84" s="598" t="s">
        <v>4280</v>
      </c>
      <c r="B84" s="598" t="s">
        <v>4284</v>
      </c>
      <c r="C84" s="598">
        <v>0.19043852</v>
      </c>
      <c r="D84" s="605">
        <v>45473</v>
      </c>
    </row>
    <row r="85" spans="1:8" x14ac:dyDescent="0.2">
      <c r="A85" s="598" t="s">
        <v>4280</v>
      </c>
      <c r="B85" s="598" t="s">
        <v>4285</v>
      </c>
      <c r="C85" s="598">
        <v>8.4413139999999998E-2</v>
      </c>
      <c r="D85" s="605">
        <v>45473</v>
      </c>
    </row>
    <row r="86" spans="1:8" x14ac:dyDescent="0.2">
      <c r="A86" s="598" t="s">
        <v>4280</v>
      </c>
      <c r="B86" s="598" t="s">
        <v>4286</v>
      </c>
      <c r="C86" s="598">
        <v>0.54732018000000004</v>
      </c>
      <c r="D86" s="605">
        <v>45473</v>
      </c>
    </row>
    <row r="87" spans="1:8" x14ac:dyDescent="0.2">
      <c r="A87" s="598" t="s">
        <v>4280</v>
      </c>
      <c r="B87" s="598" t="s">
        <v>4287</v>
      </c>
      <c r="C87" s="598">
        <v>0.22350331000000001</v>
      </c>
      <c r="D87" s="605">
        <v>45473</v>
      </c>
    </row>
    <row r="88" spans="1:8" x14ac:dyDescent="0.2">
      <c r="A88" s="598" t="s">
        <v>4280</v>
      </c>
      <c r="B88" s="598" t="s">
        <v>4288</v>
      </c>
      <c r="C88" s="598">
        <v>0.24654349</v>
      </c>
      <c r="D88" s="605">
        <v>45473</v>
      </c>
    </row>
    <row r="89" spans="1:8" x14ac:dyDescent="0.2">
      <c r="A89" s="598" t="s">
        <v>4280</v>
      </c>
      <c r="B89" s="598" t="s">
        <v>3825</v>
      </c>
      <c r="C89" s="598">
        <v>8.5059579999999996E-2</v>
      </c>
      <c r="D89" s="605">
        <v>45473</v>
      </c>
    </row>
    <row r="90" spans="1:8" x14ac:dyDescent="0.2">
      <c r="A90" s="598" t="s">
        <v>4280</v>
      </c>
      <c r="B90" s="598" t="s">
        <v>955</v>
      </c>
      <c r="C90" s="598">
        <v>0.66278161000000002</v>
      </c>
      <c r="D90" s="605">
        <v>45473</v>
      </c>
    </row>
    <row r="91" spans="1:8" x14ac:dyDescent="0.2">
      <c r="A91" s="598" t="s">
        <v>4280</v>
      </c>
      <c r="B91" s="598" t="s">
        <v>961</v>
      </c>
      <c r="C91" s="598">
        <v>0.89839356000000004</v>
      </c>
      <c r="D91" s="605">
        <v>45473</v>
      </c>
    </row>
    <row r="92" spans="1:8" x14ac:dyDescent="0.2">
      <c r="A92" s="598" t="s">
        <v>956</v>
      </c>
      <c r="B92" s="598" t="s">
        <v>4055</v>
      </c>
      <c r="C92" s="598">
        <v>0.25351000000000001</v>
      </c>
      <c r="D92" s="605">
        <v>45473</v>
      </c>
    </row>
    <row r="93" spans="1:8" x14ac:dyDescent="0.2">
      <c r="A93" s="598" t="s">
        <v>956</v>
      </c>
      <c r="B93" s="598" t="s">
        <v>958</v>
      </c>
      <c r="C93" s="598">
        <v>0.62166999999999994</v>
      </c>
      <c r="D93" s="605">
        <v>45473</v>
      </c>
    </row>
    <row r="94" spans="1:8" x14ac:dyDescent="0.2">
      <c r="A94" s="598" t="s">
        <v>956</v>
      </c>
      <c r="B94" s="598" t="s">
        <v>4056</v>
      </c>
      <c r="C94" s="598">
        <v>0.16647000000000001</v>
      </c>
      <c r="D94" s="605">
        <v>45473</v>
      </c>
    </row>
    <row r="95" spans="1:8" x14ac:dyDescent="0.2">
      <c r="A95" s="598" t="s">
        <v>956</v>
      </c>
      <c r="B95" s="598" t="s">
        <v>868</v>
      </c>
      <c r="C95" s="598">
        <v>0.68106999999999995</v>
      </c>
      <c r="D95" s="605">
        <v>45473</v>
      </c>
    </row>
    <row r="96" spans="1:8" x14ac:dyDescent="0.2">
      <c r="A96" s="598" t="s">
        <v>956</v>
      </c>
      <c r="B96" s="598" t="s">
        <v>4280</v>
      </c>
      <c r="C96" s="598">
        <v>1.0364500000000001</v>
      </c>
      <c r="D96" s="605">
        <v>45473</v>
      </c>
    </row>
    <row r="97" spans="1:4" x14ac:dyDescent="0.2">
      <c r="A97" s="598" t="s">
        <v>956</v>
      </c>
      <c r="B97" s="598" t="s">
        <v>4282</v>
      </c>
      <c r="C97" s="598">
        <v>0.12812999999999999</v>
      </c>
      <c r="D97" s="605">
        <v>45473</v>
      </c>
    </row>
    <row r="98" spans="1:4" x14ac:dyDescent="0.2">
      <c r="A98" s="598" t="s">
        <v>956</v>
      </c>
      <c r="B98" s="598" t="s">
        <v>4283</v>
      </c>
      <c r="C98" s="598">
        <v>0.13411000000000001</v>
      </c>
      <c r="D98" s="605">
        <v>45473</v>
      </c>
    </row>
    <row r="99" spans="1:4" x14ac:dyDescent="0.2">
      <c r="A99" s="598" t="s">
        <v>956</v>
      </c>
      <c r="B99" s="598" t="s">
        <v>956</v>
      </c>
      <c r="C99" s="598">
        <v>1</v>
      </c>
      <c r="D99" s="605">
        <v>45473</v>
      </c>
    </row>
    <row r="100" spans="1:4" x14ac:dyDescent="0.2">
      <c r="A100" s="598" t="s">
        <v>956</v>
      </c>
      <c r="B100" s="598" t="s">
        <v>957</v>
      </c>
      <c r="C100" s="598">
        <v>1.1779299999999999</v>
      </c>
      <c r="D100" s="605">
        <v>45473</v>
      </c>
    </row>
    <row r="101" spans="1:4" x14ac:dyDescent="0.2">
      <c r="A101" s="598" t="s">
        <v>956</v>
      </c>
      <c r="B101" s="598" t="s">
        <v>959</v>
      </c>
      <c r="C101" s="598">
        <v>1.1169999999999999E-2</v>
      </c>
      <c r="D101" s="605">
        <v>45473</v>
      </c>
    </row>
    <row r="102" spans="1:4" x14ac:dyDescent="0.2">
      <c r="A102" s="598" t="s">
        <v>956</v>
      </c>
      <c r="B102" s="598" t="s">
        <v>4284</v>
      </c>
      <c r="C102" s="598">
        <v>0.19738</v>
      </c>
      <c r="D102" s="605">
        <v>45473</v>
      </c>
    </row>
    <row r="103" spans="1:4" x14ac:dyDescent="0.2">
      <c r="A103" s="598" t="s">
        <v>956</v>
      </c>
      <c r="B103" s="598" t="s">
        <v>4285</v>
      </c>
      <c r="C103" s="598">
        <v>8.7489999999999998E-2</v>
      </c>
      <c r="D103" s="605">
        <v>45473</v>
      </c>
    </row>
    <row r="104" spans="1:4" x14ac:dyDescent="0.2">
      <c r="A104" s="598" t="s">
        <v>956</v>
      </c>
      <c r="B104" s="598" t="s">
        <v>4286</v>
      </c>
      <c r="C104" s="598">
        <v>0.56727000000000005</v>
      </c>
      <c r="D104" s="605">
        <v>45473</v>
      </c>
    </row>
    <row r="105" spans="1:4" x14ac:dyDescent="0.2">
      <c r="A105" s="598" t="s">
        <v>956</v>
      </c>
      <c r="B105" s="598" t="s">
        <v>4287</v>
      </c>
      <c r="C105" s="598">
        <v>0.23164999999999999</v>
      </c>
      <c r="D105" s="605">
        <v>45473</v>
      </c>
    </row>
    <row r="106" spans="1:4" x14ac:dyDescent="0.2">
      <c r="A106" s="598" t="s">
        <v>956</v>
      </c>
      <c r="B106" s="598" t="s">
        <v>4288</v>
      </c>
      <c r="C106" s="598">
        <v>0.25552999999999998</v>
      </c>
      <c r="D106" s="605">
        <v>45473</v>
      </c>
    </row>
    <row r="107" spans="1:4" x14ac:dyDescent="0.2">
      <c r="A107" s="598" t="s">
        <v>956</v>
      </c>
      <c r="B107" s="598" t="s">
        <v>3825</v>
      </c>
      <c r="C107" s="598">
        <v>8.8160000000000002E-2</v>
      </c>
      <c r="D107" s="605">
        <v>45473</v>
      </c>
    </row>
    <row r="108" spans="1:4" x14ac:dyDescent="0.2">
      <c r="A108" s="598" t="s">
        <v>956</v>
      </c>
      <c r="B108" s="598" t="s">
        <v>955</v>
      </c>
      <c r="C108" s="598">
        <v>0.68694</v>
      </c>
      <c r="D108" s="605">
        <v>45473</v>
      </c>
    </row>
    <row r="109" spans="1:4" x14ac:dyDescent="0.2">
      <c r="A109" s="603" t="s">
        <v>956</v>
      </c>
      <c r="B109" s="603" t="s">
        <v>961</v>
      </c>
      <c r="C109" s="603">
        <v>0.93113999999999997</v>
      </c>
      <c r="D109" s="601">
        <v>45473</v>
      </c>
    </row>
    <row r="110" spans="1:4" x14ac:dyDescent="0.2">
      <c r="A110" s="598" t="s">
        <v>957</v>
      </c>
      <c r="B110" s="598" t="s">
        <v>4055</v>
      </c>
      <c r="C110" s="598">
        <v>0.21521651999999999</v>
      </c>
      <c r="D110" s="605">
        <v>45473</v>
      </c>
    </row>
    <row r="111" spans="1:4" x14ac:dyDescent="0.2">
      <c r="A111" s="598" t="s">
        <v>957</v>
      </c>
      <c r="B111" s="598" t="s">
        <v>958</v>
      </c>
      <c r="C111" s="598">
        <v>0.52776480999999997</v>
      </c>
      <c r="D111" s="605">
        <v>45473</v>
      </c>
    </row>
    <row r="112" spans="1:4" x14ac:dyDescent="0.2">
      <c r="A112" s="598" t="s">
        <v>957</v>
      </c>
      <c r="B112" s="598" t="s">
        <v>4056</v>
      </c>
      <c r="C112" s="598">
        <v>0.14132418999999999</v>
      </c>
      <c r="D112" s="605">
        <v>45473</v>
      </c>
    </row>
    <row r="113" spans="1:4" x14ac:dyDescent="0.2">
      <c r="A113" s="598" t="s">
        <v>957</v>
      </c>
      <c r="B113" s="598" t="s">
        <v>868</v>
      </c>
      <c r="C113" s="598">
        <v>0.57819224999999996</v>
      </c>
      <c r="D113" s="605">
        <v>45473</v>
      </c>
    </row>
    <row r="114" spans="1:4" x14ac:dyDescent="0.2">
      <c r="A114" s="598" t="s">
        <v>957</v>
      </c>
      <c r="B114" s="598" t="s">
        <v>4280</v>
      </c>
      <c r="C114" s="598">
        <v>0.87989099999999998</v>
      </c>
      <c r="D114" s="605">
        <v>45473</v>
      </c>
    </row>
    <row r="115" spans="1:4" x14ac:dyDescent="0.2">
      <c r="A115" s="598" t="s">
        <v>957</v>
      </c>
      <c r="B115" s="598" t="s">
        <v>4282</v>
      </c>
      <c r="C115" s="598">
        <v>0.10877555999999999</v>
      </c>
      <c r="D115" s="605">
        <v>45473</v>
      </c>
    </row>
    <row r="116" spans="1:4" x14ac:dyDescent="0.2">
      <c r="A116" s="598" t="s">
        <v>957</v>
      </c>
      <c r="B116" s="598" t="s">
        <v>4283</v>
      </c>
      <c r="C116" s="598">
        <v>0.11385227000000001</v>
      </c>
      <c r="D116" s="605">
        <v>45473</v>
      </c>
    </row>
    <row r="117" spans="1:4" x14ac:dyDescent="0.2">
      <c r="A117" s="598" t="s">
        <v>957</v>
      </c>
      <c r="B117" s="598" t="s">
        <v>956</v>
      </c>
      <c r="C117" s="598">
        <v>0.84894687999999996</v>
      </c>
      <c r="D117" s="605">
        <v>45473</v>
      </c>
    </row>
    <row r="118" spans="1:4" x14ac:dyDescent="0.2">
      <c r="A118" s="598" t="s">
        <v>957</v>
      </c>
      <c r="B118" s="598" t="s">
        <v>957</v>
      </c>
      <c r="C118" s="598">
        <v>1</v>
      </c>
      <c r="D118" s="605">
        <v>45473</v>
      </c>
    </row>
    <row r="119" spans="1:4" x14ac:dyDescent="0.2">
      <c r="A119" s="598" t="s">
        <v>957</v>
      </c>
      <c r="B119" s="598" t="s">
        <v>959</v>
      </c>
      <c r="C119" s="598">
        <v>9.4827399999999999E-3</v>
      </c>
      <c r="D119" s="605">
        <v>45473</v>
      </c>
    </row>
    <row r="120" spans="1:4" x14ac:dyDescent="0.2">
      <c r="A120" s="598" t="s">
        <v>957</v>
      </c>
      <c r="B120" s="598" t="s">
        <v>4284</v>
      </c>
      <c r="C120" s="598">
        <v>0.16756514</v>
      </c>
      <c r="D120" s="605">
        <v>45473</v>
      </c>
    </row>
    <row r="121" spans="1:4" x14ac:dyDescent="0.2">
      <c r="A121" s="598" t="s">
        <v>957</v>
      </c>
      <c r="B121" s="598" t="s">
        <v>4285</v>
      </c>
      <c r="C121" s="598">
        <v>7.4274359999999998E-2</v>
      </c>
      <c r="D121" s="605">
        <v>45473</v>
      </c>
    </row>
    <row r="122" spans="1:4" x14ac:dyDescent="0.2">
      <c r="A122" s="598" t="s">
        <v>957</v>
      </c>
      <c r="B122" s="598" t="s">
        <v>4286</v>
      </c>
      <c r="C122" s="598">
        <v>0.48158210000000001</v>
      </c>
      <c r="D122" s="605">
        <v>45473</v>
      </c>
    </row>
    <row r="123" spans="1:4" x14ac:dyDescent="0.2">
      <c r="A123" s="598" t="s">
        <v>957</v>
      </c>
      <c r="B123" s="598" t="s">
        <v>4287</v>
      </c>
      <c r="C123" s="598">
        <v>0.19665854999999999</v>
      </c>
      <c r="D123" s="605">
        <v>45473</v>
      </c>
    </row>
    <row r="124" spans="1:4" x14ac:dyDescent="0.2">
      <c r="A124" s="598" t="s">
        <v>957</v>
      </c>
      <c r="B124" s="598" t="s">
        <v>4288</v>
      </c>
      <c r="C124" s="598">
        <v>0.2169314</v>
      </c>
      <c r="D124" s="605">
        <v>45473</v>
      </c>
    </row>
    <row r="125" spans="1:4" x14ac:dyDescent="0.2">
      <c r="A125" s="598" t="s">
        <v>957</v>
      </c>
      <c r="B125" s="598" t="s">
        <v>3825</v>
      </c>
      <c r="C125" s="598">
        <v>7.4843160000000006E-2</v>
      </c>
      <c r="D125" s="605">
        <v>45473</v>
      </c>
    </row>
    <row r="126" spans="1:4" x14ac:dyDescent="0.2">
      <c r="A126" s="598" t="s">
        <v>957</v>
      </c>
      <c r="B126" s="598" t="s">
        <v>955</v>
      </c>
      <c r="C126" s="598">
        <v>0.58317556999999998</v>
      </c>
      <c r="D126" s="605">
        <v>45473</v>
      </c>
    </row>
    <row r="127" spans="1:4" x14ac:dyDescent="0.2">
      <c r="A127" s="598" t="s">
        <v>957</v>
      </c>
      <c r="B127" s="598" t="s">
        <v>961</v>
      </c>
      <c r="C127" s="598">
        <v>0.79048839999999998</v>
      </c>
      <c r="D127" s="605">
        <v>45473</v>
      </c>
    </row>
    <row r="128" spans="1:4" x14ac:dyDescent="0.2">
      <c r="A128" s="598" t="s">
        <v>959</v>
      </c>
      <c r="B128" s="598" t="s">
        <v>4055</v>
      </c>
      <c r="C128" s="598">
        <v>22.695613250000001</v>
      </c>
      <c r="D128" s="605">
        <v>45473</v>
      </c>
    </row>
    <row r="129" spans="1:4" x14ac:dyDescent="0.2">
      <c r="A129" s="598" t="s">
        <v>959</v>
      </c>
      <c r="B129" s="598" t="s">
        <v>958</v>
      </c>
      <c r="C129" s="598">
        <v>55.655326770000002</v>
      </c>
      <c r="D129" s="605">
        <v>45473</v>
      </c>
    </row>
    <row r="130" spans="1:4" x14ac:dyDescent="0.2">
      <c r="A130" s="598" t="s">
        <v>959</v>
      </c>
      <c r="B130" s="598" t="s">
        <v>4056</v>
      </c>
      <c r="C130" s="598">
        <v>14.903312440000001</v>
      </c>
      <c r="D130" s="605">
        <v>45473</v>
      </c>
    </row>
    <row r="131" spans="1:4" x14ac:dyDescent="0.2">
      <c r="A131" s="598" t="s">
        <v>959</v>
      </c>
      <c r="B131" s="598" t="s">
        <v>868</v>
      </c>
      <c r="C131" s="598">
        <v>60.973142350000003</v>
      </c>
      <c r="D131" s="605">
        <v>45473</v>
      </c>
    </row>
    <row r="132" spans="1:4" x14ac:dyDescent="0.2">
      <c r="A132" s="598" t="s">
        <v>959</v>
      </c>
      <c r="B132" s="598" t="s">
        <v>4280</v>
      </c>
      <c r="C132" s="598">
        <v>92.788719790000002</v>
      </c>
      <c r="D132" s="605">
        <v>45473</v>
      </c>
    </row>
    <row r="133" spans="1:4" x14ac:dyDescent="0.2">
      <c r="A133" s="598" t="s">
        <v>959</v>
      </c>
      <c r="B133" s="598" t="s">
        <v>4282</v>
      </c>
      <c r="C133" s="598">
        <v>11.47090421</v>
      </c>
      <c r="D133" s="605">
        <v>45473</v>
      </c>
    </row>
    <row r="134" spans="1:4" x14ac:dyDescent="0.2">
      <c r="A134" s="598" t="s">
        <v>959</v>
      </c>
      <c r="B134" s="598" t="s">
        <v>4283</v>
      </c>
      <c r="C134" s="598">
        <v>12.00626679</v>
      </c>
      <c r="D134" s="605">
        <v>45473</v>
      </c>
    </row>
    <row r="135" spans="1:4" x14ac:dyDescent="0.2">
      <c r="A135" s="598" t="s">
        <v>959</v>
      </c>
      <c r="B135" s="598" t="s">
        <v>956</v>
      </c>
      <c r="C135" s="598">
        <v>89.525514770000001</v>
      </c>
      <c r="D135" s="605">
        <v>45473</v>
      </c>
    </row>
    <row r="136" spans="1:4" x14ac:dyDescent="0.2">
      <c r="A136" s="598" t="s">
        <v>959</v>
      </c>
      <c r="B136" s="598" t="s">
        <v>957</v>
      </c>
      <c r="C136" s="598">
        <v>105.45478962</v>
      </c>
      <c r="D136" s="605">
        <v>45473</v>
      </c>
    </row>
    <row r="137" spans="1:4" x14ac:dyDescent="0.2">
      <c r="A137" s="598" t="s">
        <v>959</v>
      </c>
      <c r="B137" s="598" t="s">
        <v>959</v>
      </c>
      <c r="C137" s="598">
        <v>1</v>
      </c>
      <c r="D137" s="605">
        <v>45473</v>
      </c>
    </row>
    <row r="138" spans="1:4" x14ac:dyDescent="0.2">
      <c r="A138" s="598" t="s">
        <v>959</v>
      </c>
      <c r="B138" s="598" t="s">
        <v>4284</v>
      </c>
      <c r="C138" s="598">
        <v>17.67054611</v>
      </c>
      <c r="D138" s="605">
        <v>45473</v>
      </c>
    </row>
    <row r="139" spans="1:4" x14ac:dyDescent="0.2">
      <c r="A139" s="598" t="s">
        <v>959</v>
      </c>
      <c r="B139" s="598" t="s">
        <v>4285</v>
      </c>
      <c r="C139" s="598">
        <v>7.8325872900000002</v>
      </c>
      <c r="D139" s="605">
        <v>45473</v>
      </c>
    </row>
    <row r="140" spans="1:4" x14ac:dyDescent="0.2">
      <c r="A140" s="598" t="s">
        <v>959</v>
      </c>
      <c r="B140" s="598" t="s">
        <v>4286</v>
      </c>
      <c r="C140" s="598">
        <v>50.785138770000003</v>
      </c>
      <c r="D140" s="605">
        <v>45473</v>
      </c>
    </row>
    <row r="141" spans="1:4" x14ac:dyDescent="0.2">
      <c r="A141" s="598" t="s">
        <v>959</v>
      </c>
      <c r="B141" s="598" t="s">
        <v>4287</v>
      </c>
      <c r="C141" s="598">
        <v>20.738585499999999</v>
      </c>
      <c r="D141" s="605">
        <v>45473</v>
      </c>
    </row>
    <row r="142" spans="1:4" x14ac:dyDescent="0.2">
      <c r="A142" s="598" t="s">
        <v>959</v>
      </c>
      <c r="B142" s="598" t="s">
        <v>4288</v>
      </c>
      <c r="C142" s="598">
        <v>22.87645479</v>
      </c>
      <c r="D142" s="605">
        <v>45473</v>
      </c>
    </row>
    <row r="143" spans="1:4" x14ac:dyDescent="0.2">
      <c r="A143" s="598" t="s">
        <v>959</v>
      </c>
      <c r="B143" s="598" t="s">
        <v>3825</v>
      </c>
      <c r="C143" s="598">
        <v>7.8925693800000003</v>
      </c>
      <c r="D143" s="605">
        <v>45473</v>
      </c>
    </row>
    <row r="144" spans="1:4" x14ac:dyDescent="0.2">
      <c r="A144" s="598" t="s">
        <v>959</v>
      </c>
      <c r="B144" s="598" t="s">
        <v>955</v>
      </c>
      <c r="C144" s="598">
        <v>61.498657119999997</v>
      </c>
      <c r="D144" s="605">
        <v>45473</v>
      </c>
    </row>
    <row r="145" spans="1:4" x14ac:dyDescent="0.2">
      <c r="A145" s="598" t="s">
        <v>959</v>
      </c>
      <c r="B145" s="598" t="s">
        <v>961</v>
      </c>
      <c r="C145" s="598">
        <v>83.360787830000007</v>
      </c>
      <c r="D145" s="605">
        <v>45473</v>
      </c>
    </row>
    <row r="146" spans="1:4" x14ac:dyDescent="0.2">
      <c r="A146" s="598" t="s">
        <v>3825</v>
      </c>
      <c r="B146" s="598" t="s">
        <v>4055</v>
      </c>
      <c r="C146" s="598">
        <v>2.8755671500000002</v>
      </c>
      <c r="D146" s="605">
        <v>45473</v>
      </c>
    </row>
    <row r="147" spans="1:4" x14ac:dyDescent="0.2">
      <c r="A147" s="598" t="s">
        <v>3825</v>
      </c>
      <c r="B147" s="598" t="s">
        <v>958</v>
      </c>
      <c r="C147" s="598">
        <v>7.0516107100000003</v>
      </c>
      <c r="D147" s="605">
        <v>45473</v>
      </c>
    </row>
    <row r="148" spans="1:4" x14ac:dyDescent="0.2">
      <c r="A148" s="598" t="s">
        <v>3825</v>
      </c>
      <c r="B148" s="598" t="s">
        <v>4056</v>
      </c>
      <c r="C148" s="598">
        <v>1.88827133</v>
      </c>
      <c r="D148" s="605">
        <v>45473</v>
      </c>
    </row>
    <row r="149" spans="1:4" x14ac:dyDescent="0.2">
      <c r="A149" s="598" t="s">
        <v>3825</v>
      </c>
      <c r="B149" s="598" t="s">
        <v>868</v>
      </c>
      <c r="C149" s="598">
        <v>7.7253856599999997</v>
      </c>
      <c r="D149" s="605">
        <v>45473</v>
      </c>
    </row>
    <row r="150" spans="1:4" x14ac:dyDescent="0.2">
      <c r="A150" s="598" t="s">
        <v>3825</v>
      </c>
      <c r="B150" s="598" t="s">
        <v>4280</v>
      </c>
      <c r="C150" s="598">
        <v>11.756465520000001</v>
      </c>
      <c r="D150" s="605">
        <v>45473</v>
      </c>
    </row>
    <row r="151" spans="1:4" x14ac:dyDescent="0.2">
      <c r="A151" s="598" t="s">
        <v>3825</v>
      </c>
      <c r="B151" s="598" t="s">
        <v>4282</v>
      </c>
      <c r="C151" s="598">
        <v>1.4533802199999999</v>
      </c>
      <c r="D151" s="605">
        <v>45473</v>
      </c>
    </row>
    <row r="152" spans="1:4" x14ac:dyDescent="0.2">
      <c r="A152" s="598" t="s">
        <v>3825</v>
      </c>
      <c r="B152" s="598" t="s">
        <v>4283</v>
      </c>
      <c r="C152" s="598">
        <v>1.5212114299999999</v>
      </c>
      <c r="D152" s="605">
        <v>45473</v>
      </c>
    </row>
    <row r="153" spans="1:4" x14ac:dyDescent="0.2">
      <c r="A153" s="598" t="s">
        <v>3825</v>
      </c>
      <c r="B153" s="598" t="s">
        <v>956</v>
      </c>
      <c r="C153" s="598">
        <v>11.343012699999999</v>
      </c>
      <c r="D153" s="605">
        <v>45473</v>
      </c>
    </row>
    <row r="154" spans="1:4" x14ac:dyDescent="0.2">
      <c r="A154" s="598" t="s">
        <v>3825</v>
      </c>
      <c r="B154" s="598" t="s">
        <v>957</v>
      </c>
      <c r="C154" s="598">
        <v>13.361274959999999</v>
      </c>
      <c r="D154" s="605">
        <v>45473</v>
      </c>
    </row>
    <row r="155" spans="1:4" x14ac:dyDescent="0.2">
      <c r="A155" s="598" t="s">
        <v>3825</v>
      </c>
      <c r="B155" s="598" t="s">
        <v>959</v>
      </c>
      <c r="C155" s="598">
        <v>0.12670144999999999</v>
      </c>
      <c r="D155" s="605">
        <v>45473</v>
      </c>
    </row>
    <row r="156" spans="1:4" x14ac:dyDescent="0.2">
      <c r="A156" s="598" t="s">
        <v>3825</v>
      </c>
      <c r="B156" s="598" t="s">
        <v>4284</v>
      </c>
      <c r="C156" s="598">
        <v>2.2388838500000001</v>
      </c>
      <c r="D156" s="605">
        <v>45473</v>
      </c>
    </row>
    <row r="157" spans="1:4" x14ac:dyDescent="0.2">
      <c r="A157" s="598" t="s">
        <v>3825</v>
      </c>
      <c r="B157" s="598" t="s">
        <v>4285</v>
      </c>
      <c r="C157" s="598">
        <v>0.99240017999999997</v>
      </c>
      <c r="D157" s="605">
        <v>45473</v>
      </c>
    </row>
    <row r="158" spans="1:4" x14ac:dyDescent="0.2">
      <c r="A158" s="598" t="s">
        <v>3825</v>
      </c>
      <c r="B158" s="598" t="s">
        <v>4286</v>
      </c>
      <c r="C158" s="598">
        <v>6.4345508200000001</v>
      </c>
      <c r="D158" s="605">
        <v>45473</v>
      </c>
    </row>
    <row r="159" spans="1:4" x14ac:dyDescent="0.2">
      <c r="A159" s="598" t="s">
        <v>3825</v>
      </c>
      <c r="B159" s="598" t="s">
        <v>4287</v>
      </c>
      <c r="C159" s="598">
        <v>2.6276088899999999</v>
      </c>
      <c r="D159" s="605">
        <v>45473</v>
      </c>
    </row>
    <row r="160" spans="1:4" x14ac:dyDescent="0.2">
      <c r="A160" s="598" t="s">
        <v>3825</v>
      </c>
      <c r="B160" s="598" t="s">
        <v>4288</v>
      </c>
      <c r="C160" s="598">
        <v>2.8984800399999999</v>
      </c>
      <c r="D160" s="605">
        <v>45473</v>
      </c>
    </row>
    <row r="161" spans="1:4" x14ac:dyDescent="0.2">
      <c r="A161" s="598" t="s">
        <v>3825</v>
      </c>
      <c r="B161" s="598" t="s">
        <v>3825</v>
      </c>
      <c r="C161" s="598">
        <v>1</v>
      </c>
      <c r="D161" s="605">
        <v>45473</v>
      </c>
    </row>
    <row r="162" spans="1:4" x14ac:dyDescent="0.2">
      <c r="A162" s="598" t="s">
        <v>3825</v>
      </c>
      <c r="B162" s="598" t="s">
        <v>955</v>
      </c>
      <c r="C162" s="598">
        <v>7.7919691499999999</v>
      </c>
      <c r="D162" s="605">
        <v>45473</v>
      </c>
    </row>
    <row r="163" spans="1:4" x14ac:dyDescent="0.2">
      <c r="A163" s="598" t="s">
        <v>3825</v>
      </c>
      <c r="B163" s="598" t="s">
        <v>961</v>
      </c>
      <c r="C163" s="598">
        <v>10.56193285</v>
      </c>
      <c r="D163" s="605">
        <v>45473</v>
      </c>
    </row>
    <row r="164" spans="1:4" x14ac:dyDescent="0.2">
      <c r="A164" s="598" t="s">
        <v>955</v>
      </c>
      <c r="B164" s="598" t="s">
        <v>4055</v>
      </c>
      <c r="C164" s="598">
        <v>0.36904241999999998</v>
      </c>
      <c r="D164" s="605">
        <v>45473</v>
      </c>
    </row>
    <row r="165" spans="1:4" x14ac:dyDescent="0.2">
      <c r="A165" s="598" t="s">
        <v>955</v>
      </c>
      <c r="B165" s="598" t="s">
        <v>958</v>
      </c>
      <c r="C165" s="598">
        <v>0.90498442000000001</v>
      </c>
      <c r="D165" s="605">
        <v>45473</v>
      </c>
    </row>
    <row r="166" spans="1:4" x14ac:dyDescent="0.2">
      <c r="A166" s="598" t="s">
        <v>955</v>
      </c>
      <c r="B166" s="598" t="s">
        <v>4056</v>
      </c>
      <c r="C166" s="598">
        <v>0.24233557999999999</v>
      </c>
      <c r="D166" s="605">
        <v>45473</v>
      </c>
    </row>
    <row r="167" spans="1:4" x14ac:dyDescent="0.2">
      <c r="A167" s="598" t="s">
        <v>955</v>
      </c>
      <c r="B167" s="598" t="s">
        <v>868</v>
      </c>
      <c r="C167" s="598">
        <v>0.99145486000000005</v>
      </c>
      <c r="D167" s="605">
        <v>45473</v>
      </c>
    </row>
    <row r="168" spans="1:4" x14ac:dyDescent="0.2">
      <c r="A168" s="598" t="s">
        <v>955</v>
      </c>
      <c r="B168" s="598" t="s">
        <v>4280</v>
      </c>
      <c r="C168" s="598">
        <v>1.5087926199999999</v>
      </c>
      <c r="D168" s="605">
        <v>45473</v>
      </c>
    </row>
    <row r="169" spans="1:4" x14ac:dyDescent="0.2">
      <c r="A169" s="598" t="s">
        <v>955</v>
      </c>
      <c r="B169" s="598" t="s">
        <v>4282</v>
      </c>
      <c r="C169" s="598">
        <v>0.18652284</v>
      </c>
      <c r="D169" s="605">
        <v>45473</v>
      </c>
    </row>
    <row r="170" spans="1:4" x14ac:dyDescent="0.2">
      <c r="A170" s="598" t="s">
        <v>955</v>
      </c>
      <c r="B170" s="598" t="s">
        <v>4283</v>
      </c>
      <c r="C170" s="598">
        <v>0.19522811000000001</v>
      </c>
      <c r="D170" s="605">
        <v>45473</v>
      </c>
    </row>
    <row r="171" spans="1:4" x14ac:dyDescent="0.2">
      <c r="A171" s="598" t="s">
        <v>955</v>
      </c>
      <c r="B171" s="598" t="s">
        <v>956</v>
      </c>
      <c r="C171" s="598">
        <v>1.4557312099999999</v>
      </c>
      <c r="D171" s="605">
        <v>45473</v>
      </c>
    </row>
    <row r="172" spans="1:4" x14ac:dyDescent="0.2">
      <c r="A172" s="598" t="s">
        <v>955</v>
      </c>
      <c r="B172" s="598" t="s">
        <v>957</v>
      </c>
      <c r="C172" s="598">
        <v>1.7147494700000001</v>
      </c>
      <c r="D172" s="605">
        <v>45473</v>
      </c>
    </row>
    <row r="173" spans="1:4" x14ac:dyDescent="0.2">
      <c r="A173" s="598" t="s">
        <v>955</v>
      </c>
      <c r="B173" s="598" t="s">
        <v>959</v>
      </c>
      <c r="C173" s="598">
        <v>1.6260520000000001E-2</v>
      </c>
      <c r="D173" s="605">
        <v>45473</v>
      </c>
    </row>
    <row r="174" spans="1:4" x14ac:dyDescent="0.2">
      <c r="A174" s="598" t="s">
        <v>955</v>
      </c>
      <c r="B174" s="598" t="s">
        <v>4284</v>
      </c>
      <c r="C174" s="598">
        <v>0.28733223000000002</v>
      </c>
      <c r="D174" s="605">
        <v>45473</v>
      </c>
    </row>
    <row r="175" spans="1:4" x14ac:dyDescent="0.2">
      <c r="A175" s="598" t="s">
        <v>955</v>
      </c>
      <c r="B175" s="598" t="s">
        <v>4285</v>
      </c>
      <c r="C175" s="598">
        <v>0.12736191999999999</v>
      </c>
      <c r="D175" s="605">
        <v>45473</v>
      </c>
    </row>
    <row r="176" spans="1:4" x14ac:dyDescent="0.2">
      <c r="A176" s="598" t="s">
        <v>955</v>
      </c>
      <c r="B176" s="598" t="s">
        <v>4286</v>
      </c>
      <c r="C176" s="598">
        <v>0.82579265000000002</v>
      </c>
      <c r="D176" s="605">
        <v>45473</v>
      </c>
    </row>
    <row r="177" spans="1:4" x14ac:dyDescent="0.2">
      <c r="A177" s="598" t="s">
        <v>955</v>
      </c>
      <c r="B177" s="598" t="s">
        <v>4287</v>
      </c>
      <c r="C177" s="598">
        <v>0.33722014</v>
      </c>
      <c r="D177" s="605">
        <v>45473</v>
      </c>
    </row>
    <row r="178" spans="1:4" x14ac:dyDescent="0.2">
      <c r="A178" s="598" t="s">
        <v>955</v>
      </c>
      <c r="B178" s="598" t="s">
        <v>4288</v>
      </c>
      <c r="C178" s="598">
        <v>0.37198300000000001</v>
      </c>
      <c r="D178" s="605">
        <v>45473</v>
      </c>
    </row>
    <row r="179" spans="1:4" x14ac:dyDescent="0.2">
      <c r="A179" s="598" t="s">
        <v>955</v>
      </c>
      <c r="B179" s="598" t="s">
        <v>3825</v>
      </c>
      <c r="C179" s="598">
        <v>0.12833726000000001</v>
      </c>
      <c r="D179" s="605">
        <v>45473</v>
      </c>
    </row>
    <row r="180" spans="1:4" x14ac:dyDescent="0.2">
      <c r="A180" s="598" t="s">
        <v>955</v>
      </c>
      <c r="B180" s="598" t="s">
        <v>955</v>
      </c>
      <c r="C180" s="598">
        <v>1</v>
      </c>
      <c r="D180" s="605">
        <v>45473</v>
      </c>
    </row>
    <row r="181" spans="1:4" x14ac:dyDescent="0.2">
      <c r="A181" s="598" t="s">
        <v>955</v>
      </c>
      <c r="B181" s="598" t="s">
        <v>961</v>
      </c>
      <c r="C181" s="598">
        <v>1.3554895600000001</v>
      </c>
      <c r="D181" s="605">
        <v>45473</v>
      </c>
    </row>
    <row r="182" spans="1:4" x14ac:dyDescent="0.2">
      <c r="A182" s="598" t="s">
        <v>961</v>
      </c>
      <c r="B182" s="598" t="s">
        <v>4055</v>
      </c>
      <c r="C182" s="598">
        <v>0.27225766000000001</v>
      </c>
      <c r="D182" s="605">
        <v>45473</v>
      </c>
    </row>
    <row r="183" spans="1:4" x14ac:dyDescent="0.2">
      <c r="A183" s="598" t="s">
        <v>961</v>
      </c>
      <c r="B183" s="598" t="s">
        <v>958</v>
      </c>
      <c r="C183" s="598">
        <v>0.66764396000000004</v>
      </c>
      <c r="D183" s="605">
        <v>45473</v>
      </c>
    </row>
    <row r="184" spans="1:4" x14ac:dyDescent="0.2">
      <c r="A184" s="598" t="s">
        <v>961</v>
      </c>
      <c r="B184" s="598" t="s">
        <v>4056</v>
      </c>
      <c r="C184" s="598">
        <v>0.17878084999999999</v>
      </c>
      <c r="D184" s="605">
        <v>45473</v>
      </c>
    </row>
    <row r="185" spans="1:4" x14ac:dyDescent="0.2">
      <c r="A185" s="598" t="s">
        <v>961</v>
      </c>
      <c r="B185" s="598" t="s">
        <v>868</v>
      </c>
      <c r="C185" s="598">
        <v>0.73143672999999998</v>
      </c>
      <c r="D185" s="605">
        <v>45473</v>
      </c>
    </row>
    <row r="186" spans="1:4" x14ac:dyDescent="0.2">
      <c r="A186" s="598" t="s">
        <v>961</v>
      </c>
      <c r="B186" s="598" t="s">
        <v>4280</v>
      </c>
      <c r="C186" s="598">
        <v>1.11309792</v>
      </c>
      <c r="D186" s="605">
        <v>45473</v>
      </c>
    </row>
    <row r="187" spans="1:4" x14ac:dyDescent="0.2">
      <c r="A187" s="598" t="s">
        <v>961</v>
      </c>
      <c r="B187" s="598" t="s">
        <v>4282</v>
      </c>
      <c r="C187" s="598">
        <v>0.13760552000000001</v>
      </c>
      <c r="D187" s="605">
        <v>45473</v>
      </c>
    </row>
    <row r="188" spans="1:4" x14ac:dyDescent="0.2">
      <c r="A188" s="598" t="s">
        <v>961</v>
      </c>
      <c r="B188" s="598" t="s">
        <v>4283</v>
      </c>
      <c r="C188" s="598">
        <v>0.14402775000000001</v>
      </c>
      <c r="D188" s="605">
        <v>45473</v>
      </c>
    </row>
    <row r="189" spans="1:4" x14ac:dyDescent="0.2">
      <c r="A189" s="598" t="s">
        <v>961</v>
      </c>
      <c r="B189" s="598" t="s">
        <v>956</v>
      </c>
      <c r="C189" s="598">
        <v>1.0739523600000001</v>
      </c>
      <c r="D189" s="605">
        <v>45473</v>
      </c>
    </row>
    <row r="190" spans="1:4" x14ac:dyDescent="0.2">
      <c r="A190" s="598" t="s">
        <v>961</v>
      </c>
      <c r="B190" s="598" t="s">
        <v>957</v>
      </c>
      <c r="C190" s="598">
        <v>1.2650406999999999</v>
      </c>
      <c r="D190" s="605">
        <v>45473</v>
      </c>
    </row>
    <row r="191" spans="1:4" x14ac:dyDescent="0.2">
      <c r="A191" s="598" t="s">
        <v>961</v>
      </c>
      <c r="B191" s="598" t="s">
        <v>959</v>
      </c>
      <c r="C191" s="598">
        <v>1.1996049999999999E-2</v>
      </c>
      <c r="D191" s="605">
        <v>45473</v>
      </c>
    </row>
    <row r="192" spans="1:4" x14ac:dyDescent="0.2">
      <c r="A192" s="598" t="s">
        <v>961</v>
      </c>
      <c r="B192" s="598" t="s">
        <v>4284</v>
      </c>
      <c r="C192" s="598">
        <v>0.21197672000000001</v>
      </c>
      <c r="D192" s="605">
        <v>45473</v>
      </c>
    </row>
    <row r="193" spans="1:4" x14ac:dyDescent="0.2">
      <c r="A193" s="598" t="s">
        <v>961</v>
      </c>
      <c r="B193" s="598" t="s">
        <v>4285</v>
      </c>
      <c r="C193" s="598">
        <v>9.3960089999999996E-2</v>
      </c>
      <c r="D193" s="605">
        <v>45473</v>
      </c>
    </row>
    <row r="194" spans="1:4" x14ac:dyDescent="0.2">
      <c r="A194" s="598" t="s">
        <v>961</v>
      </c>
      <c r="B194" s="598" t="s">
        <v>4286</v>
      </c>
      <c r="C194" s="598">
        <v>0.60922096000000003</v>
      </c>
      <c r="D194" s="605">
        <v>45473</v>
      </c>
    </row>
    <row r="195" spans="1:4" x14ac:dyDescent="0.2">
      <c r="A195" s="598" t="s">
        <v>961</v>
      </c>
      <c r="B195" s="598" t="s">
        <v>4287</v>
      </c>
      <c r="C195" s="598">
        <v>0.24878106</v>
      </c>
      <c r="D195" s="605">
        <v>45473</v>
      </c>
    </row>
    <row r="196" spans="1:4" x14ac:dyDescent="0.2">
      <c r="A196" s="598" t="s">
        <v>961</v>
      </c>
      <c r="B196" s="598" t="s">
        <v>4288</v>
      </c>
      <c r="C196" s="598">
        <v>0.27442705000000001</v>
      </c>
      <c r="D196" s="605">
        <v>45473</v>
      </c>
    </row>
    <row r="197" spans="1:4" x14ac:dyDescent="0.2">
      <c r="A197" s="598" t="s">
        <v>961</v>
      </c>
      <c r="B197" s="598" t="s">
        <v>3825</v>
      </c>
      <c r="C197" s="598">
        <v>9.4679639999999995E-2</v>
      </c>
      <c r="D197" s="605">
        <v>45473</v>
      </c>
    </row>
    <row r="198" spans="1:4" x14ac:dyDescent="0.2">
      <c r="A198" s="598" t="s">
        <v>961</v>
      </c>
      <c r="B198" s="598" t="s">
        <v>955</v>
      </c>
      <c r="C198" s="598">
        <v>0.73774083000000001</v>
      </c>
      <c r="D198" s="605">
        <v>45473</v>
      </c>
    </row>
    <row r="199" spans="1:4" x14ac:dyDescent="0.2">
      <c r="A199" s="598" t="s">
        <v>961</v>
      </c>
      <c r="B199" s="598" t="s">
        <v>961</v>
      </c>
      <c r="C199" s="598">
        <v>1</v>
      </c>
      <c r="D199" s="605">
        <v>45473</v>
      </c>
    </row>
  </sheetData>
  <autoFilter ref="A1:D199" xr:uid="{D667092A-A706-4EA6-AA43-B13C4C0FF042}"/>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9EA2D-1742-43D0-8E2E-66D5BACDEE93}">
  <sheetPr codeName="Sheet37"/>
  <dimension ref="A1:U53"/>
  <sheetViews>
    <sheetView topLeftCell="A22" workbookViewId="0">
      <selection activeCell="J55" sqref="J55"/>
    </sheetView>
  </sheetViews>
  <sheetFormatPr defaultColWidth="9.109375" defaultRowHeight="10" x14ac:dyDescent="0.2"/>
  <cols>
    <col min="1" max="2" width="9.109375" style="630"/>
    <col min="3" max="3" width="9.33203125" style="630" bestFit="1" customWidth="1"/>
    <col min="4" max="6" width="9.109375" style="630"/>
    <col min="7" max="7" width="11.33203125" style="630" bestFit="1" customWidth="1"/>
    <col min="8" max="8" width="13.44140625" style="630" bestFit="1" customWidth="1"/>
    <col min="9" max="10" width="9.109375" style="630"/>
    <col min="11" max="11" width="10.6640625" style="630" bestFit="1" customWidth="1"/>
    <col min="12" max="16384" width="9.109375" style="630"/>
  </cols>
  <sheetData>
    <row r="1" spans="1:21" ht="15.5" x14ac:dyDescent="0.35">
      <c r="A1" s="845" t="s">
        <v>0</v>
      </c>
      <c r="B1" s="845"/>
      <c r="C1" s="845"/>
      <c r="D1" s="845"/>
      <c r="E1" s="845"/>
      <c r="F1" s="845"/>
      <c r="G1" s="845"/>
      <c r="H1" s="845"/>
      <c r="I1" s="845"/>
      <c r="J1" s="845"/>
      <c r="K1" s="845"/>
      <c r="L1" s="845"/>
      <c r="M1" s="845"/>
      <c r="N1" s="845"/>
      <c r="O1" s="845"/>
      <c r="P1" s="845"/>
      <c r="Q1" s="845"/>
      <c r="R1" s="845"/>
      <c r="S1" s="845"/>
      <c r="T1" s="845"/>
      <c r="U1" s="845"/>
    </row>
    <row r="2" spans="1:21" ht="15.5" x14ac:dyDescent="0.35">
      <c r="A2" s="845" t="s">
        <v>1</v>
      </c>
      <c r="B2" s="845"/>
      <c r="C2" s="845"/>
      <c r="D2" s="845"/>
      <c r="E2" s="845"/>
      <c r="F2" s="845"/>
      <c r="G2" s="845"/>
      <c r="H2" s="845"/>
      <c r="I2" s="845"/>
      <c r="J2" s="845"/>
      <c r="K2" s="845"/>
      <c r="L2" s="845"/>
      <c r="M2" s="845"/>
      <c r="N2" s="845"/>
      <c r="O2" s="845"/>
      <c r="P2" s="845"/>
      <c r="Q2" s="845"/>
      <c r="R2" s="845"/>
      <c r="S2" s="845"/>
      <c r="T2" s="845"/>
      <c r="U2" s="845"/>
    </row>
    <row r="3" spans="1:21" ht="18" x14ac:dyDescent="0.4">
      <c r="A3" s="844" t="s">
        <v>2</v>
      </c>
      <c r="B3" s="844"/>
      <c r="C3" s="844"/>
      <c r="D3" s="844"/>
      <c r="E3" s="844"/>
      <c r="F3" s="844"/>
      <c r="G3" s="844"/>
      <c r="H3" s="844"/>
      <c r="I3" s="844"/>
      <c r="J3" s="844"/>
      <c r="K3" s="844"/>
      <c r="L3" s="844"/>
      <c r="M3" s="844"/>
      <c r="N3" s="844"/>
      <c r="O3" s="844"/>
      <c r="P3" s="844"/>
      <c r="Q3" s="844"/>
      <c r="R3" s="844"/>
      <c r="S3" s="844"/>
      <c r="T3" s="844"/>
      <c r="U3" s="844"/>
    </row>
    <row r="4" spans="1:21" ht="18" x14ac:dyDescent="0.4">
      <c r="A4" s="844" t="s">
        <v>4489</v>
      </c>
      <c r="B4" s="844"/>
      <c r="C4" s="844"/>
      <c r="D4" s="844"/>
      <c r="E4" s="844"/>
      <c r="F4" s="844"/>
      <c r="G4" s="844"/>
      <c r="H4" s="844"/>
      <c r="I4" s="844"/>
      <c r="J4" s="844"/>
      <c r="K4" s="844"/>
      <c r="L4" s="844"/>
      <c r="M4" s="844"/>
      <c r="N4" s="844"/>
      <c r="O4" s="844"/>
      <c r="P4" s="844"/>
      <c r="Q4" s="844"/>
      <c r="R4" s="844"/>
      <c r="S4" s="844"/>
      <c r="T4" s="844"/>
      <c r="U4" s="844"/>
    </row>
    <row r="5" spans="1:21" ht="18" x14ac:dyDescent="0.4">
      <c r="A5" s="844" t="s">
        <v>4</v>
      </c>
      <c r="B5" s="844"/>
      <c r="C5" s="844"/>
      <c r="D5" s="844"/>
      <c r="E5" s="844"/>
      <c r="F5" s="844"/>
      <c r="G5" s="844"/>
      <c r="H5" s="844"/>
      <c r="I5" s="844"/>
      <c r="J5" s="844"/>
      <c r="K5" s="844"/>
      <c r="L5" s="844"/>
      <c r="M5" s="844"/>
      <c r="N5" s="844"/>
      <c r="O5" s="844"/>
      <c r="P5" s="844"/>
      <c r="Q5" s="844"/>
      <c r="R5" s="844"/>
      <c r="S5" s="844"/>
      <c r="T5" s="844"/>
      <c r="U5" s="844"/>
    </row>
    <row r="6" spans="1:21" ht="18" x14ac:dyDescent="0.4">
      <c r="A6" s="844" t="s">
        <v>4</v>
      </c>
      <c r="B6" s="844"/>
      <c r="C6" s="844"/>
      <c r="D6" s="844"/>
      <c r="E6" s="844"/>
      <c r="F6" s="844"/>
      <c r="G6" s="844"/>
      <c r="H6" s="844"/>
      <c r="I6" s="844"/>
      <c r="J6" s="844"/>
      <c r="K6" s="844"/>
      <c r="L6" s="844"/>
      <c r="M6" s="844"/>
      <c r="N6" s="844"/>
      <c r="O6" s="844"/>
      <c r="P6" s="844"/>
      <c r="Q6" s="844"/>
      <c r="R6" s="844"/>
      <c r="S6" s="844"/>
      <c r="T6" s="844"/>
      <c r="U6" s="844"/>
    </row>
    <row r="7" spans="1:21" x14ac:dyDescent="0.2">
      <c r="A7" s="631" t="s">
        <v>5</v>
      </c>
      <c r="B7" s="631" t="s">
        <v>6</v>
      </c>
      <c r="C7" s="631" t="s">
        <v>7</v>
      </c>
      <c r="D7" s="631" t="s">
        <v>8</v>
      </c>
      <c r="E7" s="631" t="s">
        <v>9</v>
      </c>
      <c r="F7" s="631" t="s">
        <v>10</v>
      </c>
      <c r="G7" s="632" t="s">
        <v>11</v>
      </c>
      <c r="H7" s="632" t="s">
        <v>12</v>
      </c>
      <c r="I7" s="631" t="s">
        <v>13</v>
      </c>
      <c r="J7" s="631" t="s">
        <v>14</v>
      </c>
      <c r="K7" s="632" t="s">
        <v>15</v>
      </c>
      <c r="L7" s="631" t="s">
        <v>16</v>
      </c>
      <c r="M7" s="631" t="s">
        <v>17</v>
      </c>
      <c r="N7" s="631" t="s">
        <v>18</v>
      </c>
      <c r="O7" s="631" t="s">
        <v>3778</v>
      </c>
      <c r="P7" s="631" t="s">
        <v>3777</v>
      </c>
      <c r="Q7" s="631" t="s">
        <v>3776</v>
      </c>
      <c r="R7" s="631" t="s">
        <v>4384</v>
      </c>
      <c r="S7" s="631" t="s">
        <v>4385</v>
      </c>
      <c r="T7" s="631" t="s">
        <v>4386</v>
      </c>
      <c r="U7" s="631" t="s">
        <v>4490</v>
      </c>
    </row>
    <row r="8" spans="1:21" ht="10.5" x14ac:dyDescent="0.2">
      <c r="A8" s="626" t="s">
        <v>614</v>
      </c>
      <c r="B8" s="624"/>
      <c r="C8" s="623"/>
      <c r="D8" s="624"/>
      <c r="E8" s="624"/>
      <c r="F8" s="624"/>
      <c r="G8" s="625">
        <v>0</v>
      </c>
      <c r="H8" s="625">
        <v>0</v>
      </c>
      <c r="I8" s="624"/>
      <c r="J8" s="624"/>
      <c r="K8" s="618">
        <v>0</v>
      </c>
      <c r="L8" s="624"/>
      <c r="M8" s="624"/>
      <c r="N8" s="624"/>
      <c r="O8" s="624"/>
      <c r="P8" s="624"/>
      <c r="Q8" s="624"/>
      <c r="R8" s="624"/>
      <c r="S8" s="624"/>
      <c r="T8" s="624"/>
      <c r="U8" s="624"/>
    </row>
    <row r="9" spans="1:21" ht="10.5" x14ac:dyDescent="0.25">
      <c r="A9" s="629" t="s">
        <v>734</v>
      </c>
      <c r="B9" s="624"/>
      <c r="C9" s="623"/>
      <c r="D9" s="624"/>
      <c r="E9" s="624"/>
      <c r="F9" s="624"/>
      <c r="G9" s="625">
        <v>0</v>
      </c>
      <c r="H9" s="625">
        <v>735913.03187235107</v>
      </c>
      <c r="I9" s="624"/>
      <c r="J9" s="624"/>
      <c r="K9" s="618">
        <v>0</v>
      </c>
      <c r="L9" s="624"/>
      <c r="M9" s="624"/>
      <c r="N9" s="624"/>
      <c r="O9" s="624"/>
      <c r="P9" s="624"/>
      <c r="Q9" s="624"/>
      <c r="R9" s="624"/>
      <c r="S9" s="624"/>
      <c r="T9" s="624"/>
      <c r="U9" s="624"/>
    </row>
    <row r="10" spans="1:21" x14ac:dyDescent="0.2">
      <c r="A10" s="622"/>
      <c r="B10" s="624" t="s">
        <v>21</v>
      </c>
      <c r="C10" s="623">
        <v>45303</v>
      </c>
      <c r="D10" s="624" t="s">
        <v>4491</v>
      </c>
      <c r="E10" s="624" t="s">
        <v>4388</v>
      </c>
      <c r="F10" s="624" t="s">
        <v>4388</v>
      </c>
      <c r="G10" s="625">
        <v>1150.7420896786064</v>
      </c>
      <c r="H10" s="625">
        <f t="shared" ref="H10:H28" si="0">H9+G10</f>
        <v>737063.77396202972</v>
      </c>
      <c r="I10" s="624"/>
      <c r="J10" s="624" t="s">
        <v>37</v>
      </c>
      <c r="K10" s="621">
        <v>1158.93</v>
      </c>
      <c r="L10" s="624" t="s">
        <v>4410</v>
      </c>
      <c r="M10" s="624" t="s">
        <v>27</v>
      </c>
      <c r="N10" s="624" t="s">
        <v>4357</v>
      </c>
      <c r="O10" s="624" t="s">
        <v>4245</v>
      </c>
      <c r="P10" s="624" t="s">
        <v>3703</v>
      </c>
      <c r="Q10" s="624" t="s">
        <v>4387</v>
      </c>
      <c r="R10" s="624"/>
      <c r="S10" s="624"/>
      <c r="T10" s="624"/>
      <c r="U10" s="624"/>
    </row>
    <row r="11" spans="1:21" x14ac:dyDescent="0.2">
      <c r="A11" s="622"/>
      <c r="B11" s="624" t="s">
        <v>21</v>
      </c>
      <c r="C11" s="623">
        <v>45322</v>
      </c>
      <c r="D11" s="624" t="s">
        <v>4492</v>
      </c>
      <c r="E11" s="624" t="s">
        <v>4493</v>
      </c>
      <c r="F11" s="624" t="s">
        <v>4494</v>
      </c>
      <c r="G11" s="625">
        <v>6361.782416299523</v>
      </c>
      <c r="H11" s="625">
        <f t="shared" si="0"/>
        <v>743425.55637832929</v>
      </c>
      <c r="I11" s="624"/>
      <c r="J11" s="624" t="s">
        <v>748</v>
      </c>
      <c r="K11" s="628">
        <v>5815</v>
      </c>
      <c r="L11" s="624" t="s">
        <v>4410</v>
      </c>
      <c r="M11" s="624" t="s">
        <v>61</v>
      </c>
      <c r="N11" s="624" t="s">
        <v>39</v>
      </c>
      <c r="O11" s="624" t="s">
        <v>3698</v>
      </c>
      <c r="P11" s="624" t="s">
        <v>3703</v>
      </c>
      <c r="Q11" s="624" t="s">
        <v>4387</v>
      </c>
      <c r="R11" s="624"/>
      <c r="S11" s="624"/>
      <c r="T11" s="624"/>
      <c r="U11" s="624" t="s">
        <v>4495</v>
      </c>
    </row>
    <row r="12" spans="1:21" x14ac:dyDescent="0.2">
      <c r="A12" s="622"/>
      <c r="B12" s="624" t="s">
        <v>21</v>
      </c>
      <c r="C12" s="623">
        <v>45322</v>
      </c>
      <c r="D12" s="624" t="s">
        <v>4492</v>
      </c>
      <c r="E12" s="624" t="s">
        <v>4493</v>
      </c>
      <c r="F12" s="624" t="s">
        <v>4496</v>
      </c>
      <c r="G12" s="625">
        <v>630.16107855348673</v>
      </c>
      <c r="H12" s="625">
        <f t="shared" si="0"/>
        <v>744055.71745688282</v>
      </c>
      <c r="I12" s="624"/>
      <c r="J12" s="624" t="s">
        <v>748</v>
      </c>
      <c r="K12" s="628">
        <v>576</v>
      </c>
      <c r="L12" s="624" t="s">
        <v>4410</v>
      </c>
      <c r="M12" s="624" t="s">
        <v>61</v>
      </c>
      <c r="N12" s="624" t="s">
        <v>39</v>
      </c>
      <c r="O12" s="624" t="s">
        <v>3700</v>
      </c>
      <c r="P12" s="624" t="s">
        <v>3703</v>
      </c>
      <c r="Q12" s="624" t="s">
        <v>4387</v>
      </c>
      <c r="R12" s="624"/>
      <c r="S12" s="624"/>
      <c r="T12" s="624"/>
      <c r="U12" s="624" t="s">
        <v>4495</v>
      </c>
    </row>
    <row r="13" spans="1:21" x14ac:dyDescent="0.2">
      <c r="A13" s="622"/>
      <c r="B13" s="624" t="s">
        <v>21</v>
      </c>
      <c r="C13" s="623">
        <v>45322</v>
      </c>
      <c r="D13" s="624" t="s">
        <v>4492</v>
      </c>
      <c r="E13" s="624" t="s">
        <v>4493</v>
      </c>
      <c r="F13" s="624" t="s">
        <v>4497</v>
      </c>
      <c r="G13" s="625">
        <v>418.10531144233681</v>
      </c>
      <c r="H13" s="625">
        <f t="shared" si="0"/>
        <v>744473.8227683251</v>
      </c>
      <c r="I13" s="624"/>
      <c r="J13" s="624" t="s">
        <v>748</v>
      </c>
      <c r="K13" s="628">
        <v>382.17</v>
      </c>
      <c r="L13" s="624" t="s">
        <v>4410</v>
      </c>
      <c r="M13" s="624" t="s">
        <v>61</v>
      </c>
      <c r="N13" s="624" t="s">
        <v>39</v>
      </c>
      <c r="O13" s="624" t="s">
        <v>3701</v>
      </c>
      <c r="P13" s="624" t="s">
        <v>3703</v>
      </c>
      <c r="Q13" s="624" t="s">
        <v>4387</v>
      </c>
      <c r="R13" s="624"/>
      <c r="S13" s="624"/>
      <c r="T13" s="624"/>
      <c r="U13" s="624" t="s">
        <v>4495</v>
      </c>
    </row>
    <row r="14" spans="1:21" x14ac:dyDescent="0.2">
      <c r="A14" s="622"/>
      <c r="B14" s="624" t="s">
        <v>21</v>
      </c>
      <c r="C14" s="623">
        <v>45323</v>
      </c>
      <c r="D14" s="624" t="s">
        <v>4498</v>
      </c>
      <c r="E14" s="624" t="s">
        <v>4493</v>
      </c>
      <c r="F14" s="624" t="s">
        <v>4494</v>
      </c>
      <c r="G14" s="625">
        <v>-6313.6449499478022</v>
      </c>
      <c r="H14" s="625">
        <f t="shared" si="0"/>
        <v>738160.17781837727</v>
      </c>
      <c r="I14" s="624"/>
      <c r="J14" s="624" t="s">
        <v>748</v>
      </c>
      <c r="K14" s="628">
        <v>-5815</v>
      </c>
      <c r="L14" s="624" t="s">
        <v>4418</v>
      </c>
      <c r="M14" s="624" t="s">
        <v>61</v>
      </c>
      <c r="N14" s="624" t="s">
        <v>39</v>
      </c>
      <c r="O14" s="624" t="s">
        <v>3698</v>
      </c>
      <c r="P14" s="624" t="s">
        <v>3703</v>
      </c>
      <c r="Q14" s="624" t="s">
        <v>4387</v>
      </c>
      <c r="R14" s="624"/>
      <c r="S14" s="624"/>
      <c r="T14" s="624"/>
      <c r="U14" s="624" t="s">
        <v>4495</v>
      </c>
    </row>
    <row r="15" spans="1:21" x14ac:dyDescent="0.2">
      <c r="A15" s="622"/>
      <c r="B15" s="624" t="s">
        <v>21</v>
      </c>
      <c r="C15" s="623">
        <v>45323</v>
      </c>
      <c r="D15" s="624" t="s">
        <v>4498</v>
      </c>
      <c r="E15" s="624" t="s">
        <v>4493</v>
      </c>
      <c r="F15" s="624" t="s">
        <v>4496</v>
      </c>
      <c r="G15" s="625">
        <v>-625.39286176611074</v>
      </c>
      <c r="H15" s="625">
        <f t="shared" si="0"/>
        <v>737534.78495661111</v>
      </c>
      <c r="I15" s="624"/>
      <c r="J15" s="624" t="s">
        <v>748</v>
      </c>
      <c r="K15" s="628">
        <v>-576</v>
      </c>
      <c r="L15" s="624" t="s">
        <v>4418</v>
      </c>
      <c r="M15" s="624" t="s">
        <v>61</v>
      </c>
      <c r="N15" s="624" t="s">
        <v>39</v>
      </c>
      <c r="O15" s="624" t="s">
        <v>3700</v>
      </c>
      <c r="P15" s="624" t="s">
        <v>3703</v>
      </c>
      <c r="Q15" s="624" t="s">
        <v>4387</v>
      </c>
      <c r="R15" s="624"/>
      <c r="S15" s="624"/>
      <c r="T15" s="624"/>
      <c r="U15" s="624" t="s">
        <v>4495</v>
      </c>
    </row>
    <row r="16" spans="1:21" x14ac:dyDescent="0.2">
      <c r="A16" s="622"/>
      <c r="B16" s="624" t="s">
        <v>21</v>
      </c>
      <c r="C16" s="623">
        <v>45323</v>
      </c>
      <c r="D16" s="624" t="s">
        <v>4498</v>
      </c>
      <c r="E16" s="624" t="s">
        <v>4493</v>
      </c>
      <c r="F16" s="624" t="s">
        <v>4497</v>
      </c>
      <c r="G16" s="625">
        <v>-414.94164927283771</v>
      </c>
      <c r="H16" s="625">
        <f t="shared" si="0"/>
        <v>737119.84330733831</v>
      </c>
      <c r="I16" s="624"/>
      <c r="J16" s="624" t="s">
        <v>748</v>
      </c>
      <c r="K16" s="628">
        <v>-382.17</v>
      </c>
      <c r="L16" s="624" t="s">
        <v>4418</v>
      </c>
      <c r="M16" s="624" t="s">
        <v>61</v>
      </c>
      <c r="N16" s="624" t="s">
        <v>39</v>
      </c>
      <c r="O16" s="624" t="s">
        <v>3701</v>
      </c>
      <c r="P16" s="624" t="s">
        <v>3703</v>
      </c>
      <c r="Q16" s="624" t="s">
        <v>4387</v>
      </c>
      <c r="R16" s="624"/>
      <c r="S16" s="624"/>
      <c r="T16" s="624"/>
      <c r="U16" s="624" t="s">
        <v>4495</v>
      </c>
    </row>
    <row r="17" spans="1:21" x14ac:dyDescent="0.2">
      <c r="A17" s="622"/>
      <c r="B17" s="624" t="s">
        <v>21</v>
      </c>
      <c r="C17" s="623">
        <v>45351</v>
      </c>
      <c r="D17" s="624" t="s">
        <v>4499</v>
      </c>
      <c r="E17" s="624" t="s">
        <v>4500</v>
      </c>
      <c r="F17" s="624" t="s">
        <v>4501</v>
      </c>
      <c r="G17" s="625">
        <v>12627.289899895604</v>
      </c>
      <c r="H17" s="625">
        <f t="shared" si="0"/>
        <v>749747.13320723386</v>
      </c>
      <c r="I17" s="624"/>
      <c r="J17" s="624" t="s">
        <v>748</v>
      </c>
      <c r="K17" s="628">
        <v>11630</v>
      </c>
      <c r="L17" s="624" t="s">
        <v>4418</v>
      </c>
      <c r="M17" s="624" t="s">
        <v>61</v>
      </c>
      <c r="N17" s="624" t="s">
        <v>39</v>
      </c>
      <c r="O17" s="624" t="s">
        <v>3698</v>
      </c>
      <c r="P17" s="624" t="s">
        <v>3703</v>
      </c>
      <c r="Q17" s="624" t="s">
        <v>4387</v>
      </c>
      <c r="R17" s="624"/>
      <c r="S17" s="624"/>
      <c r="T17" s="624"/>
      <c r="U17" s="624" t="s">
        <v>4495</v>
      </c>
    </row>
    <row r="18" spans="1:21" x14ac:dyDescent="0.2">
      <c r="A18" s="622"/>
      <c r="B18" s="624" t="s">
        <v>21</v>
      </c>
      <c r="C18" s="623">
        <v>45351</v>
      </c>
      <c r="D18" s="624" t="s">
        <v>4499</v>
      </c>
      <c r="E18" s="624" t="s">
        <v>4500</v>
      </c>
      <c r="F18" s="624" t="s">
        <v>4502</v>
      </c>
      <c r="G18" s="625">
        <v>1250.7857235322215</v>
      </c>
      <c r="H18" s="625">
        <f t="shared" si="0"/>
        <v>750997.91893076606</v>
      </c>
      <c r="I18" s="624"/>
      <c r="J18" s="624" t="s">
        <v>748</v>
      </c>
      <c r="K18" s="628">
        <v>1152</v>
      </c>
      <c r="L18" s="624" t="s">
        <v>4418</v>
      </c>
      <c r="M18" s="624" t="s">
        <v>61</v>
      </c>
      <c r="N18" s="624" t="s">
        <v>39</v>
      </c>
      <c r="O18" s="624" t="s">
        <v>3700</v>
      </c>
      <c r="P18" s="624" t="s">
        <v>3703</v>
      </c>
      <c r="Q18" s="624" t="s">
        <v>4387</v>
      </c>
      <c r="R18" s="624"/>
      <c r="S18" s="624"/>
      <c r="T18" s="624"/>
      <c r="U18" s="624" t="s">
        <v>4495</v>
      </c>
    </row>
    <row r="19" spans="1:21" x14ac:dyDescent="0.2">
      <c r="A19" s="622"/>
      <c r="B19" s="624" t="s">
        <v>21</v>
      </c>
      <c r="C19" s="623">
        <v>45351</v>
      </c>
      <c r="D19" s="624" t="s">
        <v>4499</v>
      </c>
      <c r="E19" s="624" t="s">
        <v>4500</v>
      </c>
      <c r="F19" s="624" t="s">
        <v>4503</v>
      </c>
      <c r="G19" s="625">
        <v>829.8724410307143</v>
      </c>
      <c r="H19" s="625">
        <f t="shared" si="0"/>
        <v>751827.79137179675</v>
      </c>
      <c r="I19" s="624"/>
      <c r="J19" s="624" t="s">
        <v>748</v>
      </c>
      <c r="K19" s="628">
        <v>764.33</v>
      </c>
      <c r="L19" s="624" t="s">
        <v>4418</v>
      </c>
      <c r="M19" s="624" t="s">
        <v>61</v>
      </c>
      <c r="N19" s="624" t="s">
        <v>39</v>
      </c>
      <c r="O19" s="624" t="s">
        <v>3701</v>
      </c>
      <c r="P19" s="624" t="s">
        <v>3703</v>
      </c>
      <c r="Q19" s="624" t="s">
        <v>4387</v>
      </c>
      <c r="R19" s="624"/>
      <c r="S19" s="624"/>
      <c r="T19" s="624"/>
      <c r="U19" s="624" t="s">
        <v>4495</v>
      </c>
    </row>
    <row r="20" spans="1:21" x14ac:dyDescent="0.2">
      <c r="A20" s="622"/>
      <c r="B20" s="624" t="s">
        <v>21</v>
      </c>
      <c r="C20" s="623">
        <v>45352</v>
      </c>
      <c r="D20" s="624" t="s">
        <v>4504</v>
      </c>
      <c r="E20" s="624" t="s">
        <v>4500</v>
      </c>
      <c r="F20" s="624" t="s">
        <v>4501</v>
      </c>
      <c r="G20" s="625">
        <v>-12623.93961619623</v>
      </c>
      <c r="H20" s="625">
        <f t="shared" si="0"/>
        <v>739203.85175560054</v>
      </c>
      <c r="I20" s="624"/>
      <c r="J20" s="624" t="s">
        <v>748</v>
      </c>
      <c r="K20" s="628">
        <v>-11630</v>
      </c>
      <c r="L20" s="624" t="s">
        <v>4429</v>
      </c>
      <c r="M20" s="624" t="s">
        <v>61</v>
      </c>
      <c r="N20" s="624" t="s">
        <v>39</v>
      </c>
      <c r="O20" s="624" t="s">
        <v>3698</v>
      </c>
      <c r="P20" s="624" t="s">
        <v>3703</v>
      </c>
      <c r="Q20" s="624" t="s">
        <v>4387</v>
      </c>
      <c r="R20" s="624"/>
      <c r="S20" s="624"/>
      <c r="T20" s="624"/>
      <c r="U20" s="624" t="s">
        <v>4495</v>
      </c>
    </row>
    <row r="21" spans="1:21" x14ac:dyDescent="0.2">
      <c r="A21" s="622"/>
      <c r="B21" s="624" t="s">
        <v>21</v>
      </c>
      <c r="C21" s="623">
        <v>45352</v>
      </c>
      <c r="D21" s="624" t="s">
        <v>4504</v>
      </c>
      <c r="E21" s="624" t="s">
        <v>4500</v>
      </c>
      <c r="F21" s="624" t="s">
        <v>4502</v>
      </c>
      <c r="G21" s="625">
        <v>-1250.4538639602802</v>
      </c>
      <c r="H21" s="625">
        <f t="shared" si="0"/>
        <v>737953.39789164031</v>
      </c>
      <c r="I21" s="624"/>
      <c r="J21" s="624" t="s">
        <v>748</v>
      </c>
      <c r="K21" s="628">
        <v>-1152</v>
      </c>
      <c r="L21" s="624" t="s">
        <v>4429</v>
      </c>
      <c r="M21" s="624" t="s">
        <v>61</v>
      </c>
      <c r="N21" s="624" t="s">
        <v>39</v>
      </c>
      <c r="O21" s="624" t="s">
        <v>3700</v>
      </c>
      <c r="P21" s="624" t="s">
        <v>3703</v>
      </c>
      <c r="Q21" s="624" t="s">
        <v>4387</v>
      </c>
      <c r="R21" s="624"/>
      <c r="S21" s="624"/>
      <c r="T21" s="624"/>
      <c r="U21" s="624" t="s">
        <v>4495</v>
      </c>
    </row>
    <row r="22" spans="1:21" x14ac:dyDescent="0.2">
      <c r="A22" s="622"/>
      <c r="B22" s="624" t="s">
        <v>21</v>
      </c>
      <c r="C22" s="623">
        <v>45352</v>
      </c>
      <c r="D22" s="624" t="s">
        <v>4504</v>
      </c>
      <c r="E22" s="624" t="s">
        <v>4500</v>
      </c>
      <c r="F22" s="624" t="s">
        <v>4503</v>
      </c>
      <c r="G22" s="625">
        <v>-829.6522585423271</v>
      </c>
      <c r="H22" s="625">
        <f t="shared" si="0"/>
        <v>737123.74563309795</v>
      </c>
      <c r="I22" s="624"/>
      <c r="J22" s="624" t="s">
        <v>748</v>
      </c>
      <c r="K22" s="628">
        <v>-764.33</v>
      </c>
      <c r="L22" s="624" t="s">
        <v>4429</v>
      </c>
      <c r="M22" s="624" t="s">
        <v>61</v>
      </c>
      <c r="N22" s="624" t="s">
        <v>39</v>
      </c>
      <c r="O22" s="624" t="s">
        <v>3701</v>
      </c>
      <c r="P22" s="624" t="s">
        <v>3703</v>
      </c>
      <c r="Q22" s="624" t="s">
        <v>4387</v>
      </c>
      <c r="R22" s="624"/>
      <c r="S22" s="624"/>
      <c r="T22" s="624"/>
      <c r="U22" s="624" t="s">
        <v>4495</v>
      </c>
    </row>
    <row r="23" spans="1:21" x14ac:dyDescent="0.2">
      <c r="A23" s="622"/>
      <c r="B23" s="624" t="s">
        <v>21</v>
      </c>
      <c r="C23" s="623">
        <v>45357</v>
      </c>
      <c r="D23" s="624" t="s">
        <v>4505</v>
      </c>
      <c r="E23" s="624" t="s">
        <v>4506</v>
      </c>
      <c r="F23" s="624" t="s">
        <v>4506</v>
      </c>
      <c r="G23" s="625">
        <v>6931.4505579477145</v>
      </c>
      <c r="H23" s="625">
        <f t="shared" si="0"/>
        <v>744055.19619104569</v>
      </c>
      <c r="I23" s="624"/>
      <c r="J23" s="624" t="s">
        <v>37</v>
      </c>
      <c r="K23" s="621">
        <v>6932</v>
      </c>
      <c r="L23" s="624" t="s">
        <v>4429</v>
      </c>
      <c r="M23" s="624" t="s">
        <v>27</v>
      </c>
      <c r="N23" s="624" t="s">
        <v>4357</v>
      </c>
      <c r="O23" s="624" t="s">
        <v>4245</v>
      </c>
      <c r="P23" s="624" t="s">
        <v>3703</v>
      </c>
      <c r="Q23" s="624" t="s">
        <v>4387</v>
      </c>
      <c r="R23" s="624"/>
      <c r="S23" s="624"/>
      <c r="T23" s="624"/>
      <c r="U23" s="624"/>
    </row>
    <row r="24" spans="1:21" x14ac:dyDescent="0.2">
      <c r="A24" s="622"/>
      <c r="B24" s="624" t="s">
        <v>21</v>
      </c>
      <c r="C24" s="623">
        <v>45357</v>
      </c>
      <c r="D24" s="624" t="s">
        <v>4507</v>
      </c>
      <c r="E24" s="624" t="s">
        <v>4508</v>
      </c>
      <c r="F24" s="624" t="s">
        <v>4508</v>
      </c>
      <c r="G24" s="625">
        <v>1808.8566155983001</v>
      </c>
      <c r="H24" s="625">
        <f t="shared" si="0"/>
        <v>745864.052806644</v>
      </c>
      <c r="I24" s="624"/>
      <c r="J24" s="624" t="s">
        <v>37</v>
      </c>
      <c r="K24" s="621">
        <v>1809</v>
      </c>
      <c r="L24" s="624" t="s">
        <v>4429</v>
      </c>
      <c r="M24" s="624" t="s">
        <v>27</v>
      </c>
      <c r="N24" s="624" t="s">
        <v>4357</v>
      </c>
      <c r="O24" s="624" t="s">
        <v>4245</v>
      </c>
      <c r="P24" s="624" t="s">
        <v>3703</v>
      </c>
      <c r="Q24" s="624" t="s">
        <v>4387</v>
      </c>
      <c r="R24" s="624"/>
      <c r="S24" s="624"/>
      <c r="T24" s="624"/>
      <c r="U24" s="624"/>
    </row>
    <row r="25" spans="1:21" x14ac:dyDescent="0.2">
      <c r="A25" s="622"/>
      <c r="B25" s="624" t="s">
        <v>21</v>
      </c>
      <c r="C25" s="623">
        <v>45357</v>
      </c>
      <c r="D25" s="624" t="s">
        <v>4509</v>
      </c>
      <c r="E25" s="624" t="s">
        <v>4510</v>
      </c>
      <c r="F25" s="624" t="s">
        <v>4510</v>
      </c>
      <c r="G25" s="625">
        <v>99.992073830751806</v>
      </c>
      <c r="H25" s="625">
        <f t="shared" si="0"/>
        <v>745964.0448804748</v>
      </c>
      <c r="I25" s="624"/>
      <c r="J25" s="624" t="s">
        <v>37</v>
      </c>
      <c r="K25" s="621">
        <v>100</v>
      </c>
      <c r="L25" s="624" t="s">
        <v>4429</v>
      </c>
      <c r="M25" s="624" t="s">
        <v>27</v>
      </c>
      <c r="N25" s="624" t="s">
        <v>4357</v>
      </c>
      <c r="O25" s="624" t="s">
        <v>4245</v>
      </c>
      <c r="P25" s="624" t="s">
        <v>3703</v>
      </c>
      <c r="Q25" s="624" t="s">
        <v>4387</v>
      </c>
      <c r="R25" s="624"/>
      <c r="S25" s="624"/>
      <c r="T25" s="624"/>
      <c r="U25" s="624"/>
    </row>
    <row r="26" spans="1:21" x14ac:dyDescent="0.2">
      <c r="A26" s="622"/>
      <c r="B26" s="624" t="s">
        <v>21</v>
      </c>
      <c r="C26" s="623">
        <v>45382</v>
      </c>
      <c r="D26" s="624" t="s">
        <v>4511</v>
      </c>
      <c r="E26" s="624" t="s">
        <v>4512</v>
      </c>
      <c r="F26" s="624" t="s">
        <v>4513</v>
      </c>
      <c r="G26" s="625">
        <v>18935.909424294347</v>
      </c>
      <c r="H26" s="625">
        <f t="shared" si="0"/>
        <v>764899.95430476917</v>
      </c>
      <c r="I26" s="624"/>
      <c r="J26" s="624" t="s">
        <v>748</v>
      </c>
      <c r="K26" s="628">
        <v>17445</v>
      </c>
      <c r="L26" s="624" t="s">
        <v>4429</v>
      </c>
      <c r="M26" s="624" t="s">
        <v>61</v>
      </c>
      <c r="N26" s="624" t="s">
        <v>4356</v>
      </c>
      <c r="O26" s="624" t="s">
        <v>3698</v>
      </c>
      <c r="P26" s="624" t="s">
        <v>3703</v>
      </c>
      <c r="Q26" s="624" t="s">
        <v>4387</v>
      </c>
      <c r="R26" s="624"/>
      <c r="S26" s="624"/>
      <c r="T26" s="624"/>
      <c r="U26" s="624" t="s">
        <v>4495</v>
      </c>
    </row>
    <row r="27" spans="1:21" x14ac:dyDescent="0.2">
      <c r="A27" s="622"/>
      <c r="B27" s="624" t="s">
        <v>21</v>
      </c>
      <c r="C27" s="623">
        <v>45382</v>
      </c>
      <c r="D27" s="624" t="s">
        <v>4511</v>
      </c>
      <c r="E27" s="624" t="s">
        <v>4512</v>
      </c>
      <c r="F27" s="624" t="s">
        <v>4514</v>
      </c>
      <c r="G27" s="625">
        <v>1875.68079594042</v>
      </c>
      <c r="H27" s="625">
        <f t="shared" si="0"/>
        <v>766775.63510070962</v>
      </c>
      <c r="I27" s="624"/>
      <c r="J27" s="624" t="s">
        <v>748</v>
      </c>
      <c r="K27" s="628">
        <v>1728</v>
      </c>
      <c r="L27" s="624" t="s">
        <v>4429</v>
      </c>
      <c r="M27" s="624" t="s">
        <v>61</v>
      </c>
      <c r="N27" s="624" t="s">
        <v>4356</v>
      </c>
      <c r="O27" s="624" t="s">
        <v>3700</v>
      </c>
      <c r="P27" s="624" t="s">
        <v>3703</v>
      </c>
      <c r="Q27" s="624" t="s">
        <v>4387</v>
      </c>
      <c r="R27" s="624"/>
      <c r="S27" s="624"/>
      <c r="T27" s="624"/>
      <c r="U27" s="624" t="s">
        <v>4495</v>
      </c>
    </row>
    <row r="28" spans="1:21" x14ac:dyDescent="0.2">
      <c r="A28" s="622"/>
      <c r="B28" s="624" t="s">
        <v>21</v>
      </c>
      <c r="C28" s="623">
        <v>45382</v>
      </c>
      <c r="D28" s="624" t="s">
        <v>4511</v>
      </c>
      <c r="E28" s="624" t="s">
        <v>4512</v>
      </c>
      <c r="F28" s="624" t="s">
        <v>4515</v>
      </c>
      <c r="G28" s="625">
        <v>1244.4838151306085</v>
      </c>
      <c r="H28" s="625">
        <f t="shared" si="0"/>
        <v>768020.11891584028</v>
      </c>
      <c r="I28" s="624"/>
      <c r="J28" s="624" t="s">
        <v>748</v>
      </c>
      <c r="K28" s="628">
        <v>1146.5</v>
      </c>
      <c r="L28" s="624" t="s">
        <v>4429</v>
      </c>
      <c r="M28" s="624" t="s">
        <v>61</v>
      </c>
      <c r="N28" s="624" t="s">
        <v>4356</v>
      </c>
      <c r="O28" s="624" t="s">
        <v>3701</v>
      </c>
      <c r="P28" s="624" t="s">
        <v>3703</v>
      </c>
      <c r="Q28" s="624" t="s">
        <v>4387</v>
      </c>
      <c r="R28" s="624"/>
      <c r="S28" s="624"/>
      <c r="T28" s="624"/>
      <c r="U28" s="624" t="s">
        <v>4495</v>
      </c>
    </row>
    <row r="29" spans="1:21" ht="10.5" x14ac:dyDescent="0.25">
      <c r="A29" s="615" t="s">
        <v>4389</v>
      </c>
      <c r="B29" s="619"/>
      <c r="C29" s="617"/>
      <c r="D29" s="619"/>
      <c r="E29" s="619"/>
      <c r="F29" s="619"/>
      <c r="G29" s="612">
        <f>SUM(G9:G28)</f>
        <v>32107.087043489046</v>
      </c>
      <c r="H29" s="612">
        <f>H28</f>
        <v>768020.11891584028</v>
      </c>
      <c r="I29" s="619"/>
      <c r="J29" s="619"/>
      <c r="K29" s="614"/>
      <c r="L29" s="619"/>
      <c r="M29" s="619"/>
      <c r="N29" s="619"/>
      <c r="O29" s="619"/>
      <c r="P29" s="619"/>
      <c r="Q29" s="619"/>
      <c r="R29" s="619"/>
      <c r="S29" s="619"/>
      <c r="T29" s="619"/>
      <c r="U29" s="619"/>
    </row>
    <row r="30" spans="1:21" ht="10.5" x14ac:dyDescent="0.25">
      <c r="A30" s="629" t="s">
        <v>749</v>
      </c>
      <c r="B30" s="624"/>
      <c r="C30" s="623"/>
      <c r="D30" s="624"/>
      <c r="E30" s="624"/>
      <c r="F30" s="624"/>
      <c r="G30" s="625">
        <v>0</v>
      </c>
      <c r="H30" s="625">
        <v>417025.94252607104</v>
      </c>
      <c r="I30" s="624"/>
      <c r="J30" s="624"/>
      <c r="K30" s="618">
        <v>0</v>
      </c>
      <c r="L30" s="624"/>
      <c r="M30" s="624"/>
      <c r="N30" s="624"/>
      <c r="O30" s="624"/>
      <c r="P30" s="624"/>
      <c r="Q30" s="624"/>
      <c r="R30" s="624"/>
      <c r="S30" s="624"/>
      <c r="T30" s="624"/>
      <c r="U30" s="624"/>
    </row>
    <row r="31" spans="1:21" x14ac:dyDescent="0.2">
      <c r="A31" s="622"/>
      <c r="B31" s="624" t="s">
        <v>1092</v>
      </c>
      <c r="C31" s="623">
        <v>45292</v>
      </c>
      <c r="D31" s="624" t="s">
        <v>4516</v>
      </c>
      <c r="E31" s="624" t="s">
        <v>4517</v>
      </c>
      <c r="F31" s="624" t="s">
        <v>4518</v>
      </c>
      <c r="G31" s="625">
        <v>1529.8347203106507</v>
      </c>
      <c r="H31" s="625">
        <f t="shared" ref="H31:H50" si="1">H30+G31</f>
        <v>418555.77724638168</v>
      </c>
      <c r="I31" s="624" t="s">
        <v>4519</v>
      </c>
      <c r="J31" s="624" t="s">
        <v>748</v>
      </c>
      <c r="K31" s="621">
        <v>1540.72</v>
      </c>
      <c r="L31" s="624" t="s">
        <v>4410</v>
      </c>
      <c r="M31" s="624" t="s">
        <v>27</v>
      </c>
      <c r="N31" s="624"/>
      <c r="O31" s="624" t="s">
        <v>4390</v>
      </c>
      <c r="P31" s="624" t="s">
        <v>3716</v>
      </c>
      <c r="Q31" s="624" t="s">
        <v>4391</v>
      </c>
      <c r="R31" s="624"/>
      <c r="S31" s="624" t="s">
        <v>4520</v>
      </c>
      <c r="T31" s="624"/>
      <c r="U31" s="624"/>
    </row>
    <row r="32" spans="1:21" x14ac:dyDescent="0.2">
      <c r="A32" s="622"/>
      <c r="B32" s="624" t="s">
        <v>1092</v>
      </c>
      <c r="C32" s="623">
        <v>45292</v>
      </c>
      <c r="D32" s="624" t="s">
        <v>4521</v>
      </c>
      <c r="E32" s="624" t="s">
        <v>4522</v>
      </c>
      <c r="F32" s="624" t="s">
        <v>4523</v>
      </c>
      <c r="G32" s="625">
        <v>1420.4373421688063</v>
      </c>
      <c r="H32" s="625">
        <f t="shared" si="1"/>
        <v>419976.2145885505</v>
      </c>
      <c r="I32" s="624" t="s">
        <v>4524</v>
      </c>
      <c r="J32" s="624" t="s">
        <v>748</v>
      </c>
      <c r="K32" s="621">
        <v>1899.91</v>
      </c>
      <c r="L32" s="624" t="s">
        <v>4410</v>
      </c>
      <c r="M32" s="624" t="s">
        <v>212</v>
      </c>
      <c r="N32" s="624"/>
      <c r="O32" s="624" t="s">
        <v>4525</v>
      </c>
      <c r="P32" s="624" t="s">
        <v>3716</v>
      </c>
      <c r="Q32" s="624" t="s">
        <v>4391</v>
      </c>
      <c r="R32" s="624"/>
      <c r="S32" s="624" t="s">
        <v>4520</v>
      </c>
      <c r="T32" s="624"/>
      <c r="U32" s="624"/>
    </row>
    <row r="33" spans="1:21" x14ac:dyDescent="0.2">
      <c r="A33" s="622"/>
      <c r="B33" s="624" t="s">
        <v>21</v>
      </c>
      <c r="C33" s="623">
        <v>45322</v>
      </c>
      <c r="D33" s="624" t="s">
        <v>4492</v>
      </c>
      <c r="E33" s="624" t="s">
        <v>4493</v>
      </c>
      <c r="F33" s="624" t="s">
        <v>4526</v>
      </c>
      <c r="G33" s="625">
        <v>5117.050181708847</v>
      </c>
      <c r="H33" s="625">
        <f t="shared" si="1"/>
        <v>425093.26477025932</v>
      </c>
      <c r="I33" s="624"/>
      <c r="J33" s="624" t="s">
        <v>748</v>
      </c>
      <c r="K33" s="628">
        <v>4677.25</v>
      </c>
      <c r="L33" s="624" t="s">
        <v>4410</v>
      </c>
      <c r="M33" s="624" t="s">
        <v>61</v>
      </c>
      <c r="N33" s="624" t="s">
        <v>39</v>
      </c>
      <c r="O33" s="624" t="s">
        <v>3698</v>
      </c>
      <c r="P33" s="624" t="s">
        <v>3716</v>
      </c>
      <c r="Q33" s="624" t="s">
        <v>4391</v>
      </c>
      <c r="R33" s="624"/>
      <c r="S33" s="624"/>
      <c r="T33" s="624"/>
      <c r="U33" s="624" t="s">
        <v>4527</v>
      </c>
    </row>
    <row r="34" spans="1:21" x14ac:dyDescent="0.2">
      <c r="A34" s="622"/>
      <c r="B34" s="624" t="s">
        <v>21</v>
      </c>
      <c r="C34" s="623">
        <v>45322</v>
      </c>
      <c r="D34" s="624" t="s">
        <v>4492</v>
      </c>
      <c r="E34" s="624" t="s">
        <v>4493</v>
      </c>
      <c r="F34" s="624" t="s">
        <v>4528</v>
      </c>
      <c r="G34" s="625">
        <v>629.97509351294138</v>
      </c>
      <c r="H34" s="625">
        <f t="shared" si="1"/>
        <v>425723.23986377229</v>
      </c>
      <c r="I34" s="624"/>
      <c r="J34" s="624" t="s">
        <v>748</v>
      </c>
      <c r="K34" s="628">
        <v>575.83000000000004</v>
      </c>
      <c r="L34" s="624" t="s">
        <v>4410</v>
      </c>
      <c r="M34" s="624" t="s">
        <v>61</v>
      </c>
      <c r="N34" s="624" t="s">
        <v>39</v>
      </c>
      <c r="O34" s="624" t="s">
        <v>3700</v>
      </c>
      <c r="P34" s="624" t="s">
        <v>3716</v>
      </c>
      <c r="Q34" s="624" t="s">
        <v>4391</v>
      </c>
      <c r="R34" s="624"/>
      <c r="S34" s="624"/>
      <c r="T34" s="624"/>
      <c r="U34" s="624" t="s">
        <v>4529</v>
      </c>
    </row>
    <row r="35" spans="1:21" x14ac:dyDescent="0.2">
      <c r="A35" s="622"/>
      <c r="B35" s="624" t="s">
        <v>21</v>
      </c>
      <c r="C35" s="623">
        <v>45323</v>
      </c>
      <c r="D35" s="624" t="s">
        <v>4498</v>
      </c>
      <c r="E35" s="624" t="s">
        <v>4493</v>
      </c>
      <c r="F35" s="624" t="s">
        <v>4526</v>
      </c>
      <c r="G35" s="625">
        <v>-5078.3311852353145</v>
      </c>
      <c r="H35" s="625">
        <f t="shared" si="1"/>
        <v>420644.908678537</v>
      </c>
      <c r="I35" s="624"/>
      <c r="J35" s="624" t="s">
        <v>748</v>
      </c>
      <c r="K35" s="628">
        <v>-4677.25</v>
      </c>
      <c r="L35" s="624" t="s">
        <v>4418</v>
      </c>
      <c r="M35" s="624" t="s">
        <v>61</v>
      </c>
      <c r="N35" s="624" t="s">
        <v>39</v>
      </c>
      <c r="O35" s="624" t="s">
        <v>3698</v>
      </c>
      <c r="P35" s="624" t="s">
        <v>3716</v>
      </c>
      <c r="Q35" s="624" t="s">
        <v>4391</v>
      </c>
      <c r="R35" s="624"/>
      <c r="S35" s="624"/>
      <c r="T35" s="624"/>
      <c r="U35" s="624" t="s">
        <v>4527</v>
      </c>
    </row>
    <row r="36" spans="1:21" x14ac:dyDescent="0.2">
      <c r="A36" s="622"/>
      <c r="B36" s="624" t="s">
        <v>21</v>
      </c>
      <c r="C36" s="623">
        <v>45323</v>
      </c>
      <c r="D36" s="624" t="s">
        <v>4498</v>
      </c>
      <c r="E36" s="624" t="s">
        <v>4493</v>
      </c>
      <c r="F36" s="624" t="s">
        <v>4528</v>
      </c>
      <c r="G36" s="625">
        <v>-625.20828401177005</v>
      </c>
      <c r="H36" s="625">
        <f t="shared" si="1"/>
        <v>420019.70039452525</v>
      </c>
      <c r="I36" s="624"/>
      <c r="J36" s="624" t="s">
        <v>748</v>
      </c>
      <c r="K36" s="628">
        <v>-575.83000000000004</v>
      </c>
      <c r="L36" s="624" t="s">
        <v>4418</v>
      </c>
      <c r="M36" s="624" t="s">
        <v>61</v>
      </c>
      <c r="N36" s="624" t="s">
        <v>39</v>
      </c>
      <c r="O36" s="624" t="s">
        <v>3700</v>
      </c>
      <c r="P36" s="624" t="s">
        <v>3716</v>
      </c>
      <c r="Q36" s="624" t="s">
        <v>4391</v>
      </c>
      <c r="R36" s="624"/>
      <c r="S36" s="624"/>
      <c r="T36" s="624"/>
      <c r="U36" s="624" t="s">
        <v>4529</v>
      </c>
    </row>
    <row r="37" spans="1:21" x14ac:dyDescent="0.2">
      <c r="A37" s="622"/>
      <c r="B37" s="624" t="s">
        <v>21</v>
      </c>
      <c r="C37" s="623">
        <v>45351</v>
      </c>
      <c r="D37" s="624" t="s">
        <v>4530</v>
      </c>
      <c r="E37" s="624" t="s">
        <v>4531</v>
      </c>
      <c r="F37" s="624" t="s">
        <v>4532</v>
      </c>
      <c r="G37" s="625">
        <v>1412.928452962685</v>
      </c>
      <c r="H37" s="625">
        <f t="shared" si="1"/>
        <v>421432.62884748791</v>
      </c>
      <c r="I37" s="624"/>
      <c r="J37" s="624" t="s">
        <v>748</v>
      </c>
      <c r="K37" s="621">
        <v>1899.91</v>
      </c>
      <c r="L37" s="624" t="s">
        <v>4418</v>
      </c>
      <c r="M37" s="624" t="s">
        <v>212</v>
      </c>
      <c r="N37" s="624" t="s">
        <v>4357</v>
      </c>
      <c r="O37" s="624" t="s">
        <v>4525</v>
      </c>
      <c r="P37" s="624" t="s">
        <v>3716</v>
      </c>
      <c r="Q37" s="624" t="s">
        <v>4391</v>
      </c>
      <c r="R37" s="624" t="s">
        <v>4533</v>
      </c>
      <c r="S37" s="624"/>
      <c r="T37" s="624" t="s">
        <v>4520</v>
      </c>
      <c r="U37" s="624" t="s">
        <v>4524</v>
      </c>
    </row>
    <row r="38" spans="1:21" x14ac:dyDescent="0.2">
      <c r="A38" s="622"/>
      <c r="B38" s="624" t="s">
        <v>21</v>
      </c>
      <c r="C38" s="623">
        <v>45351</v>
      </c>
      <c r="D38" s="624" t="s">
        <v>4534</v>
      </c>
      <c r="E38" s="624" t="s">
        <v>4531</v>
      </c>
      <c r="F38" s="624" t="s">
        <v>4535</v>
      </c>
      <c r="G38" s="625">
        <v>1771.9647286146621</v>
      </c>
      <c r="H38" s="625">
        <f t="shared" si="1"/>
        <v>423204.59357610258</v>
      </c>
      <c r="I38" s="624"/>
      <c r="J38" s="624" t="s">
        <v>748</v>
      </c>
      <c r="K38" s="621">
        <v>1769.98</v>
      </c>
      <c r="L38" s="624" t="s">
        <v>4418</v>
      </c>
      <c r="M38" s="624" t="s">
        <v>27</v>
      </c>
      <c r="N38" s="624" t="s">
        <v>4357</v>
      </c>
      <c r="O38" s="624" t="s">
        <v>4390</v>
      </c>
      <c r="P38" s="624" t="s">
        <v>3716</v>
      </c>
      <c r="Q38" s="624" t="s">
        <v>4391</v>
      </c>
      <c r="R38" s="624" t="s">
        <v>4536</v>
      </c>
      <c r="S38" s="624"/>
      <c r="T38" s="624" t="s">
        <v>4520</v>
      </c>
      <c r="U38" s="624" t="s">
        <v>4519</v>
      </c>
    </row>
    <row r="39" spans="1:21" x14ac:dyDescent="0.2">
      <c r="A39" s="622"/>
      <c r="B39" s="624" t="s">
        <v>21</v>
      </c>
      <c r="C39" s="623">
        <v>45351</v>
      </c>
      <c r="D39" s="624" t="s">
        <v>4499</v>
      </c>
      <c r="E39" s="624" t="s">
        <v>4500</v>
      </c>
      <c r="F39" s="624" t="s">
        <v>4537</v>
      </c>
      <c r="G39" s="625">
        <v>10156.662370470629</v>
      </c>
      <c r="H39" s="625">
        <f t="shared" si="1"/>
        <v>433361.25594657322</v>
      </c>
      <c r="I39" s="624"/>
      <c r="J39" s="624" t="s">
        <v>748</v>
      </c>
      <c r="K39" s="628">
        <v>9354.5</v>
      </c>
      <c r="L39" s="624" t="s">
        <v>4418</v>
      </c>
      <c r="M39" s="624" t="s">
        <v>61</v>
      </c>
      <c r="N39" s="624" t="s">
        <v>39</v>
      </c>
      <c r="O39" s="624" t="s">
        <v>3698</v>
      </c>
      <c r="P39" s="624" t="s">
        <v>3716</v>
      </c>
      <c r="Q39" s="624" t="s">
        <v>4391</v>
      </c>
      <c r="R39" s="624"/>
      <c r="S39" s="624"/>
      <c r="T39" s="624"/>
      <c r="U39" s="624" t="s">
        <v>4527</v>
      </c>
    </row>
    <row r="40" spans="1:21" x14ac:dyDescent="0.2">
      <c r="A40" s="622"/>
      <c r="B40" s="624" t="s">
        <v>21</v>
      </c>
      <c r="C40" s="623">
        <v>45351</v>
      </c>
      <c r="D40" s="624" t="s">
        <v>4499</v>
      </c>
      <c r="E40" s="624" t="s">
        <v>4500</v>
      </c>
      <c r="F40" s="624" t="s">
        <v>4538</v>
      </c>
      <c r="G40" s="625">
        <v>1250.4274255385012</v>
      </c>
      <c r="H40" s="625">
        <f t="shared" si="1"/>
        <v>434611.6833721117</v>
      </c>
      <c r="I40" s="624"/>
      <c r="J40" s="624" t="s">
        <v>748</v>
      </c>
      <c r="K40" s="628">
        <v>1151.67</v>
      </c>
      <c r="L40" s="624" t="s">
        <v>4418</v>
      </c>
      <c r="M40" s="624" t="s">
        <v>61</v>
      </c>
      <c r="N40" s="624" t="s">
        <v>39</v>
      </c>
      <c r="O40" s="624" t="s">
        <v>3700</v>
      </c>
      <c r="P40" s="624" t="s">
        <v>3716</v>
      </c>
      <c r="Q40" s="624" t="s">
        <v>4391</v>
      </c>
      <c r="R40" s="624"/>
      <c r="S40" s="624"/>
      <c r="T40" s="624"/>
      <c r="U40" s="624" t="s">
        <v>4529</v>
      </c>
    </row>
    <row r="41" spans="1:21" x14ac:dyDescent="0.2">
      <c r="A41" s="622"/>
      <c r="B41" s="624" t="s">
        <v>21</v>
      </c>
      <c r="C41" s="623">
        <v>45352</v>
      </c>
      <c r="D41" s="624" t="s">
        <v>4504</v>
      </c>
      <c r="E41" s="624" t="s">
        <v>4500</v>
      </c>
      <c r="F41" s="624" t="s">
        <v>4537</v>
      </c>
      <c r="G41" s="625">
        <v>-10153.967595847604</v>
      </c>
      <c r="H41" s="625">
        <f t="shared" si="1"/>
        <v>424457.71577626409</v>
      </c>
      <c r="I41" s="624"/>
      <c r="J41" s="624" t="s">
        <v>748</v>
      </c>
      <c r="K41" s="628">
        <v>-9354.5</v>
      </c>
      <c r="L41" s="624" t="s">
        <v>4429</v>
      </c>
      <c r="M41" s="624" t="s">
        <v>61</v>
      </c>
      <c r="N41" s="624" t="s">
        <v>39</v>
      </c>
      <c r="O41" s="624" t="s">
        <v>3698</v>
      </c>
      <c r="P41" s="624" t="s">
        <v>3716</v>
      </c>
      <c r="Q41" s="624" t="s">
        <v>4391</v>
      </c>
      <c r="R41" s="624"/>
      <c r="S41" s="624"/>
      <c r="T41" s="624"/>
      <c r="U41" s="624" t="s">
        <v>4527</v>
      </c>
    </row>
    <row r="42" spans="1:21" x14ac:dyDescent="0.2">
      <c r="A42" s="622"/>
      <c r="B42" s="624" t="s">
        <v>21</v>
      </c>
      <c r="C42" s="623">
        <v>45352</v>
      </c>
      <c r="D42" s="624" t="s">
        <v>4504</v>
      </c>
      <c r="E42" s="624" t="s">
        <v>4500</v>
      </c>
      <c r="F42" s="624" t="s">
        <v>4538</v>
      </c>
      <c r="G42" s="625">
        <v>-1250.0956610304997</v>
      </c>
      <c r="H42" s="625">
        <f t="shared" si="1"/>
        <v>423207.62011523359</v>
      </c>
      <c r="I42" s="624"/>
      <c r="J42" s="624" t="s">
        <v>748</v>
      </c>
      <c r="K42" s="628">
        <v>-1151.67</v>
      </c>
      <c r="L42" s="624" t="s">
        <v>4429</v>
      </c>
      <c r="M42" s="624" t="s">
        <v>61</v>
      </c>
      <c r="N42" s="624" t="s">
        <v>39</v>
      </c>
      <c r="O42" s="624" t="s">
        <v>3700</v>
      </c>
      <c r="P42" s="624" t="s">
        <v>3716</v>
      </c>
      <c r="Q42" s="624" t="s">
        <v>4391</v>
      </c>
      <c r="R42" s="624"/>
      <c r="S42" s="624"/>
      <c r="T42" s="624"/>
      <c r="U42" s="624" t="s">
        <v>4529</v>
      </c>
    </row>
    <row r="43" spans="1:21" x14ac:dyDescent="0.2">
      <c r="A43" s="622"/>
      <c r="B43" s="624" t="s">
        <v>21</v>
      </c>
      <c r="C43" s="623">
        <v>45382</v>
      </c>
      <c r="D43" s="624" t="s">
        <v>4539</v>
      </c>
      <c r="E43" s="624" t="s">
        <v>4540</v>
      </c>
      <c r="F43" s="624" t="s">
        <v>4541</v>
      </c>
      <c r="G43" s="625">
        <v>4806.1281098387253</v>
      </c>
      <c r="H43" s="625">
        <f t="shared" si="1"/>
        <v>428013.74822507228</v>
      </c>
      <c r="I43" s="624"/>
      <c r="J43" s="624" t="s">
        <v>748</v>
      </c>
      <c r="K43" s="628">
        <v>4427.72</v>
      </c>
      <c r="L43" s="624" t="s">
        <v>4429</v>
      </c>
      <c r="M43" s="624" t="s">
        <v>61</v>
      </c>
      <c r="N43" s="624" t="s">
        <v>4356</v>
      </c>
      <c r="O43" s="624" t="s">
        <v>3698</v>
      </c>
      <c r="P43" s="624" t="s">
        <v>3716</v>
      </c>
      <c r="Q43" s="624" t="s">
        <v>4391</v>
      </c>
      <c r="R43" s="624" t="s">
        <v>4542</v>
      </c>
      <c r="S43" s="624"/>
      <c r="T43" s="624" t="s">
        <v>4520</v>
      </c>
      <c r="U43" s="624" t="s">
        <v>4527</v>
      </c>
    </row>
    <row r="44" spans="1:21" x14ac:dyDescent="0.2">
      <c r="A44" s="622"/>
      <c r="B44" s="624" t="s">
        <v>21</v>
      </c>
      <c r="C44" s="623">
        <v>45382</v>
      </c>
      <c r="D44" s="624" t="s">
        <v>4539</v>
      </c>
      <c r="E44" s="624" t="s">
        <v>4540</v>
      </c>
      <c r="F44" s="624" t="s">
        <v>4541</v>
      </c>
      <c r="G44" s="625">
        <v>4806.1281098387253</v>
      </c>
      <c r="H44" s="625">
        <f t="shared" si="1"/>
        <v>432819.87633491098</v>
      </c>
      <c r="I44" s="624"/>
      <c r="J44" s="624" t="s">
        <v>748</v>
      </c>
      <c r="K44" s="628">
        <v>4427.72</v>
      </c>
      <c r="L44" s="624" t="s">
        <v>4429</v>
      </c>
      <c r="M44" s="624" t="s">
        <v>61</v>
      </c>
      <c r="N44" s="624" t="s">
        <v>4356</v>
      </c>
      <c r="O44" s="624" t="s">
        <v>3698</v>
      </c>
      <c r="P44" s="624" t="s">
        <v>3716</v>
      </c>
      <c r="Q44" s="624" t="s">
        <v>4391</v>
      </c>
      <c r="R44" s="624" t="s">
        <v>4542</v>
      </c>
      <c r="S44" s="624"/>
      <c r="T44" s="624" t="s">
        <v>4520</v>
      </c>
      <c r="U44" s="624" t="s">
        <v>4527</v>
      </c>
    </row>
    <row r="45" spans="1:21" x14ac:dyDescent="0.2">
      <c r="A45" s="622"/>
      <c r="B45" s="624" t="s">
        <v>21</v>
      </c>
      <c r="C45" s="623">
        <v>45382</v>
      </c>
      <c r="D45" s="624" t="s">
        <v>4539</v>
      </c>
      <c r="E45" s="624" t="s">
        <v>4540</v>
      </c>
      <c r="F45" s="624" t="s">
        <v>4541</v>
      </c>
      <c r="G45" s="625">
        <v>4806.1281098387253</v>
      </c>
      <c r="H45" s="625">
        <f t="shared" si="1"/>
        <v>437626.00444474968</v>
      </c>
      <c r="I45" s="624"/>
      <c r="J45" s="624" t="s">
        <v>748</v>
      </c>
      <c r="K45" s="628">
        <v>4427.72</v>
      </c>
      <c r="L45" s="624" t="s">
        <v>4429</v>
      </c>
      <c r="M45" s="624" t="s">
        <v>61</v>
      </c>
      <c r="N45" s="624" t="s">
        <v>4356</v>
      </c>
      <c r="O45" s="624" t="s">
        <v>3698</v>
      </c>
      <c r="P45" s="624" t="s">
        <v>3716</v>
      </c>
      <c r="Q45" s="624" t="s">
        <v>4391</v>
      </c>
      <c r="R45" s="624" t="s">
        <v>4542</v>
      </c>
      <c r="S45" s="624"/>
      <c r="T45" s="624" t="s">
        <v>4520</v>
      </c>
      <c r="U45" s="624" t="s">
        <v>4527</v>
      </c>
    </row>
    <row r="46" spans="1:21" x14ac:dyDescent="0.2">
      <c r="A46" s="622"/>
      <c r="B46" s="624" t="s">
        <v>21</v>
      </c>
      <c r="C46" s="623">
        <v>45382</v>
      </c>
      <c r="D46" s="624" t="s">
        <v>4539</v>
      </c>
      <c r="E46" s="624" t="s">
        <v>4540</v>
      </c>
      <c r="F46" s="624" t="s">
        <v>4543</v>
      </c>
      <c r="G46" s="625">
        <v>640.70564040034276</v>
      </c>
      <c r="H46" s="625">
        <f t="shared" si="1"/>
        <v>438266.71008515003</v>
      </c>
      <c r="I46" s="624"/>
      <c r="J46" s="624" t="s">
        <v>748</v>
      </c>
      <c r="K46" s="628">
        <v>590.26</v>
      </c>
      <c r="L46" s="624" t="s">
        <v>4429</v>
      </c>
      <c r="M46" s="624" t="s">
        <v>61</v>
      </c>
      <c r="N46" s="624" t="s">
        <v>4356</v>
      </c>
      <c r="O46" s="624" t="s">
        <v>3700</v>
      </c>
      <c r="P46" s="624" t="s">
        <v>3716</v>
      </c>
      <c r="Q46" s="624" t="s">
        <v>4391</v>
      </c>
      <c r="R46" s="624" t="s">
        <v>4544</v>
      </c>
      <c r="S46" s="624"/>
      <c r="T46" s="624" t="s">
        <v>4520</v>
      </c>
      <c r="U46" s="624" t="s">
        <v>4529</v>
      </c>
    </row>
    <row r="47" spans="1:21" x14ac:dyDescent="0.2">
      <c r="A47" s="622"/>
      <c r="B47" s="624" t="s">
        <v>21</v>
      </c>
      <c r="C47" s="623">
        <v>45382</v>
      </c>
      <c r="D47" s="624" t="s">
        <v>4539</v>
      </c>
      <c r="E47" s="624" t="s">
        <v>4540</v>
      </c>
      <c r="F47" s="624" t="s">
        <v>4543</v>
      </c>
      <c r="G47" s="625">
        <v>640.70564040034276</v>
      </c>
      <c r="H47" s="625">
        <f t="shared" si="1"/>
        <v>438907.41572555038</v>
      </c>
      <c r="I47" s="624"/>
      <c r="J47" s="624" t="s">
        <v>748</v>
      </c>
      <c r="K47" s="628">
        <v>590.26</v>
      </c>
      <c r="L47" s="624" t="s">
        <v>4429</v>
      </c>
      <c r="M47" s="624" t="s">
        <v>61</v>
      </c>
      <c r="N47" s="624" t="s">
        <v>4356</v>
      </c>
      <c r="O47" s="624" t="s">
        <v>3700</v>
      </c>
      <c r="P47" s="624" t="s">
        <v>3716</v>
      </c>
      <c r="Q47" s="624" t="s">
        <v>4391</v>
      </c>
      <c r="R47" s="624" t="s">
        <v>4544</v>
      </c>
      <c r="S47" s="624"/>
      <c r="T47" s="624" t="s">
        <v>4520</v>
      </c>
      <c r="U47" s="624" t="s">
        <v>4529</v>
      </c>
    </row>
    <row r="48" spans="1:21" x14ac:dyDescent="0.2">
      <c r="A48" s="622"/>
      <c r="B48" s="624" t="s">
        <v>21</v>
      </c>
      <c r="C48" s="623">
        <v>45382</v>
      </c>
      <c r="D48" s="624" t="s">
        <v>4539</v>
      </c>
      <c r="E48" s="624" t="s">
        <v>4540</v>
      </c>
      <c r="F48" s="624" t="s">
        <v>4543</v>
      </c>
      <c r="G48" s="625">
        <v>640.70564040034276</v>
      </c>
      <c r="H48" s="625">
        <f t="shared" si="1"/>
        <v>439548.12136595073</v>
      </c>
      <c r="I48" s="624"/>
      <c r="J48" s="624" t="s">
        <v>748</v>
      </c>
      <c r="K48" s="628">
        <v>590.26</v>
      </c>
      <c r="L48" s="624" t="s">
        <v>4429</v>
      </c>
      <c r="M48" s="624" t="s">
        <v>61</v>
      </c>
      <c r="N48" s="624" t="s">
        <v>4356</v>
      </c>
      <c r="O48" s="624" t="s">
        <v>3700</v>
      </c>
      <c r="P48" s="624" t="s">
        <v>3716</v>
      </c>
      <c r="Q48" s="624" t="s">
        <v>4391</v>
      </c>
      <c r="R48" s="624" t="s">
        <v>4544</v>
      </c>
      <c r="S48" s="624"/>
      <c r="T48" s="624" t="s">
        <v>4520</v>
      </c>
      <c r="U48" s="624" t="s">
        <v>4529</v>
      </c>
    </row>
    <row r="49" spans="1:21" x14ac:dyDescent="0.2">
      <c r="A49" s="622"/>
      <c r="B49" s="624" t="s">
        <v>21</v>
      </c>
      <c r="C49" s="623">
        <v>45382</v>
      </c>
      <c r="D49" s="624" t="s">
        <v>4545</v>
      </c>
      <c r="E49" s="624" t="s">
        <v>4540</v>
      </c>
      <c r="F49" s="624" t="s">
        <v>4546</v>
      </c>
      <c r="G49" s="625">
        <v>1400.18783810183</v>
      </c>
      <c r="H49" s="625">
        <f t="shared" si="1"/>
        <v>440948.30920405255</v>
      </c>
      <c r="I49" s="624"/>
      <c r="J49" s="624" t="s">
        <v>748</v>
      </c>
      <c r="K49" s="621">
        <v>1899.91</v>
      </c>
      <c r="L49" s="624" t="s">
        <v>4429</v>
      </c>
      <c r="M49" s="624" t="s">
        <v>212</v>
      </c>
      <c r="N49" s="624" t="s">
        <v>4357</v>
      </c>
      <c r="O49" s="624" t="s">
        <v>4525</v>
      </c>
      <c r="P49" s="624" t="s">
        <v>3716</v>
      </c>
      <c r="Q49" s="624" t="s">
        <v>4391</v>
      </c>
      <c r="R49" s="624" t="s">
        <v>4547</v>
      </c>
      <c r="S49" s="624"/>
      <c r="T49" s="624" t="s">
        <v>4520</v>
      </c>
      <c r="U49" s="624" t="s">
        <v>4524</v>
      </c>
    </row>
    <row r="50" spans="1:21" x14ac:dyDescent="0.2">
      <c r="A50" s="622"/>
      <c r="B50" s="624" t="s">
        <v>21</v>
      </c>
      <c r="C50" s="623">
        <v>45382</v>
      </c>
      <c r="D50" s="624" t="s">
        <v>4548</v>
      </c>
      <c r="E50" s="624" t="s">
        <v>4540</v>
      </c>
      <c r="F50" s="624" t="s">
        <v>4549</v>
      </c>
      <c r="G50" s="625">
        <v>1769.8397083895406</v>
      </c>
      <c r="H50" s="625">
        <f t="shared" si="1"/>
        <v>442718.14891244209</v>
      </c>
      <c r="I50" s="624"/>
      <c r="J50" s="624" t="s">
        <v>748</v>
      </c>
      <c r="K50" s="621">
        <v>1769.98</v>
      </c>
      <c r="L50" s="624" t="s">
        <v>4429</v>
      </c>
      <c r="M50" s="624" t="s">
        <v>27</v>
      </c>
      <c r="N50" s="624" t="s">
        <v>4357</v>
      </c>
      <c r="O50" s="624" t="s">
        <v>4390</v>
      </c>
      <c r="P50" s="624" t="s">
        <v>3716</v>
      </c>
      <c r="Q50" s="624" t="s">
        <v>4391</v>
      </c>
      <c r="R50" s="624" t="s">
        <v>4550</v>
      </c>
      <c r="S50" s="624"/>
      <c r="T50" s="624" t="s">
        <v>4520</v>
      </c>
      <c r="U50" s="624" t="s">
        <v>4519</v>
      </c>
    </row>
    <row r="51" spans="1:21" ht="10.5" x14ac:dyDescent="0.25">
      <c r="A51" s="615" t="s">
        <v>4392</v>
      </c>
      <c r="B51" s="619"/>
      <c r="C51" s="617"/>
      <c r="D51" s="619"/>
      <c r="E51" s="619"/>
      <c r="F51" s="619"/>
      <c r="G51" s="612">
        <f>SUM(G30:G50)</f>
        <v>25692.206386371108</v>
      </c>
      <c r="H51" s="612">
        <f>H50</f>
        <v>442718.14891244209</v>
      </c>
      <c r="I51" s="619"/>
      <c r="J51" s="619"/>
      <c r="K51" s="614"/>
      <c r="L51" s="619"/>
      <c r="M51" s="619"/>
      <c r="N51" s="619"/>
      <c r="O51" s="619"/>
      <c r="P51" s="619"/>
      <c r="Q51" s="619"/>
      <c r="R51" s="619"/>
      <c r="S51" s="619"/>
      <c r="T51" s="619"/>
      <c r="U51" s="619"/>
    </row>
    <row r="52" spans="1:21" ht="10.5" x14ac:dyDescent="0.2">
      <c r="A52" s="619" t="s">
        <v>621</v>
      </c>
      <c r="B52" s="619"/>
      <c r="C52" s="617"/>
      <c r="D52" s="619"/>
      <c r="E52" s="619"/>
      <c r="F52" s="619"/>
      <c r="G52" s="612">
        <f>SUM(G8,G29,G51)</f>
        <v>57799.293429860154</v>
      </c>
      <c r="H52" s="612">
        <f>H8+H29+H51</f>
        <v>1210738.2678282824</v>
      </c>
      <c r="I52" s="619"/>
      <c r="J52" s="619"/>
      <c r="K52" s="614"/>
      <c r="L52" s="619"/>
      <c r="M52" s="619"/>
      <c r="N52" s="619"/>
      <c r="O52" s="619"/>
      <c r="P52" s="619"/>
      <c r="Q52" s="619"/>
      <c r="R52" s="619"/>
      <c r="S52" s="619"/>
      <c r="T52" s="619"/>
      <c r="U52" s="619"/>
    </row>
    <row r="53" spans="1:21" ht="10.5" x14ac:dyDescent="0.2">
      <c r="A53" s="619" t="s">
        <v>218</v>
      </c>
      <c r="B53" s="619"/>
      <c r="C53" s="617"/>
      <c r="D53" s="619"/>
      <c r="E53" s="619"/>
      <c r="F53" s="619"/>
      <c r="G53" s="612">
        <f>SUM(G52)</f>
        <v>57799.293429860154</v>
      </c>
      <c r="H53" s="612">
        <f>0+H52</f>
        <v>1210738.2678282824</v>
      </c>
      <c r="I53" s="619"/>
      <c r="J53" s="619"/>
      <c r="K53" s="614"/>
      <c r="L53" s="619"/>
      <c r="M53" s="619"/>
      <c r="N53" s="619"/>
      <c r="O53" s="619"/>
      <c r="P53" s="619"/>
      <c r="Q53" s="619"/>
      <c r="R53" s="619"/>
      <c r="S53" s="619"/>
      <c r="T53" s="619"/>
      <c r="U53" s="619"/>
    </row>
  </sheetData>
  <mergeCells count="6">
    <mergeCell ref="A6:U6"/>
    <mergeCell ref="A1:U1"/>
    <mergeCell ref="A2:U2"/>
    <mergeCell ref="A3:U3"/>
    <mergeCell ref="A4:U4"/>
    <mergeCell ref="A5:U5"/>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00F7A-BE98-4026-B1BD-0A07F37DDBE3}">
  <sheetPr codeName="Sheet38"/>
  <dimension ref="A1:O28"/>
  <sheetViews>
    <sheetView zoomScale="140" zoomScaleNormal="140" workbookViewId="0">
      <selection activeCell="G24" sqref="G24"/>
    </sheetView>
  </sheetViews>
  <sheetFormatPr defaultRowHeight="10" x14ac:dyDescent="0.2"/>
  <cols>
    <col min="3" max="5" width="12.33203125" customWidth="1"/>
    <col min="6" max="8" width="13.6640625" bestFit="1" customWidth="1"/>
    <col min="9" max="9" width="13.6640625" customWidth="1"/>
    <col min="10" max="10" width="15.44140625" bestFit="1" customWidth="1"/>
    <col min="11" max="11" width="15.88671875" customWidth="1"/>
    <col min="12" max="12" width="12.44140625" customWidth="1"/>
    <col min="13" max="13" width="13.44140625" customWidth="1"/>
  </cols>
  <sheetData>
    <row r="1" spans="1:14" ht="10.5" x14ac:dyDescent="0.25">
      <c r="C1" s="594">
        <v>2017</v>
      </c>
      <c r="D1" s="594">
        <v>2018</v>
      </c>
      <c r="E1" s="594">
        <v>2019</v>
      </c>
      <c r="F1" s="594">
        <v>2020</v>
      </c>
      <c r="G1" s="594">
        <v>2021</v>
      </c>
      <c r="H1" s="594">
        <v>2022</v>
      </c>
      <c r="I1" s="595">
        <v>2023</v>
      </c>
      <c r="J1" s="596" t="s">
        <v>218</v>
      </c>
    </row>
    <row r="2" spans="1:14" x14ac:dyDescent="0.2">
      <c r="A2" t="s">
        <v>4301</v>
      </c>
      <c r="C2" s="592">
        <v>731232.76731352473</v>
      </c>
      <c r="D2" s="592">
        <v>930039.84021324152</v>
      </c>
      <c r="E2" s="592">
        <v>999515.79336559505</v>
      </c>
      <c r="F2" s="592">
        <v>839914.45971470489</v>
      </c>
      <c r="G2" s="592">
        <v>477130.41713288054</v>
      </c>
      <c r="H2" s="592">
        <v>365298.39900000003</v>
      </c>
      <c r="I2" s="597">
        <f>M8</f>
        <v>554830.24</v>
      </c>
      <c r="J2" s="591">
        <f>SUM(C2:I2)</f>
        <v>4897961.9167399472</v>
      </c>
    </row>
    <row r="3" spans="1:14" x14ac:dyDescent="0.2">
      <c r="C3" s="593"/>
      <c r="D3" s="593"/>
      <c r="E3" s="593"/>
      <c r="F3" s="593"/>
      <c r="G3" s="593"/>
      <c r="H3" s="593"/>
      <c r="I3" s="149"/>
      <c r="J3" s="149"/>
      <c r="M3">
        <v>2023</v>
      </c>
    </row>
    <row r="4" spans="1:14" x14ac:dyDescent="0.2">
      <c r="A4" t="s">
        <v>4302</v>
      </c>
      <c r="C4" s="590">
        <v>608990.98007268726</v>
      </c>
      <c r="D4" s="590">
        <v>559883.73403500847</v>
      </c>
      <c r="E4" s="590">
        <v>646765.52247242723</v>
      </c>
      <c r="F4" s="590">
        <v>510444.43861423462</v>
      </c>
      <c r="G4" s="590">
        <v>201283.1686884427</v>
      </c>
      <c r="H4" s="590">
        <v>0</v>
      </c>
      <c r="I4" s="604">
        <v>0</v>
      </c>
      <c r="J4" s="604">
        <f>SUM(C4:I4)</f>
        <v>2527367.8438828001</v>
      </c>
      <c r="L4" t="s">
        <v>3908</v>
      </c>
      <c r="M4" s="585"/>
    </row>
    <row r="5" spans="1:14" s="512" customFormat="1" x14ac:dyDescent="0.2">
      <c r="A5" s="512" t="s">
        <v>4303</v>
      </c>
      <c r="C5" s="590">
        <v>122241.78724083745</v>
      </c>
      <c r="D5" s="590">
        <v>370156.10617823311</v>
      </c>
      <c r="E5" s="590">
        <v>352750.27089316782</v>
      </c>
      <c r="F5" s="590">
        <v>329470.02110047027</v>
      </c>
      <c r="G5" s="590">
        <v>275847.24844443781</v>
      </c>
      <c r="H5" s="590">
        <v>365298.39900000003</v>
      </c>
      <c r="I5" s="602">
        <f>M8</f>
        <v>554830.24</v>
      </c>
      <c r="J5" s="602">
        <f>SUM(C5:I5)</f>
        <v>2370594.0728571462</v>
      </c>
      <c r="L5" s="512" t="s">
        <v>3909</v>
      </c>
      <c r="M5" s="588">
        <v>315858</v>
      </c>
    </row>
    <row r="6" spans="1:14" x14ac:dyDescent="0.2">
      <c r="A6" t="s">
        <v>4304</v>
      </c>
      <c r="C6" s="590">
        <f t="shared" ref="C6:I6" si="0">SUM(C4:C5)</f>
        <v>731232.76731352473</v>
      </c>
      <c r="D6" s="590">
        <f t="shared" si="0"/>
        <v>930039.84021324152</v>
      </c>
      <c r="E6" s="590">
        <f t="shared" si="0"/>
        <v>999515.79336559505</v>
      </c>
      <c r="F6" s="590">
        <f t="shared" si="0"/>
        <v>839914.45971470489</v>
      </c>
      <c r="G6" s="590">
        <f t="shared" si="0"/>
        <v>477130.41713288054</v>
      </c>
      <c r="H6" s="590">
        <f t="shared" si="0"/>
        <v>365298.39900000003</v>
      </c>
      <c r="I6" s="604">
        <f t="shared" si="0"/>
        <v>554830.24</v>
      </c>
      <c r="J6" s="604">
        <f>SUM(J4:J5)</f>
        <v>4897961.9167399462</v>
      </c>
      <c r="K6" s="239"/>
      <c r="L6" t="s">
        <v>3910</v>
      </c>
      <c r="M6" s="585">
        <v>238972.24</v>
      </c>
    </row>
    <row r="7" spans="1:14" x14ac:dyDescent="0.2">
      <c r="C7" s="593"/>
      <c r="D7" s="593"/>
      <c r="E7" s="593"/>
      <c r="F7" s="593"/>
      <c r="G7" s="593"/>
      <c r="H7" s="593"/>
      <c r="I7" s="149"/>
      <c r="J7" s="149"/>
      <c r="L7" t="s">
        <v>3952</v>
      </c>
      <c r="M7" s="607">
        <f>GL_BS!K66</f>
        <v>0</v>
      </c>
      <c r="N7" s="14" t="s">
        <v>4393</v>
      </c>
    </row>
    <row r="8" spans="1:14" x14ac:dyDescent="0.2">
      <c r="A8" t="s">
        <v>4305</v>
      </c>
      <c r="C8" s="593"/>
      <c r="D8" s="593"/>
      <c r="E8" s="593"/>
      <c r="F8" s="593"/>
      <c r="G8" s="593"/>
      <c r="H8" s="593"/>
      <c r="I8" s="149"/>
      <c r="J8" s="149"/>
      <c r="M8" s="585">
        <f>SUM(M4:M7)</f>
        <v>554830.24</v>
      </c>
    </row>
    <row r="9" spans="1:14" x14ac:dyDescent="0.2">
      <c r="A9">
        <v>2017</v>
      </c>
      <c r="C9" s="592">
        <v>238512</v>
      </c>
      <c r="D9" s="593"/>
      <c r="E9" s="593"/>
      <c r="F9" s="593"/>
      <c r="G9" s="593"/>
      <c r="H9" s="593"/>
      <c r="I9" s="149"/>
      <c r="J9" s="597">
        <f t="shared" ref="J9:J12" si="1">SUM(C9:H9)</f>
        <v>238512</v>
      </c>
      <c r="L9" t="s">
        <v>3664</v>
      </c>
      <c r="M9" s="585">
        <v>-715101.79</v>
      </c>
    </row>
    <row r="10" spans="1:14" x14ac:dyDescent="0.2">
      <c r="A10">
        <v>2018</v>
      </c>
      <c r="C10" s="593"/>
      <c r="D10" s="593"/>
      <c r="E10" s="593"/>
      <c r="F10" s="593"/>
      <c r="G10" s="593"/>
      <c r="H10" s="593"/>
      <c r="I10" s="149"/>
      <c r="J10" s="597">
        <f t="shared" si="1"/>
        <v>0</v>
      </c>
    </row>
    <row r="11" spans="1:14" x14ac:dyDescent="0.2">
      <c r="A11">
        <v>2019</v>
      </c>
      <c r="C11" s="593"/>
      <c r="D11" s="593"/>
      <c r="E11" s="593"/>
      <c r="F11" s="593"/>
      <c r="G11" s="593"/>
      <c r="H11" s="593"/>
      <c r="I11" s="149"/>
      <c r="J11" s="597">
        <f t="shared" si="1"/>
        <v>0</v>
      </c>
    </row>
    <row r="12" spans="1:14" x14ac:dyDescent="0.2">
      <c r="A12">
        <v>2020</v>
      </c>
      <c r="C12" s="593"/>
      <c r="D12" s="593"/>
      <c r="E12" s="593"/>
      <c r="F12" s="593"/>
      <c r="G12" s="593"/>
      <c r="H12" s="593"/>
      <c r="I12" s="149"/>
      <c r="J12" s="597">
        <f t="shared" si="1"/>
        <v>0</v>
      </c>
    </row>
    <row r="13" spans="1:14" x14ac:dyDescent="0.2">
      <c r="A13">
        <v>2021</v>
      </c>
      <c r="C13" s="593"/>
      <c r="D13" s="593"/>
      <c r="E13" s="593"/>
      <c r="F13" s="592">
        <v>86802.751555562194</v>
      </c>
      <c r="G13" s="592">
        <f>G5</f>
        <v>275847.24844443781</v>
      </c>
      <c r="H13" s="593">
        <v>0</v>
      </c>
      <c r="I13" s="149"/>
      <c r="J13" s="597">
        <f>SUM(C13:H13)</f>
        <v>362650</v>
      </c>
    </row>
    <row r="14" spans="1:14" x14ac:dyDescent="0.2">
      <c r="A14">
        <v>2022</v>
      </c>
      <c r="C14" s="593"/>
      <c r="D14" s="593"/>
      <c r="E14" s="593"/>
      <c r="F14" s="593"/>
      <c r="G14" s="592"/>
      <c r="H14" s="592"/>
      <c r="I14" s="597"/>
      <c r="J14" s="597">
        <f>SUM(C14:H14)</f>
        <v>0</v>
      </c>
    </row>
    <row r="15" spans="1:14" x14ac:dyDescent="0.2">
      <c r="B15" s="511">
        <f t="shared" ref="B15:F15" si="2">SUM(B13:B14)</f>
        <v>0</v>
      </c>
      <c r="C15" s="600">
        <f>SUM(C9:C14)</f>
        <v>238512</v>
      </c>
      <c r="D15" s="600">
        <f t="shared" si="2"/>
        <v>0</v>
      </c>
      <c r="E15" s="600">
        <f t="shared" si="2"/>
        <v>0</v>
      </c>
      <c r="F15" s="600">
        <f t="shared" si="2"/>
        <v>86802.751555562194</v>
      </c>
      <c r="G15" s="600">
        <f>SUM(G13:G14)</f>
        <v>275847.24844443781</v>
      </c>
      <c r="H15" s="600">
        <f t="shared" ref="H15" si="3">SUM(H13:H14)</f>
        <v>0</v>
      </c>
      <c r="I15" s="591"/>
      <c r="J15" s="597">
        <f>SUM(J9:J14)</f>
        <v>601162</v>
      </c>
      <c r="K15" s="239"/>
    </row>
    <row r="16" spans="1:14" x14ac:dyDescent="0.2">
      <c r="C16" s="593"/>
      <c r="D16" s="593"/>
      <c r="E16" s="593"/>
      <c r="F16" s="593"/>
      <c r="G16" s="593"/>
      <c r="H16" s="593"/>
      <c r="I16" s="149"/>
      <c r="J16" s="149"/>
      <c r="L16" t="s">
        <v>4371</v>
      </c>
    </row>
    <row r="17" spans="1:15" s="512" customFormat="1" x14ac:dyDescent="0.2">
      <c r="A17" s="512" t="s">
        <v>4306</v>
      </c>
      <c r="C17" s="590">
        <f t="shared" ref="C17:I17" si="4">C5-C15</f>
        <v>-116270.21275916255</v>
      </c>
      <c r="D17" s="590">
        <f t="shared" si="4"/>
        <v>370156.10617823311</v>
      </c>
      <c r="E17" s="590">
        <f t="shared" si="4"/>
        <v>352750.27089316782</v>
      </c>
      <c r="F17" s="590">
        <f t="shared" si="4"/>
        <v>242667.26954490808</v>
      </c>
      <c r="G17" s="590">
        <f t="shared" si="4"/>
        <v>0</v>
      </c>
      <c r="H17" s="590">
        <f t="shared" si="4"/>
        <v>365298.39900000003</v>
      </c>
      <c r="I17" s="602">
        <f t="shared" si="4"/>
        <v>554830.24</v>
      </c>
      <c r="J17" s="602">
        <f>J5-J15</f>
        <v>1769432.0728571462</v>
      </c>
      <c r="L17" s="513">
        <f>SUM(C17:H17)</f>
        <v>1214601.8328571464</v>
      </c>
      <c r="M17" s="512" t="s">
        <v>4369</v>
      </c>
    </row>
    <row r="18" spans="1:15" x14ac:dyDescent="0.2">
      <c r="A18" t="s">
        <v>4307</v>
      </c>
      <c r="C18" s="590">
        <f>C4</f>
        <v>608990.98007268726</v>
      </c>
      <c r="D18" s="590">
        <f t="shared" ref="D18:I18" si="5">D4</f>
        <v>559883.73403500847</v>
      </c>
      <c r="E18" s="590">
        <f t="shared" si="5"/>
        <v>646765.52247242723</v>
      </c>
      <c r="F18" s="590">
        <f t="shared" si="5"/>
        <v>510444.43861423462</v>
      </c>
      <c r="G18" s="590">
        <f t="shared" si="5"/>
        <v>201283.1686884427</v>
      </c>
      <c r="H18" s="590">
        <f t="shared" si="5"/>
        <v>0</v>
      </c>
      <c r="I18" s="604">
        <f t="shared" si="5"/>
        <v>0</v>
      </c>
      <c r="J18" s="604">
        <f>J4</f>
        <v>2527367.8438828001</v>
      </c>
      <c r="L18" s="516" t="e">
        <f>GL_PL!#REF!</f>
        <v>#REF!</v>
      </c>
      <c r="M18" t="s">
        <v>4370</v>
      </c>
      <c r="O18" t="s">
        <v>4281</v>
      </c>
    </row>
    <row r="19" spans="1:15" x14ac:dyDescent="0.2">
      <c r="A19" t="s">
        <v>4308</v>
      </c>
      <c r="C19" s="590">
        <f t="shared" ref="C19:I19" si="6">SUM(C17:C18)</f>
        <v>492720.76731352473</v>
      </c>
      <c r="D19" s="590">
        <f t="shared" si="6"/>
        <v>930039.84021324152</v>
      </c>
      <c r="E19" s="590">
        <f t="shared" si="6"/>
        <v>999515.79336559505</v>
      </c>
      <c r="F19" s="590">
        <f t="shared" si="6"/>
        <v>753111.70815914264</v>
      </c>
      <c r="G19" s="590">
        <f t="shared" si="6"/>
        <v>201283.1686884427</v>
      </c>
      <c r="H19" s="590">
        <f t="shared" si="6"/>
        <v>365298.39900000003</v>
      </c>
      <c r="I19" s="604">
        <f t="shared" si="6"/>
        <v>554830.24</v>
      </c>
      <c r="J19" s="604">
        <f>SUM(J17:J18)</f>
        <v>4296799.9167399462</v>
      </c>
      <c r="L19" s="239" t="e">
        <f>L17+L18</f>
        <v>#REF!</v>
      </c>
      <c r="M19" t="s">
        <v>12</v>
      </c>
    </row>
    <row r="20" spans="1:15" ht="14.5" x14ac:dyDescent="0.4">
      <c r="I20" s="517" t="s">
        <v>4300</v>
      </c>
    </row>
    <row r="21" spans="1:15" x14ac:dyDescent="0.2">
      <c r="J21" s="589">
        <f>J17</f>
        <v>1769432.0728571462</v>
      </c>
      <c r="K21" t="s">
        <v>4309</v>
      </c>
    </row>
    <row r="22" spans="1:15" x14ac:dyDescent="0.2">
      <c r="J22" s="587"/>
      <c r="K22" t="s">
        <v>4310</v>
      </c>
    </row>
    <row r="23" spans="1:15" x14ac:dyDescent="0.2">
      <c r="J23" s="239">
        <f>J17-J22</f>
        <v>1769432.0728571462</v>
      </c>
      <c r="L23">
        <f>'Global TARF'!F34</f>
        <v>518573.81562310358</v>
      </c>
    </row>
    <row r="24" spans="1:15" x14ac:dyDescent="0.2">
      <c r="K24" s="26">
        <f>J21/CurrencyExchangeRates!C109</f>
        <v>1900285.7495727239</v>
      </c>
    </row>
    <row r="25" spans="1:15" x14ac:dyDescent="0.2">
      <c r="J25" s="586"/>
    </row>
    <row r="26" spans="1:15" x14ac:dyDescent="0.2">
      <c r="J26" s="586"/>
    </row>
    <row r="27" spans="1:15" x14ac:dyDescent="0.2">
      <c r="J27" s="586"/>
    </row>
    <row r="28" spans="1:15" x14ac:dyDescent="0.2">
      <c r="J28" s="589"/>
    </row>
  </sheetData>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420C6-44AA-438E-99CC-2A9EE38A7038}">
  <sheetPr codeName="Sheet39"/>
  <dimension ref="S4:AF92"/>
  <sheetViews>
    <sheetView topLeftCell="D4" workbookViewId="0">
      <selection activeCell="Y47" sqref="Y47"/>
    </sheetView>
  </sheetViews>
  <sheetFormatPr defaultRowHeight="10" x14ac:dyDescent="0.2"/>
  <cols>
    <col min="20" max="20" width="10.44140625" bestFit="1" customWidth="1"/>
    <col min="28" max="28" width="26.33203125" customWidth="1"/>
    <col min="29" max="29" width="29.33203125" customWidth="1"/>
    <col min="31" max="31" width="13" style="24" bestFit="1" customWidth="1"/>
  </cols>
  <sheetData>
    <row r="4" spans="19:31" x14ac:dyDescent="0.2">
      <c r="AB4" t="s">
        <v>888</v>
      </c>
    </row>
    <row r="5" spans="19:31" x14ac:dyDescent="0.2">
      <c r="AB5" t="s">
        <v>944</v>
      </c>
    </row>
    <row r="7" spans="19:31" x14ac:dyDescent="0.2">
      <c r="AB7" t="s">
        <v>889</v>
      </c>
    </row>
    <row r="8" spans="19:31" x14ac:dyDescent="0.2">
      <c r="AB8">
        <v>220200</v>
      </c>
      <c r="AC8" t="s">
        <v>890</v>
      </c>
    </row>
    <row r="10" spans="19:31" x14ac:dyDescent="0.2">
      <c r="AB10" t="s">
        <v>891</v>
      </c>
    </row>
    <row r="11" spans="19:31" x14ac:dyDescent="0.2">
      <c r="T11" s="24"/>
    </row>
    <row r="12" spans="19:31" x14ac:dyDescent="0.2">
      <c r="T12" s="24"/>
      <c r="AC12" t="s">
        <v>892</v>
      </c>
      <c r="AE12" s="24" t="s">
        <v>218</v>
      </c>
    </row>
    <row r="13" spans="19:31" x14ac:dyDescent="0.2">
      <c r="S13" t="s">
        <v>881</v>
      </c>
      <c r="T13" s="92">
        <v>9552.35</v>
      </c>
    </row>
    <row r="14" spans="19:31" x14ac:dyDescent="0.2">
      <c r="S14" t="s">
        <v>882</v>
      </c>
      <c r="T14" s="92">
        <v>4750</v>
      </c>
      <c r="AC14" t="s">
        <v>893</v>
      </c>
      <c r="AE14" s="24">
        <v>188035.04</v>
      </c>
    </row>
    <row r="15" spans="19:31" x14ac:dyDescent="0.2">
      <c r="S15" t="s">
        <v>883</v>
      </c>
      <c r="T15" s="24">
        <v>4750</v>
      </c>
      <c r="AC15" t="s">
        <v>894</v>
      </c>
      <c r="AE15" s="24">
        <v>0</v>
      </c>
    </row>
    <row r="16" spans="19:31" x14ac:dyDescent="0.2">
      <c r="S16" t="s">
        <v>884</v>
      </c>
      <c r="T16" s="24">
        <v>4750</v>
      </c>
      <c r="AC16" t="s">
        <v>895</v>
      </c>
      <c r="AE16" s="24">
        <v>-6210</v>
      </c>
    </row>
    <row r="17" spans="19:31" x14ac:dyDescent="0.2">
      <c r="S17" t="s">
        <v>885</v>
      </c>
      <c r="T17" s="24">
        <v>4750</v>
      </c>
      <c r="AC17" t="s">
        <v>896</v>
      </c>
      <c r="AE17" s="24">
        <v>-33415</v>
      </c>
    </row>
    <row r="18" spans="19:31" x14ac:dyDescent="0.2">
      <c r="T18" s="24"/>
    </row>
    <row r="19" spans="19:31" x14ac:dyDescent="0.2">
      <c r="T19" s="24">
        <f>SUM(T13:T18)</f>
        <v>28552.35</v>
      </c>
      <c r="AE19" s="24">
        <v>148410.04</v>
      </c>
    </row>
    <row r="20" spans="19:31" x14ac:dyDescent="0.2">
      <c r="T20" s="24"/>
    </row>
    <row r="21" spans="19:31" x14ac:dyDescent="0.2">
      <c r="T21" s="91"/>
      <c r="AC21" t="s">
        <v>897</v>
      </c>
    </row>
    <row r="22" spans="19:31" x14ac:dyDescent="0.2">
      <c r="T22" s="91"/>
      <c r="AB22">
        <v>615100</v>
      </c>
      <c r="AC22" t="s">
        <v>898</v>
      </c>
      <c r="AE22" s="24">
        <v>25744.27</v>
      </c>
    </row>
    <row r="23" spans="19:31" x14ac:dyDescent="0.2">
      <c r="T23" s="26">
        <f>SUM(T15:T17)</f>
        <v>14250</v>
      </c>
      <c r="U23" t="s">
        <v>886</v>
      </c>
      <c r="AC23" t="s">
        <v>899</v>
      </c>
      <c r="AE23" s="24">
        <v>0</v>
      </c>
    </row>
    <row r="24" spans="19:31" x14ac:dyDescent="0.2">
      <c r="T24" s="91"/>
      <c r="AC24" t="s">
        <v>900</v>
      </c>
      <c r="AE24" s="24">
        <v>0</v>
      </c>
    </row>
    <row r="25" spans="19:31" x14ac:dyDescent="0.2">
      <c r="T25" s="26" t="e">
        <f>-'Tax Payable Proof'!F17</f>
        <v>#REF!</v>
      </c>
      <c r="U25" t="s">
        <v>887</v>
      </c>
      <c r="AC25" t="s">
        <v>901</v>
      </c>
      <c r="AE25" s="24">
        <v>0</v>
      </c>
    </row>
    <row r="26" spans="19:31" x14ac:dyDescent="0.2">
      <c r="AB26">
        <v>615250</v>
      </c>
      <c r="AC26" t="s">
        <v>902</v>
      </c>
      <c r="AE26" s="24">
        <v>2164.13</v>
      </c>
    </row>
    <row r="27" spans="19:31" x14ac:dyDescent="0.2">
      <c r="AC27" t="s">
        <v>903</v>
      </c>
      <c r="AE27" s="24">
        <v>0</v>
      </c>
    </row>
    <row r="28" spans="19:31" x14ac:dyDescent="0.2">
      <c r="T28" s="26" t="e">
        <f>SUM(T23:T27)</f>
        <v>#REF!</v>
      </c>
      <c r="AC28" t="s">
        <v>904</v>
      </c>
      <c r="AD28" t="s">
        <v>905</v>
      </c>
      <c r="AE28" s="24">
        <v>109276.34000000001</v>
      </c>
    </row>
    <row r="29" spans="19:31" x14ac:dyDescent="0.2">
      <c r="AC29" t="s">
        <v>906</v>
      </c>
      <c r="AE29" s="24">
        <v>0</v>
      </c>
    </row>
    <row r="30" spans="19:31" x14ac:dyDescent="0.2">
      <c r="AE30" s="24">
        <v>285594.78000000003</v>
      </c>
    </row>
    <row r="32" spans="19:31" x14ac:dyDescent="0.2">
      <c r="AC32" t="s">
        <v>907</v>
      </c>
    </row>
    <row r="33" spans="29:32" x14ac:dyDescent="0.2">
      <c r="AC33" t="s">
        <v>908</v>
      </c>
      <c r="AE33" s="24">
        <v>-7500</v>
      </c>
    </row>
    <row r="34" spans="29:32" x14ac:dyDescent="0.2">
      <c r="AC34" t="s">
        <v>909</v>
      </c>
      <c r="AE34" s="24">
        <v>-95000</v>
      </c>
    </row>
    <row r="35" spans="29:32" x14ac:dyDescent="0.2">
      <c r="AE35" s="24">
        <v>183094.78000000003</v>
      </c>
    </row>
    <row r="37" spans="29:32" x14ac:dyDescent="0.2">
      <c r="AC37" t="s">
        <v>910</v>
      </c>
      <c r="AE37" s="24">
        <v>31126.11</v>
      </c>
    </row>
    <row r="38" spans="29:32" x14ac:dyDescent="0.2">
      <c r="AC38" t="s">
        <v>911</v>
      </c>
      <c r="AF38" t="s">
        <v>912</v>
      </c>
    </row>
    <row r="40" spans="29:32" x14ac:dyDescent="0.2">
      <c r="AE40" s="24">
        <v>31126.11</v>
      </c>
    </row>
    <row r="42" spans="29:32" x14ac:dyDescent="0.2">
      <c r="AC42" t="s">
        <v>913</v>
      </c>
      <c r="AE42" s="24">
        <v>31126.11</v>
      </c>
    </row>
    <row r="44" spans="29:32" x14ac:dyDescent="0.2">
      <c r="AC44" t="s">
        <v>914</v>
      </c>
      <c r="AE44" s="24">
        <v>31126.11</v>
      </c>
    </row>
    <row r="45" spans="29:32" x14ac:dyDescent="0.2">
      <c r="AC45" t="s">
        <v>915</v>
      </c>
      <c r="AE45" s="24">
        <v>-19951.14</v>
      </c>
    </row>
    <row r="46" spans="29:32" x14ac:dyDescent="0.2">
      <c r="AC46" s="87" t="s">
        <v>916</v>
      </c>
      <c r="AD46" s="87"/>
      <c r="AE46" s="92">
        <v>11174.970000000001</v>
      </c>
    </row>
    <row r="49" spans="28:31" x14ac:dyDescent="0.2">
      <c r="AC49" t="s">
        <v>917</v>
      </c>
      <c r="AE49" s="24" t="s">
        <v>918</v>
      </c>
    </row>
    <row r="51" spans="28:31" x14ac:dyDescent="0.2">
      <c r="AC51" t="s">
        <v>919</v>
      </c>
      <c r="AE51" s="24">
        <v>188035.04</v>
      </c>
    </row>
    <row r="52" spans="28:31" x14ac:dyDescent="0.2">
      <c r="AC52" t="s">
        <v>920</v>
      </c>
      <c r="AE52" s="24">
        <v>31965.95</v>
      </c>
    </row>
    <row r="53" spans="28:31" x14ac:dyDescent="0.2">
      <c r="AC53" t="s">
        <v>921</v>
      </c>
      <c r="AE53" s="24">
        <v>-6736.25</v>
      </c>
    </row>
    <row r="54" spans="28:31" x14ac:dyDescent="0.2">
      <c r="AC54" t="s">
        <v>922</v>
      </c>
      <c r="AE54" s="24">
        <v>-17425</v>
      </c>
    </row>
    <row r="55" spans="28:31" x14ac:dyDescent="0.2">
      <c r="AC55" t="s">
        <v>923</v>
      </c>
      <c r="AE55" s="24">
        <v>23321.41</v>
      </c>
    </row>
    <row r="56" spans="28:31" x14ac:dyDescent="0.2">
      <c r="AC56" t="s">
        <v>924</v>
      </c>
      <c r="AE56" s="24">
        <v>31126.11</v>
      </c>
    </row>
    <row r="57" spans="28:31" x14ac:dyDescent="0.2">
      <c r="AE57" s="24">
        <v>0</v>
      </c>
    </row>
    <row r="60" spans="28:31" x14ac:dyDescent="0.2">
      <c r="AC60" t="s">
        <v>905</v>
      </c>
    </row>
    <row r="61" spans="28:31" x14ac:dyDescent="0.2">
      <c r="AC61" t="s">
        <v>904</v>
      </c>
    </row>
    <row r="62" spans="28:31" x14ac:dyDescent="0.2">
      <c r="AB62">
        <v>615225</v>
      </c>
      <c r="AC62" t="s">
        <v>925</v>
      </c>
      <c r="AE62" s="24">
        <v>123458.82</v>
      </c>
    </row>
    <row r="63" spans="28:31" x14ac:dyDescent="0.2">
      <c r="AE63" s="24">
        <v>123458.82</v>
      </c>
    </row>
    <row r="65" spans="28:31" x14ac:dyDescent="0.2">
      <c r="AC65" t="s">
        <v>926</v>
      </c>
    </row>
    <row r="66" spans="28:31" x14ac:dyDescent="0.2">
      <c r="AB66">
        <v>610050</v>
      </c>
      <c r="AC66" t="s">
        <v>927</v>
      </c>
      <c r="AE66" s="24">
        <v>1132799.46</v>
      </c>
    </row>
    <row r="67" spans="28:31" x14ac:dyDescent="0.2">
      <c r="AB67">
        <v>610200</v>
      </c>
      <c r="AC67" t="s">
        <v>928</v>
      </c>
      <c r="AE67" s="24">
        <v>152184</v>
      </c>
    </row>
    <row r="68" spans="28:31" x14ac:dyDescent="0.2">
      <c r="AB68">
        <v>610500</v>
      </c>
      <c r="AC68" t="s">
        <v>929</v>
      </c>
      <c r="AE68" s="24">
        <v>87298</v>
      </c>
    </row>
    <row r="69" spans="28:31" x14ac:dyDescent="0.2">
      <c r="AB69">
        <v>610350</v>
      </c>
      <c r="AC69" t="s">
        <v>930</v>
      </c>
      <c r="AE69" s="24">
        <v>45966.17</v>
      </c>
    </row>
    <row r="70" spans="28:31" x14ac:dyDescent="0.2">
      <c r="AE70" s="24">
        <v>1418247.63</v>
      </c>
    </row>
    <row r="72" spans="28:31" x14ac:dyDescent="0.2">
      <c r="AC72" t="s">
        <v>931</v>
      </c>
      <c r="AE72" s="24">
        <v>14182.48</v>
      </c>
    </row>
    <row r="74" spans="28:31" x14ac:dyDescent="0.2">
      <c r="AC74" t="s">
        <v>932</v>
      </c>
      <c r="AE74" s="24">
        <v>109276.34000000001</v>
      </c>
    </row>
    <row r="76" spans="28:31" x14ac:dyDescent="0.2">
      <c r="AC76" t="s">
        <v>933</v>
      </c>
      <c r="AE76" s="24">
        <v>14182.479999999996</v>
      </c>
    </row>
    <row r="78" spans="28:31" x14ac:dyDescent="0.2">
      <c r="AC78" t="s">
        <v>934</v>
      </c>
    </row>
    <row r="82" spans="29:31" x14ac:dyDescent="0.2">
      <c r="AC82" t="s">
        <v>935</v>
      </c>
    </row>
    <row r="84" spans="29:31" x14ac:dyDescent="0.2">
      <c r="AC84" t="s">
        <v>936</v>
      </c>
    </row>
    <row r="85" spans="29:31" x14ac:dyDescent="0.2">
      <c r="AC85" t="s">
        <v>937</v>
      </c>
      <c r="AE85" s="24">
        <v>31126.11</v>
      </c>
    </row>
    <row r="86" spans="29:31" x14ac:dyDescent="0.2">
      <c r="AC86" t="s">
        <v>938</v>
      </c>
      <c r="AE86" s="24">
        <v>-31126.11</v>
      </c>
    </row>
    <row r="87" spans="29:31" x14ac:dyDescent="0.2">
      <c r="AC87" t="s">
        <v>939</v>
      </c>
    </row>
    <row r="89" spans="29:31" x14ac:dyDescent="0.2">
      <c r="AC89" t="s">
        <v>940</v>
      </c>
    </row>
    <row r="90" spans="29:31" x14ac:dyDescent="0.2">
      <c r="AC90" t="s">
        <v>941</v>
      </c>
      <c r="AE90" s="24">
        <v>19951.14</v>
      </c>
    </row>
    <row r="91" spans="29:31" x14ac:dyDescent="0.2">
      <c r="AC91" t="s">
        <v>942</v>
      </c>
      <c r="AE91" s="24">
        <v>-19951.14</v>
      </c>
    </row>
    <row r="92" spans="29:31" x14ac:dyDescent="0.2">
      <c r="AC92" t="s">
        <v>943</v>
      </c>
    </row>
  </sheetData>
  <phoneticPr fontId="0" type="noConversion"/>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C7FD9-46CC-452F-8F2C-F4290416A5C6}">
  <sheetPr codeName="Sheet40"/>
  <dimension ref="A1"/>
  <sheetViews>
    <sheetView workbookViewId="0">
      <selection activeCell="Y47" sqref="Y47"/>
    </sheetView>
  </sheetViews>
  <sheetFormatPr defaultRowHeight="10" x14ac:dyDescent="0.2"/>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90935-43D9-4913-A812-50370E803B9D}">
  <sheetPr codeName="Sheet5"/>
  <dimension ref="A1:D199"/>
  <sheetViews>
    <sheetView workbookViewId="0">
      <selection activeCell="I51" sqref="I51"/>
    </sheetView>
  </sheetViews>
  <sheetFormatPr defaultRowHeight="10" x14ac:dyDescent="0.2"/>
  <sheetData>
    <row r="1" spans="1:4" x14ac:dyDescent="0.2">
      <c r="A1" s="505" t="s">
        <v>4276</v>
      </c>
      <c r="B1" s="505" t="s">
        <v>4277</v>
      </c>
      <c r="C1" s="505" t="s">
        <v>4278</v>
      </c>
      <c r="D1" s="505" t="s">
        <v>4279</v>
      </c>
    </row>
    <row r="2" spans="1:4" x14ac:dyDescent="0.2">
      <c r="A2" t="s">
        <v>4055</v>
      </c>
      <c r="B2" t="s">
        <v>4055</v>
      </c>
      <c r="C2">
        <v>1</v>
      </c>
      <c r="D2" s="110">
        <v>45107</v>
      </c>
    </row>
    <row r="3" spans="1:4" x14ac:dyDescent="0.2">
      <c r="A3" t="s">
        <v>4055</v>
      </c>
      <c r="B3" t="s">
        <v>958</v>
      </c>
      <c r="C3">
        <v>2.4472734599999999</v>
      </c>
      <c r="D3" s="110">
        <v>45107</v>
      </c>
    </row>
    <row r="4" spans="1:4" x14ac:dyDescent="0.2">
      <c r="A4" t="s">
        <v>4055</v>
      </c>
      <c r="B4" t="s">
        <v>4056</v>
      </c>
      <c r="C4">
        <v>0.76684041999999997</v>
      </c>
      <c r="D4" s="110">
        <v>45107</v>
      </c>
    </row>
    <row r="5" spans="1:4" x14ac:dyDescent="0.2">
      <c r="A5" t="s">
        <v>4055</v>
      </c>
      <c r="B5" t="s">
        <v>868</v>
      </c>
      <c r="C5">
        <v>2.7730152399999999</v>
      </c>
      <c r="D5" s="110">
        <v>45107</v>
      </c>
    </row>
    <row r="6" spans="1:4" x14ac:dyDescent="0.2">
      <c r="A6" t="s">
        <v>4055</v>
      </c>
      <c r="B6" t="s">
        <v>4280</v>
      </c>
      <c r="C6">
        <v>4.1034482800000003</v>
      </c>
      <c r="D6" s="110">
        <v>45107</v>
      </c>
    </row>
    <row r="7" spans="1:4" x14ac:dyDescent="0.2">
      <c r="A7" t="s">
        <v>4055</v>
      </c>
      <c r="B7" t="s">
        <v>4282</v>
      </c>
      <c r="C7">
        <v>0.50637529999999997</v>
      </c>
      <c r="D7" s="110">
        <v>45107</v>
      </c>
    </row>
    <row r="8" spans="1:4" x14ac:dyDescent="0.2">
      <c r="A8" t="s">
        <v>4055</v>
      </c>
      <c r="B8" t="s">
        <v>4283</v>
      </c>
      <c r="C8">
        <v>0.53821171000000001</v>
      </c>
      <c r="D8" s="110">
        <v>45107</v>
      </c>
    </row>
    <row r="9" spans="1:4" x14ac:dyDescent="0.2">
      <c r="A9" t="s">
        <v>4055</v>
      </c>
      <c r="B9" t="s">
        <v>956</v>
      </c>
      <c r="C9">
        <v>4.0096230999999998</v>
      </c>
      <c r="D9" s="110">
        <v>45107</v>
      </c>
    </row>
    <row r="10" spans="1:4" x14ac:dyDescent="0.2">
      <c r="A10" t="s">
        <v>4055</v>
      </c>
      <c r="B10" t="s">
        <v>957</v>
      </c>
      <c r="C10">
        <v>4.6671210900000002</v>
      </c>
      <c r="D10" s="110">
        <v>45107</v>
      </c>
    </row>
    <row r="11" spans="1:4" x14ac:dyDescent="0.2">
      <c r="A11" t="s">
        <v>4055</v>
      </c>
      <c r="B11" t="s">
        <v>959</v>
      </c>
      <c r="C11">
        <v>4.4747389999999998E-2</v>
      </c>
      <c r="D11" s="110">
        <v>45107</v>
      </c>
    </row>
    <row r="12" spans="1:4" x14ac:dyDescent="0.2">
      <c r="A12" t="s">
        <v>4055</v>
      </c>
      <c r="B12" t="s">
        <v>4284</v>
      </c>
      <c r="C12">
        <v>0.78692863000000002</v>
      </c>
      <c r="D12" s="110">
        <v>45107</v>
      </c>
    </row>
    <row r="13" spans="1:4" x14ac:dyDescent="0.2">
      <c r="A13" t="s">
        <v>4055</v>
      </c>
      <c r="B13" t="s">
        <v>4285</v>
      </c>
      <c r="C13">
        <v>0.33969526999999999</v>
      </c>
      <c r="D13" s="110">
        <v>45107</v>
      </c>
    </row>
    <row r="14" spans="1:4" x14ac:dyDescent="0.2">
      <c r="A14" t="s">
        <v>4055</v>
      </c>
      <c r="B14" t="s">
        <v>4286</v>
      </c>
      <c r="C14">
        <v>2.2442261399999999</v>
      </c>
      <c r="D14" s="110">
        <v>45107</v>
      </c>
    </row>
    <row r="15" spans="1:4" x14ac:dyDescent="0.2">
      <c r="A15" t="s">
        <v>4055</v>
      </c>
      <c r="B15" t="s">
        <v>4287</v>
      </c>
      <c r="C15">
        <v>0.90376904999999996</v>
      </c>
      <c r="D15" s="110">
        <v>45107</v>
      </c>
    </row>
    <row r="16" spans="1:4" x14ac:dyDescent="0.2">
      <c r="A16" t="s">
        <v>4055</v>
      </c>
      <c r="B16" t="s">
        <v>4288</v>
      </c>
      <c r="C16">
        <v>1.0087810800000001</v>
      </c>
      <c r="D16" s="110">
        <v>45107</v>
      </c>
    </row>
    <row r="17" spans="1:4" x14ac:dyDescent="0.2">
      <c r="A17" t="s">
        <v>4055</v>
      </c>
      <c r="B17" t="s">
        <v>3825</v>
      </c>
      <c r="C17">
        <v>0.34049719000000001</v>
      </c>
      <c r="D17" s="110">
        <v>45107</v>
      </c>
    </row>
    <row r="18" spans="1:4" x14ac:dyDescent="0.2">
      <c r="A18" t="s">
        <v>4055</v>
      </c>
      <c r="B18" t="s">
        <v>955</v>
      </c>
      <c r="C18">
        <v>2.7163191699999998</v>
      </c>
      <c r="D18" s="110">
        <v>45107</v>
      </c>
    </row>
    <row r="19" spans="1:4" x14ac:dyDescent="0.2">
      <c r="A19" t="s">
        <v>4055</v>
      </c>
      <c r="B19" t="s">
        <v>961</v>
      </c>
      <c r="C19">
        <v>3.6730152399999998</v>
      </c>
      <c r="D19" s="110">
        <v>45107</v>
      </c>
    </row>
    <row r="20" spans="1:4" x14ac:dyDescent="0.2">
      <c r="A20" t="s">
        <v>958</v>
      </c>
      <c r="B20" t="s">
        <v>4055</v>
      </c>
      <c r="C20">
        <v>0.40861800999999998</v>
      </c>
      <c r="D20" s="110">
        <v>45107</v>
      </c>
    </row>
    <row r="21" spans="1:4" x14ac:dyDescent="0.2">
      <c r="A21" t="s">
        <v>958</v>
      </c>
      <c r="B21" t="s">
        <v>958</v>
      </c>
      <c r="C21">
        <v>1</v>
      </c>
      <c r="D21" s="110">
        <v>45107</v>
      </c>
    </row>
    <row r="22" spans="1:4" x14ac:dyDescent="0.2">
      <c r="A22" t="s">
        <v>958</v>
      </c>
      <c r="B22" t="s">
        <v>4056</v>
      </c>
      <c r="C22">
        <v>0.31334479999999998</v>
      </c>
      <c r="D22" s="110">
        <v>45107</v>
      </c>
    </row>
    <row r="23" spans="1:4" x14ac:dyDescent="0.2">
      <c r="A23" t="s">
        <v>958</v>
      </c>
      <c r="B23" t="s">
        <v>868</v>
      </c>
      <c r="C23">
        <v>1.1331039599999999</v>
      </c>
      <c r="D23" s="110">
        <v>45107</v>
      </c>
    </row>
    <row r="24" spans="1:4" x14ac:dyDescent="0.2">
      <c r="A24" t="s">
        <v>958</v>
      </c>
      <c r="B24" t="s">
        <v>4280</v>
      </c>
      <c r="C24">
        <v>1.6767428499999999</v>
      </c>
      <c r="D24" s="110">
        <v>45107</v>
      </c>
    </row>
    <row r="25" spans="1:4" x14ac:dyDescent="0.2">
      <c r="A25" t="s">
        <v>958</v>
      </c>
      <c r="B25" t="s">
        <v>4282</v>
      </c>
      <c r="C25">
        <v>0.20691407000000001</v>
      </c>
      <c r="D25" s="110">
        <v>45107</v>
      </c>
    </row>
    <row r="26" spans="1:4" x14ac:dyDescent="0.2">
      <c r="A26" t="s">
        <v>958</v>
      </c>
      <c r="B26" t="s">
        <v>4283</v>
      </c>
      <c r="C26">
        <v>0.21992300000000001</v>
      </c>
      <c r="D26" s="110">
        <v>45107</v>
      </c>
    </row>
    <row r="27" spans="1:4" x14ac:dyDescent="0.2">
      <c r="A27" t="s">
        <v>958</v>
      </c>
      <c r="B27" t="s">
        <v>956</v>
      </c>
      <c r="C27">
        <v>1.6384041899999999</v>
      </c>
      <c r="D27" s="110">
        <v>45107</v>
      </c>
    </row>
    <row r="28" spans="1:4" x14ac:dyDescent="0.2">
      <c r="A28" t="s">
        <v>958</v>
      </c>
      <c r="B28" t="s">
        <v>957</v>
      </c>
      <c r="C28">
        <v>1.90706971</v>
      </c>
      <c r="D28" s="110">
        <v>45107</v>
      </c>
    </row>
    <row r="29" spans="1:4" x14ac:dyDescent="0.2">
      <c r="A29" t="s">
        <v>958</v>
      </c>
      <c r="B29" t="s">
        <v>959</v>
      </c>
      <c r="C29">
        <v>1.828459E-2</v>
      </c>
      <c r="D29" s="110">
        <v>45107</v>
      </c>
    </row>
    <row r="30" spans="1:4" x14ac:dyDescent="0.2">
      <c r="A30" t="s">
        <v>958</v>
      </c>
      <c r="B30" t="s">
        <v>4284</v>
      </c>
      <c r="C30">
        <v>0.32155320999999998</v>
      </c>
      <c r="D30" s="110">
        <v>45107</v>
      </c>
    </row>
    <row r="31" spans="1:4" x14ac:dyDescent="0.2">
      <c r="A31" t="s">
        <v>958</v>
      </c>
      <c r="B31" t="s">
        <v>4285</v>
      </c>
      <c r="C31">
        <v>0.1388056</v>
      </c>
      <c r="D31" s="110">
        <v>45107</v>
      </c>
    </row>
    <row r="32" spans="1:4" x14ac:dyDescent="0.2">
      <c r="A32" t="s">
        <v>958</v>
      </c>
      <c r="B32" t="s">
        <v>4286</v>
      </c>
      <c r="C32">
        <v>0.91703120999999999</v>
      </c>
      <c r="D32" s="110">
        <v>45107</v>
      </c>
    </row>
    <row r="33" spans="1:4" x14ac:dyDescent="0.2">
      <c r="A33" t="s">
        <v>958</v>
      </c>
      <c r="B33" t="s">
        <v>4287</v>
      </c>
      <c r="C33">
        <v>0.36929631000000002</v>
      </c>
      <c r="D33" s="110">
        <v>45107</v>
      </c>
    </row>
    <row r="34" spans="1:4" x14ac:dyDescent="0.2">
      <c r="A34" t="s">
        <v>958</v>
      </c>
      <c r="B34" t="s">
        <v>4288</v>
      </c>
      <c r="C34">
        <v>0.41220611000000001</v>
      </c>
      <c r="D34" s="110">
        <v>45107</v>
      </c>
    </row>
    <row r="35" spans="1:4" x14ac:dyDescent="0.2">
      <c r="A35" t="s">
        <v>958</v>
      </c>
      <c r="B35" t="s">
        <v>3825</v>
      </c>
      <c r="C35">
        <v>0.13913328</v>
      </c>
      <c r="D35" s="110">
        <v>45107</v>
      </c>
    </row>
    <row r="36" spans="1:4" x14ac:dyDescent="0.2">
      <c r="A36" t="s">
        <v>958</v>
      </c>
      <c r="B36" t="s">
        <v>955</v>
      </c>
      <c r="C36">
        <v>1.10993692</v>
      </c>
      <c r="D36" s="110">
        <v>45107</v>
      </c>
    </row>
    <row r="37" spans="1:4" x14ac:dyDescent="0.2">
      <c r="A37" t="s">
        <v>958</v>
      </c>
      <c r="B37" t="s">
        <v>961</v>
      </c>
      <c r="C37">
        <v>1.50086016</v>
      </c>
      <c r="D37" s="110">
        <v>45107</v>
      </c>
    </row>
    <row r="38" spans="1:4" x14ac:dyDescent="0.2">
      <c r="A38" t="s">
        <v>4056</v>
      </c>
      <c r="B38" t="s">
        <v>4055</v>
      </c>
      <c r="C38">
        <v>1.30405229</v>
      </c>
      <c r="D38" s="110">
        <v>45107</v>
      </c>
    </row>
    <row r="39" spans="1:4" x14ac:dyDescent="0.2">
      <c r="A39" t="s">
        <v>4056</v>
      </c>
      <c r="B39" t="s">
        <v>958</v>
      </c>
      <c r="C39">
        <v>3.1913725500000001</v>
      </c>
      <c r="D39" s="110">
        <v>45107</v>
      </c>
    </row>
    <row r="40" spans="1:4" x14ac:dyDescent="0.2">
      <c r="A40" t="s">
        <v>4056</v>
      </c>
      <c r="B40" t="s">
        <v>4056</v>
      </c>
      <c r="C40">
        <v>1</v>
      </c>
      <c r="D40" s="110">
        <v>45107</v>
      </c>
    </row>
    <row r="41" spans="1:4" x14ac:dyDescent="0.2">
      <c r="A41" t="s">
        <v>4056</v>
      </c>
      <c r="B41" t="s">
        <v>868</v>
      </c>
      <c r="C41">
        <v>3.6161568599999998</v>
      </c>
      <c r="D41" s="110">
        <v>45107</v>
      </c>
    </row>
    <row r="42" spans="1:4" x14ac:dyDescent="0.2">
      <c r="A42" t="s">
        <v>4056</v>
      </c>
      <c r="B42" t="s">
        <v>4280</v>
      </c>
      <c r="C42">
        <v>5.3511111099999997</v>
      </c>
      <c r="D42" s="110">
        <v>45107</v>
      </c>
    </row>
    <row r="43" spans="1:4" x14ac:dyDescent="0.2">
      <c r="A43" t="s">
        <v>4056</v>
      </c>
      <c r="B43" t="s">
        <v>4282</v>
      </c>
      <c r="C43">
        <v>0.66033987000000005</v>
      </c>
      <c r="D43" s="110">
        <v>45107</v>
      </c>
    </row>
    <row r="44" spans="1:4" x14ac:dyDescent="0.2">
      <c r="A44" t="s">
        <v>4056</v>
      </c>
      <c r="B44" t="s">
        <v>4283</v>
      </c>
      <c r="C44">
        <v>0.70185620999999998</v>
      </c>
      <c r="D44" s="110">
        <v>45107</v>
      </c>
    </row>
    <row r="45" spans="1:4" x14ac:dyDescent="0.2">
      <c r="A45" t="s">
        <v>4056</v>
      </c>
      <c r="B45" t="s">
        <v>956</v>
      </c>
      <c r="C45">
        <v>5.2287581699999999</v>
      </c>
      <c r="D45" s="110">
        <v>45107</v>
      </c>
    </row>
    <row r="46" spans="1:4" x14ac:dyDescent="0.2">
      <c r="A46" t="s">
        <v>4056</v>
      </c>
      <c r="B46" t="s">
        <v>957</v>
      </c>
      <c r="C46">
        <v>6.0861699399999996</v>
      </c>
      <c r="D46" s="110">
        <v>45107</v>
      </c>
    </row>
    <row r="47" spans="1:4" x14ac:dyDescent="0.2">
      <c r="A47" t="s">
        <v>4056</v>
      </c>
      <c r="B47" t="s">
        <v>959</v>
      </c>
      <c r="C47">
        <v>5.8352939999999999E-2</v>
      </c>
      <c r="D47" s="110">
        <v>45107</v>
      </c>
    </row>
    <row r="48" spans="1:4" x14ac:dyDescent="0.2">
      <c r="A48" t="s">
        <v>4056</v>
      </c>
      <c r="B48" t="s">
        <v>4284</v>
      </c>
      <c r="C48">
        <v>1.0261960800000001</v>
      </c>
      <c r="D48" s="110">
        <v>45107</v>
      </c>
    </row>
    <row r="49" spans="1:4" x14ac:dyDescent="0.2">
      <c r="A49" t="s">
        <v>4056</v>
      </c>
      <c r="B49" t="s">
        <v>4285</v>
      </c>
      <c r="C49">
        <v>0.44298039</v>
      </c>
      <c r="D49" s="110">
        <v>45107</v>
      </c>
    </row>
    <row r="50" spans="1:4" x14ac:dyDescent="0.2">
      <c r="A50" t="s">
        <v>4056</v>
      </c>
      <c r="B50" t="s">
        <v>4286</v>
      </c>
      <c r="C50">
        <v>2.9265882400000001</v>
      </c>
      <c r="D50" s="110">
        <v>45107</v>
      </c>
    </row>
    <row r="51" spans="1:4" x14ac:dyDescent="0.2">
      <c r="A51" t="s">
        <v>4056</v>
      </c>
      <c r="B51" t="s">
        <v>4287</v>
      </c>
      <c r="C51">
        <v>1.17856209</v>
      </c>
      <c r="D51" s="110">
        <v>45107</v>
      </c>
    </row>
    <row r="52" spans="1:4" x14ac:dyDescent="0.2">
      <c r="A52" t="s">
        <v>4056</v>
      </c>
      <c r="B52" t="s">
        <v>4288</v>
      </c>
      <c r="C52">
        <v>1.31550327</v>
      </c>
      <c r="D52" s="110">
        <v>45107</v>
      </c>
    </row>
    <row r="53" spans="1:4" x14ac:dyDescent="0.2">
      <c r="A53" t="s">
        <v>4056</v>
      </c>
      <c r="B53" t="s">
        <v>3825</v>
      </c>
      <c r="C53">
        <v>0.44402614000000001</v>
      </c>
      <c r="D53" s="110">
        <v>45107</v>
      </c>
    </row>
    <row r="54" spans="1:4" x14ac:dyDescent="0.2">
      <c r="A54" t="s">
        <v>4056</v>
      </c>
      <c r="B54" t="s">
        <v>955</v>
      </c>
      <c r="C54">
        <v>3.5422222200000002</v>
      </c>
      <c r="D54" s="110">
        <v>45107</v>
      </c>
    </row>
    <row r="55" spans="1:4" x14ac:dyDescent="0.2">
      <c r="A55" t="s">
        <v>4056</v>
      </c>
      <c r="B55" t="s">
        <v>961</v>
      </c>
      <c r="C55">
        <v>4.7898039199999998</v>
      </c>
      <c r="D55" s="110">
        <v>45107</v>
      </c>
    </row>
    <row r="56" spans="1:4" x14ac:dyDescent="0.2">
      <c r="A56" t="s">
        <v>868</v>
      </c>
      <c r="B56" t="s">
        <v>4055</v>
      </c>
      <c r="C56">
        <v>0.36061829000000001</v>
      </c>
      <c r="D56" s="110">
        <v>45107</v>
      </c>
    </row>
    <row r="57" spans="1:4" x14ac:dyDescent="0.2">
      <c r="A57" t="s">
        <v>868</v>
      </c>
      <c r="B57" t="s">
        <v>958</v>
      </c>
      <c r="C57">
        <v>0.88253155999999999</v>
      </c>
      <c r="D57" s="110">
        <v>45107</v>
      </c>
    </row>
    <row r="58" spans="1:4" x14ac:dyDescent="0.2">
      <c r="A58" t="s">
        <v>868</v>
      </c>
      <c r="B58" t="s">
        <v>4056</v>
      </c>
      <c r="C58">
        <v>0.27653667999999998</v>
      </c>
      <c r="D58" s="110">
        <v>45107</v>
      </c>
    </row>
    <row r="59" spans="1:4" x14ac:dyDescent="0.2">
      <c r="A59" t="s">
        <v>868</v>
      </c>
      <c r="B59" t="s">
        <v>868</v>
      </c>
      <c r="C59">
        <v>1</v>
      </c>
      <c r="D59" s="110">
        <v>45107</v>
      </c>
    </row>
    <row r="60" spans="1:4" x14ac:dyDescent="0.2">
      <c r="A60" t="s">
        <v>868</v>
      </c>
      <c r="B60" t="s">
        <v>4280</v>
      </c>
      <c r="C60">
        <v>1.47977848</v>
      </c>
      <c r="D60" s="110">
        <v>45107</v>
      </c>
    </row>
    <row r="61" spans="1:4" x14ac:dyDescent="0.2">
      <c r="A61" t="s">
        <v>868</v>
      </c>
      <c r="B61" t="s">
        <v>4282</v>
      </c>
      <c r="C61">
        <v>0.18260819</v>
      </c>
      <c r="D61" s="110">
        <v>45107</v>
      </c>
    </row>
    <row r="62" spans="1:4" x14ac:dyDescent="0.2">
      <c r="A62" t="s">
        <v>868</v>
      </c>
      <c r="B62" t="s">
        <v>4283</v>
      </c>
      <c r="C62">
        <v>0.19408897999999999</v>
      </c>
      <c r="D62" s="110">
        <v>45107</v>
      </c>
    </row>
    <row r="63" spans="1:4" x14ac:dyDescent="0.2">
      <c r="A63" t="s">
        <v>868</v>
      </c>
      <c r="B63" t="s">
        <v>956</v>
      </c>
      <c r="C63">
        <v>1.4459434099999999</v>
      </c>
      <c r="D63" s="110">
        <v>45107</v>
      </c>
    </row>
    <row r="64" spans="1:4" x14ac:dyDescent="0.2">
      <c r="A64" t="s">
        <v>868</v>
      </c>
      <c r="B64" t="s">
        <v>957</v>
      </c>
      <c r="C64">
        <v>1.6830492100000001</v>
      </c>
      <c r="D64" s="110">
        <v>45107</v>
      </c>
    </row>
    <row r="65" spans="1:4" x14ac:dyDescent="0.2">
      <c r="A65" t="s">
        <v>868</v>
      </c>
      <c r="B65" t="s">
        <v>959</v>
      </c>
      <c r="C65">
        <v>1.6136729999999998E-2</v>
      </c>
      <c r="D65" s="110">
        <v>45107</v>
      </c>
    </row>
    <row r="66" spans="1:4" x14ac:dyDescent="0.2">
      <c r="A66" t="s">
        <v>868</v>
      </c>
      <c r="B66" t="s">
        <v>4284</v>
      </c>
      <c r="C66">
        <v>0.28378084999999997</v>
      </c>
      <c r="D66" s="110">
        <v>45107</v>
      </c>
    </row>
    <row r="67" spans="1:4" x14ac:dyDescent="0.2">
      <c r="A67" t="s">
        <v>868</v>
      </c>
      <c r="B67" t="s">
        <v>4285</v>
      </c>
      <c r="C67">
        <v>0.12250033</v>
      </c>
      <c r="D67" s="110">
        <v>45107</v>
      </c>
    </row>
    <row r="68" spans="1:4" x14ac:dyDescent="0.2">
      <c r="A68" t="s">
        <v>868</v>
      </c>
      <c r="B68" t="s">
        <v>4286</v>
      </c>
      <c r="C68">
        <v>0.80930897999999996</v>
      </c>
      <c r="D68" s="110">
        <v>45107</v>
      </c>
    </row>
    <row r="69" spans="1:4" x14ac:dyDescent="0.2">
      <c r="A69" t="s">
        <v>868</v>
      </c>
      <c r="B69" t="s">
        <v>4287</v>
      </c>
      <c r="C69">
        <v>0.32591564000000001</v>
      </c>
      <c r="D69" s="110">
        <v>45107</v>
      </c>
    </row>
    <row r="70" spans="1:4" x14ac:dyDescent="0.2">
      <c r="A70" t="s">
        <v>868</v>
      </c>
      <c r="B70" t="s">
        <v>4288</v>
      </c>
      <c r="C70">
        <v>0.36378490000000002</v>
      </c>
      <c r="D70" s="110">
        <v>45107</v>
      </c>
    </row>
    <row r="71" spans="1:4" x14ac:dyDescent="0.2">
      <c r="A71" t="s">
        <v>868</v>
      </c>
      <c r="B71" t="s">
        <v>3825</v>
      </c>
      <c r="C71">
        <v>0.12278951</v>
      </c>
      <c r="D71" s="110">
        <v>45107</v>
      </c>
    </row>
    <row r="72" spans="1:4" x14ac:dyDescent="0.2">
      <c r="A72" t="s">
        <v>868</v>
      </c>
      <c r="B72" t="s">
        <v>955</v>
      </c>
      <c r="C72">
        <v>0.97955435999999996</v>
      </c>
      <c r="D72" s="110">
        <v>45107</v>
      </c>
    </row>
    <row r="73" spans="1:4" x14ac:dyDescent="0.2">
      <c r="A73" t="s">
        <v>868</v>
      </c>
      <c r="B73" t="s">
        <v>961</v>
      </c>
      <c r="C73">
        <v>1.3245564599999999</v>
      </c>
      <c r="D73" s="110">
        <v>45107</v>
      </c>
    </row>
    <row r="74" spans="1:4" x14ac:dyDescent="0.2">
      <c r="A74" t="s">
        <v>4280</v>
      </c>
      <c r="B74" t="s">
        <v>4055</v>
      </c>
      <c r="C74">
        <v>0.24369747999999999</v>
      </c>
      <c r="D74" s="110">
        <v>45107</v>
      </c>
    </row>
    <row r="75" spans="1:4" x14ac:dyDescent="0.2">
      <c r="A75" t="s">
        <v>4280</v>
      </c>
      <c r="B75" t="s">
        <v>958</v>
      </c>
      <c r="C75">
        <v>0.59639436999999995</v>
      </c>
      <c r="D75" s="110">
        <v>45107</v>
      </c>
    </row>
    <row r="76" spans="1:4" x14ac:dyDescent="0.2">
      <c r="A76" t="s">
        <v>4280</v>
      </c>
      <c r="B76" t="s">
        <v>4056</v>
      </c>
      <c r="C76">
        <v>0.18687708</v>
      </c>
      <c r="D76" s="110">
        <v>45107</v>
      </c>
    </row>
    <row r="77" spans="1:4" x14ac:dyDescent="0.2">
      <c r="A77" t="s">
        <v>4280</v>
      </c>
      <c r="B77" t="s">
        <v>868</v>
      </c>
      <c r="C77">
        <v>0.67577681999999994</v>
      </c>
      <c r="D77" s="110">
        <v>45107</v>
      </c>
    </row>
    <row r="78" spans="1:4" x14ac:dyDescent="0.2">
      <c r="A78" t="s">
        <v>4280</v>
      </c>
      <c r="B78" t="s">
        <v>4280</v>
      </c>
      <c r="C78">
        <v>1</v>
      </c>
      <c r="D78" s="110">
        <v>45107</v>
      </c>
    </row>
    <row r="79" spans="1:4" x14ac:dyDescent="0.2">
      <c r="A79" t="s">
        <v>4280</v>
      </c>
      <c r="B79" t="s">
        <v>4282</v>
      </c>
      <c r="C79">
        <v>0.12340238000000001</v>
      </c>
      <c r="D79" s="110">
        <v>45107</v>
      </c>
    </row>
    <row r="80" spans="1:4" x14ac:dyDescent="0.2">
      <c r="A80" t="s">
        <v>4280</v>
      </c>
      <c r="B80" t="s">
        <v>4283</v>
      </c>
      <c r="C80">
        <v>0.13116084</v>
      </c>
      <c r="D80" s="110">
        <v>45107</v>
      </c>
    </row>
    <row r="81" spans="1:4" x14ac:dyDescent="0.2">
      <c r="A81" t="s">
        <v>4280</v>
      </c>
      <c r="B81" t="s">
        <v>956</v>
      </c>
      <c r="C81">
        <v>0.97713503999999995</v>
      </c>
      <c r="D81" s="110">
        <v>45107</v>
      </c>
    </row>
    <row r="82" spans="1:4" x14ac:dyDescent="0.2">
      <c r="A82" t="s">
        <v>4280</v>
      </c>
      <c r="B82" t="s">
        <v>957</v>
      </c>
      <c r="C82">
        <v>1.1373656400000001</v>
      </c>
      <c r="D82" s="110">
        <v>45107</v>
      </c>
    </row>
    <row r="83" spans="1:4" x14ac:dyDescent="0.2">
      <c r="A83" t="s">
        <v>4280</v>
      </c>
      <c r="B83" t="s">
        <v>959</v>
      </c>
      <c r="C83">
        <v>1.0904830000000001E-2</v>
      </c>
      <c r="D83" s="110">
        <v>45107</v>
      </c>
    </row>
    <row r="84" spans="1:4" x14ac:dyDescent="0.2">
      <c r="A84" t="s">
        <v>4280</v>
      </c>
      <c r="B84" t="s">
        <v>4284</v>
      </c>
      <c r="C84">
        <v>0.19177252</v>
      </c>
      <c r="D84" s="110">
        <v>45107</v>
      </c>
    </row>
    <row r="85" spans="1:4" x14ac:dyDescent="0.2">
      <c r="A85" t="s">
        <v>4280</v>
      </c>
      <c r="B85" t="s">
        <v>4285</v>
      </c>
      <c r="C85">
        <v>8.2782880000000003E-2</v>
      </c>
      <c r="D85" s="110">
        <v>45107</v>
      </c>
    </row>
    <row r="86" spans="1:4" x14ac:dyDescent="0.2">
      <c r="A86" t="s">
        <v>4280</v>
      </c>
      <c r="B86" t="s">
        <v>4286</v>
      </c>
      <c r="C86">
        <v>0.54691224999999999</v>
      </c>
      <c r="D86" s="110">
        <v>45107</v>
      </c>
    </row>
    <row r="87" spans="1:4" x14ac:dyDescent="0.2">
      <c r="A87" t="s">
        <v>4280</v>
      </c>
      <c r="B87" t="s">
        <v>4287</v>
      </c>
      <c r="C87">
        <v>0.22024624000000001</v>
      </c>
      <c r="D87" s="110">
        <v>45107</v>
      </c>
    </row>
    <row r="88" spans="1:4" x14ac:dyDescent="0.2">
      <c r="A88" t="s">
        <v>4280</v>
      </c>
      <c r="B88" t="s">
        <v>4288</v>
      </c>
      <c r="C88">
        <v>0.24583741000000001</v>
      </c>
      <c r="D88" s="110">
        <v>45107</v>
      </c>
    </row>
    <row r="89" spans="1:4" x14ac:dyDescent="0.2">
      <c r="A89" t="s">
        <v>4280</v>
      </c>
      <c r="B89" t="s">
        <v>3825</v>
      </c>
      <c r="C89">
        <v>8.297831E-2</v>
      </c>
      <c r="D89" s="110">
        <v>45107</v>
      </c>
    </row>
    <row r="90" spans="1:4" x14ac:dyDescent="0.2">
      <c r="A90" t="s">
        <v>4280</v>
      </c>
      <c r="B90" t="s">
        <v>955</v>
      </c>
      <c r="C90">
        <v>0.66196012999999998</v>
      </c>
      <c r="D90" s="110">
        <v>45107</v>
      </c>
    </row>
    <row r="91" spans="1:4" x14ac:dyDescent="0.2">
      <c r="A91" t="s">
        <v>4280</v>
      </c>
      <c r="B91" t="s">
        <v>961</v>
      </c>
      <c r="C91">
        <v>0.89510455</v>
      </c>
      <c r="D91" s="110">
        <v>45107</v>
      </c>
    </row>
    <row r="92" spans="1:4" x14ac:dyDescent="0.2">
      <c r="A92" t="s">
        <v>956</v>
      </c>
      <c r="B92" t="s">
        <v>4055</v>
      </c>
      <c r="C92">
        <v>0.24940000000000001</v>
      </c>
      <c r="D92" s="110">
        <v>45107</v>
      </c>
    </row>
    <row r="93" spans="1:4" x14ac:dyDescent="0.2">
      <c r="A93" t="s">
        <v>956</v>
      </c>
      <c r="B93" t="s">
        <v>958</v>
      </c>
      <c r="C93">
        <v>0.61034999999999995</v>
      </c>
      <c r="D93" s="110">
        <v>45107</v>
      </c>
    </row>
    <row r="94" spans="1:4" x14ac:dyDescent="0.2">
      <c r="A94" t="s">
        <v>956</v>
      </c>
      <c r="B94" t="s">
        <v>4056</v>
      </c>
      <c r="C94">
        <v>0.19125</v>
      </c>
      <c r="D94" s="110">
        <v>45107</v>
      </c>
    </row>
    <row r="95" spans="1:4" x14ac:dyDescent="0.2">
      <c r="A95" t="s">
        <v>956</v>
      </c>
      <c r="B95" t="s">
        <v>868</v>
      </c>
      <c r="C95">
        <v>0.69159000000000004</v>
      </c>
      <c r="D95" s="110">
        <v>45107</v>
      </c>
    </row>
    <row r="96" spans="1:4" x14ac:dyDescent="0.2">
      <c r="A96" t="s">
        <v>956</v>
      </c>
      <c r="B96" t="s">
        <v>4280</v>
      </c>
      <c r="C96">
        <v>1.0234000000000001</v>
      </c>
      <c r="D96" s="110">
        <v>45107</v>
      </c>
    </row>
    <row r="97" spans="1:4" x14ac:dyDescent="0.2">
      <c r="A97" t="s">
        <v>956</v>
      </c>
      <c r="B97" t="s">
        <v>4282</v>
      </c>
      <c r="C97">
        <v>0.12629000000000001</v>
      </c>
      <c r="D97" s="110">
        <v>45107</v>
      </c>
    </row>
    <row r="98" spans="1:4" x14ac:dyDescent="0.2">
      <c r="A98" t="s">
        <v>956</v>
      </c>
      <c r="B98" t="s">
        <v>4283</v>
      </c>
      <c r="C98">
        <v>0.13422999999999999</v>
      </c>
      <c r="D98" s="110">
        <v>45107</v>
      </c>
    </row>
    <row r="99" spans="1:4" x14ac:dyDescent="0.2">
      <c r="A99" t="s">
        <v>956</v>
      </c>
      <c r="B99" t="s">
        <v>956</v>
      </c>
      <c r="C99">
        <v>1</v>
      </c>
      <c r="D99" s="110">
        <v>45107</v>
      </c>
    </row>
    <row r="100" spans="1:4" x14ac:dyDescent="0.2">
      <c r="A100" t="s">
        <v>956</v>
      </c>
      <c r="B100" t="s">
        <v>957</v>
      </c>
      <c r="C100">
        <v>1.16398</v>
      </c>
      <c r="D100" s="110">
        <v>45107</v>
      </c>
    </row>
    <row r="101" spans="1:4" x14ac:dyDescent="0.2">
      <c r="A101" t="s">
        <v>956</v>
      </c>
      <c r="B101" t="s">
        <v>959</v>
      </c>
      <c r="C101">
        <v>1.116E-2</v>
      </c>
      <c r="D101" s="110">
        <v>45107</v>
      </c>
    </row>
    <row r="102" spans="1:4" x14ac:dyDescent="0.2">
      <c r="A102" t="s">
        <v>956</v>
      </c>
      <c r="B102" t="s">
        <v>4284</v>
      </c>
      <c r="C102">
        <v>0.19625999999999999</v>
      </c>
      <c r="D102" s="110">
        <v>45107</v>
      </c>
    </row>
    <row r="103" spans="1:4" x14ac:dyDescent="0.2">
      <c r="A103" t="s">
        <v>956</v>
      </c>
      <c r="B103" t="s">
        <v>4285</v>
      </c>
      <c r="C103">
        <v>8.4720000000000004E-2</v>
      </c>
      <c r="D103" s="110">
        <v>45107</v>
      </c>
    </row>
    <row r="104" spans="1:4" x14ac:dyDescent="0.2">
      <c r="A104" t="s">
        <v>956</v>
      </c>
      <c r="B104" t="s">
        <v>4286</v>
      </c>
      <c r="C104">
        <v>0.55971000000000004</v>
      </c>
      <c r="D104" s="110">
        <v>45107</v>
      </c>
    </row>
    <row r="105" spans="1:4" x14ac:dyDescent="0.2">
      <c r="A105" t="s">
        <v>956</v>
      </c>
      <c r="B105" t="s">
        <v>4287</v>
      </c>
      <c r="C105">
        <v>0.22539999999999999</v>
      </c>
      <c r="D105" s="110">
        <v>45107</v>
      </c>
    </row>
    <row r="106" spans="1:4" x14ac:dyDescent="0.2">
      <c r="A106" t="s">
        <v>956</v>
      </c>
      <c r="B106" t="s">
        <v>4288</v>
      </c>
      <c r="C106">
        <v>0.25158999999999998</v>
      </c>
      <c r="D106" s="110">
        <v>45107</v>
      </c>
    </row>
    <row r="107" spans="1:4" x14ac:dyDescent="0.2">
      <c r="A107" t="s">
        <v>956</v>
      </c>
      <c r="B107" t="s">
        <v>3825</v>
      </c>
      <c r="C107">
        <v>8.4919999999999995E-2</v>
      </c>
      <c r="D107" s="110">
        <v>45107</v>
      </c>
    </row>
    <row r="108" spans="1:4" x14ac:dyDescent="0.2">
      <c r="A108" t="s">
        <v>956</v>
      </c>
      <c r="B108" t="s">
        <v>955</v>
      </c>
      <c r="C108">
        <v>0.67745</v>
      </c>
      <c r="D108" s="110">
        <v>45107</v>
      </c>
    </row>
    <row r="109" spans="1:4" x14ac:dyDescent="0.2">
      <c r="A109" t="s">
        <v>956</v>
      </c>
      <c r="B109" t="s">
        <v>961</v>
      </c>
      <c r="C109">
        <v>0.91605000000000003</v>
      </c>
      <c r="D109" s="110">
        <v>45107</v>
      </c>
    </row>
    <row r="110" spans="1:4" x14ac:dyDescent="0.2">
      <c r="A110" t="s">
        <v>957</v>
      </c>
      <c r="B110" t="s">
        <v>4055</v>
      </c>
      <c r="C110">
        <v>0.21426485000000001</v>
      </c>
      <c r="D110" s="110">
        <v>45107</v>
      </c>
    </row>
    <row r="111" spans="1:4" x14ac:dyDescent="0.2">
      <c r="A111" t="s">
        <v>957</v>
      </c>
      <c r="B111" t="s">
        <v>958</v>
      </c>
      <c r="C111">
        <v>0.52436468000000003</v>
      </c>
      <c r="D111" s="110">
        <v>45107</v>
      </c>
    </row>
    <row r="112" spans="1:4" x14ac:dyDescent="0.2">
      <c r="A112" t="s">
        <v>957</v>
      </c>
      <c r="B112" t="s">
        <v>4056</v>
      </c>
      <c r="C112">
        <v>0.16430695000000001</v>
      </c>
      <c r="D112" s="110">
        <v>45107</v>
      </c>
    </row>
    <row r="113" spans="1:4" x14ac:dyDescent="0.2">
      <c r="A113" t="s">
        <v>957</v>
      </c>
      <c r="B113" t="s">
        <v>868</v>
      </c>
      <c r="C113">
        <v>0.59415969000000002</v>
      </c>
      <c r="D113" s="110">
        <v>45107</v>
      </c>
    </row>
    <row r="114" spans="1:4" x14ac:dyDescent="0.2">
      <c r="A114" t="s">
        <v>957</v>
      </c>
      <c r="B114" t="s">
        <v>4280</v>
      </c>
      <c r="C114">
        <v>0.87922473000000001</v>
      </c>
      <c r="D114" s="110">
        <v>45107</v>
      </c>
    </row>
    <row r="115" spans="1:4" x14ac:dyDescent="0.2">
      <c r="A115" t="s">
        <v>957</v>
      </c>
      <c r="B115" t="s">
        <v>4282</v>
      </c>
      <c r="C115">
        <v>0.10849843000000001</v>
      </c>
      <c r="D115" s="110">
        <v>45107</v>
      </c>
    </row>
    <row r="116" spans="1:4" x14ac:dyDescent="0.2">
      <c r="A116" t="s">
        <v>957</v>
      </c>
      <c r="B116" t="s">
        <v>4283</v>
      </c>
      <c r="C116">
        <v>0.11531985</v>
      </c>
      <c r="D116" s="110">
        <v>45107</v>
      </c>
    </row>
    <row r="117" spans="1:4" x14ac:dyDescent="0.2">
      <c r="A117" t="s">
        <v>957</v>
      </c>
      <c r="B117" t="s">
        <v>956</v>
      </c>
      <c r="C117">
        <v>0.85912129000000004</v>
      </c>
      <c r="D117" s="110">
        <v>45107</v>
      </c>
    </row>
    <row r="118" spans="1:4" x14ac:dyDescent="0.2">
      <c r="A118" t="s">
        <v>957</v>
      </c>
      <c r="B118" t="s">
        <v>957</v>
      </c>
      <c r="C118">
        <v>1</v>
      </c>
      <c r="D118" s="110">
        <v>45107</v>
      </c>
    </row>
    <row r="119" spans="1:4" x14ac:dyDescent="0.2">
      <c r="A119" t="s">
        <v>957</v>
      </c>
      <c r="B119" t="s">
        <v>959</v>
      </c>
      <c r="C119">
        <v>9.5877900000000005E-3</v>
      </c>
      <c r="D119" s="110">
        <v>45107</v>
      </c>
    </row>
    <row r="120" spans="1:4" x14ac:dyDescent="0.2">
      <c r="A120" t="s">
        <v>957</v>
      </c>
      <c r="B120" t="s">
        <v>4284</v>
      </c>
      <c r="C120">
        <v>0.16861114999999999</v>
      </c>
      <c r="D120" s="110">
        <v>45107</v>
      </c>
    </row>
    <row r="121" spans="1:4" x14ac:dyDescent="0.2">
      <c r="A121" t="s">
        <v>957</v>
      </c>
      <c r="B121" t="s">
        <v>4285</v>
      </c>
      <c r="C121">
        <v>7.2784760000000004E-2</v>
      </c>
      <c r="D121" s="110">
        <v>45107</v>
      </c>
    </row>
    <row r="122" spans="1:4" x14ac:dyDescent="0.2">
      <c r="A122" t="s">
        <v>957</v>
      </c>
      <c r="B122" t="s">
        <v>4286</v>
      </c>
      <c r="C122">
        <v>0.48085877999999999</v>
      </c>
      <c r="D122" s="110">
        <v>45107</v>
      </c>
    </row>
    <row r="123" spans="1:4" x14ac:dyDescent="0.2">
      <c r="A123" t="s">
        <v>957</v>
      </c>
      <c r="B123" t="s">
        <v>4287</v>
      </c>
      <c r="C123">
        <v>0.19364593999999999</v>
      </c>
      <c r="D123" s="110">
        <v>45107</v>
      </c>
    </row>
    <row r="124" spans="1:4" x14ac:dyDescent="0.2">
      <c r="A124" t="s">
        <v>957</v>
      </c>
      <c r="B124" t="s">
        <v>4288</v>
      </c>
      <c r="C124">
        <v>0.21614633</v>
      </c>
      <c r="D124" s="110">
        <v>45107</v>
      </c>
    </row>
    <row r="125" spans="1:4" x14ac:dyDescent="0.2">
      <c r="A125" t="s">
        <v>957</v>
      </c>
      <c r="B125" t="s">
        <v>3825</v>
      </c>
      <c r="C125">
        <v>7.2956579999999993E-2</v>
      </c>
      <c r="D125" s="110">
        <v>45107</v>
      </c>
    </row>
    <row r="126" spans="1:4" x14ac:dyDescent="0.2">
      <c r="A126" t="s">
        <v>957</v>
      </c>
      <c r="B126" t="s">
        <v>955</v>
      </c>
      <c r="C126">
        <v>0.58201172000000001</v>
      </c>
      <c r="D126" s="110">
        <v>45107</v>
      </c>
    </row>
    <row r="127" spans="1:4" x14ac:dyDescent="0.2">
      <c r="A127" t="s">
        <v>957</v>
      </c>
      <c r="B127" t="s">
        <v>961</v>
      </c>
      <c r="C127">
        <v>0.78699806000000005</v>
      </c>
      <c r="D127" s="110">
        <v>45107</v>
      </c>
    </row>
    <row r="128" spans="1:4" x14ac:dyDescent="0.2">
      <c r="A128" t="s">
        <v>959</v>
      </c>
      <c r="B128" t="s">
        <v>4055</v>
      </c>
      <c r="C128">
        <v>22.34767025</v>
      </c>
      <c r="D128" s="110">
        <v>45107</v>
      </c>
    </row>
    <row r="129" spans="1:4" x14ac:dyDescent="0.2">
      <c r="A129" t="s">
        <v>959</v>
      </c>
      <c r="B129" t="s">
        <v>958</v>
      </c>
      <c r="C129">
        <v>54.690860219999998</v>
      </c>
      <c r="D129" s="110">
        <v>45107</v>
      </c>
    </row>
    <row r="130" spans="1:4" x14ac:dyDescent="0.2">
      <c r="A130" t="s">
        <v>959</v>
      </c>
      <c r="B130" t="s">
        <v>4056</v>
      </c>
      <c r="C130">
        <v>17.137096769999999</v>
      </c>
      <c r="D130" s="110">
        <v>45107</v>
      </c>
    </row>
    <row r="131" spans="1:4" x14ac:dyDescent="0.2">
      <c r="A131" t="s">
        <v>959</v>
      </c>
      <c r="B131" t="s">
        <v>868</v>
      </c>
      <c r="C131">
        <v>61.970430110000002</v>
      </c>
      <c r="D131" s="110">
        <v>45107</v>
      </c>
    </row>
    <row r="132" spans="1:4" x14ac:dyDescent="0.2">
      <c r="A132" t="s">
        <v>959</v>
      </c>
      <c r="B132" t="s">
        <v>4280</v>
      </c>
      <c r="C132">
        <v>91.702508960000003</v>
      </c>
      <c r="D132" s="110">
        <v>45107</v>
      </c>
    </row>
    <row r="133" spans="1:4" x14ac:dyDescent="0.2">
      <c r="A133" t="s">
        <v>959</v>
      </c>
      <c r="B133" t="s">
        <v>4282</v>
      </c>
      <c r="C133">
        <v>11.31630824</v>
      </c>
      <c r="D133" s="110">
        <v>45107</v>
      </c>
    </row>
    <row r="134" spans="1:4" x14ac:dyDescent="0.2">
      <c r="A134" t="s">
        <v>959</v>
      </c>
      <c r="B134" t="s">
        <v>4283</v>
      </c>
      <c r="C134">
        <v>12.027777779999999</v>
      </c>
      <c r="D134" s="110">
        <v>45107</v>
      </c>
    </row>
    <row r="135" spans="1:4" x14ac:dyDescent="0.2">
      <c r="A135" t="s">
        <v>959</v>
      </c>
      <c r="B135" t="s">
        <v>956</v>
      </c>
      <c r="C135">
        <v>89.605734769999998</v>
      </c>
      <c r="D135" s="110">
        <v>45107</v>
      </c>
    </row>
    <row r="136" spans="1:4" x14ac:dyDescent="0.2">
      <c r="A136" t="s">
        <v>959</v>
      </c>
      <c r="B136" t="s">
        <v>957</v>
      </c>
      <c r="C136">
        <v>104.29928314999999</v>
      </c>
      <c r="D136" s="110">
        <v>45107</v>
      </c>
    </row>
    <row r="137" spans="1:4" x14ac:dyDescent="0.2">
      <c r="A137" t="s">
        <v>959</v>
      </c>
      <c r="B137" t="s">
        <v>959</v>
      </c>
      <c r="C137">
        <v>1</v>
      </c>
      <c r="D137" s="110">
        <v>45107</v>
      </c>
    </row>
    <row r="138" spans="1:4" x14ac:dyDescent="0.2">
      <c r="A138" t="s">
        <v>959</v>
      </c>
      <c r="B138" t="s">
        <v>4284</v>
      </c>
      <c r="C138">
        <v>17.586021509999998</v>
      </c>
      <c r="D138" s="110">
        <v>45107</v>
      </c>
    </row>
    <row r="139" spans="1:4" x14ac:dyDescent="0.2">
      <c r="A139" t="s">
        <v>959</v>
      </c>
      <c r="B139" t="s">
        <v>4285</v>
      </c>
      <c r="C139">
        <v>7.5913978499999999</v>
      </c>
      <c r="D139" s="110">
        <v>45107</v>
      </c>
    </row>
    <row r="140" spans="1:4" x14ac:dyDescent="0.2">
      <c r="A140" t="s">
        <v>959</v>
      </c>
      <c r="B140" t="s">
        <v>4286</v>
      </c>
      <c r="C140">
        <v>50.153225810000002</v>
      </c>
      <c r="D140" s="110">
        <v>45107</v>
      </c>
    </row>
    <row r="141" spans="1:4" x14ac:dyDescent="0.2">
      <c r="A141" t="s">
        <v>959</v>
      </c>
      <c r="B141" t="s">
        <v>4287</v>
      </c>
      <c r="C141">
        <v>20.197132620000001</v>
      </c>
      <c r="D141" s="110">
        <v>45107</v>
      </c>
    </row>
    <row r="142" spans="1:4" x14ac:dyDescent="0.2">
      <c r="A142" t="s">
        <v>959</v>
      </c>
      <c r="B142" t="s">
        <v>4288</v>
      </c>
      <c r="C142">
        <v>22.543906809999999</v>
      </c>
      <c r="D142" s="110">
        <v>45107</v>
      </c>
    </row>
    <row r="143" spans="1:4" x14ac:dyDescent="0.2">
      <c r="A143" t="s">
        <v>959</v>
      </c>
      <c r="B143" t="s">
        <v>3825</v>
      </c>
      <c r="C143">
        <v>7.6093190000000002</v>
      </c>
      <c r="D143" s="110">
        <v>45107</v>
      </c>
    </row>
    <row r="144" spans="1:4" x14ac:dyDescent="0.2">
      <c r="A144" t="s">
        <v>959</v>
      </c>
      <c r="B144" t="s">
        <v>955</v>
      </c>
      <c r="C144">
        <v>60.703405019999998</v>
      </c>
      <c r="D144" s="110">
        <v>45107</v>
      </c>
    </row>
    <row r="145" spans="1:4" x14ac:dyDescent="0.2">
      <c r="A145" t="s">
        <v>959</v>
      </c>
      <c r="B145" t="s">
        <v>961</v>
      </c>
      <c r="C145">
        <v>82.083333330000002</v>
      </c>
      <c r="D145" s="110">
        <v>45107</v>
      </c>
    </row>
    <row r="146" spans="1:4" x14ac:dyDescent="0.2">
      <c r="A146" t="s">
        <v>3825</v>
      </c>
      <c r="B146" t="s">
        <v>4055</v>
      </c>
      <c r="C146">
        <v>2.9368817699999998</v>
      </c>
      <c r="D146" s="110">
        <v>45107</v>
      </c>
    </row>
    <row r="147" spans="1:4" x14ac:dyDescent="0.2">
      <c r="A147" t="s">
        <v>3825</v>
      </c>
      <c r="B147" t="s">
        <v>958</v>
      </c>
      <c r="C147">
        <v>7.1873528000000002</v>
      </c>
      <c r="D147" s="110">
        <v>45107</v>
      </c>
    </row>
    <row r="148" spans="1:4" x14ac:dyDescent="0.2">
      <c r="A148" t="s">
        <v>3825</v>
      </c>
      <c r="B148" t="s">
        <v>4056</v>
      </c>
      <c r="C148">
        <v>2.2521196400000001</v>
      </c>
      <c r="D148" s="110">
        <v>45107</v>
      </c>
    </row>
    <row r="149" spans="1:4" x14ac:dyDescent="0.2">
      <c r="A149" t="s">
        <v>3825</v>
      </c>
      <c r="B149" t="s">
        <v>868</v>
      </c>
      <c r="C149">
        <v>8.1440178999999997</v>
      </c>
      <c r="D149" s="110">
        <v>45107</v>
      </c>
    </row>
    <row r="150" spans="1:4" x14ac:dyDescent="0.2">
      <c r="A150" t="s">
        <v>3825</v>
      </c>
      <c r="B150" t="s">
        <v>4280</v>
      </c>
      <c r="C150">
        <v>12.051342440000001</v>
      </c>
      <c r="D150" s="110">
        <v>45107</v>
      </c>
    </row>
    <row r="151" spans="1:4" x14ac:dyDescent="0.2">
      <c r="A151" t="s">
        <v>3825</v>
      </c>
      <c r="B151" t="s">
        <v>4282</v>
      </c>
      <c r="C151">
        <v>1.48716439</v>
      </c>
      <c r="D151" s="110">
        <v>45107</v>
      </c>
    </row>
    <row r="152" spans="1:4" x14ac:dyDescent="0.2">
      <c r="A152" t="s">
        <v>3825</v>
      </c>
      <c r="B152" t="s">
        <v>4283</v>
      </c>
      <c r="C152">
        <v>1.58066415</v>
      </c>
      <c r="D152" s="110">
        <v>45107</v>
      </c>
    </row>
    <row r="153" spans="1:4" x14ac:dyDescent="0.2">
      <c r="A153" t="s">
        <v>3825</v>
      </c>
      <c r="B153" t="s">
        <v>956</v>
      </c>
      <c r="C153">
        <v>11.77578898</v>
      </c>
      <c r="D153" s="110">
        <v>45107</v>
      </c>
    </row>
    <row r="154" spans="1:4" x14ac:dyDescent="0.2">
      <c r="A154" t="s">
        <v>3825</v>
      </c>
      <c r="B154" t="s">
        <v>957</v>
      </c>
      <c r="C154">
        <v>13.70678285</v>
      </c>
      <c r="D154" s="110">
        <v>45107</v>
      </c>
    </row>
    <row r="155" spans="1:4" x14ac:dyDescent="0.2">
      <c r="A155" t="s">
        <v>3825</v>
      </c>
      <c r="B155" t="s">
        <v>959</v>
      </c>
      <c r="C155">
        <v>0.13141781</v>
      </c>
      <c r="D155" s="110">
        <v>45107</v>
      </c>
    </row>
    <row r="156" spans="1:4" x14ac:dyDescent="0.2">
      <c r="A156" t="s">
        <v>3825</v>
      </c>
      <c r="B156" t="s">
        <v>4284</v>
      </c>
      <c r="C156">
        <v>2.3111163499999998</v>
      </c>
      <c r="D156" s="110">
        <v>45107</v>
      </c>
    </row>
    <row r="157" spans="1:4" x14ac:dyDescent="0.2">
      <c r="A157" t="s">
        <v>3825</v>
      </c>
      <c r="B157" t="s">
        <v>4285</v>
      </c>
      <c r="C157">
        <v>0.99764483999999998</v>
      </c>
      <c r="D157" s="110">
        <v>45107</v>
      </c>
    </row>
    <row r="158" spans="1:4" x14ac:dyDescent="0.2">
      <c r="A158" t="s">
        <v>3825</v>
      </c>
      <c r="B158" t="s">
        <v>4286</v>
      </c>
      <c r="C158">
        <v>6.5910268500000004</v>
      </c>
      <c r="D158" s="110">
        <v>45107</v>
      </c>
    </row>
    <row r="159" spans="1:4" x14ac:dyDescent="0.2">
      <c r="A159" t="s">
        <v>3825</v>
      </c>
      <c r="B159" t="s">
        <v>4287</v>
      </c>
      <c r="C159">
        <v>2.6542628399999999</v>
      </c>
      <c r="D159" s="110">
        <v>45107</v>
      </c>
    </row>
    <row r="160" spans="1:4" x14ac:dyDescent="0.2">
      <c r="A160" t="s">
        <v>3825</v>
      </c>
      <c r="B160" t="s">
        <v>4288</v>
      </c>
      <c r="C160">
        <v>2.96267075</v>
      </c>
      <c r="D160" s="110">
        <v>45107</v>
      </c>
    </row>
    <row r="161" spans="1:4" x14ac:dyDescent="0.2">
      <c r="A161" t="s">
        <v>3825</v>
      </c>
      <c r="B161" t="s">
        <v>3825</v>
      </c>
      <c r="C161">
        <v>1</v>
      </c>
      <c r="D161" s="110">
        <v>45107</v>
      </c>
    </row>
    <row r="162" spans="1:4" x14ac:dyDescent="0.2">
      <c r="A162" t="s">
        <v>3825</v>
      </c>
      <c r="B162" t="s">
        <v>955</v>
      </c>
      <c r="C162">
        <v>7.9775082399999997</v>
      </c>
      <c r="D162" s="110">
        <v>45107</v>
      </c>
    </row>
    <row r="163" spans="1:4" x14ac:dyDescent="0.2">
      <c r="A163" t="s">
        <v>3825</v>
      </c>
      <c r="B163" t="s">
        <v>961</v>
      </c>
      <c r="C163">
        <v>10.787211490000001</v>
      </c>
      <c r="D163" s="110">
        <v>45107</v>
      </c>
    </row>
    <row r="164" spans="1:4" x14ac:dyDescent="0.2">
      <c r="A164" t="s">
        <v>955</v>
      </c>
      <c r="B164" t="s">
        <v>4055</v>
      </c>
      <c r="C164">
        <v>0.36814524999999998</v>
      </c>
      <c r="D164" s="110">
        <v>45107</v>
      </c>
    </row>
    <row r="165" spans="1:4" x14ac:dyDescent="0.2">
      <c r="A165" t="s">
        <v>955</v>
      </c>
      <c r="B165" t="s">
        <v>958</v>
      </c>
      <c r="C165">
        <v>0.90095210000000003</v>
      </c>
      <c r="D165" s="110">
        <v>45107</v>
      </c>
    </row>
    <row r="166" spans="1:4" x14ac:dyDescent="0.2">
      <c r="A166" t="s">
        <v>955</v>
      </c>
      <c r="B166" t="s">
        <v>4056</v>
      </c>
      <c r="C166">
        <v>0.28230865999999999</v>
      </c>
      <c r="D166" s="110">
        <v>45107</v>
      </c>
    </row>
    <row r="167" spans="1:4" x14ac:dyDescent="0.2">
      <c r="A167" t="s">
        <v>955</v>
      </c>
      <c r="B167" t="s">
        <v>868</v>
      </c>
      <c r="C167">
        <v>1.0208723900000001</v>
      </c>
      <c r="D167" s="110">
        <v>45107</v>
      </c>
    </row>
    <row r="168" spans="1:4" x14ac:dyDescent="0.2">
      <c r="A168" t="s">
        <v>955</v>
      </c>
      <c r="B168" t="s">
        <v>4280</v>
      </c>
      <c r="C168">
        <v>1.51066499</v>
      </c>
      <c r="D168" s="110">
        <v>45107</v>
      </c>
    </row>
    <row r="169" spans="1:4" x14ac:dyDescent="0.2">
      <c r="A169" t="s">
        <v>955</v>
      </c>
      <c r="B169" t="s">
        <v>4282</v>
      </c>
      <c r="C169">
        <v>0.18641965999999999</v>
      </c>
      <c r="D169" s="110">
        <v>45107</v>
      </c>
    </row>
    <row r="170" spans="1:4" x14ac:dyDescent="0.2">
      <c r="A170" t="s">
        <v>955</v>
      </c>
      <c r="B170" t="s">
        <v>4283</v>
      </c>
      <c r="C170">
        <v>0.19814008</v>
      </c>
      <c r="D170" s="110">
        <v>45107</v>
      </c>
    </row>
    <row r="171" spans="1:4" x14ac:dyDescent="0.2">
      <c r="A171" t="s">
        <v>955</v>
      </c>
      <c r="B171" t="s">
        <v>956</v>
      </c>
      <c r="C171">
        <v>1.4761237</v>
      </c>
      <c r="D171" s="110">
        <v>45107</v>
      </c>
    </row>
    <row r="172" spans="1:4" x14ac:dyDescent="0.2">
      <c r="A172" t="s">
        <v>955</v>
      </c>
      <c r="B172" t="s">
        <v>957</v>
      </c>
      <c r="C172">
        <v>1.7181784600000001</v>
      </c>
      <c r="D172" s="110">
        <v>45107</v>
      </c>
    </row>
    <row r="173" spans="1:4" x14ac:dyDescent="0.2">
      <c r="A173" t="s">
        <v>955</v>
      </c>
      <c r="B173" t="s">
        <v>959</v>
      </c>
      <c r="C173">
        <v>1.6473539999999998E-2</v>
      </c>
      <c r="D173" s="110">
        <v>45107</v>
      </c>
    </row>
    <row r="174" spans="1:4" x14ac:dyDescent="0.2">
      <c r="A174" t="s">
        <v>955</v>
      </c>
      <c r="B174" t="s">
        <v>4284</v>
      </c>
      <c r="C174">
        <v>0.28970404</v>
      </c>
      <c r="D174" s="110">
        <v>45107</v>
      </c>
    </row>
    <row r="175" spans="1:4" x14ac:dyDescent="0.2">
      <c r="A175" t="s">
        <v>955</v>
      </c>
      <c r="B175" t="s">
        <v>4285</v>
      </c>
      <c r="C175">
        <v>0.12505720000000001</v>
      </c>
      <c r="D175" s="110">
        <v>45107</v>
      </c>
    </row>
    <row r="176" spans="1:4" x14ac:dyDescent="0.2">
      <c r="A176" t="s">
        <v>955</v>
      </c>
      <c r="B176" t="s">
        <v>4286</v>
      </c>
      <c r="C176">
        <v>0.82620119999999997</v>
      </c>
      <c r="D176" s="110">
        <v>45107</v>
      </c>
    </row>
    <row r="177" spans="1:4" x14ac:dyDescent="0.2">
      <c r="A177" t="s">
        <v>955</v>
      </c>
      <c r="B177" t="s">
        <v>4287</v>
      </c>
      <c r="C177">
        <v>0.33271827999999998</v>
      </c>
      <c r="D177" s="110">
        <v>45107</v>
      </c>
    </row>
    <row r="178" spans="1:4" x14ac:dyDescent="0.2">
      <c r="A178" t="s">
        <v>955</v>
      </c>
      <c r="B178" t="s">
        <v>4288</v>
      </c>
      <c r="C178">
        <v>0.37137796000000001</v>
      </c>
      <c r="D178" s="110">
        <v>45107</v>
      </c>
    </row>
    <row r="179" spans="1:4" x14ac:dyDescent="0.2">
      <c r="A179" t="s">
        <v>955</v>
      </c>
      <c r="B179" t="s">
        <v>3825</v>
      </c>
      <c r="C179">
        <v>0.12535242999999999</v>
      </c>
      <c r="D179" s="110">
        <v>45107</v>
      </c>
    </row>
    <row r="180" spans="1:4" x14ac:dyDescent="0.2">
      <c r="A180" t="s">
        <v>955</v>
      </c>
      <c r="B180" t="s">
        <v>955</v>
      </c>
      <c r="C180">
        <v>1</v>
      </c>
      <c r="D180" s="110">
        <v>45107</v>
      </c>
    </row>
    <row r="181" spans="1:4" x14ac:dyDescent="0.2">
      <c r="A181" t="s">
        <v>955</v>
      </c>
      <c r="B181" t="s">
        <v>961</v>
      </c>
      <c r="C181">
        <v>1.35220312</v>
      </c>
      <c r="D181" s="110">
        <v>45107</v>
      </c>
    </row>
    <row r="182" spans="1:4" x14ac:dyDescent="0.2">
      <c r="A182" t="s">
        <v>961</v>
      </c>
      <c r="B182" t="s">
        <v>4055</v>
      </c>
      <c r="C182">
        <v>0.27225588000000001</v>
      </c>
      <c r="D182" s="110">
        <v>45107</v>
      </c>
    </row>
    <row r="183" spans="1:4" x14ac:dyDescent="0.2">
      <c r="A183" t="s">
        <v>961</v>
      </c>
      <c r="B183" t="s">
        <v>958</v>
      </c>
      <c r="C183">
        <v>0.66628458999999995</v>
      </c>
      <c r="D183" s="110">
        <v>45107</v>
      </c>
    </row>
    <row r="184" spans="1:4" x14ac:dyDescent="0.2">
      <c r="A184" t="s">
        <v>961</v>
      </c>
      <c r="B184" t="s">
        <v>4056</v>
      </c>
      <c r="C184">
        <v>0.20877681000000001</v>
      </c>
      <c r="D184" s="110">
        <v>45107</v>
      </c>
    </row>
    <row r="185" spans="1:4" x14ac:dyDescent="0.2">
      <c r="A185" t="s">
        <v>961</v>
      </c>
      <c r="B185" t="s">
        <v>868</v>
      </c>
      <c r="C185">
        <v>0.75496971000000002</v>
      </c>
      <c r="D185" s="110">
        <v>45107</v>
      </c>
    </row>
    <row r="186" spans="1:4" x14ac:dyDescent="0.2">
      <c r="A186" t="s">
        <v>961</v>
      </c>
      <c r="B186" t="s">
        <v>4280</v>
      </c>
      <c r="C186">
        <v>1.1171879300000001</v>
      </c>
      <c r="D186" s="110">
        <v>45107</v>
      </c>
    </row>
    <row r="187" spans="1:4" x14ac:dyDescent="0.2">
      <c r="A187" t="s">
        <v>961</v>
      </c>
      <c r="B187" t="s">
        <v>4282</v>
      </c>
      <c r="C187">
        <v>0.13786365</v>
      </c>
      <c r="D187" s="110">
        <v>45107</v>
      </c>
    </row>
    <row r="188" spans="1:4" x14ac:dyDescent="0.2">
      <c r="A188" t="s">
        <v>961</v>
      </c>
      <c r="B188" t="s">
        <v>4283</v>
      </c>
      <c r="C188">
        <v>0.1465313</v>
      </c>
      <c r="D188" s="110">
        <v>45107</v>
      </c>
    </row>
    <row r="189" spans="1:4" x14ac:dyDescent="0.2">
      <c r="A189" t="s">
        <v>961</v>
      </c>
      <c r="B189" t="s">
        <v>956</v>
      </c>
      <c r="C189">
        <v>1.0916434699999999</v>
      </c>
      <c r="D189" s="110">
        <v>45107</v>
      </c>
    </row>
    <row r="190" spans="1:4" x14ac:dyDescent="0.2">
      <c r="A190" t="s">
        <v>961</v>
      </c>
      <c r="B190" t="s">
        <v>957</v>
      </c>
      <c r="C190">
        <v>1.2706511700000001</v>
      </c>
      <c r="D190" s="110">
        <v>45107</v>
      </c>
    </row>
    <row r="191" spans="1:4" x14ac:dyDescent="0.2">
      <c r="A191" t="s">
        <v>961</v>
      </c>
      <c r="B191" t="s">
        <v>959</v>
      </c>
      <c r="C191">
        <v>1.2182739999999999E-2</v>
      </c>
      <c r="D191" s="110">
        <v>45107</v>
      </c>
    </row>
    <row r="192" spans="1:4" x14ac:dyDescent="0.2">
      <c r="A192" t="s">
        <v>961</v>
      </c>
      <c r="B192" t="s">
        <v>4284</v>
      </c>
      <c r="C192">
        <v>0.21424594999999999</v>
      </c>
      <c r="D192" s="110">
        <v>45107</v>
      </c>
    </row>
    <row r="193" spans="1:4" x14ac:dyDescent="0.2">
      <c r="A193" t="s">
        <v>961</v>
      </c>
      <c r="B193" t="s">
        <v>4285</v>
      </c>
      <c r="C193">
        <v>9.2484040000000003E-2</v>
      </c>
      <c r="D193" s="110">
        <v>45107</v>
      </c>
    </row>
    <row r="194" spans="1:4" x14ac:dyDescent="0.2">
      <c r="A194" t="s">
        <v>961</v>
      </c>
      <c r="B194" t="s">
        <v>4286</v>
      </c>
      <c r="C194">
        <v>0.61100376999999995</v>
      </c>
      <c r="D194" s="110">
        <v>45107</v>
      </c>
    </row>
    <row r="195" spans="1:4" x14ac:dyDescent="0.2">
      <c r="A195" t="s">
        <v>961</v>
      </c>
      <c r="B195" t="s">
        <v>4287</v>
      </c>
      <c r="C195">
        <v>0.24605643999999999</v>
      </c>
      <c r="D195" s="110">
        <v>45107</v>
      </c>
    </row>
    <row r="196" spans="1:4" x14ac:dyDescent="0.2">
      <c r="A196" t="s">
        <v>961</v>
      </c>
      <c r="B196" t="s">
        <v>4288</v>
      </c>
      <c r="C196">
        <v>0.27464657999999997</v>
      </c>
      <c r="D196" s="110">
        <v>45107</v>
      </c>
    </row>
    <row r="197" spans="1:4" x14ac:dyDescent="0.2">
      <c r="A197" t="s">
        <v>961</v>
      </c>
      <c r="B197" t="s">
        <v>3825</v>
      </c>
      <c r="C197">
        <v>9.2702359999999998E-2</v>
      </c>
      <c r="D197" s="110">
        <v>45107</v>
      </c>
    </row>
    <row r="198" spans="1:4" x14ac:dyDescent="0.2">
      <c r="A198" t="s">
        <v>961</v>
      </c>
      <c r="B198" t="s">
        <v>955</v>
      </c>
      <c r="C198">
        <v>0.73953387000000004</v>
      </c>
      <c r="D198" s="110">
        <v>45107</v>
      </c>
    </row>
    <row r="199" spans="1:4" x14ac:dyDescent="0.2">
      <c r="A199" t="s">
        <v>961</v>
      </c>
      <c r="B199" t="s">
        <v>961</v>
      </c>
      <c r="C199">
        <v>1</v>
      </c>
      <c r="D199" s="110">
        <v>45107</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98F41-24E8-436A-9C1B-A8C04973E214}">
  <sheetPr codeName="Sheet41"/>
  <dimension ref="A1:G23"/>
  <sheetViews>
    <sheetView workbookViewId="0">
      <selection activeCell="Y47" sqref="Y47"/>
    </sheetView>
  </sheetViews>
  <sheetFormatPr defaultRowHeight="10" x14ac:dyDescent="0.2"/>
  <cols>
    <col min="3" max="3" width="25.33203125" customWidth="1"/>
    <col min="6" max="6" width="17" customWidth="1"/>
    <col min="7" max="7" width="21.33203125" customWidth="1"/>
  </cols>
  <sheetData>
    <row r="1" spans="1:7" ht="15.5" x14ac:dyDescent="0.35">
      <c r="A1" s="847" t="s">
        <v>0</v>
      </c>
      <c r="B1" s="847"/>
      <c r="C1" s="847"/>
      <c r="D1" s="847"/>
      <c r="E1" s="847"/>
      <c r="F1" s="847"/>
      <c r="G1" s="847"/>
    </row>
    <row r="2" spans="1:7" ht="15.5" x14ac:dyDescent="0.35">
      <c r="A2" s="847" t="s">
        <v>1</v>
      </c>
      <c r="B2" s="847"/>
      <c r="C2" s="847"/>
      <c r="D2" s="847"/>
      <c r="E2" s="847"/>
      <c r="F2" s="847"/>
      <c r="G2" s="847"/>
    </row>
    <row r="3" spans="1:7" ht="18" x14ac:dyDescent="0.4">
      <c r="A3" s="846" t="s">
        <v>822</v>
      </c>
      <c r="B3" s="846"/>
      <c r="C3" s="846"/>
      <c r="D3" s="846"/>
      <c r="E3" s="846"/>
      <c r="F3" s="846"/>
      <c r="G3" s="846"/>
    </row>
    <row r="4" spans="1:7" ht="18" x14ac:dyDescent="0.4">
      <c r="A4" s="846" t="s">
        <v>3</v>
      </c>
      <c r="B4" s="846"/>
      <c r="C4" s="846"/>
      <c r="D4" s="846"/>
      <c r="E4" s="846"/>
      <c r="F4" s="846"/>
      <c r="G4" s="846"/>
    </row>
    <row r="5" spans="1:7" ht="18" x14ac:dyDescent="0.4">
      <c r="A5" s="846" t="s">
        <v>4</v>
      </c>
      <c r="B5" s="846"/>
      <c r="C5" s="846"/>
      <c r="D5" s="846"/>
      <c r="E5" s="846"/>
      <c r="F5" s="846"/>
      <c r="G5" s="846"/>
    </row>
    <row r="6" spans="1:7" ht="18" x14ac:dyDescent="0.4">
      <c r="A6" s="846" t="s">
        <v>4</v>
      </c>
      <c r="B6" s="846"/>
      <c r="C6" s="846"/>
      <c r="D6" s="846"/>
      <c r="E6" s="846"/>
      <c r="F6" s="846"/>
      <c r="G6" s="846"/>
    </row>
    <row r="7" spans="1:7" x14ac:dyDescent="0.2">
      <c r="A7" s="32" t="s">
        <v>307</v>
      </c>
      <c r="B7" s="32" t="s">
        <v>6</v>
      </c>
      <c r="C7" s="32" t="s">
        <v>7</v>
      </c>
      <c r="D7" s="32" t="s">
        <v>8</v>
      </c>
      <c r="E7" s="32" t="s">
        <v>823</v>
      </c>
      <c r="F7" s="33" t="s">
        <v>11</v>
      </c>
      <c r="G7" s="33" t="s">
        <v>12</v>
      </c>
    </row>
    <row r="8" spans="1:7" ht="13" x14ac:dyDescent="0.2">
      <c r="A8" s="34" t="s">
        <v>311</v>
      </c>
      <c r="B8" s="34"/>
      <c r="C8" s="35"/>
      <c r="D8" s="34"/>
      <c r="E8" s="34"/>
      <c r="F8" s="36">
        <v>0</v>
      </c>
      <c r="G8" s="36">
        <v>0</v>
      </c>
    </row>
    <row r="9" spans="1:7" ht="12.5" x14ac:dyDescent="0.25">
      <c r="A9" s="37" t="s">
        <v>312</v>
      </c>
      <c r="B9" s="38"/>
      <c r="C9" s="39"/>
      <c r="D9" s="38"/>
      <c r="E9" s="38"/>
      <c r="F9" s="40">
        <v>0</v>
      </c>
      <c r="G9" s="40">
        <v>0</v>
      </c>
    </row>
    <row r="10" spans="1:7" ht="12.5" x14ac:dyDescent="0.25">
      <c r="A10" s="41" t="s">
        <v>353</v>
      </c>
      <c r="B10" s="38"/>
      <c r="C10" s="39"/>
      <c r="D10" s="38"/>
      <c r="E10" s="38"/>
      <c r="F10" s="42">
        <v>0</v>
      </c>
      <c r="G10" s="42">
        <v>0</v>
      </c>
    </row>
    <row r="11" spans="1:7" ht="12.5" x14ac:dyDescent="0.25">
      <c r="A11" s="43" t="s">
        <v>220</v>
      </c>
      <c r="B11" s="38"/>
      <c r="C11" s="39"/>
      <c r="D11" s="38"/>
      <c r="E11" s="38"/>
      <c r="F11" s="42">
        <v>0</v>
      </c>
      <c r="G11" s="42">
        <v>81685.408771545903</v>
      </c>
    </row>
    <row r="12" spans="1:7" ht="12.5" x14ac:dyDescent="0.2">
      <c r="A12" s="44"/>
      <c r="B12" s="38" t="s">
        <v>21</v>
      </c>
      <c r="C12" s="39">
        <v>44665</v>
      </c>
      <c r="D12" s="38" t="s">
        <v>228</v>
      </c>
      <c r="E12" s="38"/>
      <c r="F12" s="42">
        <v>-27057.044726634555</v>
      </c>
      <c r="G12" s="42">
        <v>54628.364044911345</v>
      </c>
    </row>
    <row r="13" spans="1:7" ht="12.5" x14ac:dyDescent="0.2">
      <c r="A13" s="44"/>
      <c r="B13" s="38" t="s">
        <v>21</v>
      </c>
      <c r="C13" s="39">
        <v>44725</v>
      </c>
      <c r="D13" s="38" t="s">
        <v>816</v>
      </c>
      <c r="E13" s="38"/>
      <c r="F13" s="42">
        <v>-35377.011978702794</v>
      </c>
      <c r="G13" s="42">
        <v>19251.35206620855</v>
      </c>
    </row>
    <row r="14" spans="1:7" ht="12.5" x14ac:dyDescent="0.25">
      <c r="A14" s="45" t="s">
        <v>237</v>
      </c>
      <c r="B14" s="46"/>
      <c r="C14" s="47"/>
      <c r="D14" s="46"/>
      <c r="E14" s="46"/>
      <c r="F14" s="48">
        <v>-62434.056705337352</v>
      </c>
      <c r="G14" s="48">
        <v>19251.35206620855</v>
      </c>
    </row>
    <row r="15" spans="1:7" ht="12.5" x14ac:dyDescent="0.25">
      <c r="A15" s="49" t="s">
        <v>380</v>
      </c>
      <c r="B15" s="46"/>
      <c r="C15" s="47"/>
      <c r="D15" s="46"/>
      <c r="E15" s="46"/>
      <c r="F15" s="48">
        <v>-62434.056705337352</v>
      </c>
      <c r="G15" s="48">
        <v>19251.35206620855</v>
      </c>
    </row>
    <row r="16" spans="1:7" ht="12.5" x14ac:dyDescent="0.25">
      <c r="A16" s="50" t="s">
        <v>381</v>
      </c>
      <c r="B16" s="51"/>
      <c r="C16" s="52"/>
      <c r="D16" s="51"/>
      <c r="E16" s="51"/>
      <c r="F16" s="53">
        <v>-62434.056705337352</v>
      </c>
      <c r="G16" s="53">
        <v>19251.35206620855</v>
      </c>
    </row>
    <row r="17" spans="1:7" ht="13" x14ac:dyDescent="0.2">
      <c r="A17" s="54" t="s">
        <v>431</v>
      </c>
      <c r="B17" s="54"/>
      <c r="C17" s="55"/>
      <c r="D17" s="54"/>
      <c r="E17" s="54"/>
      <c r="F17" s="56">
        <v>-62434.056705337352</v>
      </c>
      <c r="G17" s="56">
        <v>19251.35206620855</v>
      </c>
    </row>
    <row r="18" spans="1:7" ht="10.5" x14ac:dyDescent="0.2">
      <c r="A18" s="57"/>
      <c r="B18" s="28"/>
      <c r="C18" s="29"/>
      <c r="D18" s="28"/>
      <c r="E18" s="28"/>
      <c r="F18" s="30">
        <v>0</v>
      </c>
      <c r="G18" s="30">
        <v>0</v>
      </c>
    </row>
    <row r="19" spans="1:7" ht="10.5" x14ac:dyDescent="0.2">
      <c r="A19" s="57"/>
      <c r="B19" s="28"/>
      <c r="C19" s="29"/>
      <c r="D19" s="28"/>
      <c r="E19" s="28"/>
      <c r="F19" s="30">
        <v>0</v>
      </c>
      <c r="G19" s="30">
        <v>0</v>
      </c>
    </row>
    <row r="20" spans="1:7" ht="10.5" x14ac:dyDescent="0.2">
      <c r="A20" s="57"/>
      <c r="B20" s="28"/>
      <c r="C20" s="29"/>
      <c r="D20" s="28"/>
      <c r="E20" s="28"/>
      <c r="F20" s="30">
        <v>0</v>
      </c>
      <c r="G20" s="30">
        <v>0</v>
      </c>
    </row>
    <row r="21" spans="1:7" ht="13" thickBot="1" x14ac:dyDescent="0.25">
      <c r="A21" s="58" t="s">
        <v>531</v>
      </c>
      <c r="B21" s="58"/>
      <c r="C21" s="59"/>
      <c r="D21" s="58"/>
      <c r="E21" s="58"/>
      <c r="F21" s="60">
        <v>0</v>
      </c>
      <c r="G21" s="60">
        <v>0</v>
      </c>
    </row>
    <row r="22" spans="1:7" ht="14" thickTop="1" thickBot="1" x14ac:dyDescent="0.25">
      <c r="A22" s="61" t="s">
        <v>532</v>
      </c>
      <c r="B22" s="61"/>
      <c r="C22" s="62"/>
      <c r="D22" s="61"/>
      <c r="E22" s="61"/>
      <c r="F22" s="63">
        <v>0</v>
      </c>
      <c r="G22" s="63">
        <v>0</v>
      </c>
    </row>
    <row r="23" spans="1:7" ht="10.5" thickTop="1" x14ac:dyDescent="0.2">
      <c r="A23" s="64" t="s">
        <v>533</v>
      </c>
      <c r="B23" s="64"/>
      <c r="C23" s="65"/>
      <c r="D23" s="64"/>
      <c r="E23" s="64"/>
      <c r="F23" s="66">
        <v>-62434.056705337352</v>
      </c>
      <c r="G23" s="66">
        <v>19251.35206620855</v>
      </c>
    </row>
  </sheetData>
  <mergeCells count="6">
    <mergeCell ref="A6:G6"/>
    <mergeCell ref="A1:G1"/>
    <mergeCell ref="A2:G2"/>
    <mergeCell ref="A3:G3"/>
    <mergeCell ref="A4:G4"/>
    <mergeCell ref="A5:G5"/>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E853-6C06-4EDA-9A44-7E478A1FD940}">
  <sheetPr codeName="Sheet42"/>
  <dimension ref="V33:W42"/>
  <sheetViews>
    <sheetView topLeftCell="A10" workbookViewId="0">
      <selection activeCell="Y47" sqref="Y47"/>
    </sheetView>
  </sheetViews>
  <sheetFormatPr defaultRowHeight="10" x14ac:dyDescent="0.2"/>
  <cols>
    <col min="22" max="22" width="13" bestFit="1" customWidth="1"/>
  </cols>
  <sheetData>
    <row r="33" spans="22:23" x14ac:dyDescent="0.2">
      <c r="V33" s="24"/>
    </row>
    <row r="34" spans="22:23" x14ac:dyDescent="0.2">
      <c r="V34" s="24"/>
    </row>
    <row r="35" spans="22:23" x14ac:dyDescent="0.2">
      <c r="V35" s="24"/>
    </row>
    <row r="36" spans="22:23" x14ac:dyDescent="0.2">
      <c r="V36" s="24">
        <v>8092784</v>
      </c>
      <c r="W36" t="s">
        <v>952</v>
      </c>
    </row>
    <row r="37" spans="22:23" x14ac:dyDescent="0.2">
      <c r="V37" s="24"/>
    </row>
    <row r="38" spans="22:23" x14ac:dyDescent="0.2">
      <c r="V38" s="24"/>
    </row>
    <row r="39" spans="22:23" x14ac:dyDescent="0.2">
      <c r="V39" s="24"/>
    </row>
    <row r="40" spans="22:23" x14ac:dyDescent="0.2">
      <c r="V40" s="24"/>
    </row>
    <row r="41" spans="22:23" x14ac:dyDescent="0.2">
      <c r="V41" s="24"/>
    </row>
    <row r="42" spans="22:23" x14ac:dyDescent="0.2">
      <c r="V42" s="24"/>
    </row>
  </sheetData>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4734F-E830-4ED8-8C08-A6C96096B81D}">
  <sheetPr codeName="Sheet43"/>
  <dimension ref="D7:J41"/>
  <sheetViews>
    <sheetView workbookViewId="0">
      <selection activeCell="M60" sqref="M60"/>
    </sheetView>
  </sheetViews>
  <sheetFormatPr defaultRowHeight="10" x14ac:dyDescent="0.2"/>
  <sheetData>
    <row r="7" spans="4:10" ht="13" x14ac:dyDescent="0.3">
      <c r="D7" s="68"/>
      <c r="E7" s="68"/>
      <c r="F7" s="68"/>
      <c r="G7" s="68"/>
      <c r="H7" s="68"/>
      <c r="I7" s="68"/>
      <c r="J7" s="68"/>
    </row>
    <row r="8" spans="4:10" ht="13" x14ac:dyDescent="0.3">
      <c r="D8" s="68"/>
      <c r="E8" s="68"/>
      <c r="F8" s="68"/>
      <c r="G8" s="68"/>
      <c r="H8" s="68"/>
      <c r="I8" s="68"/>
      <c r="J8" s="68"/>
    </row>
    <row r="9" spans="4:10" ht="13" x14ac:dyDescent="0.3">
      <c r="D9" s="69" t="s">
        <v>828</v>
      </c>
      <c r="E9" s="68"/>
      <c r="F9" s="70" t="s">
        <v>829</v>
      </c>
      <c r="G9" s="70" t="s">
        <v>830</v>
      </c>
      <c r="H9" s="70" t="s">
        <v>831</v>
      </c>
      <c r="I9" s="69" t="s">
        <v>832</v>
      </c>
      <c r="J9" s="68"/>
    </row>
    <row r="10" spans="4:10" ht="13" x14ac:dyDescent="0.3">
      <c r="D10" s="71" t="s">
        <v>833</v>
      </c>
      <c r="E10" s="68"/>
      <c r="F10" s="72">
        <v>874</v>
      </c>
      <c r="G10" s="73">
        <v>0</v>
      </c>
      <c r="H10" s="72"/>
      <c r="I10" s="73">
        <f>764+110</f>
        <v>874</v>
      </c>
      <c r="J10" s="68"/>
    </row>
    <row r="11" spans="4:10" ht="13" x14ac:dyDescent="0.3">
      <c r="D11" s="72" t="s">
        <v>834</v>
      </c>
      <c r="E11" s="68"/>
      <c r="F11" s="72">
        <v>50</v>
      </c>
      <c r="G11" s="73">
        <v>100</v>
      </c>
      <c r="H11" s="72"/>
      <c r="I11" s="73">
        <v>0</v>
      </c>
      <c r="J11" s="68"/>
    </row>
    <row r="12" spans="4:10" ht="13" x14ac:dyDescent="0.3">
      <c r="D12" s="72" t="s">
        <v>835</v>
      </c>
      <c r="E12" s="68"/>
      <c r="F12" s="72">
        <v>800</v>
      </c>
      <c r="G12" s="73">
        <v>12471</v>
      </c>
      <c r="H12" s="72"/>
      <c r="I12" s="73"/>
      <c r="J12" s="68"/>
    </row>
    <row r="13" spans="4:10" ht="13" x14ac:dyDescent="0.3">
      <c r="D13" s="72" t="s">
        <v>836</v>
      </c>
      <c r="E13" s="68"/>
      <c r="F13" s="72">
        <v>551</v>
      </c>
      <c r="G13" s="73">
        <v>0</v>
      </c>
      <c r="H13" s="72"/>
      <c r="I13" s="73">
        <v>551</v>
      </c>
      <c r="J13" s="68"/>
    </row>
    <row r="14" spans="4:10" ht="13" x14ac:dyDescent="0.3">
      <c r="D14" s="72" t="s">
        <v>837</v>
      </c>
      <c r="E14" s="68"/>
      <c r="F14" s="72">
        <v>1000</v>
      </c>
      <c r="G14" s="73">
        <v>0</v>
      </c>
      <c r="H14" s="72"/>
      <c r="I14" s="72">
        <v>450</v>
      </c>
      <c r="J14" s="68"/>
    </row>
    <row r="15" spans="4:10" ht="13" x14ac:dyDescent="0.3">
      <c r="D15" s="72" t="s">
        <v>838</v>
      </c>
      <c r="E15" s="68"/>
      <c r="F15" s="72">
        <v>0</v>
      </c>
      <c r="G15" s="73">
        <v>0</v>
      </c>
      <c r="H15" s="72"/>
      <c r="I15" s="74">
        <v>0</v>
      </c>
      <c r="J15" s="68"/>
    </row>
    <row r="16" spans="4:10" ht="13" x14ac:dyDescent="0.3">
      <c r="D16" s="72" t="s">
        <v>839</v>
      </c>
      <c r="E16" s="68"/>
      <c r="F16" s="72">
        <v>90</v>
      </c>
      <c r="G16" s="73">
        <v>0</v>
      </c>
      <c r="H16" s="72"/>
      <c r="I16" s="73">
        <v>90</v>
      </c>
      <c r="J16" s="68"/>
    </row>
    <row r="17" spans="4:10" ht="13" x14ac:dyDescent="0.3">
      <c r="D17" s="72" t="s">
        <v>840</v>
      </c>
      <c r="E17" s="68"/>
      <c r="F17" s="72">
        <v>0</v>
      </c>
      <c r="G17" s="73">
        <v>8062</v>
      </c>
      <c r="H17" s="72"/>
      <c r="I17" s="73">
        <v>0</v>
      </c>
      <c r="J17" s="68"/>
    </row>
    <row r="18" spans="4:10" ht="13" x14ac:dyDescent="0.3">
      <c r="D18" s="72" t="s">
        <v>841</v>
      </c>
      <c r="E18" s="68"/>
      <c r="F18" s="72">
        <v>0</v>
      </c>
      <c r="G18" s="73">
        <v>0</v>
      </c>
      <c r="H18" s="72"/>
      <c r="I18" s="73">
        <v>0</v>
      </c>
      <c r="J18" s="68"/>
    </row>
    <row r="19" spans="4:10" ht="13" x14ac:dyDescent="0.3">
      <c r="D19" s="72" t="s">
        <v>842</v>
      </c>
      <c r="E19" s="68"/>
      <c r="F19" s="72">
        <v>456</v>
      </c>
      <c r="G19" s="73">
        <v>0</v>
      </c>
      <c r="H19" s="72">
        <v>6097</v>
      </c>
      <c r="I19" s="73">
        <v>0</v>
      </c>
      <c r="J19" s="68"/>
    </row>
    <row r="20" spans="4:10" ht="13" x14ac:dyDescent="0.3">
      <c r="D20" s="72" t="s">
        <v>843</v>
      </c>
      <c r="E20" s="68"/>
      <c r="F20" s="72">
        <v>44</v>
      </c>
      <c r="G20" s="73">
        <v>0</v>
      </c>
      <c r="H20" s="72"/>
      <c r="I20" s="73">
        <v>44</v>
      </c>
      <c r="J20" s="68"/>
    </row>
    <row r="21" spans="4:10" ht="13" x14ac:dyDescent="0.3">
      <c r="D21" s="72" t="s">
        <v>844</v>
      </c>
      <c r="E21" s="68"/>
      <c r="F21" s="72">
        <v>5</v>
      </c>
      <c r="G21" s="73">
        <v>145</v>
      </c>
      <c r="H21" s="72"/>
      <c r="I21" s="73"/>
      <c r="J21" s="68"/>
    </row>
    <row r="22" spans="4:10" ht="13" x14ac:dyDescent="0.3">
      <c r="D22" s="72" t="s">
        <v>845</v>
      </c>
      <c r="E22" s="68"/>
      <c r="F22" s="72">
        <v>0</v>
      </c>
      <c r="G22" s="72">
        <v>0</v>
      </c>
      <c r="H22" s="72"/>
      <c r="I22" s="73">
        <v>0</v>
      </c>
      <c r="J22" s="68"/>
    </row>
    <row r="23" spans="4:10" ht="13" x14ac:dyDescent="0.3">
      <c r="D23" s="72" t="s">
        <v>846</v>
      </c>
      <c r="E23" s="68"/>
      <c r="F23" s="72">
        <v>1125</v>
      </c>
      <c r="G23" s="73">
        <v>0</v>
      </c>
      <c r="H23" s="72"/>
      <c r="I23" s="73">
        <v>1125</v>
      </c>
      <c r="J23" s="68"/>
    </row>
    <row r="24" spans="4:10" ht="13" x14ac:dyDescent="0.3">
      <c r="D24" s="72" t="s">
        <v>847</v>
      </c>
      <c r="E24" s="68"/>
      <c r="F24" s="72">
        <v>312</v>
      </c>
      <c r="G24" s="73">
        <v>4187</v>
      </c>
      <c r="H24" s="72"/>
      <c r="I24" s="73">
        <v>0</v>
      </c>
      <c r="J24" s="68"/>
    </row>
    <row r="25" spans="4:10" ht="13" x14ac:dyDescent="0.3">
      <c r="D25" s="72" t="s">
        <v>848</v>
      </c>
      <c r="E25" s="68"/>
      <c r="F25" s="72">
        <v>500</v>
      </c>
      <c r="G25" s="73">
        <v>719</v>
      </c>
      <c r="H25" s="72"/>
      <c r="I25" s="73"/>
      <c r="J25" s="68"/>
    </row>
    <row r="26" spans="4:10" ht="13" x14ac:dyDescent="0.3">
      <c r="D26" s="72" t="s">
        <v>849</v>
      </c>
      <c r="E26" s="68"/>
      <c r="F26" s="72">
        <v>4529</v>
      </c>
      <c r="G26" s="73">
        <v>42200</v>
      </c>
      <c r="H26" s="72"/>
      <c r="I26" s="73">
        <v>0</v>
      </c>
      <c r="J26" s="68"/>
    </row>
    <row r="27" spans="4:10" ht="13" x14ac:dyDescent="0.3">
      <c r="D27" s="72" t="s">
        <v>850</v>
      </c>
      <c r="E27" s="68"/>
      <c r="F27" s="72"/>
      <c r="G27" s="73">
        <v>0</v>
      </c>
      <c r="H27" s="72"/>
      <c r="I27" s="73">
        <v>0</v>
      </c>
      <c r="J27" s="68"/>
    </row>
    <row r="28" spans="4:10" ht="13" x14ac:dyDescent="0.3">
      <c r="D28" s="72" t="s">
        <v>851</v>
      </c>
      <c r="E28" s="68"/>
      <c r="F28" s="72">
        <v>3500</v>
      </c>
      <c r="G28" s="73">
        <v>3573</v>
      </c>
      <c r="H28" s="72"/>
      <c r="I28" s="73">
        <v>0</v>
      </c>
      <c r="J28" s="68"/>
    </row>
    <row r="29" spans="4:10" ht="13" x14ac:dyDescent="0.3">
      <c r="D29" s="72" t="s">
        <v>852</v>
      </c>
      <c r="E29" s="68"/>
      <c r="F29" s="72">
        <v>150</v>
      </c>
      <c r="G29" s="73">
        <v>0</v>
      </c>
      <c r="H29" s="72"/>
      <c r="I29" s="73">
        <v>150</v>
      </c>
      <c r="J29" s="68"/>
    </row>
    <row r="30" spans="4:10" ht="13" x14ac:dyDescent="0.3">
      <c r="D30" s="72" t="s">
        <v>853</v>
      </c>
      <c r="E30" s="68"/>
      <c r="F30" s="72">
        <v>1161</v>
      </c>
      <c r="G30" s="73">
        <v>3339</v>
      </c>
      <c r="H30" s="72" t="s">
        <v>854</v>
      </c>
      <c r="I30" s="73">
        <v>0</v>
      </c>
      <c r="J30" s="68"/>
    </row>
    <row r="31" spans="4:10" ht="13" x14ac:dyDescent="0.3">
      <c r="D31" s="72" t="s">
        <v>855</v>
      </c>
      <c r="E31" s="68"/>
      <c r="F31" s="72">
        <v>400</v>
      </c>
      <c r="G31" s="73">
        <v>700</v>
      </c>
      <c r="H31" s="72"/>
      <c r="I31" s="73">
        <v>0</v>
      </c>
      <c r="J31" s="68"/>
    </row>
    <row r="32" spans="4:10" ht="13" x14ac:dyDescent="0.3">
      <c r="D32" s="72" t="s">
        <v>856</v>
      </c>
      <c r="E32" s="68"/>
      <c r="F32" s="72">
        <v>476</v>
      </c>
      <c r="G32" s="73">
        <v>0</v>
      </c>
      <c r="H32" s="72"/>
      <c r="I32" s="73">
        <v>476</v>
      </c>
      <c r="J32" s="68"/>
    </row>
    <row r="33" spans="4:10" ht="13" x14ac:dyDescent="0.3">
      <c r="D33" s="72" t="s">
        <v>857</v>
      </c>
      <c r="E33" s="68"/>
      <c r="F33" s="72">
        <v>8638</v>
      </c>
      <c r="G33" s="73">
        <v>0</v>
      </c>
      <c r="H33" s="72" t="e">
        <v>#REF!</v>
      </c>
      <c r="I33" s="73">
        <v>0</v>
      </c>
      <c r="J33" s="68"/>
    </row>
    <row r="34" spans="4:10" ht="13" x14ac:dyDescent="0.3">
      <c r="D34" s="72" t="s">
        <v>858</v>
      </c>
      <c r="E34" s="68"/>
      <c r="F34" s="72">
        <v>100</v>
      </c>
      <c r="G34" s="73">
        <v>600</v>
      </c>
      <c r="H34" s="72"/>
      <c r="I34" s="73">
        <v>0</v>
      </c>
      <c r="J34" s="68"/>
    </row>
    <row r="35" spans="4:10" ht="13" x14ac:dyDescent="0.3">
      <c r="D35" s="72" t="s">
        <v>859</v>
      </c>
      <c r="E35" s="68"/>
      <c r="F35" s="72">
        <v>0</v>
      </c>
      <c r="G35" s="73">
        <v>0</v>
      </c>
      <c r="H35" s="72"/>
      <c r="I35" s="73">
        <v>0</v>
      </c>
      <c r="J35" s="68"/>
    </row>
    <row r="36" spans="4:10" ht="13" x14ac:dyDescent="0.3">
      <c r="D36" s="72" t="s">
        <v>860</v>
      </c>
      <c r="E36" s="68"/>
      <c r="F36" s="75">
        <v>300</v>
      </c>
      <c r="G36" s="76">
        <v>0</v>
      </c>
      <c r="H36" s="72"/>
      <c r="I36" s="76">
        <v>300</v>
      </c>
      <c r="J36" s="68"/>
    </row>
    <row r="37" spans="4:10" ht="13" x14ac:dyDescent="0.3">
      <c r="D37" s="72"/>
      <c r="E37" s="68"/>
      <c r="F37" s="77">
        <f>SUM(F10:F36)</f>
        <v>25061</v>
      </c>
      <c r="G37" s="77">
        <f>SUM(G10:G36)</f>
        <v>76096</v>
      </c>
      <c r="H37" s="72"/>
      <c r="I37" s="77">
        <f>SUM(I10:I36)</f>
        <v>4060</v>
      </c>
      <c r="J37" s="68"/>
    </row>
    <row r="38" spans="4:10" ht="13" x14ac:dyDescent="0.3">
      <c r="D38" s="68"/>
      <c r="E38" s="68"/>
      <c r="F38" s="68"/>
      <c r="G38" s="78"/>
      <c r="H38" s="68"/>
      <c r="I38" s="79"/>
      <c r="J38" s="68"/>
    </row>
    <row r="39" spans="4:10" ht="13" x14ac:dyDescent="0.3">
      <c r="D39" s="68"/>
      <c r="E39" s="68"/>
      <c r="F39" s="68"/>
      <c r="G39" s="80"/>
      <c r="H39" s="68"/>
      <c r="I39" s="81"/>
      <c r="J39" s="68"/>
    </row>
    <row r="40" spans="4:10" ht="13" x14ac:dyDescent="0.3">
      <c r="D40" s="68"/>
      <c r="E40" s="68"/>
      <c r="F40" s="68"/>
      <c r="G40" s="68"/>
      <c r="H40" s="68"/>
      <c r="I40" s="68"/>
      <c r="J40" s="68"/>
    </row>
    <row r="41" spans="4:10" ht="13" x14ac:dyDescent="0.3">
      <c r="D41" s="68"/>
      <c r="E41" s="68"/>
      <c r="F41" s="68"/>
      <c r="G41" s="68"/>
      <c r="H41" s="68"/>
      <c r="I41" s="68"/>
      <c r="J41" s="68"/>
    </row>
  </sheetData>
  <pageMargins left="0.7" right="0.7" top="0.75" bottom="0.75" header="0.3" footer="0.3"/>
  <legacy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4"/>
  <dimension ref="D6:M17"/>
  <sheetViews>
    <sheetView workbookViewId="0">
      <selection activeCell="M60" sqref="M60"/>
    </sheetView>
  </sheetViews>
  <sheetFormatPr defaultRowHeight="10" x14ac:dyDescent="0.2"/>
  <sheetData>
    <row r="6" spans="4:13" ht="12.5" x14ac:dyDescent="0.25">
      <c r="D6" t="s">
        <v>784</v>
      </c>
      <c r="E6" s="2" t="s">
        <v>218</v>
      </c>
      <c r="F6" t="s">
        <v>787</v>
      </c>
      <c r="G6" t="s">
        <v>788</v>
      </c>
      <c r="J6" s="17" t="s">
        <v>783</v>
      </c>
      <c r="K6" s="16" t="s">
        <v>342</v>
      </c>
      <c r="L6" s="16" t="s">
        <v>220</v>
      </c>
      <c r="M6" s="16" t="s">
        <v>378</v>
      </c>
    </row>
    <row r="7" spans="4:13" ht="12.5" x14ac:dyDescent="0.25">
      <c r="J7" s="17"/>
      <c r="K7" s="16"/>
      <c r="L7" s="16"/>
      <c r="M7" s="16"/>
    </row>
    <row r="8" spans="4:13" ht="12.5" x14ac:dyDescent="0.25">
      <c r="D8" s="21" t="s">
        <v>342</v>
      </c>
      <c r="E8">
        <v>1</v>
      </c>
      <c r="F8">
        <v>2</v>
      </c>
      <c r="G8">
        <v>3</v>
      </c>
    </row>
    <row r="9" spans="4:13" x14ac:dyDescent="0.2">
      <c r="D9" t="s">
        <v>785</v>
      </c>
      <c r="E9">
        <v>4</v>
      </c>
      <c r="F9">
        <v>5</v>
      </c>
      <c r="G9">
        <v>6</v>
      </c>
    </row>
    <row r="10" spans="4:13" x14ac:dyDescent="0.2">
      <c r="D10" t="s">
        <v>786</v>
      </c>
      <c r="E10">
        <v>7</v>
      </c>
      <c r="F10">
        <v>8</v>
      </c>
      <c r="G10">
        <v>9</v>
      </c>
    </row>
    <row r="13" spans="4:13" ht="12.5" x14ac:dyDescent="0.25">
      <c r="D13" s="21" t="s">
        <v>342</v>
      </c>
      <c r="E13" s="2" t="s">
        <v>218</v>
      </c>
      <c r="F13">
        <f>INDEX($E$7:$G$10,MATCH($D$13,$D$7:$D$10,0),MATCH($E$13,$D$6:$G$6,0))</f>
        <v>2</v>
      </c>
    </row>
    <row r="17" spans="6:6" x14ac:dyDescent="0.2">
      <c r="F17" t="s">
        <v>790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5"/>
  <dimension ref="A1"/>
  <sheetViews>
    <sheetView workbookViewId="0">
      <selection activeCell="M60" sqref="M60"/>
    </sheetView>
  </sheetViews>
  <sheetFormatPr defaultRowHeight="10" x14ac:dyDescent="0.2"/>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6"/>
  <dimension ref="D7:G53"/>
  <sheetViews>
    <sheetView workbookViewId="0">
      <selection activeCell="L47" sqref="L47"/>
    </sheetView>
  </sheetViews>
  <sheetFormatPr defaultRowHeight="10" x14ac:dyDescent="0.2"/>
  <cols>
    <col min="4" max="4" width="42" customWidth="1"/>
    <col min="5" max="5" width="12.109375" customWidth="1"/>
    <col min="6" max="6" width="25.109375" customWidth="1"/>
  </cols>
  <sheetData>
    <row r="7" spans="4:6" x14ac:dyDescent="0.2">
      <c r="D7" s="28" t="s">
        <v>79</v>
      </c>
      <c r="E7" s="28" t="s">
        <v>79</v>
      </c>
      <c r="F7" s="30">
        <v>113597.59003546517</v>
      </c>
    </row>
    <row r="8" spans="4:6" x14ac:dyDescent="0.2">
      <c r="D8" s="28" t="s">
        <v>84</v>
      </c>
      <c r="E8" s="28" t="s">
        <v>84</v>
      </c>
      <c r="F8" s="30">
        <v>-98852.070030861621</v>
      </c>
    </row>
    <row r="9" spans="4:6" x14ac:dyDescent="0.2">
      <c r="D9" s="28" t="s">
        <v>84</v>
      </c>
      <c r="E9" s="28" t="s">
        <v>84</v>
      </c>
      <c r="F9" s="30">
        <v>98852.070030861621</v>
      </c>
    </row>
    <row r="10" spans="4:6" x14ac:dyDescent="0.2">
      <c r="D10" s="28" t="s">
        <v>100</v>
      </c>
      <c r="E10" s="28" t="s">
        <v>100</v>
      </c>
      <c r="F10" s="30">
        <v>-86289.060026939449</v>
      </c>
    </row>
    <row r="11" spans="4:6" x14ac:dyDescent="0.2">
      <c r="D11" s="28" t="s">
        <v>100</v>
      </c>
      <c r="E11" s="28" t="s">
        <v>100</v>
      </c>
      <c r="F11" s="30">
        <v>86289.060026939449</v>
      </c>
    </row>
    <row r="12" spans="4:6" x14ac:dyDescent="0.2">
      <c r="D12" s="28" t="s">
        <v>111</v>
      </c>
      <c r="E12" s="28" t="s">
        <v>111</v>
      </c>
      <c r="F12" s="30">
        <v>-91670.680028619579</v>
      </c>
    </row>
    <row r="13" spans="4:6" x14ac:dyDescent="0.2">
      <c r="D13" s="28" t="s">
        <v>111</v>
      </c>
      <c r="E13" s="28" t="s">
        <v>111</v>
      </c>
      <c r="F13" s="30">
        <v>91670.680028619579</v>
      </c>
    </row>
    <row r="14" spans="4:6" x14ac:dyDescent="0.2">
      <c r="D14" s="28" t="s">
        <v>137</v>
      </c>
      <c r="E14" s="28" t="s">
        <v>137</v>
      </c>
      <c r="F14" s="30">
        <v>-67178.800020973227</v>
      </c>
    </row>
    <row r="15" spans="4:6" x14ac:dyDescent="0.2">
      <c r="D15" s="28" t="s">
        <v>137</v>
      </c>
      <c r="E15" s="28" t="s">
        <v>137</v>
      </c>
      <c r="F15" s="30">
        <v>67178.800020973227</v>
      </c>
    </row>
    <row r="16" spans="4:6" x14ac:dyDescent="0.2">
      <c r="D16" s="28" t="s">
        <v>151</v>
      </c>
      <c r="E16" s="28" t="s">
        <v>151</v>
      </c>
      <c r="F16" s="30">
        <v>-69560.190021716699</v>
      </c>
    </row>
    <row r="17" spans="4:6" x14ac:dyDescent="0.2">
      <c r="D17" s="28" t="s">
        <v>151</v>
      </c>
      <c r="E17" s="28" t="s">
        <v>151</v>
      </c>
      <c r="F17" s="30">
        <v>69560.190021716699</v>
      </c>
    </row>
    <row r="18" spans="4:6" x14ac:dyDescent="0.2">
      <c r="D18" s="28" t="s">
        <v>177</v>
      </c>
      <c r="E18" s="28" t="s">
        <v>177</v>
      </c>
      <c r="F18" s="30">
        <v>-154443.38004821722</v>
      </c>
    </row>
    <row r="25" spans="4:6" x14ac:dyDescent="0.2">
      <c r="D25" s="4" t="s">
        <v>79</v>
      </c>
    </row>
    <row r="26" spans="4:6" x14ac:dyDescent="0.2">
      <c r="D26" s="4" t="s">
        <v>84</v>
      </c>
    </row>
    <row r="27" spans="4:6" x14ac:dyDescent="0.2">
      <c r="D27" s="4" t="s">
        <v>84</v>
      </c>
    </row>
    <row r="28" spans="4:6" x14ac:dyDescent="0.2">
      <c r="D28" s="4" t="s">
        <v>100</v>
      </c>
    </row>
    <row r="29" spans="4:6" x14ac:dyDescent="0.2">
      <c r="D29" s="4" t="s">
        <v>100</v>
      </c>
    </row>
    <row r="30" spans="4:6" x14ac:dyDescent="0.2">
      <c r="D30" s="4" t="s">
        <v>111</v>
      </c>
    </row>
    <row r="31" spans="4:6" x14ac:dyDescent="0.2">
      <c r="D31" s="4" t="s">
        <v>111</v>
      </c>
    </row>
    <row r="32" spans="4:6" x14ac:dyDescent="0.2">
      <c r="D32" s="4" t="s">
        <v>137</v>
      </c>
    </row>
    <row r="33" spans="4:7" x14ac:dyDescent="0.2">
      <c r="D33" s="4" t="s">
        <v>137</v>
      </c>
    </row>
    <row r="34" spans="4:7" x14ac:dyDescent="0.2">
      <c r="D34" s="4" t="s">
        <v>151</v>
      </c>
    </row>
    <row r="35" spans="4:7" x14ac:dyDescent="0.2">
      <c r="D35" s="4" t="s">
        <v>151</v>
      </c>
    </row>
    <row r="36" spans="4:7" x14ac:dyDescent="0.2">
      <c r="D36" s="4" t="s">
        <v>177</v>
      </c>
    </row>
    <row r="41" spans="4:7" x14ac:dyDescent="0.2">
      <c r="D41" s="28" t="s">
        <v>79</v>
      </c>
      <c r="E41" s="30">
        <v>113597.59003546517</v>
      </c>
      <c r="F41" s="6">
        <v>-113733.69643942747</v>
      </c>
      <c r="G41" s="25">
        <f>E41+F41</f>
        <v>-136.10640396230156</v>
      </c>
    </row>
    <row r="42" spans="4:7" x14ac:dyDescent="0.2">
      <c r="D42" s="28" t="s">
        <v>84</v>
      </c>
      <c r="E42" s="30">
        <v>-98852.070030861621</v>
      </c>
      <c r="F42" s="6">
        <v>98970.509161233393</v>
      </c>
      <c r="G42" s="25">
        <f t="shared" ref="G42:G52" si="0">E42+F42</f>
        <v>118.43913037177117</v>
      </c>
    </row>
    <row r="43" spans="4:7" x14ac:dyDescent="0.2">
      <c r="D43" s="28" t="s">
        <v>84</v>
      </c>
      <c r="E43" s="30">
        <v>98852.070030861621</v>
      </c>
      <c r="F43" s="6">
        <v>-98630.531075056308</v>
      </c>
      <c r="G43" s="25">
        <f t="shared" si="0"/>
        <v>221.53895580531389</v>
      </c>
    </row>
    <row r="44" spans="4:7" x14ac:dyDescent="0.2">
      <c r="D44" s="28" t="s">
        <v>100</v>
      </c>
      <c r="E44" s="30">
        <v>-86289.060026939449</v>
      </c>
      <c r="F44" s="6">
        <v>86095.676233865393</v>
      </c>
      <c r="G44" s="25">
        <f t="shared" si="0"/>
        <v>-193.38379307405557</v>
      </c>
    </row>
    <row r="45" spans="4:7" x14ac:dyDescent="0.2">
      <c r="D45" s="28" t="s">
        <v>100</v>
      </c>
      <c r="E45" s="30">
        <v>86289.060026939449</v>
      </c>
      <c r="F45" s="6">
        <v>-86340.772774197147</v>
      </c>
      <c r="G45" s="25">
        <f t="shared" si="0"/>
        <v>-51.712747257697629</v>
      </c>
    </row>
    <row r="46" spans="4:7" x14ac:dyDescent="0.2">
      <c r="D46" s="28" t="s">
        <v>111</v>
      </c>
      <c r="E46" s="30">
        <v>-91670.680028619579</v>
      </c>
      <c r="F46" s="6">
        <v>91725.617962881268</v>
      </c>
      <c r="G46" s="25">
        <f t="shared" si="0"/>
        <v>54.937934261688497</v>
      </c>
    </row>
    <row r="47" spans="4:7" x14ac:dyDescent="0.2">
      <c r="D47" s="28" t="s">
        <v>111</v>
      </c>
      <c r="E47" s="30">
        <v>91670.680028619579</v>
      </c>
      <c r="F47" s="6">
        <v>-91088.580957312224</v>
      </c>
      <c r="G47" s="25">
        <f t="shared" si="0"/>
        <v>582.09907130735519</v>
      </c>
    </row>
    <row r="48" spans="4:7" x14ac:dyDescent="0.2">
      <c r="D48" s="28" t="s">
        <v>137</v>
      </c>
      <c r="E48" s="30">
        <v>-67178.800020973227</v>
      </c>
      <c r="F48" s="6">
        <v>66752.221783618123</v>
      </c>
      <c r="G48" s="25">
        <f t="shared" si="0"/>
        <v>-426.57823735510465</v>
      </c>
    </row>
    <row r="49" spans="4:7" x14ac:dyDescent="0.2">
      <c r="D49" s="28" t="s">
        <v>137</v>
      </c>
      <c r="E49" s="30">
        <v>67178.800020973227</v>
      </c>
      <c r="F49" s="6">
        <v>-67205.127972286777</v>
      </c>
      <c r="G49" s="25">
        <f t="shared" si="0"/>
        <v>-26.32795131354942</v>
      </c>
    </row>
    <row r="50" spans="4:7" x14ac:dyDescent="0.2">
      <c r="D50" s="28" t="s">
        <v>151</v>
      </c>
      <c r="E50" s="30">
        <v>-69560.190021716699</v>
      </c>
      <c r="F50" s="6">
        <v>69587.451260317001</v>
      </c>
      <c r="G50" s="25">
        <f t="shared" si="0"/>
        <v>27.261238600302022</v>
      </c>
    </row>
    <row r="51" spans="4:7" x14ac:dyDescent="0.2">
      <c r="D51" s="28" t="s">
        <v>151</v>
      </c>
      <c r="E51" s="30">
        <v>69560.190021716699</v>
      </c>
      <c r="F51" s="6">
        <v>-69687.424130294457</v>
      </c>
      <c r="G51" s="25">
        <f t="shared" si="0"/>
        <v>-127.23410857775889</v>
      </c>
    </row>
    <row r="52" spans="4:7" x14ac:dyDescent="0.2">
      <c r="D52" s="28" t="s">
        <v>177</v>
      </c>
      <c r="E52" s="30">
        <v>-154443.38004821722</v>
      </c>
      <c r="F52" s="6">
        <v>154725.87590942802</v>
      </c>
      <c r="G52" s="25">
        <f t="shared" si="0"/>
        <v>282.4958612108021</v>
      </c>
    </row>
    <row r="53" spans="4:7" x14ac:dyDescent="0.2">
      <c r="G53"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6"/>
  <dimension ref="A1:O282"/>
  <sheetViews>
    <sheetView workbookViewId="0">
      <selection sqref="A1:O1"/>
    </sheetView>
  </sheetViews>
  <sheetFormatPr defaultRowHeight="10" x14ac:dyDescent="0.2"/>
  <cols>
    <col min="1" max="1" width="65.44140625" customWidth="1"/>
    <col min="2" max="15" width="26.109375" customWidth="1"/>
  </cols>
  <sheetData>
    <row r="1" spans="1:15" ht="15.5" x14ac:dyDescent="0.35">
      <c r="A1" s="811" t="s">
        <v>0</v>
      </c>
      <c r="B1" s="811"/>
      <c r="C1" s="811"/>
      <c r="D1" s="811"/>
      <c r="E1" s="811"/>
      <c r="F1" s="811"/>
      <c r="G1" s="811"/>
      <c r="H1" s="811"/>
      <c r="I1" s="811"/>
      <c r="J1" s="811"/>
      <c r="K1" s="811"/>
      <c r="L1" s="811"/>
      <c r="M1" s="811"/>
      <c r="N1" s="811"/>
      <c r="O1" s="811"/>
    </row>
    <row r="2" spans="1:15" ht="15.5" x14ac:dyDescent="0.35">
      <c r="A2" s="811" t="s">
        <v>1</v>
      </c>
      <c r="B2" s="811"/>
      <c r="C2" s="811"/>
      <c r="D2" s="811"/>
      <c r="E2" s="811"/>
      <c r="F2" s="811"/>
      <c r="G2" s="811"/>
      <c r="H2" s="811"/>
      <c r="I2" s="811"/>
      <c r="J2" s="811"/>
      <c r="K2" s="811"/>
      <c r="L2" s="811"/>
      <c r="M2" s="811"/>
      <c r="N2" s="811"/>
      <c r="O2" s="811"/>
    </row>
    <row r="3" spans="1:15" ht="18" x14ac:dyDescent="0.4">
      <c r="A3" s="810" t="s">
        <v>4290</v>
      </c>
      <c r="B3" s="810"/>
      <c r="C3" s="810"/>
      <c r="D3" s="810"/>
      <c r="E3" s="810"/>
      <c r="F3" s="810"/>
      <c r="G3" s="810"/>
      <c r="H3" s="810"/>
      <c r="I3" s="810"/>
      <c r="J3" s="810"/>
      <c r="K3" s="810"/>
      <c r="L3" s="810"/>
      <c r="M3" s="810"/>
      <c r="N3" s="810"/>
      <c r="O3" s="810"/>
    </row>
    <row r="4" spans="1:15" ht="18" x14ac:dyDescent="0.4">
      <c r="A4" s="812" t="s">
        <v>4739</v>
      </c>
      <c r="B4" s="812"/>
      <c r="C4" s="812"/>
      <c r="D4" s="812"/>
      <c r="E4" s="812"/>
      <c r="F4" s="812"/>
      <c r="G4" s="812"/>
      <c r="H4" s="812"/>
      <c r="I4" s="812"/>
      <c r="J4" s="812"/>
      <c r="K4" s="812"/>
      <c r="L4" s="812"/>
      <c r="M4" s="812"/>
      <c r="N4" s="812"/>
      <c r="O4" s="812"/>
    </row>
    <row r="5" spans="1:15" ht="18" x14ac:dyDescent="0.4">
      <c r="A5" s="810" t="s">
        <v>4</v>
      </c>
      <c r="B5" s="810"/>
      <c r="C5" s="810"/>
      <c r="D5" s="810"/>
      <c r="E5" s="810"/>
      <c r="F5" s="810"/>
      <c r="G5" s="810"/>
      <c r="H5" s="810"/>
      <c r="I5" s="810"/>
      <c r="J5" s="810"/>
      <c r="K5" s="810"/>
      <c r="L5" s="810"/>
      <c r="M5" s="810"/>
      <c r="N5" s="810"/>
      <c r="O5" s="810"/>
    </row>
    <row r="6" spans="1:15" ht="18" x14ac:dyDescent="0.4">
      <c r="A6" s="810" t="s">
        <v>306</v>
      </c>
      <c r="B6" s="810"/>
      <c r="C6" s="810"/>
      <c r="D6" s="810"/>
      <c r="E6" s="810"/>
      <c r="F6" s="810"/>
      <c r="G6" s="810"/>
      <c r="H6" s="810"/>
      <c r="I6" s="810"/>
      <c r="J6" s="810"/>
      <c r="K6" s="810"/>
      <c r="L6" s="810"/>
      <c r="M6" s="810"/>
      <c r="N6" s="810"/>
      <c r="O6" s="810"/>
    </row>
    <row r="7" spans="1:15" x14ac:dyDescent="0.2">
      <c r="A7" s="501" t="s">
        <v>307</v>
      </c>
      <c r="B7" s="502" t="s">
        <v>61</v>
      </c>
      <c r="C7" s="502" t="s">
        <v>27</v>
      </c>
      <c r="D7" s="502" t="s">
        <v>212</v>
      </c>
      <c r="E7" s="502" t="s">
        <v>201</v>
      </c>
      <c r="F7" s="502" t="s">
        <v>38</v>
      </c>
      <c r="G7" s="502" t="s">
        <v>186</v>
      </c>
      <c r="H7" s="502" t="s">
        <v>197</v>
      </c>
      <c r="I7" s="502" t="s">
        <v>204</v>
      </c>
      <c r="J7" s="502" t="s">
        <v>193</v>
      </c>
      <c r="K7" s="502" t="s">
        <v>308</v>
      </c>
      <c r="L7" s="502" t="s">
        <v>4194</v>
      </c>
      <c r="M7" s="502" t="s">
        <v>117</v>
      </c>
      <c r="N7" s="502" t="s">
        <v>309</v>
      </c>
      <c r="O7" s="502" t="s">
        <v>218</v>
      </c>
    </row>
    <row r="8" spans="1:15" s="507" customFormat="1" x14ac:dyDescent="0.2">
      <c r="A8" s="506" t="s">
        <v>310</v>
      </c>
      <c r="B8" s="506">
        <v>101</v>
      </c>
      <c r="C8" s="506">
        <v>201</v>
      </c>
      <c r="D8" s="506">
        <v>202</v>
      </c>
      <c r="E8" s="506">
        <v>203</v>
      </c>
      <c r="F8" s="506">
        <v>204</v>
      </c>
      <c r="G8" s="506">
        <v>205</v>
      </c>
      <c r="H8" s="506">
        <v>206</v>
      </c>
      <c r="I8" s="506">
        <v>207</v>
      </c>
      <c r="J8" s="506">
        <v>208</v>
      </c>
      <c r="K8" s="506">
        <v>209</v>
      </c>
      <c r="L8" s="506">
        <v>210</v>
      </c>
      <c r="M8" s="506">
        <v>300</v>
      </c>
      <c r="N8" s="506">
        <v>400</v>
      </c>
      <c r="O8" s="506">
        <v>1000</v>
      </c>
    </row>
    <row r="9" spans="1:15" ht="13" x14ac:dyDescent="0.2">
      <c r="A9" s="633" t="s">
        <v>311</v>
      </c>
      <c r="B9" s="634"/>
      <c r="C9" s="634"/>
      <c r="D9" s="634"/>
      <c r="E9" s="634"/>
      <c r="F9" s="634"/>
      <c r="G9" s="634"/>
      <c r="H9" s="634"/>
      <c r="I9" s="634"/>
      <c r="J9" s="634"/>
      <c r="K9" s="634"/>
      <c r="L9" s="634"/>
      <c r="M9" s="634"/>
      <c r="N9" s="634"/>
      <c r="O9" s="634"/>
    </row>
    <row r="10" spans="1:15" ht="12.5" x14ac:dyDescent="0.25">
      <c r="A10" s="726" t="s">
        <v>312</v>
      </c>
      <c r="B10" s="727">
        <v>158856251.95194995</v>
      </c>
      <c r="C10" s="727">
        <v>71818834.685219958</v>
      </c>
      <c r="D10" s="727">
        <v>3097832.545730466</v>
      </c>
      <c r="E10" s="727">
        <v>277832.96832578047</v>
      </c>
      <c r="F10" s="727">
        <v>1170614.3979794004</v>
      </c>
      <c r="G10" s="727">
        <v>1767771.0795048212</v>
      </c>
      <c r="H10" s="727">
        <v>220472.4424905756</v>
      </c>
      <c r="I10" s="727">
        <v>2013587.0414953351</v>
      </c>
      <c r="J10" s="727">
        <v>651391.10155019164</v>
      </c>
      <c r="K10" s="727">
        <v>2527763.3242624691</v>
      </c>
      <c r="L10" s="727">
        <v>349496.1232033752</v>
      </c>
      <c r="M10" s="727">
        <v>0</v>
      </c>
      <c r="N10" s="727">
        <v>-34129244.98527018</v>
      </c>
      <c r="O10" s="727">
        <v>208622602.67644218</v>
      </c>
    </row>
    <row r="11" spans="1:15" ht="13.25" customHeight="1" x14ac:dyDescent="0.25">
      <c r="A11" s="728" t="s">
        <v>313</v>
      </c>
      <c r="B11" s="727"/>
      <c r="C11" s="727"/>
      <c r="D11" s="727"/>
      <c r="E11" s="727"/>
      <c r="F11" s="727"/>
      <c r="G11" s="727"/>
      <c r="H11" s="727"/>
      <c r="I11" s="727"/>
      <c r="J11" s="727"/>
      <c r="K11" s="727"/>
      <c r="L11" s="727"/>
      <c r="M11" s="727"/>
      <c r="N11" s="727"/>
      <c r="O11" s="727"/>
    </row>
    <row r="12" spans="1:15" ht="13.25" customHeight="1" x14ac:dyDescent="0.25">
      <c r="A12" s="729" t="s">
        <v>314</v>
      </c>
      <c r="B12" s="727"/>
      <c r="C12" s="727"/>
      <c r="D12" s="727"/>
      <c r="E12" s="727"/>
      <c r="F12" s="727"/>
      <c r="G12" s="727"/>
      <c r="H12" s="727"/>
      <c r="I12" s="727"/>
      <c r="J12" s="727"/>
      <c r="K12" s="727"/>
      <c r="L12" s="727"/>
      <c r="M12" s="727"/>
      <c r="N12" s="727"/>
      <c r="O12" s="727"/>
    </row>
    <row r="13" spans="1:15" ht="13.25" customHeight="1" x14ac:dyDescent="0.25">
      <c r="A13" s="730" t="s">
        <v>315</v>
      </c>
      <c r="B13" s="731">
        <v>1527781.7521507321</v>
      </c>
      <c r="C13" s="731">
        <v>0</v>
      </c>
      <c r="D13" s="731">
        <v>0</v>
      </c>
      <c r="E13" s="731">
        <v>0</v>
      </c>
      <c r="F13" s="731">
        <v>0</v>
      </c>
      <c r="G13" s="731">
        <v>0</v>
      </c>
      <c r="H13" s="731">
        <v>0</v>
      </c>
      <c r="I13" s="731">
        <v>0</v>
      </c>
      <c r="J13" s="731">
        <v>0</v>
      </c>
      <c r="K13" s="731">
        <v>0</v>
      </c>
      <c r="L13" s="731">
        <v>0</v>
      </c>
      <c r="M13" s="731">
        <v>0</v>
      </c>
      <c r="N13" s="731">
        <v>0</v>
      </c>
      <c r="O13" s="731">
        <f t="shared" ref="O13:O34" si="0">SUM(B13:N13)</f>
        <v>1527781.7521507321</v>
      </c>
    </row>
    <row r="14" spans="1:15" ht="13.25" customHeight="1" x14ac:dyDescent="0.25">
      <c r="A14" s="730" t="s">
        <v>316</v>
      </c>
      <c r="B14" s="731">
        <v>11225161.130577311</v>
      </c>
      <c r="C14" s="731">
        <v>0</v>
      </c>
      <c r="D14" s="731">
        <v>0</v>
      </c>
      <c r="E14" s="731">
        <v>0</v>
      </c>
      <c r="F14" s="731">
        <v>0</v>
      </c>
      <c r="G14" s="731">
        <v>0</v>
      </c>
      <c r="H14" s="731">
        <v>0</v>
      </c>
      <c r="I14" s="731">
        <v>0</v>
      </c>
      <c r="J14" s="731">
        <v>0</v>
      </c>
      <c r="K14" s="731">
        <v>0</v>
      </c>
      <c r="L14" s="731">
        <v>0</v>
      </c>
      <c r="M14" s="731">
        <v>0</v>
      </c>
      <c r="N14" s="731">
        <v>0</v>
      </c>
      <c r="O14" s="731">
        <f t="shared" si="0"/>
        <v>11225161.130577311</v>
      </c>
    </row>
    <row r="15" spans="1:15" ht="13.25" customHeight="1" x14ac:dyDescent="0.25">
      <c r="A15" s="730" t="s">
        <v>317</v>
      </c>
      <c r="B15" s="731">
        <v>2930046.911675957</v>
      </c>
      <c r="C15" s="731">
        <v>0</v>
      </c>
      <c r="D15" s="731">
        <v>0</v>
      </c>
      <c r="E15" s="731">
        <v>0</v>
      </c>
      <c r="F15" s="731">
        <v>0</v>
      </c>
      <c r="G15" s="731">
        <v>0</v>
      </c>
      <c r="H15" s="731">
        <v>0</v>
      </c>
      <c r="I15" s="731">
        <v>0</v>
      </c>
      <c r="J15" s="731">
        <v>0</v>
      </c>
      <c r="K15" s="731">
        <v>0</v>
      </c>
      <c r="L15" s="731">
        <v>0</v>
      </c>
      <c r="M15" s="731">
        <v>0</v>
      </c>
      <c r="N15" s="731">
        <v>0</v>
      </c>
      <c r="O15" s="731">
        <f t="shared" si="0"/>
        <v>2930046.911675957</v>
      </c>
    </row>
    <row r="16" spans="1:15" ht="13.25" customHeight="1" x14ac:dyDescent="0.25">
      <c r="A16" s="730" t="s">
        <v>318</v>
      </c>
      <c r="B16" s="731">
        <v>0</v>
      </c>
      <c r="C16" s="731">
        <v>2943156.9214433241</v>
      </c>
      <c r="D16" s="731">
        <v>0</v>
      </c>
      <c r="E16" s="731">
        <v>0</v>
      </c>
      <c r="F16" s="731">
        <v>0</v>
      </c>
      <c r="G16" s="731">
        <v>0</v>
      </c>
      <c r="H16" s="731">
        <v>0</v>
      </c>
      <c r="I16" s="731">
        <v>0</v>
      </c>
      <c r="J16" s="731">
        <v>0</v>
      </c>
      <c r="K16" s="731">
        <v>0</v>
      </c>
      <c r="L16" s="731">
        <v>0</v>
      </c>
      <c r="M16" s="731">
        <v>0</v>
      </c>
      <c r="N16" s="731">
        <v>0</v>
      </c>
      <c r="O16" s="731">
        <f t="shared" si="0"/>
        <v>2943156.9214433241</v>
      </c>
    </row>
    <row r="17" spans="1:15" ht="13.25" customHeight="1" x14ac:dyDescent="0.25">
      <c r="A17" s="730" t="s">
        <v>319</v>
      </c>
      <c r="B17" s="731">
        <v>0</v>
      </c>
      <c r="C17" s="731">
        <v>318665.38015627349</v>
      </c>
      <c r="D17" s="731">
        <v>0</v>
      </c>
      <c r="E17" s="731">
        <v>0</v>
      </c>
      <c r="F17" s="731">
        <v>0</v>
      </c>
      <c r="G17" s="731">
        <v>0</v>
      </c>
      <c r="H17" s="731">
        <v>0</v>
      </c>
      <c r="I17" s="731">
        <v>0</v>
      </c>
      <c r="J17" s="731">
        <v>0</v>
      </c>
      <c r="K17" s="731">
        <v>0</v>
      </c>
      <c r="L17" s="731">
        <v>0</v>
      </c>
      <c r="M17" s="731">
        <v>0</v>
      </c>
      <c r="N17" s="731">
        <v>0</v>
      </c>
      <c r="O17" s="731">
        <f t="shared" si="0"/>
        <v>318665.38015627349</v>
      </c>
    </row>
    <row r="18" spans="1:15" ht="13.25" customHeight="1" x14ac:dyDescent="0.25">
      <c r="A18" s="730" t="s">
        <v>320</v>
      </c>
      <c r="B18" s="731">
        <v>2566131.764473415</v>
      </c>
      <c r="C18" s="731">
        <v>0</v>
      </c>
      <c r="D18" s="731">
        <v>0</v>
      </c>
      <c r="E18" s="731">
        <v>0</v>
      </c>
      <c r="F18" s="731">
        <v>0</v>
      </c>
      <c r="G18" s="731">
        <v>0</v>
      </c>
      <c r="H18" s="731">
        <v>0</v>
      </c>
      <c r="I18" s="731">
        <v>0</v>
      </c>
      <c r="J18" s="731">
        <v>0</v>
      </c>
      <c r="K18" s="731">
        <v>0</v>
      </c>
      <c r="L18" s="731">
        <v>0</v>
      </c>
      <c r="M18" s="731">
        <v>0</v>
      </c>
      <c r="N18" s="731">
        <v>0</v>
      </c>
      <c r="O18" s="731">
        <f t="shared" si="0"/>
        <v>2566131.764473415</v>
      </c>
    </row>
    <row r="19" spans="1:15" ht="13.25" customHeight="1" x14ac:dyDescent="0.25">
      <c r="A19" s="730" t="s">
        <v>321</v>
      </c>
      <c r="B19" s="731">
        <v>0</v>
      </c>
      <c r="C19" s="731">
        <v>0</v>
      </c>
      <c r="D19" s="731">
        <v>2616600.2918090951</v>
      </c>
      <c r="E19" s="731">
        <v>0</v>
      </c>
      <c r="F19" s="731">
        <v>0</v>
      </c>
      <c r="G19" s="731">
        <v>0</v>
      </c>
      <c r="H19" s="731">
        <v>0</v>
      </c>
      <c r="I19" s="731">
        <v>0</v>
      </c>
      <c r="J19" s="731">
        <v>0</v>
      </c>
      <c r="K19" s="731">
        <v>0</v>
      </c>
      <c r="L19" s="731">
        <v>0</v>
      </c>
      <c r="M19" s="731">
        <v>0</v>
      </c>
      <c r="N19" s="731">
        <v>0</v>
      </c>
      <c r="O19" s="731">
        <f t="shared" si="0"/>
        <v>2616600.2918090951</v>
      </c>
    </row>
    <row r="20" spans="1:15" ht="13.25" customHeight="1" x14ac:dyDescent="0.25">
      <c r="A20" s="730" t="s">
        <v>322</v>
      </c>
      <c r="B20" s="731">
        <v>0</v>
      </c>
      <c r="C20" s="731">
        <v>0</v>
      </c>
      <c r="D20" s="731">
        <v>0</v>
      </c>
      <c r="E20" s="731">
        <v>54966.535671434402</v>
      </c>
      <c r="F20" s="731">
        <v>0</v>
      </c>
      <c r="G20" s="731">
        <v>0</v>
      </c>
      <c r="H20" s="731">
        <v>0</v>
      </c>
      <c r="I20" s="731">
        <v>0</v>
      </c>
      <c r="J20" s="731">
        <v>0</v>
      </c>
      <c r="K20" s="731">
        <v>0</v>
      </c>
      <c r="L20" s="731">
        <v>0</v>
      </c>
      <c r="M20" s="731">
        <v>0</v>
      </c>
      <c r="N20" s="731">
        <v>0</v>
      </c>
      <c r="O20" s="731">
        <f t="shared" si="0"/>
        <v>54966.535671434402</v>
      </c>
    </row>
    <row r="21" spans="1:15" ht="13.25" customHeight="1" x14ac:dyDescent="0.25">
      <c r="A21" s="730" t="s">
        <v>323</v>
      </c>
      <c r="B21" s="731">
        <v>0</v>
      </c>
      <c r="C21" s="731">
        <v>0</v>
      </c>
      <c r="D21" s="731">
        <v>0</v>
      </c>
      <c r="E21" s="731">
        <v>0</v>
      </c>
      <c r="F21" s="731">
        <v>479754.85986969841</v>
      </c>
      <c r="G21" s="731">
        <v>0</v>
      </c>
      <c r="H21" s="731">
        <v>0</v>
      </c>
      <c r="I21" s="731">
        <v>0</v>
      </c>
      <c r="J21" s="731">
        <v>0</v>
      </c>
      <c r="K21" s="731">
        <v>0</v>
      </c>
      <c r="L21" s="731">
        <v>0</v>
      </c>
      <c r="M21" s="731">
        <v>0</v>
      </c>
      <c r="N21" s="731">
        <v>0</v>
      </c>
      <c r="O21" s="731">
        <f t="shared" si="0"/>
        <v>479754.85986969841</v>
      </c>
    </row>
    <row r="22" spans="1:15" ht="13.25" customHeight="1" x14ac:dyDescent="0.25">
      <c r="A22" s="730" t="s">
        <v>324</v>
      </c>
      <c r="B22" s="731">
        <v>0</v>
      </c>
      <c r="C22" s="731">
        <v>0</v>
      </c>
      <c r="D22" s="731">
        <v>0</v>
      </c>
      <c r="E22" s="731">
        <v>0</v>
      </c>
      <c r="F22" s="731">
        <v>0</v>
      </c>
      <c r="G22" s="731">
        <v>708019.85314743628</v>
      </c>
      <c r="H22" s="731">
        <v>0</v>
      </c>
      <c r="I22" s="731">
        <v>0</v>
      </c>
      <c r="J22" s="731">
        <v>0</v>
      </c>
      <c r="K22" s="731">
        <v>0</v>
      </c>
      <c r="L22" s="731">
        <v>0</v>
      </c>
      <c r="M22" s="731">
        <v>0</v>
      </c>
      <c r="N22" s="731">
        <v>0</v>
      </c>
      <c r="O22" s="731">
        <f t="shared" si="0"/>
        <v>708019.85314743628</v>
      </c>
    </row>
    <row r="23" spans="1:15" ht="13.25" customHeight="1" x14ac:dyDescent="0.25">
      <c r="A23" s="730" t="s">
        <v>325</v>
      </c>
      <c r="B23" s="731">
        <v>0</v>
      </c>
      <c r="C23" s="731">
        <v>0</v>
      </c>
      <c r="D23" s="731">
        <v>0</v>
      </c>
      <c r="E23" s="731">
        <v>0</v>
      </c>
      <c r="F23" s="731">
        <v>0</v>
      </c>
      <c r="G23" s="731">
        <v>0</v>
      </c>
      <c r="H23" s="731">
        <v>0</v>
      </c>
      <c r="I23" s="731">
        <v>1231240.228755743</v>
      </c>
      <c r="J23" s="731">
        <v>0</v>
      </c>
      <c r="K23" s="731">
        <v>0</v>
      </c>
      <c r="L23" s="731">
        <v>0</v>
      </c>
      <c r="M23" s="731">
        <v>0</v>
      </c>
      <c r="N23" s="731">
        <v>0</v>
      </c>
      <c r="O23" s="731">
        <f t="shared" si="0"/>
        <v>1231240.228755743</v>
      </c>
    </row>
    <row r="24" spans="1:15" ht="13.25" customHeight="1" x14ac:dyDescent="0.25">
      <c r="A24" s="730" t="s">
        <v>326</v>
      </c>
      <c r="B24" s="731">
        <v>0</v>
      </c>
      <c r="C24" s="731">
        <v>0</v>
      </c>
      <c r="D24" s="731">
        <v>0</v>
      </c>
      <c r="E24" s="731">
        <v>0</v>
      </c>
      <c r="F24" s="731">
        <v>0</v>
      </c>
      <c r="G24" s="731">
        <v>0</v>
      </c>
      <c r="H24" s="731">
        <v>0</v>
      </c>
      <c r="I24" s="731">
        <v>0</v>
      </c>
      <c r="J24" s="731">
        <v>390811.32824114157</v>
      </c>
      <c r="K24" s="731">
        <v>0</v>
      </c>
      <c r="L24" s="731">
        <v>0</v>
      </c>
      <c r="M24" s="731">
        <v>0</v>
      </c>
      <c r="N24" s="731">
        <v>0</v>
      </c>
      <c r="O24" s="731">
        <f t="shared" si="0"/>
        <v>390811.32824114157</v>
      </c>
    </row>
    <row r="25" spans="1:15" ht="13.25" customHeight="1" x14ac:dyDescent="0.25">
      <c r="A25" s="730" t="s">
        <v>327</v>
      </c>
      <c r="B25" s="731">
        <v>0</v>
      </c>
      <c r="C25" s="731">
        <v>118001.25005786782</v>
      </c>
      <c r="D25" s="731">
        <v>0</v>
      </c>
      <c r="E25" s="731">
        <v>0</v>
      </c>
      <c r="F25" s="731">
        <v>0</v>
      </c>
      <c r="G25" s="731">
        <v>0</v>
      </c>
      <c r="H25" s="731">
        <v>0</v>
      </c>
      <c r="I25" s="731">
        <v>0</v>
      </c>
      <c r="J25" s="731">
        <v>0</v>
      </c>
      <c r="K25" s="731">
        <v>0</v>
      </c>
      <c r="L25" s="731">
        <v>0</v>
      </c>
      <c r="M25" s="731">
        <v>0</v>
      </c>
      <c r="N25" s="731">
        <v>0</v>
      </c>
      <c r="O25" s="731">
        <f t="shared" si="0"/>
        <v>118001.25005786782</v>
      </c>
    </row>
    <row r="26" spans="1:15" ht="13.25" customHeight="1" x14ac:dyDescent="0.25">
      <c r="A26" s="730" t="s">
        <v>328</v>
      </c>
      <c r="B26" s="731">
        <v>0</v>
      </c>
      <c r="C26" s="731">
        <v>0</v>
      </c>
      <c r="D26" s="731">
        <v>0</v>
      </c>
      <c r="E26" s="731">
        <v>0</v>
      </c>
      <c r="F26" s="731">
        <v>0</v>
      </c>
      <c r="G26" s="731">
        <v>0</v>
      </c>
      <c r="H26" s="731">
        <v>90218.441954159993</v>
      </c>
      <c r="I26" s="731">
        <v>0</v>
      </c>
      <c r="J26" s="731">
        <v>0</v>
      </c>
      <c r="K26" s="731">
        <v>0</v>
      </c>
      <c r="L26" s="731">
        <v>0</v>
      </c>
      <c r="M26" s="731">
        <v>0</v>
      </c>
      <c r="N26" s="731">
        <v>0</v>
      </c>
      <c r="O26" s="731">
        <f t="shared" si="0"/>
        <v>90218.441954159993</v>
      </c>
    </row>
    <row r="27" spans="1:15" ht="13.25" customHeight="1" x14ac:dyDescent="0.25">
      <c r="A27" s="730" t="s">
        <v>329</v>
      </c>
      <c r="B27" s="731">
        <v>0</v>
      </c>
      <c r="C27" s="731">
        <v>0</v>
      </c>
      <c r="D27" s="731">
        <v>0</v>
      </c>
      <c r="E27" s="731">
        <v>0</v>
      </c>
      <c r="F27" s="731">
        <v>0</v>
      </c>
      <c r="G27" s="731">
        <v>0</v>
      </c>
      <c r="H27" s="731">
        <v>0</v>
      </c>
      <c r="I27" s="731">
        <v>0</v>
      </c>
      <c r="J27" s="731">
        <v>0</v>
      </c>
      <c r="K27" s="731">
        <v>417077.5359576976</v>
      </c>
      <c r="L27" s="731">
        <v>0</v>
      </c>
      <c r="M27" s="731">
        <v>0</v>
      </c>
      <c r="N27" s="731">
        <v>0</v>
      </c>
      <c r="O27" s="731">
        <f t="shared" si="0"/>
        <v>417077.5359576976</v>
      </c>
    </row>
    <row r="28" spans="1:15" ht="13.25" customHeight="1" x14ac:dyDescent="0.25">
      <c r="A28" s="730" t="s">
        <v>4258</v>
      </c>
      <c r="B28" s="731">
        <v>0</v>
      </c>
      <c r="C28" s="731">
        <v>0</v>
      </c>
      <c r="D28" s="731">
        <v>0</v>
      </c>
      <c r="E28" s="731">
        <v>0</v>
      </c>
      <c r="F28" s="731">
        <v>0</v>
      </c>
      <c r="G28" s="731">
        <v>0</v>
      </c>
      <c r="H28" s="731">
        <v>0</v>
      </c>
      <c r="I28" s="731">
        <v>0</v>
      </c>
      <c r="J28" s="731">
        <v>0</v>
      </c>
      <c r="K28" s="731">
        <v>0</v>
      </c>
      <c r="L28" s="731">
        <v>208434.49974781199</v>
      </c>
      <c r="M28" s="731">
        <v>0</v>
      </c>
      <c r="N28" s="731">
        <v>0</v>
      </c>
      <c r="O28" s="731">
        <f t="shared" si="0"/>
        <v>208434.49974781199</v>
      </c>
    </row>
    <row r="29" spans="1:15" ht="13.25" customHeight="1" x14ac:dyDescent="0.25">
      <c r="A29" s="730" t="s">
        <v>4486</v>
      </c>
      <c r="B29" s="731">
        <v>0</v>
      </c>
      <c r="C29" s="731">
        <v>26000000.012750398</v>
      </c>
      <c r="D29" s="731">
        <v>0</v>
      </c>
      <c r="E29" s="731">
        <v>0</v>
      </c>
      <c r="F29" s="731">
        <v>0</v>
      </c>
      <c r="G29" s="731">
        <v>0</v>
      </c>
      <c r="H29" s="731">
        <v>0</v>
      </c>
      <c r="I29" s="731">
        <v>0</v>
      </c>
      <c r="J29" s="731">
        <v>0</v>
      </c>
      <c r="K29" s="731">
        <v>0</v>
      </c>
      <c r="L29" s="731">
        <v>0</v>
      </c>
      <c r="M29" s="731">
        <v>0</v>
      </c>
      <c r="N29" s="731">
        <v>0</v>
      </c>
      <c r="O29" s="731">
        <f t="shared" si="0"/>
        <v>26000000.012750398</v>
      </c>
    </row>
    <row r="30" spans="1:15" ht="13.25" customHeight="1" x14ac:dyDescent="0.25">
      <c r="A30" s="730" t="s">
        <v>4361</v>
      </c>
      <c r="B30" s="731">
        <v>0</v>
      </c>
      <c r="C30" s="731">
        <v>2000000.0009808</v>
      </c>
      <c r="D30" s="731">
        <v>0</v>
      </c>
      <c r="E30" s="731">
        <v>0</v>
      </c>
      <c r="F30" s="731">
        <v>0</v>
      </c>
      <c r="G30" s="731">
        <v>0</v>
      </c>
      <c r="H30" s="731">
        <v>0</v>
      </c>
      <c r="I30" s="731">
        <v>0</v>
      </c>
      <c r="J30" s="731">
        <v>0</v>
      </c>
      <c r="K30" s="731">
        <v>0</v>
      </c>
      <c r="L30" s="731">
        <v>0</v>
      </c>
      <c r="M30" s="731">
        <v>0</v>
      </c>
      <c r="N30" s="731">
        <v>0</v>
      </c>
      <c r="O30" s="731">
        <f t="shared" si="0"/>
        <v>2000000.0009808</v>
      </c>
    </row>
    <row r="31" spans="1:15" ht="13.25" customHeight="1" x14ac:dyDescent="0.25">
      <c r="A31" s="730" t="s">
        <v>4362</v>
      </c>
      <c r="B31" s="731">
        <v>0</v>
      </c>
      <c r="C31" s="731">
        <v>4034694.9119786145</v>
      </c>
      <c r="D31" s="731">
        <v>0</v>
      </c>
      <c r="E31" s="731">
        <v>0</v>
      </c>
      <c r="F31" s="731">
        <v>0</v>
      </c>
      <c r="G31" s="731">
        <v>0</v>
      </c>
      <c r="H31" s="731">
        <v>0</v>
      </c>
      <c r="I31" s="731">
        <v>0</v>
      </c>
      <c r="J31" s="731">
        <v>0</v>
      </c>
      <c r="K31" s="731">
        <v>0</v>
      </c>
      <c r="L31" s="731">
        <v>0</v>
      </c>
      <c r="M31" s="731">
        <v>0</v>
      </c>
      <c r="N31" s="731">
        <v>0</v>
      </c>
      <c r="O31" s="731">
        <f t="shared" si="0"/>
        <v>4034694.9119786145</v>
      </c>
    </row>
    <row r="32" spans="1:15" ht="13.25" customHeight="1" x14ac:dyDescent="0.25">
      <c r="A32" s="730" t="s">
        <v>4740</v>
      </c>
      <c r="B32" s="731">
        <v>0</v>
      </c>
      <c r="C32" s="731">
        <v>0</v>
      </c>
      <c r="D32" s="731">
        <v>14419.090279855021</v>
      </c>
      <c r="E32" s="731">
        <v>0</v>
      </c>
      <c r="F32" s="731">
        <v>0</v>
      </c>
      <c r="G32" s="731">
        <v>0</v>
      </c>
      <c r="H32" s="731">
        <v>0</v>
      </c>
      <c r="I32" s="731">
        <v>0</v>
      </c>
      <c r="J32" s="731">
        <v>0</v>
      </c>
      <c r="K32" s="731">
        <v>0</v>
      </c>
      <c r="L32" s="731">
        <v>0</v>
      </c>
      <c r="M32" s="731">
        <v>0</v>
      </c>
      <c r="N32" s="731">
        <v>0</v>
      </c>
      <c r="O32" s="731">
        <f t="shared" si="0"/>
        <v>14419.090279855021</v>
      </c>
    </row>
    <row r="33" spans="1:15" ht="13.25" customHeight="1" x14ac:dyDescent="0.25">
      <c r="A33" s="730" t="s">
        <v>4741</v>
      </c>
      <c r="B33" s="731">
        <v>21479047.199999999</v>
      </c>
      <c r="C33" s="731">
        <v>0</v>
      </c>
      <c r="D33" s="731">
        <v>0</v>
      </c>
      <c r="E33" s="731">
        <v>0</v>
      </c>
      <c r="F33" s="731">
        <v>0</v>
      </c>
      <c r="G33" s="731">
        <v>0</v>
      </c>
      <c r="H33" s="731">
        <v>0</v>
      </c>
      <c r="I33" s="731">
        <v>0</v>
      </c>
      <c r="J33" s="731">
        <v>0</v>
      </c>
      <c r="K33" s="731">
        <v>0</v>
      </c>
      <c r="L33" s="731">
        <v>0</v>
      </c>
      <c r="M33" s="731">
        <v>0</v>
      </c>
      <c r="N33" s="731">
        <v>0</v>
      </c>
      <c r="O33" s="731">
        <f t="shared" si="0"/>
        <v>21479047.199999999</v>
      </c>
    </row>
    <row r="34" spans="1:15" ht="13.25" customHeight="1" x14ac:dyDescent="0.25">
      <c r="A34" s="730" t="s">
        <v>330</v>
      </c>
      <c r="B34" s="731">
        <v>0</v>
      </c>
      <c r="C34" s="731">
        <v>-319.89000015687407</v>
      </c>
      <c r="D34" s="731">
        <v>0</v>
      </c>
      <c r="E34" s="731">
        <v>0</v>
      </c>
      <c r="F34" s="731">
        <v>0</v>
      </c>
      <c r="G34" s="731">
        <v>0</v>
      </c>
      <c r="H34" s="731">
        <v>0</v>
      </c>
      <c r="I34" s="731">
        <v>0</v>
      </c>
      <c r="J34" s="731">
        <v>0</v>
      </c>
      <c r="K34" s="731">
        <v>0</v>
      </c>
      <c r="L34" s="731">
        <v>0</v>
      </c>
      <c r="M34" s="731">
        <v>0</v>
      </c>
      <c r="N34" s="731">
        <v>0</v>
      </c>
      <c r="O34" s="731">
        <f t="shared" si="0"/>
        <v>-319.89000015687407</v>
      </c>
    </row>
    <row r="35" spans="1:15" ht="13.25" customHeight="1" x14ac:dyDescent="0.25">
      <c r="A35" s="732" t="s">
        <v>331</v>
      </c>
      <c r="B35" s="733">
        <f t="shared" ref="B35:O35" si="1">SUM(B13:B34)</f>
        <v>39728168.758877411</v>
      </c>
      <c r="C35" s="733">
        <f t="shared" si="1"/>
        <v>35414198.587367125</v>
      </c>
      <c r="D35" s="733">
        <f t="shared" si="1"/>
        <v>2631019.3820889499</v>
      </c>
      <c r="E35" s="733">
        <f t="shared" si="1"/>
        <v>54966.535671434402</v>
      </c>
      <c r="F35" s="733">
        <f t="shared" si="1"/>
        <v>479754.85986969841</v>
      </c>
      <c r="G35" s="733">
        <f t="shared" si="1"/>
        <v>708019.85314743628</v>
      </c>
      <c r="H35" s="733">
        <f t="shared" si="1"/>
        <v>90218.441954159993</v>
      </c>
      <c r="I35" s="733">
        <f t="shared" si="1"/>
        <v>1231240.228755743</v>
      </c>
      <c r="J35" s="733">
        <f t="shared" si="1"/>
        <v>390811.32824114157</v>
      </c>
      <c r="K35" s="733">
        <f t="shared" si="1"/>
        <v>417077.5359576976</v>
      </c>
      <c r="L35" s="733">
        <f t="shared" si="1"/>
        <v>208434.49974781199</v>
      </c>
      <c r="M35" s="733">
        <f t="shared" si="1"/>
        <v>0</v>
      </c>
      <c r="N35" s="733">
        <f t="shared" si="1"/>
        <v>0</v>
      </c>
      <c r="O35" s="733">
        <f t="shared" si="1"/>
        <v>81353910.011678636</v>
      </c>
    </row>
    <row r="36" spans="1:15" ht="13.25" customHeight="1" x14ac:dyDescent="0.25">
      <c r="A36" s="734" t="s">
        <v>332</v>
      </c>
      <c r="B36" s="733">
        <f t="shared" ref="B36:O36" si="2">SUM(B35)</f>
        <v>39728168.758877411</v>
      </c>
      <c r="C36" s="733">
        <f t="shared" si="2"/>
        <v>35414198.587367125</v>
      </c>
      <c r="D36" s="733">
        <f t="shared" si="2"/>
        <v>2631019.3820889499</v>
      </c>
      <c r="E36" s="733">
        <f t="shared" si="2"/>
        <v>54966.535671434402</v>
      </c>
      <c r="F36" s="733">
        <f t="shared" si="2"/>
        <v>479754.85986969841</v>
      </c>
      <c r="G36" s="733">
        <f t="shared" si="2"/>
        <v>708019.85314743628</v>
      </c>
      <c r="H36" s="733">
        <f t="shared" si="2"/>
        <v>90218.441954159993</v>
      </c>
      <c r="I36" s="733">
        <f t="shared" si="2"/>
        <v>1231240.228755743</v>
      </c>
      <c r="J36" s="733">
        <f t="shared" si="2"/>
        <v>390811.32824114157</v>
      </c>
      <c r="K36" s="733">
        <f t="shared" si="2"/>
        <v>417077.5359576976</v>
      </c>
      <c r="L36" s="733">
        <f t="shared" si="2"/>
        <v>208434.49974781199</v>
      </c>
      <c r="M36" s="733">
        <f t="shared" si="2"/>
        <v>0</v>
      </c>
      <c r="N36" s="733">
        <f t="shared" si="2"/>
        <v>0</v>
      </c>
      <c r="O36" s="733">
        <f t="shared" si="2"/>
        <v>81353910.011678636</v>
      </c>
    </row>
    <row r="37" spans="1:15" ht="13.25" customHeight="1" x14ac:dyDescent="0.25">
      <c r="A37" s="728" t="s">
        <v>333</v>
      </c>
      <c r="B37" s="727"/>
      <c r="C37" s="727"/>
      <c r="D37" s="727"/>
      <c r="E37" s="727"/>
      <c r="F37" s="727"/>
      <c r="G37" s="727"/>
      <c r="H37" s="727"/>
      <c r="I37" s="727"/>
      <c r="J37" s="727"/>
      <c r="K37" s="727"/>
      <c r="L37" s="727"/>
      <c r="M37" s="727"/>
      <c r="N37" s="727"/>
      <c r="O37" s="727"/>
    </row>
    <row r="38" spans="1:15" ht="13.25" customHeight="1" x14ac:dyDescent="0.25">
      <c r="A38" s="729" t="s">
        <v>334</v>
      </c>
      <c r="B38" s="731">
        <v>68000000.033347204</v>
      </c>
      <c r="C38" s="731">
        <v>0</v>
      </c>
      <c r="D38" s="731">
        <v>0</v>
      </c>
      <c r="E38" s="731">
        <v>0</v>
      </c>
      <c r="F38" s="731">
        <v>0</v>
      </c>
      <c r="G38" s="731">
        <v>0</v>
      </c>
      <c r="H38" s="731">
        <v>0</v>
      </c>
      <c r="I38" s="731">
        <v>0</v>
      </c>
      <c r="J38" s="731">
        <v>0</v>
      </c>
      <c r="K38" s="731">
        <v>0</v>
      </c>
      <c r="L38" s="731">
        <v>0</v>
      </c>
      <c r="M38" s="731">
        <v>0</v>
      </c>
      <c r="N38" s="731">
        <v>0</v>
      </c>
      <c r="O38" s="731">
        <f>SUM(B38:N38)</f>
        <v>68000000.033347204</v>
      </c>
    </row>
    <row r="39" spans="1:15" ht="13.25" customHeight="1" x14ac:dyDescent="0.25">
      <c r="A39" s="734" t="s">
        <v>335</v>
      </c>
      <c r="B39" s="733">
        <f t="shared" ref="B39:O39" si="3">SUM(B38)</f>
        <v>68000000.033347204</v>
      </c>
      <c r="C39" s="733">
        <f t="shared" si="3"/>
        <v>0</v>
      </c>
      <c r="D39" s="733">
        <f t="shared" si="3"/>
        <v>0</v>
      </c>
      <c r="E39" s="733">
        <f t="shared" si="3"/>
        <v>0</v>
      </c>
      <c r="F39" s="733">
        <f t="shared" si="3"/>
        <v>0</v>
      </c>
      <c r="G39" s="733">
        <f t="shared" si="3"/>
        <v>0</v>
      </c>
      <c r="H39" s="733">
        <f t="shared" si="3"/>
        <v>0</v>
      </c>
      <c r="I39" s="733">
        <f t="shared" si="3"/>
        <v>0</v>
      </c>
      <c r="J39" s="733">
        <f t="shared" si="3"/>
        <v>0</v>
      </c>
      <c r="K39" s="733">
        <f t="shared" si="3"/>
        <v>0</v>
      </c>
      <c r="L39" s="733">
        <f t="shared" si="3"/>
        <v>0</v>
      </c>
      <c r="M39" s="733">
        <f t="shared" si="3"/>
        <v>0</v>
      </c>
      <c r="N39" s="733">
        <f t="shared" si="3"/>
        <v>0</v>
      </c>
      <c r="O39" s="733">
        <f t="shared" si="3"/>
        <v>68000000.033347204</v>
      </c>
    </row>
    <row r="40" spans="1:15" ht="13.25" customHeight="1" x14ac:dyDescent="0.25">
      <c r="A40" s="728" t="s">
        <v>336</v>
      </c>
      <c r="B40" s="727"/>
      <c r="C40" s="727"/>
      <c r="D40" s="727"/>
      <c r="E40" s="727"/>
      <c r="F40" s="727"/>
      <c r="G40" s="727"/>
      <c r="H40" s="727"/>
      <c r="I40" s="727"/>
      <c r="J40" s="727"/>
      <c r="K40" s="727"/>
      <c r="L40" s="727"/>
      <c r="M40" s="727"/>
      <c r="N40" s="727"/>
      <c r="O40" s="727"/>
    </row>
    <row r="41" spans="1:15" ht="13.25" customHeight="1" x14ac:dyDescent="0.25">
      <c r="A41" s="729" t="s">
        <v>337</v>
      </c>
      <c r="B41" s="731">
        <v>8480329.0846407432</v>
      </c>
      <c r="C41" s="731">
        <v>0</v>
      </c>
      <c r="D41" s="731">
        <v>0</v>
      </c>
      <c r="E41" s="731">
        <v>0</v>
      </c>
      <c r="F41" s="731">
        <v>0</v>
      </c>
      <c r="G41" s="731">
        <v>0</v>
      </c>
      <c r="H41" s="731">
        <v>0</v>
      </c>
      <c r="I41" s="731">
        <v>0</v>
      </c>
      <c r="J41" s="731">
        <v>0</v>
      </c>
      <c r="K41" s="731">
        <v>0</v>
      </c>
      <c r="L41" s="731">
        <v>0</v>
      </c>
      <c r="M41" s="731">
        <v>0</v>
      </c>
      <c r="N41" s="731">
        <v>0</v>
      </c>
      <c r="O41" s="731">
        <f t="shared" ref="O41:O50" si="4">SUM(B41:N41)</f>
        <v>8480329.0846407432</v>
      </c>
    </row>
    <row r="42" spans="1:15" ht="13.25" customHeight="1" x14ac:dyDescent="0.25">
      <c r="A42" s="729" t="s">
        <v>338</v>
      </c>
      <c r="B42" s="731">
        <v>2180404.5052254661</v>
      </c>
      <c r="C42" s="731">
        <v>0</v>
      </c>
      <c r="D42" s="731">
        <v>0</v>
      </c>
      <c r="E42" s="731">
        <v>0</v>
      </c>
      <c r="F42" s="731">
        <v>0</v>
      </c>
      <c r="G42" s="731">
        <v>0</v>
      </c>
      <c r="H42" s="731">
        <v>0</v>
      </c>
      <c r="I42" s="731">
        <v>0</v>
      </c>
      <c r="J42" s="731">
        <v>0</v>
      </c>
      <c r="K42" s="731">
        <v>0</v>
      </c>
      <c r="L42" s="731">
        <v>0</v>
      </c>
      <c r="M42" s="731">
        <v>0</v>
      </c>
      <c r="N42" s="731">
        <v>0</v>
      </c>
      <c r="O42" s="731">
        <f t="shared" si="4"/>
        <v>2180404.5052254661</v>
      </c>
    </row>
    <row r="43" spans="1:15" ht="13.25" customHeight="1" x14ac:dyDescent="0.25">
      <c r="A43" s="729" t="s">
        <v>339</v>
      </c>
      <c r="B43" s="731">
        <v>7377903.7237890968</v>
      </c>
      <c r="C43" s="731">
        <v>21418597.730503682</v>
      </c>
      <c r="D43" s="731">
        <v>211595.48219335554</v>
      </c>
      <c r="E43" s="731">
        <v>0</v>
      </c>
      <c r="F43" s="731">
        <v>0</v>
      </c>
      <c r="G43" s="731">
        <v>0</v>
      </c>
      <c r="H43" s="731">
        <v>0</v>
      </c>
      <c r="I43" s="731">
        <v>0</v>
      </c>
      <c r="J43" s="731">
        <v>0</v>
      </c>
      <c r="K43" s="731">
        <v>243135.75801278363</v>
      </c>
      <c r="L43" s="731">
        <v>0</v>
      </c>
      <c r="M43" s="731">
        <v>0</v>
      </c>
      <c r="N43" s="731">
        <v>0</v>
      </c>
      <c r="O43" s="731">
        <f t="shared" si="4"/>
        <v>29251232.694498915</v>
      </c>
    </row>
    <row r="44" spans="1:15" ht="13.25" customHeight="1" x14ac:dyDescent="0.25">
      <c r="A44" s="729" t="s">
        <v>4298</v>
      </c>
      <c r="B44" s="731">
        <v>0</v>
      </c>
      <c r="C44" s="731">
        <v>16680.000008179872</v>
      </c>
      <c r="D44" s="731">
        <v>9721.5987729441149</v>
      </c>
      <c r="E44" s="731">
        <v>0</v>
      </c>
      <c r="F44" s="731">
        <v>0</v>
      </c>
      <c r="G44" s="731">
        <v>0</v>
      </c>
      <c r="H44" s="731">
        <v>0</v>
      </c>
      <c r="I44" s="731">
        <v>0</v>
      </c>
      <c r="J44" s="731">
        <v>0</v>
      </c>
      <c r="K44" s="731">
        <v>0</v>
      </c>
      <c r="L44" s="731">
        <v>0</v>
      </c>
      <c r="M44" s="731">
        <v>0</v>
      </c>
      <c r="N44" s="731">
        <v>0</v>
      </c>
      <c r="O44" s="731">
        <f t="shared" si="4"/>
        <v>26401.598781123987</v>
      </c>
    </row>
    <row r="45" spans="1:15" ht="13.25" customHeight="1" x14ac:dyDescent="0.25">
      <c r="A45" s="729" t="s">
        <v>340</v>
      </c>
      <c r="B45" s="731">
        <v>0</v>
      </c>
      <c r="C45" s="731">
        <v>-498550.98024448939</v>
      </c>
      <c r="D45" s="731">
        <v>0</v>
      </c>
      <c r="E45" s="731">
        <v>0</v>
      </c>
      <c r="F45" s="731">
        <v>0</v>
      </c>
      <c r="G45" s="731">
        <v>0</v>
      </c>
      <c r="H45" s="731">
        <v>0</v>
      </c>
      <c r="I45" s="731">
        <v>0</v>
      </c>
      <c r="J45" s="731">
        <v>0</v>
      </c>
      <c r="K45" s="731">
        <v>0</v>
      </c>
      <c r="L45" s="731">
        <v>0</v>
      </c>
      <c r="M45" s="731">
        <v>0</v>
      </c>
      <c r="N45" s="731">
        <v>0</v>
      </c>
      <c r="O45" s="731">
        <f t="shared" si="4"/>
        <v>-498550.98024448939</v>
      </c>
    </row>
    <row r="46" spans="1:15" ht="13.25" customHeight="1" x14ac:dyDescent="0.25">
      <c r="A46" s="729" t="s">
        <v>341</v>
      </c>
      <c r="B46" s="731">
        <v>22144732.274536561</v>
      </c>
      <c r="C46" s="731">
        <v>10034124.144920735</v>
      </c>
      <c r="D46" s="731">
        <v>141032.66138303574</v>
      </c>
      <c r="E46" s="731">
        <v>-208170.53299724759</v>
      </c>
      <c r="F46" s="731">
        <v>483651.3738222504</v>
      </c>
      <c r="G46" s="731">
        <v>636457.42403497454</v>
      </c>
      <c r="H46" s="731">
        <v>57427.658597228401</v>
      </c>
      <c r="I46" s="731">
        <v>589014.54587297537</v>
      </c>
      <c r="J46" s="731">
        <v>124029.7700202288</v>
      </c>
      <c r="K46" s="731">
        <v>0</v>
      </c>
      <c r="L46" s="731">
        <v>126945.6365938176</v>
      </c>
      <c r="M46" s="731">
        <v>0</v>
      </c>
      <c r="N46" s="731">
        <v>-34129244.98527018</v>
      </c>
      <c r="O46" s="731">
        <f t="shared" si="4"/>
        <v>-2.8485618531703949E-2</v>
      </c>
    </row>
    <row r="47" spans="1:15" ht="13.25" customHeight="1" x14ac:dyDescent="0.25">
      <c r="A47" s="729" t="s">
        <v>342</v>
      </c>
      <c r="B47" s="731">
        <v>0</v>
      </c>
      <c r="C47" s="731">
        <v>-84991.760041679954</v>
      </c>
      <c r="D47" s="731">
        <v>0</v>
      </c>
      <c r="E47" s="731">
        <v>0</v>
      </c>
      <c r="F47" s="731">
        <v>0</v>
      </c>
      <c r="G47" s="731">
        <v>0</v>
      </c>
      <c r="H47" s="731">
        <v>0</v>
      </c>
      <c r="I47" s="731">
        <v>0</v>
      </c>
      <c r="J47" s="731">
        <v>0</v>
      </c>
      <c r="K47" s="731">
        <v>0</v>
      </c>
      <c r="L47" s="731">
        <v>0</v>
      </c>
      <c r="M47" s="731">
        <v>0</v>
      </c>
      <c r="N47" s="731">
        <v>0</v>
      </c>
      <c r="O47" s="731">
        <f t="shared" si="4"/>
        <v>-84991.760041679954</v>
      </c>
    </row>
    <row r="48" spans="1:15" ht="13.25" customHeight="1" x14ac:dyDescent="0.25">
      <c r="A48" s="729" t="s">
        <v>343</v>
      </c>
      <c r="B48" s="731">
        <v>1285418.9279667528</v>
      </c>
      <c r="C48" s="731">
        <v>1024381.5505023567</v>
      </c>
      <c r="D48" s="731">
        <v>-0.16091608144154401</v>
      </c>
      <c r="E48" s="731">
        <v>0</v>
      </c>
      <c r="F48" s="731">
        <v>0</v>
      </c>
      <c r="G48" s="731">
        <v>0</v>
      </c>
      <c r="H48" s="731">
        <v>0</v>
      </c>
      <c r="I48" s="731">
        <v>0</v>
      </c>
      <c r="J48" s="731">
        <v>0</v>
      </c>
      <c r="K48" s="731">
        <v>1653077.1206822244</v>
      </c>
      <c r="L48" s="731">
        <v>0</v>
      </c>
      <c r="M48" s="731">
        <v>0</v>
      </c>
      <c r="N48" s="731">
        <v>0</v>
      </c>
      <c r="O48" s="731">
        <f t="shared" si="4"/>
        <v>3962877.4382352522</v>
      </c>
    </row>
    <row r="49" spans="1:15" ht="13.25" customHeight="1" x14ac:dyDescent="0.25">
      <c r="A49" s="729" t="s">
        <v>344</v>
      </c>
      <c r="B49" s="731">
        <v>90646.562322950398</v>
      </c>
      <c r="C49" s="731">
        <v>251214.83012319574</v>
      </c>
      <c r="D49" s="731">
        <v>0.102401142735528</v>
      </c>
      <c r="E49" s="731">
        <v>0</v>
      </c>
      <c r="F49" s="731">
        <v>0</v>
      </c>
      <c r="G49" s="731">
        <v>0</v>
      </c>
      <c r="H49" s="731">
        <v>0</v>
      </c>
      <c r="I49" s="731">
        <v>0</v>
      </c>
      <c r="J49" s="731">
        <v>0</v>
      </c>
      <c r="K49" s="731">
        <v>0</v>
      </c>
      <c r="L49" s="731">
        <v>0</v>
      </c>
      <c r="M49" s="731">
        <v>0</v>
      </c>
      <c r="N49" s="731">
        <v>0</v>
      </c>
      <c r="O49" s="731">
        <f t="shared" si="4"/>
        <v>341861.49484728882</v>
      </c>
    </row>
    <row r="50" spans="1:15" ht="13.25" customHeight="1" x14ac:dyDescent="0.25">
      <c r="A50" s="729" t="s">
        <v>345</v>
      </c>
      <c r="B50" s="731">
        <v>0.22552999560000001</v>
      </c>
      <c r="C50" s="731">
        <v>0</v>
      </c>
      <c r="D50" s="731">
        <v>0</v>
      </c>
      <c r="E50" s="731">
        <v>0</v>
      </c>
      <c r="F50" s="731">
        <v>0</v>
      </c>
      <c r="G50" s="731">
        <v>0</v>
      </c>
      <c r="H50" s="731">
        <v>0</v>
      </c>
      <c r="I50" s="731">
        <v>0</v>
      </c>
      <c r="J50" s="731">
        <v>0</v>
      </c>
      <c r="K50" s="731">
        <v>0</v>
      </c>
      <c r="L50" s="731">
        <v>0</v>
      </c>
      <c r="M50" s="731">
        <v>0</v>
      </c>
      <c r="N50" s="731">
        <v>0</v>
      </c>
      <c r="O50" s="731">
        <f t="shared" si="4"/>
        <v>0.22552999560000001</v>
      </c>
    </row>
    <row r="51" spans="1:15" ht="13.25" customHeight="1" x14ac:dyDescent="0.25">
      <c r="A51" s="734" t="s">
        <v>346</v>
      </c>
      <c r="B51" s="733">
        <f t="shared" ref="B51:O51" si="5">SUM(B41:B50)</f>
        <v>41559435.304011568</v>
      </c>
      <c r="C51" s="733">
        <f t="shared" si="5"/>
        <v>32161455.515771981</v>
      </c>
      <c r="D51" s="733">
        <f t="shared" si="5"/>
        <v>362349.68383439665</v>
      </c>
      <c r="E51" s="733">
        <f t="shared" si="5"/>
        <v>-208170.53299724759</v>
      </c>
      <c r="F51" s="733">
        <f t="shared" si="5"/>
        <v>483651.3738222504</v>
      </c>
      <c r="G51" s="733">
        <f t="shared" si="5"/>
        <v>636457.42403497454</v>
      </c>
      <c r="H51" s="733">
        <f t="shared" si="5"/>
        <v>57427.658597228401</v>
      </c>
      <c r="I51" s="733">
        <f t="shared" si="5"/>
        <v>589014.54587297537</v>
      </c>
      <c r="J51" s="733">
        <f t="shared" si="5"/>
        <v>124029.7700202288</v>
      </c>
      <c r="K51" s="733">
        <f t="shared" si="5"/>
        <v>1896212.8786950081</v>
      </c>
      <c r="L51" s="733">
        <f t="shared" si="5"/>
        <v>126945.6365938176</v>
      </c>
      <c r="M51" s="733">
        <f t="shared" si="5"/>
        <v>0</v>
      </c>
      <c r="N51" s="733">
        <f t="shared" si="5"/>
        <v>-34129244.98527018</v>
      </c>
      <c r="O51" s="733">
        <f t="shared" si="5"/>
        <v>43659564.272987008</v>
      </c>
    </row>
    <row r="52" spans="1:15" ht="13.25" customHeight="1" x14ac:dyDescent="0.25">
      <c r="A52" s="728" t="s">
        <v>347</v>
      </c>
      <c r="B52" s="727"/>
      <c r="C52" s="727"/>
      <c r="D52" s="727"/>
      <c r="E52" s="727"/>
      <c r="F52" s="727"/>
      <c r="G52" s="727"/>
      <c r="H52" s="727"/>
      <c r="I52" s="727"/>
      <c r="J52" s="727"/>
      <c r="K52" s="727"/>
      <c r="L52" s="727"/>
      <c r="M52" s="727"/>
      <c r="N52" s="727"/>
      <c r="O52" s="727"/>
    </row>
    <row r="53" spans="1:15" ht="13.25" customHeight="1" x14ac:dyDescent="0.25">
      <c r="A53" s="729" t="s">
        <v>348</v>
      </c>
      <c r="B53" s="731">
        <v>9688911.1781517901</v>
      </c>
      <c r="C53" s="731">
        <v>11532897.765655734</v>
      </c>
      <c r="D53" s="731">
        <v>579895.85003382782</v>
      </c>
      <c r="E53" s="731">
        <v>0</v>
      </c>
      <c r="F53" s="731">
        <v>0</v>
      </c>
      <c r="G53" s="731">
        <v>0</v>
      </c>
      <c r="H53" s="731">
        <v>0</v>
      </c>
      <c r="I53" s="731">
        <v>0</v>
      </c>
      <c r="J53" s="731">
        <v>0</v>
      </c>
      <c r="K53" s="731">
        <v>0</v>
      </c>
      <c r="L53" s="731">
        <v>0</v>
      </c>
      <c r="M53" s="731">
        <v>0</v>
      </c>
      <c r="N53" s="731">
        <v>0</v>
      </c>
      <c r="O53" s="731">
        <f>SUM(B53:N53)</f>
        <v>21801704.793841351</v>
      </c>
    </row>
    <row r="54" spans="1:15" ht="13.25" customHeight="1" x14ac:dyDescent="0.25">
      <c r="A54" s="729" t="s">
        <v>349</v>
      </c>
      <c r="B54" s="731">
        <v>333404.21435256</v>
      </c>
      <c r="C54" s="731">
        <v>0</v>
      </c>
      <c r="D54" s="731">
        <v>0</v>
      </c>
      <c r="E54" s="731">
        <v>0</v>
      </c>
      <c r="F54" s="731">
        <v>0</v>
      </c>
      <c r="G54" s="731">
        <v>0</v>
      </c>
      <c r="H54" s="731">
        <v>0</v>
      </c>
      <c r="I54" s="731">
        <v>0</v>
      </c>
      <c r="J54" s="731">
        <v>0</v>
      </c>
      <c r="K54" s="731">
        <v>0</v>
      </c>
      <c r="L54" s="731">
        <v>0</v>
      </c>
      <c r="M54" s="731">
        <v>0</v>
      </c>
      <c r="N54" s="731">
        <v>0</v>
      </c>
      <c r="O54" s="731">
        <f>SUM(B54:N54)</f>
        <v>333404.21435256</v>
      </c>
    </row>
    <row r="55" spans="1:15" ht="13.25" customHeight="1" x14ac:dyDescent="0.25">
      <c r="A55" s="729" t="s">
        <v>350</v>
      </c>
      <c r="B55" s="731">
        <v>-7435502.5918715568</v>
      </c>
      <c r="C55" s="731">
        <v>-9805517.554808626</v>
      </c>
      <c r="D55" s="731">
        <v>-488572.67503608204</v>
      </c>
      <c r="E55" s="731">
        <v>0</v>
      </c>
      <c r="F55" s="731">
        <v>0</v>
      </c>
      <c r="G55" s="731">
        <v>0</v>
      </c>
      <c r="H55" s="731">
        <v>0</v>
      </c>
      <c r="I55" s="731">
        <v>0</v>
      </c>
      <c r="J55" s="731">
        <v>0</v>
      </c>
      <c r="K55" s="731">
        <v>0</v>
      </c>
      <c r="L55" s="731">
        <v>0</v>
      </c>
      <c r="M55" s="731">
        <v>0</v>
      </c>
      <c r="N55" s="731">
        <v>0</v>
      </c>
      <c r="O55" s="731">
        <f>SUM(B55:N55)</f>
        <v>-17729592.821716264</v>
      </c>
    </row>
    <row r="56" spans="1:15" ht="13.25" customHeight="1" x14ac:dyDescent="0.25">
      <c r="A56" s="729" t="s">
        <v>351</v>
      </c>
      <c r="B56" s="731">
        <v>-139755.56851151999</v>
      </c>
      <c r="C56" s="731">
        <v>0</v>
      </c>
      <c r="D56" s="731">
        <v>0</v>
      </c>
      <c r="E56" s="731">
        <v>0</v>
      </c>
      <c r="F56" s="731">
        <v>0</v>
      </c>
      <c r="G56" s="731">
        <v>0</v>
      </c>
      <c r="H56" s="731">
        <v>0</v>
      </c>
      <c r="I56" s="731">
        <v>0</v>
      </c>
      <c r="J56" s="731">
        <v>0</v>
      </c>
      <c r="K56" s="731">
        <v>0</v>
      </c>
      <c r="L56" s="731">
        <v>0</v>
      </c>
      <c r="M56" s="731">
        <v>0</v>
      </c>
      <c r="N56" s="731">
        <v>0</v>
      </c>
      <c r="O56" s="731">
        <f>SUM(B56:N56)</f>
        <v>-139755.56851151999</v>
      </c>
    </row>
    <row r="57" spans="1:15" ht="13.25" customHeight="1" x14ac:dyDescent="0.25">
      <c r="A57" s="734" t="s">
        <v>352</v>
      </c>
      <c r="B57" s="733">
        <f t="shared" ref="B57:O57" si="6">SUM(B53:B56)</f>
        <v>2447057.2321212725</v>
      </c>
      <c r="C57" s="733">
        <f t="shared" si="6"/>
        <v>1727380.2108471077</v>
      </c>
      <c r="D57" s="733">
        <f t="shared" si="6"/>
        <v>91323.17499774578</v>
      </c>
      <c r="E57" s="733">
        <f t="shared" si="6"/>
        <v>0</v>
      </c>
      <c r="F57" s="733">
        <f t="shared" si="6"/>
        <v>0</v>
      </c>
      <c r="G57" s="733">
        <f t="shared" si="6"/>
        <v>0</v>
      </c>
      <c r="H57" s="733">
        <f t="shared" si="6"/>
        <v>0</v>
      </c>
      <c r="I57" s="733">
        <f t="shared" si="6"/>
        <v>0</v>
      </c>
      <c r="J57" s="733">
        <f t="shared" si="6"/>
        <v>0</v>
      </c>
      <c r="K57" s="733">
        <f t="shared" si="6"/>
        <v>0</v>
      </c>
      <c r="L57" s="733">
        <f t="shared" si="6"/>
        <v>0</v>
      </c>
      <c r="M57" s="733">
        <f t="shared" si="6"/>
        <v>0</v>
      </c>
      <c r="N57" s="733">
        <f t="shared" si="6"/>
        <v>0</v>
      </c>
      <c r="O57" s="733">
        <f t="shared" si="6"/>
        <v>4265760.6179661267</v>
      </c>
    </row>
    <row r="58" spans="1:15" ht="13.25" customHeight="1" x14ac:dyDescent="0.25">
      <c r="A58" s="728" t="s">
        <v>353</v>
      </c>
      <c r="B58" s="727"/>
      <c r="C58" s="727"/>
      <c r="D58" s="727"/>
      <c r="E58" s="727"/>
      <c r="F58" s="727"/>
      <c r="G58" s="727"/>
      <c r="H58" s="727"/>
      <c r="I58" s="727"/>
      <c r="J58" s="727"/>
      <c r="K58" s="727"/>
      <c r="L58" s="727"/>
      <c r="M58" s="727"/>
      <c r="N58" s="727"/>
      <c r="O58" s="727"/>
    </row>
    <row r="59" spans="1:15" ht="13.25" customHeight="1" x14ac:dyDescent="0.25">
      <c r="A59" s="729" t="s">
        <v>354</v>
      </c>
      <c r="B59" s="731">
        <v>922742.25188623916</v>
      </c>
      <c r="C59" s="731">
        <v>125077.00006133776</v>
      </c>
      <c r="D59" s="731">
        <v>0</v>
      </c>
      <c r="E59" s="731">
        <v>0</v>
      </c>
      <c r="F59" s="731">
        <v>0</v>
      </c>
      <c r="G59" s="731">
        <v>0</v>
      </c>
      <c r="H59" s="731">
        <v>0</v>
      </c>
      <c r="I59" s="731">
        <v>0</v>
      </c>
      <c r="J59" s="731">
        <v>0</v>
      </c>
      <c r="K59" s="731">
        <v>0</v>
      </c>
      <c r="L59" s="731">
        <v>0</v>
      </c>
      <c r="M59" s="731">
        <v>0</v>
      </c>
      <c r="N59" s="731">
        <v>0</v>
      </c>
      <c r="O59" s="731">
        <f t="shared" ref="O59:O94" si="7">SUM(B59:N59)</f>
        <v>1047819.2519475769</v>
      </c>
    </row>
    <row r="60" spans="1:15" ht="13.25" customHeight="1" x14ac:dyDescent="0.25">
      <c r="A60" s="729" t="s">
        <v>220</v>
      </c>
      <c r="B60" s="731">
        <v>-322.4112379956</v>
      </c>
      <c r="C60" s="731">
        <v>993045.68048698956</v>
      </c>
      <c r="D60" s="731">
        <v>0</v>
      </c>
      <c r="E60" s="731">
        <v>0</v>
      </c>
      <c r="F60" s="731">
        <v>0</v>
      </c>
      <c r="G60" s="731">
        <v>0</v>
      </c>
      <c r="H60" s="731">
        <v>0</v>
      </c>
      <c r="I60" s="731">
        <v>7695.1288136196863</v>
      </c>
      <c r="J60" s="731">
        <v>45272.246945327999</v>
      </c>
      <c r="K60" s="731">
        <v>0</v>
      </c>
      <c r="L60" s="731">
        <v>14.4768778128</v>
      </c>
      <c r="M60" s="731">
        <v>0</v>
      </c>
      <c r="N60" s="731">
        <v>0</v>
      </c>
      <c r="O60" s="731">
        <f t="shared" si="7"/>
        <v>1045705.1218857544</v>
      </c>
    </row>
    <row r="61" spans="1:15" ht="13.25" customHeight="1" x14ac:dyDescent="0.25">
      <c r="A61" s="729" t="s">
        <v>355</v>
      </c>
      <c r="B61" s="731">
        <v>-21201.967491120002</v>
      </c>
      <c r="C61" s="731">
        <v>0</v>
      </c>
      <c r="D61" s="731">
        <v>0</v>
      </c>
      <c r="E61" s="731">
        <v>0</v>
      </c>
      <c r="F61" s="731">
        <v>0</v>
      </c>
      <c r="G61" s="731">
        <v>0</v>
      </c>
      <c r="H61" s="731">
        <v>0</v>
      </c>
      <c r="I61" s="731">
        <v>0</v>
      </c>
      <c r="J61" s="731">
        <v>0</v>
      </c>
      <c r="K61" s="731">
        <v>0</v>
      </c>
      <c r="L61" s="731">
        <v>0</v>
      </c>
      <c r="M61" s="731">
        <v>0</v>
      </c>
      <c r="N61" s="731">
        <v>0</v>
      </c>
      <c r="O61" s="731">
        <f t="shared" si="7"/>
        <v>-21201.967491120002</v>
      </c>
    </row>
    <row r="62" spans="1:15" ht="13.25" customHeight="1" x14ac:dyDescent="0.25">
      <c r="A62" s="729" t="s">
        <v>356</v>
      </c>
      <c r="B62" s="731">
        <v>538636.61774379597</v>
      </c>
      <c r="C62" s="731">
        <v>-538636.62026414741</v>
      </c>
      <c r="D62" s="731">
        <v>0</v>
      </c>
      <c r="E62" s="731">
        <v>0</v>
      </c>
      <c r="F62" s="731">
        <v>0</v>
      </c>
      <c r="G62" s="731">
        <v>0</v>
      </c>
      <c r="H62" s="731">
        <v>0</v>
      </c>
      <c r="I62" s="731">
        <v>0</v>
      </c>
      <c r="J62" s="731">
        <v>0</v>
      </c>
      <c r="K62" s="731">
        <v>0</v>
      </c>
      <c r="L62" s="731">
        <v>0</v>
      </c>
      <c r="M62" s="731">
        <v>0</v>
      </c>
      <c r="N62" s="731">
        <v>0</v>
      </c>
      <c r="O62" s="731">
        <f t="shared" si="7"/>
        <v>-2.5203514378517866E-3</v>
      </c>
    </row>
    <row r="63" spans="1:15" ht="13.25" customHeight="1" x14ac:dyDescent="0.25">
      <c r="A63" s="729" t="s">
        <v>357</v>
      </c>
      <c r="B63" s="731">
        <v>0</v>
      </c>
      <c r="C63" s="731">
        <v>60626.44002973121</v>
      </c>
      <c r="D63" s="731">
        <v>0</v>
      </c>
      <c r="E63" s="731">
        <v>0</v>
      </c>
      <c r="F63" s="731">
        <v>0</v>
      </c>
      <c r="G63" s="731">
        <v>0</v>
      </c>
      <c r="H63" s="731">
        <v>0</v>
      </c>
      <c r="I63" s="731">
        <v>0</v>
      </c>
      <c r="J63" s="731">
        <v>68718.957440749204</v>
      </c>
      <c r="K63" s="731">
        <v>15881.704255914341</v>
      </c>
      <c r="L63" s="731">
        <v>3.0285456551999999</v>
      </c>
      <c r="M63" s="731">
        <v>0</v>
      </c>
      <c r="N63" s="731">
        <v>0</v>
      </c>
      <c r="O63" s="731">
        <f t="shared" si="7"/>
        <v>145230.13027204995</v>
      </c>
    </row>
    <row r="64" spans="1:15" ht="13.25" customHeight="1" x14ac:dyDescent="0.25">
      <c r="A64" s="729" t="s">
        <v>358</v>
      </c>
      <c r="B64" s="731">
        <v>0</v>
      </c>
      <c r="C64" s="731">
        <v>7229.0000035451012</v>
      </c>
      <c r="D64" s="731">
        <v>7.3143673382519998E-3</v>
      </c>
      <c r="E64" s="731">
        <v>0</v>
      </c>
      <c r="F64" s="731">
        <v>0</v>
      </c>
      <c r="G64" s="731">
        <v>0</v>
      </c>
      <c r="H64" s="731">
        <v>0.10739523600000001</v>
      </c>
      <c r="I64" s="731">
        <v>0</v>
      </c>
      <c r="J64" s="731">
        <v>0</v>
      </c>
      <c r="K64" s="731">
        <v>0</v>
      </c>
      <c r="L64" s="731">
        <v>0</v>
      </c>
      <c r="M64" s="731">
        <v>0</v>
      </c>
      <c r="N64" s="731">
        <v>0</v>
      </c>
      <c r="O64" s="731">
        <f t="shared" si="7"/>
        <v>7229.1147131484395</v>
      </c>
    </row>
    <row r="65" spans="1:15" ht="13.25" customHeight="1" x14ac:dyDescent="0.25">
      <c r="A65" s="729" t="s">
        <v>359</v>
      </c>
      <c r="B65" s="731">
        <v>1288.8502272359999</v>
      </c>
      <c r="C65" s="731">
        <v>0</v>
      </c>
      <c r="D65" s="731">
        <v>544.53270523084666</v>
      </c>
      <c r="E65" s="731">
        <v>0</v>
      </c>
      <c r="F65" s="731">
        <v>1262.377301562</v>
      </c>
      <c r="G65" s="731">
        <v>0</v>
      </c>
      <c r="H65" s="731">
        <v>0</v>
      </c>
      <c r="I65" s="731">
        <v>11904.479988547324</v>
      </c>
      <c r="J65" s="731">
        <v>0</v>
      </c>
      <c r="K65" s="731">
        <v>0</v>
      </c>
      <c r="L65" s="731">
        <v>0</v>
      </c>
      <c r="M65" s="731">
        <v>0</v>
      </c>
      <c r="N65" s="731">
        <v>0</v>
      </c>
      <c r="O65" s="731">
        <f t="shared" si="7"/>
        <v>15000.240222576171</v>
      </c>
    </row>
    <row r="66" spans="1:15" ht="13.25" customHeight="1" x14ac:dyDescent="0.25">
      <c r="A66" s="729" t="s">
        <v>4274</v>
      </c>
      <c r="B66" s="731">
        <v>0</v>
      </c>
      <c r="C66" s="731">
        <v>177.31000008695281</v>
      </c>
      <c r="D66" s="731">
        <v>232.20921988748626</v>
      </c>
      <c r="E66" s="731">
        <v>0</v>
      </c>
      <c r="F66" s="731">
        <v>0</v>
      </c>
      <c r="G66" s="731">
        <v>0</v>
      </c>
      <c r="H66" s="731">
        <v>0</v>
      </c>
      <c r="I66" s="731">
        <v>0</v>
      </c>
      <c r="J66" s="731">
        <v>0</v>
      </c>
      <c r="K66" s="731">
        <v>0</v>
      </c>
      <c r="L66" s="731">
        <v>0</v>
      </c>
      <c r="M66" s="731">
        <v>0</v>
      </c>
      <c r="N66" s="731">
        <v>0</v>
      </c>
      <c r="O66" s="731">
        <f t="shared" si="7"/>
        <v>409.51921997443907</v>
      </c>
    </row>
    <row r="67" spans="1:15" ht="13.25" customHeight="1" x14ac:dyDescent="0.25">
      <c r="A67" s="729" t="s">
        <v>360</v>
      </c>
      <c r="B67" s="731">
        <v>311216.56264590839</v>
      </c>
      <c r="C67" s="731">
        <v>0</v>
      </c>
      <c r="D67" s="731">
        <v>0</v>
      </c>
      <c r="E67" s="731">
        <v>0</v>
      </c>
      <c r="F67" s="731">
        <v>0</v>
      </c>
      <c r="G67" s="731">
        <v>0</v>
      </c>
      <c r="H67" s="731">
        <v>0</v>
      </c>
      <c r="I67" s="731">
        <v>0</v>
      </c>
      <c r="J67" s="731">
        <v>0</v>
      </c>
      <c r="K67" s="731">
        <v>0</v>
      </c>
      <c r="L67" s="731">
        <v>0</v>
      </c>
      <c r="M67" s="731">
        <v>0</v>
      </c>
      <c r="N67" s="731">
        <v>0</v>
      </c>
      <c r="O67" s="731">
        <f t="shared" si="7"/>
        <v>311216.56264590839</v>
      </c>
    </row>
    <row r="68" spans="1:15" ht="13.25" customHeight="1" x14ac:dyDescent="0.25">
      <c r="A68" s="729" t="s">
        <v>774</v>
      </c>
      <c r="B68" s="731">
        <v>97934.725223618399</v>
      </c>
      <c r="C68" s="731">
        <v>0</v>
      </c>
      <c r="D68" s="731">
        <v>0</v>
      </c>
      <c r="E68" s="731">
        <v>0</v>
      </c>
      <c r="F68" s="731">
        <v>0</v>
      </c>
      <c r="G68" s="731">
        <v>0</v>
      </c>
      <c r="H68" s="731">
        <v>0</v>
      </c>
      <c r="I68" s="731">
        <v>0</v>
      </c>
      <c r="J68" s="731">
        <v>0</v>
      </c>
      <c r="K68" s="731">
        <v>0</v>
      </c>
      <c r="L68" s="731">
        <v>0</v>
      </c>
      <c r="M68" s="731">
        <v>0</v>
      </c>
      <c r="N68" s="731">
        <v>0</v>
      </c>
      <c r="O68" s="731">
        <f t="shared" si="7"/>
        <v>97934.725223618399</v>
      </c>
    </row>
    <row r="69" spans="1:15" ht="13.25" customHeight="1" x14ac:dyDescent="0.25">
      <c r="A69" s="729" t="s">
        <v>361</v>
      </c>
      <c r="B69" s="731">
        <v>2324424.5774656921</v>
      </c>
      <c r="C69" s="731">
        <v>0</v>
      </c>
      <c r="D69" s="731">
        <v>0</v>
      </c>
      <c r="E69" s="731">
        <v>0</v>
      </c>
      <c r="F69" s="731">
        <v>0</v>
      </c>
      <c r="G69" s="731">
        <v>0</v>
      </c>
      <c r="H69" s="731">
        <v>0</v>
      </c>
      <c r="I69" s="731">
        <v>0</v>
      </c>
      <c r="J69" s="731">
        <v>0</v>
      </c>
      <c r="K69" s="731">
        <v>0</v>
      </c>
      <c r="L69" s="731">
        <v>0</v>
      </c>
      <c r="M69" s="731">
        <v>0</v>
      </c>
      <c r="N69" s="731">
        <v>0</v>
      </c>
      <c r="O69" s="731">
        <f t="shared" si="7"/>
        <v>2324424.5774656921</v>
      </c>
    </row>
    <row r="70" spans="1:15" ht="13.25" customHeight="1" x14ac:dyDescent="0.25">
      <c r="A70" s="729" t="s">
        <v>362</v>
      </c>
      <c r="B70" s="731">
        <v>149940.41719662721</v>
      </c>
      <c r="C70" s="731">
        <v>0</v>
      </c>
      <c r="D70" s="731">
        <v>0</v>
      </c>
      <c r="E70" s="731">
        <v>0</v>
      </c>
      <c r="F70" s="731">
        <v>0</v>
      </c>
      <c r="G70" s="731">
        <v>0</v>
      </c>
      <c r="H70" s="731">
        <v>0</v>
      </c>
      <c r="I70" s="731">
        <v>0</v>
      </c>
      <c r="J70" s="731">
        <v>0</v>
      </c>
      <c r="K70" s="731">
        <v>0</v>
      </c>
      <c r="L70" s="731">
        <v>0</v>
      </c>
      <c r="M70" s="731">
        <v>0</v>
      </c>
      <c r="N70" s="731">
        <v>0</v>
      </c>
      <c r="O70" s="731">
        <f t="shared" si="7"/>
        <v>149940.41719662721</v>
      </c>
    </row>
    <row r="71" spans="1:15" ht="13.25" customHeight="1" x14ac:dyDescent="0.25">
      <c r="A71" s="729" t="s">
        <v>4742</v>
      </c>
      <c r="B71" s="731">
        <v>14895.7192332</v>
      </c>
      <c r="C71" s="731">
        <v>0</v>
      </c>
      <c r="D71" s="731">
        <v>0</v>
      </c>
      <c r="E71" s="731">
        <v>0</v>
      </c>
      <c r="F71" s="731">
        <v>0</v>
      </c>
      <c r="G71" s="731">
        <v>0</v>
      </c>
      <c r="H71" s="731">
        <v>0</v>
      </c>
      <c r="I71" s="731">
        <v>0</v>
      </c>
      <c r="J71" s="731">
        <v>0</v>
      </c>
      <c r="K71" s="731">
        <v>0</v>
      </c>
      <c r="L71" s="731">
        <v>0</v>
      </c>
      <c r="M71" s="731">
        <v>0</v>
      </c>
      <c r="N71" s="731">
        <v>0</v>
      </c>
      <c r="O71" s="731">
        <f t="shared" si="7"/>
        <v>14895.7192332</v>
      </c>
    </row>
    <row r="72" spans="1:15" ht="13.25" customHeight="1" x14ac:dyDescent="0.25">
      <c r="A72" s="729" t="s">
        <v>363</v>
      </c>
      <c r="B72" s="731">
        <v>257977.06050411359</v>
      </c>
      <c r="C72" s="731">
        <v>0</v>
      </c>
      <c r="D72" s="731">
        <v>0</v>
      </c>
      <c r="E72" s="731">
        <v>0</v>
      </c>
      <c r="F72" s="731">
        <v>0</v>
      </c>
      <c r="G72" s="731">
        <v>0</v>
      </c>
      <c r="H72" s="731">
        <v>0</v>
      </c>
      <c r="I72" s="731">
        <v>0</v>
      </c>
      <c r="J72" s="731">
        <v>0</v>
      </c>
      <c r="K72" s="731">
        <v>0</v>
      </c>
      <c r="L72" s="731">
        <v>0</v>
      </c>
      <c r="M72" s="731">
        <v>0</v>
      </c>
      <c r="N72" s="731">
        <v>0</v>
      </c>
      <c r="O72" s="731">
        <f t="shared" si="7"/>
        <v>257977.06050411359</v>
      </c>
    </row>
    <row r="73" spans="1:15" ht="13.25" customHeight="1" x14ac:dyDescent="0.25">
      <c r="A73" s="729" t="s">
        <v>4195</v>
      </c>
      <c r="B73" s="731">
        <v>254807.01088595999</v>
      </c>
      <c r="C73" s="731">
        <v>0</v>
      </c>
      <c r="D73" s="731">
        <v>0</v>
      </c>
      <c r="E73" s="731">
        <v>0</v>
      </c>
      <c r="F73" s="731">
        <v>0</v>
      </c>
      <c r="G73" s="731">
        <v>0</v>
      </c>
      <c r="H73" s="731">
        <v>0</v>
      </c>
      <c r="I73" s="731">
        <v>0</v>
      </c>
      <c r="J73" s="731">
        <v>0</v>
      </c>
      <c r="K73" s="731">
        <v>0</v>
      </c>
      <c r="L73" s="731">
        <v>0</v>
      </c>
      <c r="M73" s="731">
        <v>0</v>
      </c>
      <c r="N73" s="731">
        <v>0</v>
      </c>
      <c r="O73" s="731">
        <f t="shared" si="7"/>
        <v>254807.01088595999</v>
      </c>
    </row>
    <row r="74" spans="1:15" ht="13.25" customHeight="1" x14ac:dyDescent="0.25">
      <c r="A74" s="729" t="s">
        <v>4363</v>
      </c>
      <c r="B74" s="731">
        <v>0</v>
      </c>
      <c r="C74" s="731">
        <v>0</v>
      </c>
      <c r="D74" s="731">
        <v>0</v>
      </c>
      <c r="E74" s="731">
        <v>0</v>
      </c>
      <c r="F74" s="731">
        <v>0</v>
      </c>
      <c r="G74" s="731">
        <v>0</v>
      </c>
      <c r="H74" s="731">
        <v>0</v>
      </c>
      <c r="I74" s="731">
        <v>0</v>
      </c>
      <c r="J74" s="731">
        <v>20225.347433506799</v>
      </c>
      <c r="K74" s="731">
        <v>105797.13880609818</v>
      </c>
      <c r="L74" s="731">
        <v>650.44998635759998</v>
      </c>
      <c r="M74" s="731">
        <v>0</v>
      </c>
      <c r="N74" s="731">
        <v>0</v>
      </c>
      <c r="O74" s="731">
        <f t="shared" si="7"/>
        <v>126672.93622596259</v>
      </c>
    </row>
    <row r="75" spans="1:15" ht="13.25" customHeight="1" x14ac:dyDescent="0.25">
      <c r="A75" s="729" t="s">
        <v>364</v>
      </c>
      <c r="B75" s="731">
        <v>0</v>
      </c>
      <c r="C75" s="731">
        <v>0</v>
      </c>
      <c r="D75" s="731">
        <v>0</v>
      </c>
      <c r="E75" s="731">
        <v>0</v>
      </c>
      <c r="F75" s="731">
        <v>0</v>
      </c>
      <c r="G75" s="731">
        <v>0</v>
      </c>
      <c r="H75" s="731">
        <v>0</v>
      </c>
      <c r="I75" s="731">
        <v>85251.370925670068</v>
      </c>
      <c r="J75" s="731">
        <v>0</v>
      </c>
      <c r="K75" s="731">
        <v>0</v>
      </c>
      <c r="L75" s="731">
        <v>0</v>
      </c>
      <c r="M75" s="731">
        <v>0</v>
      </c>
      <c r="N75" s="731">
        <v>0</v>
      </c>
      <c r="O75" s="731">
        <f t="shared" si="7"/>
        <v>85251.370925670068</v>
      </c>
    </row>
    <row r="76" spans="1:15" ht="13.25" customHeight="1" x14ac:dyDescent="0.25">
      <c r="A76" s="729" t="s">
        <v>365</v>
      </c>
      <c r="B76" s="731">
        <v>0</v>
      </c>
      <c r="C76" s="731">
        <v>0</v>
      </c>
      <c r="D76" s="731">
        <v>0</v>
      </c>
      <c r="E76" s="731">
        <v>0</v>
      </c>
      <c r="F76" s="731">
        <v>0</v>
      </c>
      <c r="G76" s="731">
        <v>56709.877173030363</v>
      </c>
      <c r="H76" s="731">
        <v>0</v>
      </c>
      <c r="I76" s="731">
        <v>0</v>
      </c>
      <c r="J76" s="731">
        <v>0</v>
      </c>
      <c r="K76" s="731">
        <v>0</v>
      </c>
      <c r="L76" s="731">
        <v>0</v>
      </c>
      <c r="M76" s="731">
        <v>0</v>
      </c>
      <c r="N76" s="731">
        <v>0</v>
      </c>
      <c r="O76" s="731">
        <f t="shared" si="7"/>
        <v>56709.877173030363</v>
      </c>
    </row>
    <row r="77" spans="1:15" ht="13.25" customHeight="1" x14ac:dyDescent="0.25">
      <c r="A77" s="729" t="s">
        <v>366</v>
      </c>
      <c r="B77" s="731">
        <v>0</v>
      </c>
      <c r="C77" s="731">
        <v>0</v>
      </c>
      <c r="D77" s="731">
        <v>0</v>
      </c>
      <c r="E77" s="731">
        <v>0</v>
      </c>
      <c r="F77" s="731">
        <v>156537.93207410281</v>
      </c>
      <c r="G77" s="731">
        <v>0</v>
      </c>
      <c r="H77" s="731">
        <v>0</v>
      </c>
      <c r="I77" s="731">
        <v>0</v>
      </c>
      <c r="J77" s="731">
        <v>0</v>
      </c>
      <c r="K77" s="731">
        <v>0</v>
      </c>
      <c r="L77" s="731">
        <v>0</v>
      </c>
      <c r="M77" s="731">
        <v>0</v>
      </c>
      <c r="N77" s="731">
        <v>0</v>
      </c>
      <c r="O77" s="731">
        <f t="shared" si="7"/>
        <v>156537.93207410281</v>
      </c>
    </row>
    <row r="78" spans="1:15" ht="13.25" customHeight="1" x14ac:dyDescent="0.25">
      <c r="A78" s="729" t="s">
        <v>367</v>
      </c>
      <c r="B78" s="731">
        <v>0</v>
      </c>
      <c r="C78" s="731">
        <v>0</v>
      </c>
      <c r="D78" s="731">
        <v>0</v>
      </c>
      <c r="E78" s="731">
        <v>0</v>
      </c>
      <c r="F78" s="731">
        <v>0</v>
      </c>
      <c r="G78" s="731">
        <v>0</v>
      </c>
      <c r="H78" s="731">
        <v>0</v>
      </c>
      <c r="I78" s="731">
        <v>0</v>
      </c>
      <c r="J78" s="731">
        <v>1927.4974771571999</v>
      </c>
      <c r="K78" s="731">
        <v>0</v>
      </c>
      <c r="L78" s="731">
        <v>0</v>
      </c>
      <c r="M78" s="731">
        <v>0</v>
      </c>
      <c r="N78" s="731">
        <v>0</v>
      </c>
      <c r="O78" s="731">
        <f t="shared" si="7"/>
        <v>1927.4974771571999</v>
      </c>
    </row>
    <row r="79" spans="1:15" ht="13.25" customHeight="1" x14ac:dyDescent="0.25">
      <c r="A79" s="729" t="s">
        <v>4292</v>
      </c>
      <c r="B79" s="731">
        <v>6651.2447140464001</v>
      </c>
      <c r="C79" s="731">
        <v>0</v>
      </c>
      <c r="D79" s="731">
        <v>0</v>
      </c>
      <c r="E79" s="731">
        <v>0</v>
      </c>
      <c r="F79" s="731">
        <v>0</v>
      </c>
      <c r="G79" s="731">
        <v>0</v>
      </c>
      <c r="H79" s="731">
        <v>0</v>
      </c>
      <c r="I79" s="731">
        <v>0</v>
      </c>
      <c r="J79" s="731">
        <v>0</v>
      </c>
      <c r="K79" s="731">
        <v>0</v>
      </c>
      <c r="L79" s="731">
        <v>0</v>
      </c>
      <c r="M79" s="731">
        <v>0</v>
      </c>
      <c r="N79" s="731">
        <v>0</v>
      </c>
      <c r="O79" s="731">
        <f t="shared" si="7"/>
        <v>6651.2447140464001</v>
      </c>
    </row>
    <row r="80" spans="1:15" ht="13.25" customHeight="1" x14ac:dyDescent="0.25">
      <c r="A80" s="729" t="s">
        <v>368</v>
      </c>
      <c r="B80" s="731">
        <v>0</v>
      </c>
      <c r="C80" s="731">
        <v>0</v>
      </c>
      <c r="D80" s="731">
        <v>3810.2368056789232</v>
      </c>
      <c r="E80" s="731">
        <v>0</v>
      </c>
      <c r="F80" s="731">
        <v>0</v>
      </c>
      <c r="G80" s="731">
        <v>0</v>
      </c>
      <c r="H80" s="731">
        <v>0</v>
      </c>
      <c r="I80" s="731">
        <v>0</v>
      </c>
      <c r="J80" s="731">
        <v>0</v>
      </c>
      <c r="K80" s="731">
        <v>0</v>
      </c>
      <c r="L80" s="731">
        <v>0</v>
      </c>
      <c r="M80" s="731">
        <v>0</v>
      </c>
      <c r="N80" s="731">
        <v>0</v>
      </c>
      <c r="O80" s="731">
        <f t="shared" si="7"/>
        <v>3810.2368056789232</v>
      </c>
    </row>
    <row r="81" spans="1:15" ht="13.25" customHeight="1" x14ac:dyDescent="0.25">
      <c r="A81" s="729" t="s">
        <v>369</v>
      </c>
      <c r="B81" s="731">
        <v>0</v>
      </c>
      <c r="C81" s="731">
        <v>0</v>
      </c>
      <c r="D81" s="731">
        <v>0</v>
      </c>
      <c r="E81" s="731">
        <v>0</v>
      </c>
      <c r="F81" s="731">
        <v>0</v>
      </c>
      <c r="G81" s="731">
        <v>0</v>
      </c>
      <c r="H81" s="731">
        <v>0</v>
      </c>
      <c r="I81" s="731">
        <v>0</v>
      </c>
      <c r="J81" s="731">
        <v>0</v>
      </c>
      <c r="K81" s="731">
        <v>26652.056763612516</v>
      </c>
      <c r="L81" s="731">
        <v>0</v>
      </c>
      <c r="M81" s="731">
        <v>0</v>
      </c>
      <c r="N81" s="731">
        <v>0</v>
      </c>
      <c r="O81" s="731">
        <f t="shared" si="7"/>
        <v>26652.056763612516</v>
      </c>
    </row>
    <row r="82" spans="1:15" ht="13.25" customHeight="1" x14ac:dyDescent="0.25">
      <c r="A82" s="729" t="s">
        <v>4487</v>
      </c>
      <c r="B82" s="731">
        <v>0</v>
      </c>
      <c r="C82" s="731">
        <v>0</v>
      </c>
      <c r="D82" s="731">
        <v>0</v>
      </c>
      <c r="E82" s="731">
        <v>0</v>
      </c>
      <c r="F82" s="731">
        <v>0</v>
      </c>
      <c r="G82" s="731">
        <v>0</v>
      </c>
      <c r="H82" s="731">
        <v>0</v>
      </c>
      <c r="I82" s="731">
        <v>0</v>
      </c>
      <c r="J82" s="731">
        <v>0</v>
      </c>
      <c r="K82" s="731">
        <v>0</v>
      </c>
      <c r="L82" s="731">
        <v>413.47165860000001</v>
      </c>
      <c r="M82" s="731">
        <v>0</v>
      </c>
      <c r="N82" s="731">
        <v>0</v>
      </c>
      <c r="O82" s="731">
        <f t="shared" si="7"/>
        <v>413.47165860000001</v>
      </c>
    </row>
    <row r="83" spans="1:15" ht="13.25" customHeight="1" x14ac:dyDescent="0.25">
      <c r="A83" s="729" t="s">
        <v>370</v>
      </c>
      <c r="B83" s="731">
        <v>0</v>
      </c>
      <c r="C83" s="731">
        <v>0</v>
      </c>
      <c r="D83" s="731">
        <v>0</v>
      </c>
      <c r="E83" s="731">
        <v>3967.8243892559999</v>
      </c>
      <c r="F83" s="731">
        <v>0</v>
      </c>
      <c r="G83" s="731">
        <v>0</v>
      </c>
      <c r="H83" s="731">
        <v>0</v>
      </c>
      <c r="I83" s="731">
        <v>0</v>
      </c>
      <c r="J83" s="731">
        <v>0</v>
      </c>
      <c r="K83" s="731">
        <v>0</v>
      </c>
      <c r="L83" s="731">
        <v>0</v>
      </c>
      <c r="M83" s="731">
        <v>0</v>
      </c>
      <c r="N83" s="731">
        <v>0</v>
      </c>
      <c r="O83" s="731">
        <f t="shared" si="7"/>
        <v>3967.8243892559999</v>
      </c>
    </row>
    <row r="84" spans="1:15" ht="13.25" customHeight="1" x14ac:dyDescent="0.25">
      <c r="A84" s="729" t="s">
        <v>371</v>
      </c>
      <c r="B84" s="731">
        <v>0</v>
      </c>
      <c r="C84" s="731">
        <v>0</v>
      </c>
      <c r="D84" s="731">
        <v>0</v>
      </c>
      <c r="E84" s="731">
        <v>0</v>
      </c>
      <c r="F84" s="731">
        <v>0</v>
      </c>
      <c r="G84" s="731">
        <v>0</v>
      </c>
      <c r="H84" s="731">
        <v>1567.8200922696001</v>
      </c>
      <c r="I84" s="731">
        <v>0</v>
      </c>
      <c r="J84" s="731">
        <v>0</v>
      </c>
      <c r="K84" s="731">
        <v>0</v>
      </c>
      <c r="L84" s="731">
        <v>0</v>
      </c>
      <c r="M84" s="731">
        <v>0</v>
      </c>
      <c r="N84" s="731">
        <v>0</v>
      </c>
      <c r="O84" s="731">
        <f t="shared" si="7"/>
        <v>1567.8200922696001</v>
      </c>
    </row>
    <row r="85" spans="1:15" ht="13.25" customHeight="1" x14ac:dyDescent="0.25">
      <c r="A85" s="729" t="s">
        <v>372</v>
      </c>
      <c r="B85" s="731">
        <v>0</v>
      </c>
      <c r="C85" s="731">
        <v>0</v>
      </c>
      <c r="D85" s="731">
        <v>1911.3319578933067</v>
      </c>
      <c r="E85" s="731">
        <v>0</v>
      </c>
      <c r="F85" s="731">
        <v>0</v>
      </c>
      <c r="G85" s="731">
        <v>0</v>
      </c>
      <c r="H85" s="731">
        <v>0</v>
      </c>
      <c r="I85" s="731">
        <v>0</v>
      </c>
      <c r="J85" s="731">
        <v>0</v>
      </c>
      <c r="K85" s="731">
        <v>0</v>
      </c>
      <c r="L85" s="731">
        <v>0</v>
      </c>
      <c r="M85" s="731">
        <v>0</v>
      </c>
      <c r="N85" s="731">
        <v>0</v>
      </c>
      <c r="O85" s="731">
        <f t="shared" si="7"/>
        <v>1911.3319578933067</v>
      </c>
    </row>
    <row r="86" spans="1:15" ht="13.25" customHeight="1" x14ac:dyDescent="0.25">
      <c r="A86" s="729" t="s">
        <v>373</v>
      </c>
      <c r="B86" s="731">
        <v>0</v>
      </c>
      <c r="C86" s="731">
        <v>-1115.6000005470903</v>
      </c>
      <c r="D86" s="731">
        <v>0</v>
      </c>
      <c r="E86" s="731">
        <v>0</v>
      </c>
      <c r="F86" s="731">
        <v>0</v>
      </c>
      <c r="G86" s="731">
        <v>0</v>
      </c>
      <c r="H86" s="731">
        <v>0</v>
      </c>
      <c r="I86" s="731">
        <v>1.19960478612E-4</v>
      </c>
      <c r="J86" s="731">
        <v>0</v>
      </c>
      <c r="K86" s="731">
        <v>0</v>
      </c>
      <c r="L86" s="731">
        <v>0</v>
      </c>
      <c r="M86" s="731">
        <v>0</v>
      </c>
      <c r="N86" s="731">
        <v>0</v>
      </c>
      <c r="O86" s="731">
        <f t="shared" si="7"/>
        <v>-1115.5998805866118</v>
      </c>
    </row>
    <row r="87" spans="1:15" ht="13.25" customHeight="1" x14ac:dyDescent="0.25">
      <c r="A87" s="729" t="s">
        <v>374</v>
      </c>
      <c r="B87" s="731">
        <v>21849.281536586401</v>
      </c>
      <c r="C87" s="731">
        <v>1688281.060827933</v>
      </c>
      <c r="D87" s="731">
        <v>25154.09464751395</v>
      </c>
      <c r="E87" s="731">
        <v>427069.14126233762</v>
      </c>
      <c r="F87" s="731">
        <v>108432.512886906</v>
      </c>
      <c r="G87" s="731">
        <v>359200.0596692462</v>
      </c>
      <c r="H87" s="731">
        <v>68053.719130394398</v>
      </c>
      <c r="I87" s="731">
        <v>75775.081041627738</v>
      </c>
      <c r="J87" s="731">
        <v>17613.785261124001</v>
      </c>
      <c r="K87" s="731">
        <v>66142.009784138252</v>
      </c>
      <c r="L87" s="731">
        <v>5243.0354215200005</v>
      </c>
      <c r="M87" s="731">
        <v>0</v>
      </c>
      <c r="N87" s="731">
        <v>0</v>
      </c>
      <c r="O87" s="731">
        <f t="shared" si="7"/>
        <v>2862813.7814693274</v>
      </c>
    </row>
    <row r="88" spans="1:15" ht="13.25" customHeight="1" x14ac:dyDescent="0.25">
      <c r="A88" s="729" t="s">
        <v>375</v>
      </c>
      <c r="B88" s="731">
        <v>2408549.8540496798</v>
      </c>
      <c r="C88" s="731">
        <v>78.750000038619007</v>
      </c>
      <c r="D88" s="731">
        <v>0</v>
      </c>
      <c r="E88" s="731">
        <v>0</v>
      </c>
      <c r="F88" s="731">
        <v>0</v>
      </c>
      <c r="G88" s="731">
        <v>0</v>
      </c>
      <c r="H88" s="731">
        <v>0</v>
      </c>
      <c r="I88" s="731">
        <v>10115.059639172252</v>
      </c>
      <c r="J88" s="731">
        <v>0</v>
      </c>
      <c r="K88" s="731">
        <v>0</v>
      </c>
      <c r="L88" s="731">
        <v>0</v>
      </c>
      <c r="M88" s="731">
        <v>0</v>
      </c>
      <c r="N88" s="731">
        <v>0</v>
      </c>
      <c r="O88" s="731">
        <f t="shared" si="7"/>
        <v>2418743.6636888906</v>
      </c>
    </row>
    <row r="89" spans="1:15" ht="13.25" customHeight="1" x14ac:dyDescent="0.25">
      <c r="A89" s="729" t="s">
        <v>3859</v>
      </c>
      <c r="B89" s="731">
        <v>-564321.10129270202</v>
      </c>
      <c r="C89" s="731">
        <v>-31928.00001565749</v>
      </c>
      <c r="D89" s="731">
        <v>-18512.071269361415</v>
      </c>
      <c r="E89" s="731">
        <v>0</v>
      </c>
      <c r="F89" s="731">
        <v>-65959.469070299994</v>
      </c>
      <c r="G89" s="731">
        <v>0</v>
      </c>
      <c r="H89" s="731">
        <v>0</v>
      </c>
      <c r="I89" s="731">
        <v>0</v>
      </c>
      <c r="J89" s="731">
        <v>-17207.831269044</v>
      </c>
      <c r="K89" s="731">
        <v>0</v>
      </c>
      <c r="L89" s="731">
        <v>0</v>
      </c>
      <c r="M89" s="731">
        <v>0</v>
      </c>
      <c r="N89" s="731">
        <v>0</v>
      </c>
      <c r="O89" s="731">
        <f t="shared" si="7"/>
        <v>-697928.47291706491</v>
      </c>
    </row>
    <row r="90" spans="1:15" ht="13.25" customHeight="1" x14ac:dyDescent="0.25">
      <c r="A90" s="729" t="s">
        <v>376</v>
      </c>
      <c r="B90" s="731">
        <v>336125.94255803159</v>
      </c>
      <c r="C90" s="731">
        <v>0</v>
      </c>
      <c r="D90" s="731">
        <v>0</v>
      </c>
      <c r="E90" s="731">
        <v>0</v>
      </c>
      <c r="F90" s="731">
        <v>6934.8110951808003</v>
      </c>
      <c r="G90" s="731">
        <v>7383.8654801337098</v>
      </c>
      <c r="H90" s="731">
        <v>3204.6953212871999</v>
      </c>
      <c r="I90" s="731">
        <v>2591.1463380191999</v>
      </c>
      <c r="J90" s="731">
        <v>0</v>
      </c>
      <c r="K90" s="731">
        <v>0</v>
      </c>
      <c r="L90" s="731">
        <v>7791.5243718000002</v>
      </c>
      <c r="M90" s="731">
        <v>0</v>
      </c>
      <c r="N90" s="731">
        <v>0</v>
      </c>
      <c r="O90" s="731">
        <f t="shared" si="7"/>
        <v>364031.98516445246</v>
      </c>
    </row>
    <row r="91" spans="1:15" ht="13.25" customHeight="1" x14ac:dyDescent="0.25">
      <c r="A91" s="729" t="s">
        <v>377</v>
      </c>
      <c r="B91" s="731">
        <v>0</v>
      </c>
      <c r="C91" s="731">
        <v>128312.45006292443</v>
      </c>
      <c r="D91" s="731">
        <v>0</v>
      </c>
      <c r="E91" s="731">
        <v>0</v>
      </c>
      <c r="F91" s="731">
        <v>0</v>
      </c>
      <c r="G91" s="731">
        <v>0</v>
      </c>
      <c r="H91" s="731">
        <v>0</v>
      </c>
      <c r="I91" s="731">
        <v>0</v>
      </c>
      <c r="J91" s="731">
        <v>0</v>
      </c>
      <c r="K91" s="731">
        <v>0</v>
      </c>
      <c r="L91" s="731">
        <v>0</v>
      </c>
      <c r="M91" s="731">
        <v>0</v>
      </c>
      <c r="N91" s="731">
        <v>0</v>
      </c>
      <c r="O91" s="731">
        <f t="shared" si="7"/>
        <v>128312.45006292443</v>
      </c>
    </row>
    <row r="92" spans="1:15" ht="13.25" customHeight="1" x14ac:dyDescent="0.25">
      <c r="A92" s="729" t="s">
        <v>378</v>
      </c>
      <c r="B92" s="731">
        <v>0</v>
      </c>
      <c r="C92" s="731">
        <v>0</v>
      </c>
      <c r="D92" s="731">
        <v>-3.6571836691259997E-2</v>
      </c>
      <c r="E92" s="731">
        <v>0</v>
      </c>
      <c r="F92" s="731">
        <v>0</v>
      </c>
      <c r="G92" s="731">
        <v>0</v>
      </c>
      <c r="H92" s="731">
        <v>0</v>
      </c>
      <c r="I92" s="731">
        <v>0</v>
      </c>
      <c r="J92" s="731">
        <v>0</v>
      </c>
      <c r="K92" s="731">
        <v>0</v>
      </c>
      <c r="L92" s="731">
        <v>0</v>
      </c>
      <c r="M92" s="731">
        <v>0</v>
      </c>
      <c r="N92" s="731">
        <v>0</v>
      </c>
      <c r="O92" s="731">
        <f t="shared" si="7"/>
        <v>-3.6571836691259997E-2</v>
      </c>
    </row>
    <row r="93" spans="1:15" ht="12.5" x14ac:dyDescent="0.25">
      <c r="A93" s="729" t="s">
        <v>379</v>
      </c>
      <c r="B93" s="731">
        <v>40192.795947283201</v>
      </c>
      <c r="C93" s="731">
        <v>84652.900041513785</v>
      </c>
      <c r="D93" s="731">
        <v>0</v>
      </c>
      <c r="E93" s="731">
        <v>0</v>
      </c>
      <c r="F93" s="731">
        <v>0</v>
      </c>
      <c r="G93" s="731">
        <v>0</v>
      </c>
      <c r="H93" s="731">
        <v>0</v>
      </c>
      <c r="I93" s="731">
        <v>0</v>
      </c>
      <c r="J93" s="731">
        <v>0</v>
      </c>
      <c r="K93" s="731">
        <v>0</v>
      </c>
      <c r="L93" s="731">
        <v>0</v>
      </c>
      <c r="M93" s="731">
        <v>0</v>
      </c>
      <c r="N93" s="731">
        <v>0</v>
      </c>
      <c r="O93" s="731">
        <f t="shared" si="7"/>
        <v>124845.69598879699</v>
      </c>
    </row>
    <row r="94" spans="1:15" ht="13.25" customHeight="1" x14ac:dyDescent="0.25">
      <c r="A94" s="729" t="s">
        <v>3867</v>
      </c>
      <c r="B94" s="731">
        <v>20203.191796319999</v>
      </c>
      <c r="C94" s="731">
        <v>0</v>
      </c>
      <c r="D94" s="731">
        <v>0</v>
      </c>
      <c r="E94" s="731">
        <v>0</v>
      </c>
      <c r="F94" s="731">
        <v>0</v>
      </c>
      <c r="G94" s="731">
        <v>0</v>
      </c>
      <c r="H94" s="731">
        <v>0</v>
      </c>
      <c r="I94" s="731">
        <v>0</v>
      </c>
      <c r="J94" s="731">
        <v>0</v>
      </c>
      <c r="K94" s="731">
        <v>0</v>
      </c>
      <c r="L94" s="731">
        <v>0</v>
      </c>
      <c r="M94" s="731">
        <v>0</v>
      </c>
      <c r="N94" s="731">
        <v>0</v>
      </c>
      <c r="O94" s="731">
        <f t="shared" si="7"/>
        <v>20203.191796319999</v>
      </c>
    </row>
    <row r="95" spans="1:15" ht="13.25" customHeight="1" x14ac:dyDescent="0.25">
      <c r="A95" s="735" t="s">
        <v>380</v>
      </c>
      <c r="B95" s="736">
        <f t="shared" ref="B95:O95" si="8">SUM(B59:B94)</f>
        <v>7121590.6235925201</v>
      </c>
      <c r="C95" s="736">
        <f t="shared" si="8"/>
        <v>2515800.3712337483</v>
      </c>
      <c r="D95" s="736">
        <f t="shared" si="8"/>
        <v>13140.304809373745</v>
      </c>
      <c r="E95" s="736">
        <f t="shared" si="8"/>
        <v>431036.96565159364</v>
      </c>
      <c r="F95" s="736">
        <f t="shared" si="8"/>
        <v>207208.1642874516</v>
      </c>
      <c r="G95" s="736">
        <f t="shared" si="8"/>
        <v>423293.80232241022</v>
      </c>
      <c r="H95" s="736">
        <f t="shared" si="8"/>
        <v>72826.341939187201</v>
      </c>
      <c r="I95" s="736">
        <f t="shared" si="8"/>
        <v>193332.26686661673</v>
      </c>
      <c r="J95" s="736">
        <f t="shared" si="8"/>
        <v>136550.0032888212</v>
      </c>
      <c r="K95" s="736">
        <f t="shared" si="8"/>
        <v>214472.9096097633</v>
      </c>
      <c r="L95" s="736">
        <f t="shared" si="8"/>
        <v>14115.986861745601</v>
      </c>
      <c r="M95" s="736">
        <f t="shared" si="8"/>
        <v>0</v>
      </c>
      <c r="N95" s="736">
        <f t="shared" si="8"/>
        <v>0</v>
      </c>
      <c r="O95" s="736">
        <f t="shared" si="8"/>
        <v>11343367.740463233</v>
      </c>
    </row>
    <row r="96" spans="1:15" ht="13.25" customHeight="1" x14ac:dyDescent="0.25">
      <c r="A96" s="737" t="s">
        <v>381</v>
      </c>
      <c r="B96" s="738">
        <f t="shared" ref="B96:O96" si="9">B36+B39+B51+B57+B95</f>
        <v>158856251.95194995</v>
      </c>
      <c r="C96" s="738">
        <f t="shared" si="9"/>
        <v>71818834.685219958</v>
      </c>
      <c r="D96" s="738">
        <f t="shared" si="9"/>
        <v>3097832.545730466</v>
      </c>
      <c r="E96" s="738">
        <f t="shared" si="9"/>
        <v>277832.96832578047</v>
      </c>
      <c r="F96" s="738">
        <f t="shared" si="9"/>
        <v>1170614.3979794004</v>
      </c>
      <c r="G96" s="738">
        <f t="shared" si="9"/>
        <v>1767771.0795048212</v>
      </c>
      <c r="H96" s="738">
        <f t="shared" si="9"/>
        <v>220472.4424905756</v>
      </c>
      <c r="I96" s="738">
        <f t="shared" si="9"/>
        <v>2013587.0414953351</v>
      </c>
      <c r="J96" s="738">
        <f t="shared" si="9"/>
        <v>651391.10155019164</v>
      </c>
      <c r="K96" s="738">
        <f t="shared" si="9"/>
        <v>2527763.3242624691</v>
      </c>
      <c r="L96" s="738">
        <f t="shared" si="9"/>
        <v>349496.1232033752</v>
      </c>
      <c r="M96" s="738">
        <f t="shared" si="9"/>
        <v>0</v>
      </c>
      <c r="N96" s="738">
        <f t="shared" si="9"/>
        <v>-34129244.98527018</v>
      </c>
      <c r="O96" s="738">
        <f t="shared" si="9"/>
        <v>208622602.67644218</v>
      </c>
    </row>
    <row r="97" spans="1:15" ht="12.5" x14ac:dyDescent="0.25">
      <c r="A97" s="726" t="s">
        <v>382</v>
      </c>
      <c r="B97" s="727">
        <v>4993365.5436133407</v>
      </c>
      <c r="C97" s="727">
        <v>3620962.28177572</v>
      </c>
      <c r="D97" s="727">
        <v>114775.61865585209</v>
      </c>
      <c r="E97" s="727">
        <v>0</v>
      </c>
      <c r="F97" s="727">
        <v>0</v>
      </c>
      <c r="G97" s="727">
        <v>0</v>
      </c>
      <c r="H97" s="727">
        <v>0</v>
      </c>
      <c r="I97" s="727">
        <v>0</v>
      </c>
      <c r="J97" s="727">
        <v>0</v>
      </c>
      <c r="K97" s="727">
        <v>0</v>
      </c>
      <c r="L97" s="727">
        <v>0</v>
      </c>
      <c r="M97" s="727">
        <v>0</v>
      </c>
      <c r="N97" s="727">
        <v>0</v>
      </c>
      <c r="O97" s="727">
        <v>8729103.4440449141</v>
      </c>
    </row>
    <row r="98" spans="1:15" ht="13.25" customHeight="1" x14ac:dyDescent="0.25">
      <c r="A98" s="728" t="s">
        <v>383</v>
      </c>
      <c r="B98" s="731">
        <v>4364729.6775920605</v>
      </c>
      <c r="C98" s="731">
        <v>3620962.28177572</v>
      </c>
      <c r="D98" s="731">
        <v>114775.61865585209</v>
      </c>
      <c r="E98" s="731">
        <v>0</v>
      </c>
      <c r="F98" s="731">
        <v>0</v>
      </c>
      <c r="G98" s="731">
        <v>0</v>
      </c>
      <c r="H98" s="731">
        <v>0</v>
      </c>
      <c r="I98" s="731">
        <v>0</v>
      </c>
      <c r="J98" s="731">
        <v>0</v>
      </c>
      <c r="K98" s="731">
        <v>0</v>
      </c>
      <c r="L98" s="731">
        <v>0</v>
      </c>
      <c r="M98" s="731">
        <v>0</v>
      </c>
      <c r="N98" s="731">
        <v>0</v>
      </c>
      <c r="O98" s="731">
        <f>SUM(B98:N98)</f>
        <v>8100467.5780236321</v>
      </c>
    </row>
    <row r="99" spans="1:15" ht="13.25" customHeight="1" x14ac:dyDescent="0.25">
      <c r="A99" s="728" t="s">
        <v>384</v>
      </c>
      <c r="B99" s="731">
        <v>628635.86602127994</v>
      </c>
      <c r="C99" s="731">
        <v>0</v>
      </c>
      <c r="D99" s="731">
        <v>0</v>
      </c>
      <c r="E99" s="731">
        <v>0</v>
      </c>
      <c r="F99" s="731">
        <v>0</v>
      </c>
      <c r="G99" s="731">
        <v>0</v>
      </c>
      <c r="H99" s="731">
        <v>0</v>
      </c>
      <c r="I99" s="731">
        <v>0</v>
      </c>
      <c r="J99" s="731">
        <v>0</v>
      </c>
      <c r="K99" s="731">
        <v>0</v>
      </c>
      <c r="L99" s="731">
        <v>0</v>
      </c>
      <c r="M99" s="731">
        <v>0</v>
      </c>
      <c r="N99" s="731">
        <v>0</v>
      </c>
      <c r="O99" s="731">
        <f>SUM(B99:N99)</f>
        <v>628635.86602127994</v>
      </c>
    </row>
    <row r="100" spans="1:15" ht="13.25" customHeight="1" x14ac:dyDescent="0.25">
      <c r="A100" s="739" t="s">
        <v>385</v>
      </c>
      <c r="B100" s="733">
        <f t="shared" ref="B100:O100" si="10">SUM(B98:B99)</f>
        <v>4993365.5436133407</v>
      </c>
      <c r="C100" s="733">
        <f t="shared" si="10"/>
        <v>3620962.28177572</v>
      </c>
      <c r="D100" s="733">
        <f t="shared" si="10"/>
        <v>114775.61865585209</v>
      </c>
      <c r="E100" s="733">
        <f t="shared" si="10"/>
        <v>0</v>
      </c>
      <c r="F100" s="733">
        <f t="shared" si="10"/>
        <v>0</v>
      </c>
      <c r="G100" s="733">
        <f t="shared" si="10"/>
        <v>0</v>
      </c>
      <c r="H100" s="733">
        <f t="shared" si="10"/>
        <v>0</v>
      </c>
      <c r="I100" s="733">
        <f t="shared" si="10"/>
        <v>0</v>
      </c>
      <c r="J100" s="733">
        <f t="shared" si="10"/>
        <v>0</v>
      </c>
      <c r="K100" s="733">
        <f t="shared" si="10"/>
        <v>0</v>
      </c>
      <c r="L100" s="733">
        <f t="shared" si="10"/>
        <v>0</v>
      </c>
      <c r="M100" s="733">
        <f t="shared" si="10"/>
        <v>0</v>
      </c>
      <c r="N100" s="733">
        <f t="shared" si="10"/>
        <v>0</v>
      </c>
      <c r="O100" s="733">
        <f t="shared" si="10"/>
        <v>8729103.4440449122</v>
      </c>
    </row>
    <row r="101" spans="1:15" ht="13.25" customHeight="1" x14ac:dyDescent="0.25">
      <c r="A101" s="726" t="s">
        <v>386</v>
      </c>
      <c r="B101" s="727">
        <v>3477499.9802263193</v>
      </c>
      <c r="C101" s="727">
        <v>276080.63013538963</v>
      </c>
      <c r="D101" s="727">
        <v>150822.57634691912</v>
      </c>
      <c r="E101" s="727">
        <v>24.067272387599999</v>
      </c>
      <c r="F101" s="727">
        <v>112874.99200071121</v>
      </c>
      <c r="G101" s="727">
        <v>5928.3222971916693</v>
      </c>
      <c r="H101" s="727">
        <v>785.82168133560003</v>
      </c>
      <c r="I101" s="727">
        <v>101639.08313810124</v>
      </c>
      <c r="J101" s="727">
        <v>0</v>
      </c>
      <c r="K101" s="727">
        <v>1572.2880025752902</v>
      </c>
      <c r="L101" s="727">
        <v>1739.4806374919999</v>
      </c>
      <c r="M101" s="727">
        <v>0</v>
      </c>
      <c r="N101" s="727">
        <v>0</v>
      </c>
      <c r="O101" s="727">
        <v>4128967.2417384223</v>
      </c>
    </row>
    <row r="102" spans="1:15" ht="13.25" customHeight="1" x14ac:dyDescent="0.25">
      <c r="A102" s="728" t="s">
        <v>387</v>
      </c>
      <c r="B102" s="731">
        <v>0</v>
      </c>
      <c r="C102" s="731">
        <v>92563.020045392899</v>
      </c>
      <c r="D102" s="731">
        <v>72313.887665464659</v>
      </c>
      <c r="E102" s="731">
        <v>0</v>
      </c>
      <c r="F102" s="731">
        <v>44356.809953664</v>
      </c>
      <c r="G102" s="731">
        <v>33159.841487039339</v>
      </c>
      <c r="H102" s="731">
        <v>0</v>
      </c>
      <c r="I102" s="731">
        <v>0</v>
      </c>
      <c r="J102" s="731">
        <v>0</v>
      </c>
      <c r="K102" s="731">
        <v>2695.3508615576402</v>
      </c>
      <c r="L102" s="731">
        <v>0</v>
      </c>
      <c r="M102" s="731">
        <v>0</v>
      </c>
      <c r="N102" s="731">
        <v>0</v>
      </c>
      <c r="O102" s="731">
        <f t="shared" ref="O102:O124" si="11">SUM(B102:N102)</f>
        <v>245088.91001311856</v>
      </c>
    </row>
    <row r="103" spans="1:15" ht="13.25" customHeight="1" x14ac:dyDescent="0.25">
      <c r="A103" s="728" t="s">
        <v>388</v>
      </c>
      <c r="B103" s="731">
        <v>0</v>
      </c>
      <c r="C103" s="731">
        <v>62922.29003085709</v>
      </c>
      <c r="D103" s="731">
        <v>0</v>
      </c>
      <c r="E103" s="731">
        <v>0</v>
      </c>
      <c r="F103" s="731">
        <v>54597.976700529602</v>
      </c>
      <c r="G103" s="731">
        <v>0</v>
      </c>
      <c r="H103" s="731">
        <v>0</v>
      </c>
      <c r="I103" s="731">
        <v>70716.702141774003</v>
      </c>
      <c r="J103" s="731">
        <v>0</v>
      </c>
      <c r="K103" s="731">
        <v>0</v>
      </c>
      <c r="L103" s="731">
        <v>0</v>
      </c>
      <c r="M103" s="731">
        <v>0</v>
      </c>
      <c r="N103" s="731">
        <v>0</v>
      </c>
      <c r="O103" s="731">
        <f t="shared" si="11"/>
        <v>188236.96887316069</v>
      </c>
    </row>
    <row r="104" spans="1:15" ht="13.25" customHeight="1" x14ac:dyDescent="0.25">
      <c r="A104" s="728" t="s">
        <v>389</v>
      </c>
      <c r="B104" s="731">
        <v>0</v>
      </c>
      <c r="C104" s="731">
        <v>6539.0000032067255</v>
      </c>
      <c r="D104" s="731">
        <v>0</v>
      </c>
      <c r="E104" s="731">
        <v>24.067272387599999</v>
      </c>
      <c r="F104" s="731">
        <v>0</v>
      </c>
      <c r="G104" s="731">
        <v>0</v>
      </c>
      <c r="H104" s="731">
        <v>0</v>
      </c>
      <c r="I104" s="731">
        <v>8827.8916210570806</v>
      </c>
      <c r="J104" s="731">
        <v>0</v>
      </c>
      <c r="K104" s="731">
        <v>0</v>
      </c>
      <c r="L104" s="731">
        <v>0</v>
      </c>
      <c r="M104" s="731">
        <v>0</v>
      </c>
      <c r="N104" s="731">
        <v>0</v>
      </c>
      <c r="O104" s="731">
        <f t="shared" si="11"/>
        <v>15390.958896651406</v>
      </c>
    </row>
    <row r="105" spans="1:15" ht="13.25" customHeight="1" x14ac:dyDescent="0.25">
      <c r="A105" s="728" t="s">
        <v>390</v>
      </c>
      <c r="B105" s="731">
        <v>0</v>
      </c>
      <c r="C105" s="731">
        <v>483541.83023712889</v>
      </c>
      <c r="D105" s="731">
        <v>282105.5591007992</v>
      </c>
      <c r="E105" s="731">
        <v>0</v>
      </c>
      <c r="F105" s="731">
        <v>63101.864412241201</v>
      </c>
      <c r="G105" s="731">
        <v>25549.925883612443</v>
      </c>
      <c r="H105" s="731">
        <v>0</v>
      </c>
      <c r="I105" s="731">
        <v>34045.282865676629</v>
      </c>
      <c r="J105" s="731">
        <v>0</v>
      </c>
      <c r="K105" s="731">
        <v>0</v>
      </c>
      <c r="L105" s="731">
        <v>0</v>
      </c>
      <c r="M105" s="731">
        <v>0</v>
      </c>
      <c r="N105" s="731">
        <v>0</v>
      </c>
      <c r="O105" s="731">
        <f t="shared" si="11"/>
        <v>888344.46249945834</v>
      </c>
    </row>
    <row r="106" spans="1:15" ht="13.25" customHeight="1" x14ac:dyDescent="0.25">
      <c r="A106" s="728" t="s">
        <v>391</v>
      </c>
      <c r="B106" s="731">
        <v>0</v>
      </c>
      <c r="C106" s="731">
        <v>620907.81030449318</v>
      </c>
      <c r="D106" s="731">
        <v>0</v>
      </c>
      <c r="E106" s="731">
        <v>0</v>
      </c>
      <c r="F106" s="731">
        <v>6332.0231145600001</v>
      </c>
      <c r="G106" s="731">
        <v>0</v>
      </c>
      <c r="H106" s="731">
        <v>0</v>
      </c>
      <c r="I106" s="731">
        <v>98250.726963576191</v>
      </c>
      <c r="J106" s="731">
        <v>0</v>
      </c>
      <c r="K106" s="731">
        <v>0</v>
      </c>
      <c r="L106" s="731">
        <v>0</v>
      </c>
      <c r="M106" s="731">
        <v>0</v>
      </c>
      <c r="N106" s="731">
        <v>0</v>
      </c>
      <c r="O106" s="731">
        <f t="shared" si="11"/>
        <v>725490.5603826294</v>
      </c>
    </row>
    <row r="107" spans="1:15" ht="13.25" customHeight="1" x14ac:dyDescent="0.25">
      <c r="A107" s="728" t="s">
        <v>4364</v>
      </c>
      <c r="B107" s="731">
        <v>11491.290252000001</v>
      </c>
      <c r="C107" s="731">
        <v>0</v>
      </c>
      <c r="D107" s="731">
        <v>0</v>
      </c>
      <c r="E107" s="731">
        <v>0</v>
      </c>
      <c r="F107" s="731">
        <v>0</v>
      </c>
      <c r="G107" s="731">
        <v>0</v>
      </c>
      <c r="H107" s="731">
        <v>0</v>
      </c>
      <c r="I107" s="731">
        <v>0</v>
      </c>
      <c r="J107" s="731">
        <v>0</v>
      </c>
      <c r="K107" s="731">
        <v>0</v>
      </c>
      <c r="L107" s="731">
        <v>0</v>
      </c>
      <c r="M107" s="731">
        <v>0</v>
      </c>
      <c r="N107" s="731">
        <v>0</v>
      </c>
      <c r="O107" s="731">
        <f t="shared" si="11"/>
        <v>11491.290252000001</v>
      </c>
    </row>
    <row r="108" spans="1:15" ht="13.25" customHeight="1" x14ac:dyDescent="0.25">
      <c r="A108" s="728" t="s">
        <v>392</v>
      </c>
      <c r="B108" s="731">
        <v>0</v>
      </c>
      <c r="C108" s="731">
        <v>-42248.080020718458</v>
      </c>
      <c r="D108" s="731">
        <v>-57931.895856749259</v>
      </c>
      <c r="E108" s="731">
        <v>0</v>
      </c>
      <c r="F108" s="731">
        <v>-8132.1605813448004</v>
      </c>
      <c r="G108" s="731">
        <v>-30212.030989535142</v>
      </c>
      <c r="H108" s="731">
        <v>0</v>
      </c>
      <c r="I108" s="731">
        <v>0</v>
      </c>
      <c r="J108" s="731">
        <v>0</v>
      </c>
      <c r="K108" s="731">
        <v>-1123.06285898235</v>
      </c>
      <c r="L108" s="731">
        <v>0</v>
      </c>
      <c r="M108" s="731">
        <v>0</v>
      </c>
      <c r="N108" s="731">
        <v>0</v>
      </c>
      <c r="O108" s="731">
        <f t="shared" si="11"/>
        <v>-139647.23030733003</v>
      </c>
    </row>
    <row r="109" spans="1:15" ht="13.25" customHeight="1" x14ac:dyDescent="0.25">
      <c r="A109" s="728" t="s">
        <v>393</v>
      </c>
      <c r="B109" s="731">
        <v>0</v>
      </c>
      <c r="C109" s="731">
        <v>-57109.040028006275</v>
      </c>
      <c r="D109" s="731">
        <v>0</v>
      </c>
      <c r="E109" s="731">
        <v>0</v>
      </c>
      <c r="F109" s="731">
        <v>-36525.517125973201</v>
      </c>
      <c r="G109" s="731">
        <v>0</v>
      </c>
      <c r="H109" s="731">
        <v>0</v>
      </c>
      <c r="I109" s="731">
        <v>-53037.526606330503</v>
      </c>
      <c r="J109" s="731">
        <v>0</v>
      </c>
      <c r="K109" s="731">
        <v>0</v>
      </c>
      <c r="L109" s="731">
        <v>0</v>
      </c>
      <c r="M109" s="731">
        <v>0</v>
      </c>
      <c r="N109" s="731">
        <v>0</v>
      </c>
      <c r="O109" s="731">
        <f t="shared" si="11"/>
        <v>-146672.08376030996</v>
      </c>
    </row>
    <row r="110" spans="1:15" ht="13.25" customHeight="1" x14ac:dyDescent="0.25">
      <c r="A110" s="728" t="s">
        <v>394</v>
      </c>
      <c r="B110" s="731">
        <v>0</v>
      </c>
      <c r="C110" s="731">
        <v>-6539.0000032067255</v>
      </c>
      <c r="D110" s="731">
        <v>0</v>
      </c>
      <c r="E110" s="731">
        <v>0</v>
      </c>
      <c r="F110" s="731">
        <v>0</v>
      </c>
      <c r="G110" s="731">
        <v>0</v>
      </c>
      <c r="H110" s="731">
        <v>0</v>
      </c>
      <c r="I110" s="731">
        <v>-6620.9197954371175</v>
      </c>
      <c r="J110" s="731">
        <v>0</v>
      </c>
      <c r="K110" s="731">
        <v>0</v>
      </c>
      <c r="L110" s="731">
        <v>0</v>
      </c>
      <c r="M110" s="731">
        <v>0</v>
      </c>
      <c r="N110" s="731">
        <v>0</v>
      </c>
      <c r="O110" s="731">
        <f t="shared" si="11"/>
        <v>-13159.919798643843</v>
      </c>
    </row>
    <row r="111" spans="1:15" ht="13.25" customHeight="1" x14ac:dyDescent="0.25">
      <c r="A111" s="728" t="s">
        <v>395</v>
      </c>
      <c r="B111" s="731">
        <v>0</v>
      </c>
      <c r="C111" s="731">
        <v>-303248.45014871302</v>
      </c>
      <c r="D111" s="731">
        <v>-145664.97456259548</v>
      </c>
      <c r="E111" s="731">
        <v>0</v>
      </c>
      <c r="F111" s="731">
        <v>-9881.8652453039995</v>
      </c>
      <c r="G111" s="731">
        <v>-22569.41408392497</v>
      </c>
      <c r="H111" s="731">
        <v>0</v>
      </c>
      <c r="I111" s="731">
        <v>-34045.282865676629</v>
      </c>
      <c r="J111" s="731">
        <v>0</v>
      </c>
      <c r="K111" s="731">
        <v>0</v>
      </c>
      <c r="L111" s="731">
        <v>0</v>
      </c>
      <c r="M111" s="731">
        <v>0</v>
      </c>
      <c r="N111" s="731">
        <v>0</v>
      </c>
      <c r="O111" s="731">
        <f t="shared" si="11"/>
        <v>-515409.98690621409</v>
      </c>
    </row>
    <row r="112" spans="1:15" ht="13.25" customHeight="1" x14ac:dyDescent="0.25">
      <c r="A112" s="728" t="s">
        <v>396</v>
      </c>
      <c r="B112" s="731">
        <v>0</v>
      </c>
      <c r="C112" s="731">
        <v>-581248.75028504443</v>
      </c>
      <c r="D112" s="731">
        <v>0</v>
      </c>
      <c r="E112" s="731">
        <v>0</v>
      </c>
      <c r="F112" s="731">
        <v>-974.13922766159999</v>
      </c>
      <c r="G112" s="731">
        <v>0</v>
      </c>
      <c r="H112" s="731">
        <v>0</v>
      </c>
      <c r="I112" s="731">
        <v>-16497.791186538441</v>
      </c>
      <c r="J112" s="731">
        <v>0</v>
      </c>
      <c r="K112" s="731">
        <v>0</v>
      </c>
      <c r="L112" s="731">
        <v>0</v>
      </c>
      <c r="M112" s="731">
        <v>0</v>
      </c>
      <c r="N112" s="731">
        <v>0</v>
      </c>
      <c r="O112" s="731">
        <f t="shared" si="11"/>
        <v>-598720.68069924449</v>
      </c>
    </row>
    <row r="113" spans="1:15" ht="13.25" customHeight="1" x14ac:dyDescent="0.25">
      <c r="A113" s="728" t="s">
        <v>397</v>
      </c>
      <c r="B113" s="731">
        <v>978907.38282857521</v>
      </c>
      <c r="C113" s="731">
        <v>0</v>
      </c>
      <c r="D113" s="731">
        <v>0</v>
      </c>
      <c r="E113" s="731">
        <v>0</v>
      </c>
      <c r="F113" s="731">
        <v>0</v>
      </c>
      <c r="G113" s="731">
        <v>0</v>
      </c>
      <c r="H113" s="731">
        <v>0</v>
      </c>
      <c r="I113" s="731">
        <v>0</v>
      </c>
      <c r="J113" s="731">
        <v>0</v>
      </c>
      <c r="K113" s="731">
        <v>0</v>
      </c>
      <c r="L113" s="731">
        <v>0</v>
      </c>
      <c r="M113" s="731">
        <v>0</v>
      </c>
      <c r="N113" s="731">
        <v>0</v>
      </c>
      <c r="O113" s="731">
        <f t="shared" si="11"/>
        <v>978907.38282857521</v>
      </c>
    </row>
    <row r="114" spans="1:15" ht="13.25" customHeight="1" x14ac:dyDescent="0.25">
      <c r="A114" s="728" t="s">
        <v>4196</v>
      </c>
      <c r="B114" s="731">
        <v>2080120.3051633993</v>
      </c>
      <c r="C114" s="731">
        <v>0</v>
      </c>
      <c r="D114" s="731">
        <v>0</v>
      </c>
      <c r="E114" s="731">
        <v>0</v>
      </c>
      <c r="F114" s="731">
        <v>0</v>
      </c>
      <c r="G114" s="731">
        <v>0</v>
      </c>
      <c r="H114" s="731">
        <v>0</v>
      </c>
      <c r="I114" s="731">
        <v>0</v>
      </c>
      <c r="J114" s="731">
        <v>0</v>
      </c>
      <c r="K114" s="731">
        <v>0</v>
      </c>
      <c r="L114" s="731">
        <v>0</v>
      </c>
      <c r="M114" s="731">
        <v>0</v>
      </c>
      <c r="N114" s="731">
        <v>0</v>
      </c>
      <c r="O114" s="731">
        <f t="shared" si="11"/>
        <v>2080120.3051633993</v>
      </c>
    </row>
    <row r="115" spans="1:15" ht="13.25" customHeight="1" x14ac:dyDescent="0.25">
      <c r="A115" s="728" t="s">
        <v>775</v>
      </c>
      <c r="B115" s="731">
        <v>14892.926957064001</v>
      </c>
      <c r="C115" s="731">
        <v>0</v>
      </c>
      <c r="D115" s="731">
        <v>0</v>
      </c>
      <c r="E115" s="731">
        <v>0</v>
      </c>
      <c r="F115" s="731">
        <v>0</v>
      </c>
      <c r="G115" s="731">
        <v>0</v>
      </c>
      <c r="H115" s="731">
        <v>785.82168133560003</v>
      </c>
      <c r="I115" s="731">
        <v>0</v>
      </c>
      <c r="J115" s="731">
        <v>0</v>
      </c>
      <c r="K115" s="731">
        <v>0</v>
      </c>
      <c r="L115" s="731">
        <v>1739.4806374919999</v>
      </c>
      <c r="M115" s="731">
        <v>0</v>
      </c>
      <c r="N115" s="731">
        <v>0</v>
      </c>
      <c r="O115" s="731">
        <f t="shared" si="11"/>
        <v>17418.229275891601</v>
      </c>
    </row>
    <row r="116" spans="1:15" ht="13.25" customHeight="1" x14ac:dyDescent="0.25">
      <c r="A116" s="728" t="s">
        <v>398</v>
      </c>
      <c r="B116" s="731">
        <v>261862.81345401841</v>
      </c>
      <c r="C116" s="731">
        <v>0</v>
      </c>
      <c r="D116" s="731">
        <v>0</v>
      </c>
      <c r="E116" s="731">
        <v>0</v>
      </c>
      <c r="F116" s="731">
        <v>0</v>
      </c>
      <c r="G116" s="731">
        <v>0</v>
      </c>
      <c r="H116" s="731">
        <v>0</v>
      </c>
      <c r="I116" s="731">
        <v>0</v>
      </c>
      <c r="J116" s="731">
        <v>0</v>
      </c>
      <c r="K116" s="731">
        <v>0</v>
      </c>
      <c r="L116" s="731">
        <v>0</v>
      </c>
      <c r="M116" s="731">
        <v>0</v>
      </c>
      <c r="N116" s="731">
        <v>0</v>
      </c>
      <c r="O116" s="731">
        <f t="shared" si="11"/>
        <v>261862.81345401841</v>
      </c>
    </row>
    <row r="117" spans="1:15" ht="13.25" customHeight="1" x14ac:dyDescent="0.25">
      <c r="A117" s="728" t="s">
        <v>4197</v>
      </c>
      <c r="B117" s="731">
        <v>193955.20554220199</v>
      </c>
      <c r="C117" s="731">
        <v>0</v>
      </c>
      <c r="D117" s="731">
        <v>0</v>
      </c>
      <c r="E117" s="731">
        <v>0</v>
      </c>
      <c r="F117" s="731">
        <v>0</v>
      </c>
      <c r="G117" s="731">
        <v>0</v>
      </c>
      <c r="H117" s="731">
        <v>0</v>
      </c>
      <c r="I117" s="731">
        <v>0</v>
      </c>
      <c r="J117" s="731">
        <v>0</v>
      </c>
      <c r="K117" s="731">
        <v>0</v>
      </c>
      <c r="L117" s="731">
        <v>0</v>
      </c>
      <c r="M117" s="731">
        <v>0</v>
      </c>
      <c r="N117" s="731">
        <v>0</v>
      </c>
      <c r="O117" s="731">
        <f t="shared" si="11"/>
        <v>193955.20554220199</v>
      </c>
    </row>
    <row r="118" spans="1:15" ht="13.25" customHeight="1" x14ac:dyDescent="0.25">
      <c r="A118" s="728" t="s">
        <v>399</v>
      </c>
      <c r="B118" s="731">
        <v>4164452.4903898644</v>
      </c>
      <c r="C118" s="731">
        <v>0</v>
      </c>
      <c r="D118" s="731">
        <v>0</v>
      </c>
      <c r="E118" s="731">
        <v>0</v>
      </c>
      <c r="F118" s="731">
        <v>0</v>
      </c>
      <c r="G118" s="731">
        <v>0</v>
      </c>
      <c r="H118" s="731">
        <v>0</v>
      </c>
      <c r="I118" s="731">
        <v>0</v>
      </c>
      <c r="J118" s="731">
        <v>0</v>
      </c>
      <c r="K118" s="731">
        <v>0</v>
      </c>
      <c r="L118" s="731">
        <v>0</v>
      </c>
      <c r="M118" s="731">
        <v>0</v>
      </c>
      <c r="N118" s="731">
        <v>0</v>
      </c>
      <c r="O118" s="731">
        <f t="shared" si="11"/>
        <v>4164452.4903898644</v>
      </c>
    </row>
    <row r="119" spans="1:15" ht="12.5" x14ac:dyDescent="0.25">
      <c r="A119" s="728" t="s">
        <v>4743</v>
      </c>
      <c r="B119" s="731">
        <v>5082.5869389359996</v>
      </c>
      <c r="C119" s="731">
        <v>0</v>
      </c>
      <c r="D119" s="731">
        <v>0</v>
      </c>
      <c r="E119" s="731">
        <v>0</v>
      </c>
      <c r="F119" s="731">
        <v>0</v>
      </c>
      <c r="G119" s="731">
        <v>0</v>
      </c>
      <c r="H119" s="731">
        <v>0</v>
      </c>
      <c r="I119" s="731">
        <v>0</v>
      </c>
      <c r="J119" s="731">
        <v>0</v>
      </c>
      <c r="K119" s="731">
        <v>0</v>
      </c>
      <c r="L119" s="731">
        <v>0</v>
      </c>
      <c r="M119" s="731">
        <v>0</v>
      </c>
      <c r="N119" s="731">
        <v>0</v>
      </c>
      <c r="O119" s="731">
        <f t="shared" si="11"/>
        <v>5082.5869389359996</v>
      </c>
    </row>
    <row r="120" spans="1:15" ht="12.5" x14ac:dyDescent="0.25">
      <c r="A120" s="728" t="s">
        <v>400</v>
      </c>
      <c r="B120" s="731">
        <v>-443264.24619542522</v>
      </c>
      <c r="C120" s="731">
        <v>0</v>
      </c>
      <c r="D120" s="731">
        <v>0</v>
      </c>
      <c r="E120" s="731">
        <v>0</v>
      </c>
      <c r="F120" s="731">
        <v>0</v>
      </c>
      <c r="G120" s="731">
        <v>0</v>
      </c>
      <c r="H120" s="731">
        <v>0</v>
      </c>
      <c r="I120" s="731">
        <v>0</v>
      </c>
      <c r="J120" s="731">
        <v>0</v>
      </c>
      <c r="K120" s="731">
        <v>0</v>
      </c>
      <c r="L120" s="731">
        <v>0</v>
      </c>
      <c r="M120" s="731">
        <v>0</v>
      </c>
      <c r="N120" s="731">
        <v>0</v>
      </c>
      <c r="O120" s="731">
        <f t="shared" si="11"/>
        <v>-443264.24619542522</v>
      </c>
    </row>
    <row r="121" spans="1:15" ht="12.5" x14ac:dyDescent="0.25">
      <c r="A121" s="728" t="s">
        <v>401</v>
      </c>
      <c r="B121" s="731">
        <v>-2050722.2339674199</v>
      </c>
      <c r="C121" s="731">
        <v>0</v>
      </c>
      <c r="D121" s="731">
        <v>0</v>
      </c>
      <c r="E121" s="731">
        <v>0</v>
      </c>
      <c r="F121" s="731">
        <v>0</v>
      </c>
      <c r="G121" s="731">
        <v>0</v>
      </c>
      <c r="H121" s="731">
        <v>0</v>
      </c>
      <c r="I121" s="731">
        <v>0</v>
      </c>
      <c r="J121" s="731">
        <v>0</v>
      </c>
      <c r="K121" s="731">
        <v>0</v>
      </c>
      <c r="L121" s="731">
        <v>0</v>
      </c>
      <c r="M121" s="731">
        <v>0</v>
      </c>
      <c r="N121" s="731">
        <v>0</v>
      </c>
      <c r="O121" s="731">
        <f t="shared" si="11"/>
        <v>-2050722.2339674199</v>
      </c>
    </row>
    <row r="122" spans="1:15" ht="12.5" x14ac:dyDescent="0.25">
      <c r="A122" s="728" t="s">
        <v>402</v>
      </c>
      <c r="B122" s="731">
        <v>-213113.76387795</v>
      </c>
      <c r="C122" s="731">
        <v>0</v>
      </c>
      <c r="D122" s="731">
        <v>0</v>
      </c>
      <c r="E122" s="731">
        <v>0</v>
      </c>
      <c r="F122" s="731">
        <v>0</v>
      </c>
      <c r="G122" s="731">
        <v>0</v>
      </c>
      <c r="H122" s="731">
        <v>0</v>
      </c>
      <c r="I122" s="731">
        <v>0</v>
      </c>
      <c r="J122" s="731">
        <v>0</v>
      </c>
      <c r="K122" s="731">
        <v>0</v>
      </c>
      <c r="L122" s="731">
        <v>0</v>
      </c>
      <c r="M122" s="731">
        <v>0</v>
      </c>
      <c r="N122" s="731">
        <v>0</v>
      </c>
      <c r="O122" s="731">
        <f t="shared" si="11"/>
        <v>-213113.76387795</v>
      </c>
    </row>
    <row r="123" spans="1:15" ht="12.5" x14ac:dyDescent="0.25">
      <c r="A123" s="728" t="s">
        <v>403</v>
      </c>
      <c r="B123" s="731">
        <v>-193955.20554220199</v>
      </c>
      <c r="C123" s="731">
        <v>0</v>
      </c>
      <c r="D123" s="731">
        <v>0</v>
      </c>
      <c r="E123" s="731">
        <v>0</v>
      </c>
      <c r="F123" s="731">
        <v>0</v>
      </c>
      <c r="G123" s="731">
        <v>0</v>
      </c>
      <c r="H123" s="731">
        <v>0</v>
      </c>
      <c r="I123" s="731">
        <v>0</v>
      </c>
      <c r="J123" s="731">
        <v>0</v>
      </c>
      <c r="K123" s="731">
        <v>0</v>
      </c>
      <c r="L123" s="731">
        <v>0</v>
      </c>
      <c r="M123" s="731">
        <v>0</v>
      </c>
      <c r="N123" s="731">
        <v>0</v>
      </c>
      <c r="O123" s="731">
        <f t="shared" si="11"/>
        <v>-193955.20554220199</v>
      </c>
    </row>
    <row r="124" spans="1:15" ht="12.5" x14ac:dyDescent="0.25">
      <c r="A124" s="728" t="s">
        <v>404</v>
      </c>
      <c r="B124" s="731">
        <v>-1332209.5717167433</v>
      </c>
      <c r="C124" s="731">
        <v>0</v>
      </c>
      <c r="D124" s="731">
        <v>0</v>
      </c>
      <c r="E124" s="731">
        <v>0</v>
      </c>
      <c r="F124" s="731">
        <v>0</v>
      </c>
      <c r="G124" s="731">
        <v>0</v>
      </c>
      <c r="H124" s="731">
        <v>0</v>
      </c>
      <c r="I124" s="731">
        <v>0</v>
      </c>
      <c r="J124" s="731">
        <v>0</v>
      </c>
      <c r="K124" s="731">
        <v>0</v>
      </c>
      <c r="L124" s="731">
        <v>0</v>
      </c>
      <c r="M124" s="731">
        <v>0</v>
      </c>
      <c r="N124" s="731">
        <v>0</v>
      </c>
      <c r="O124" s="731">
        <f t="shared" si="11"/>
        <v>-1332209.5717167433</v>
      </c>
    </row>
    <row r="125" spans="1:15" ht="12.5" x14ac:dyDescent="0.25">
      <c r="A125" s="739" t="s">
        <v>405</v>
      </c>
      <c r="B125" s="733">
        <f t="shared" ref="B125:O125" si="12">SUM(B102:B124)</f>
        <v>3477499.9802263193</v>
      </c>
      <c r="C125" s="733">
        <f t="shared" si="12"/>
        <v>276080.63013538963</v>
      </c>
      <c r="D125" s="733">
        <f t="shared" si="12"/>
        <v>150822.57634691912</v>
      </c>
      <c r="E125" s="733">
        <f t="shared" si="12"/>
        <v>24.067272387599999</v>
      </c>
      <c r="F125" s="733">
        <f t="shared" si="12"/>
        <v>112874.99200071121</v>
      </c>
      <c r="G125" s="733">
        <f t="shared" si="12"/>
        <v>5928.3222971916693</v>
      </c>
      <c r="H125" s="733">
        <f t="shared" si="12"/>
        <v>785.82168133560003</v>
      </c>
      <c r="I125" s="733">
        <f t="shared" si="12"/>
        <v>101639.08313810124</v>
      </c>
      <c r="J125" s="733">
        <f t="shared" si="12"/>
        <v>0</v>
      </c>
      <c r="K125" s="733">
        <f t="shared" si="12"/>
        <v>1572.2880025752902</v>
      </c>
      <c r="L125" s="733">
        <f t="shared" si="12"/>
        <v>1739.4806374919999</v>
      </c>
      <c r="M125" s="733">
        <f t="shared" si="12"/>
        <v>0</v>
      </c>
      <c r="N125" s="733">
        <f t="shared" si="12"/>
        <v>0</v>
      </c>
      <c r="O125" s="733">
        <f t="shared" si="12"/>
        <v>4128967.2417384228</v>
      </c>
    </row>
    <row r="126" spans="1:15" ht="12.5" x14ac:dyDescent="0.25">
      <c r="A126" s="726" t="s">
        <v>406</v>
      </c>
      <c r="B126" s="727">
        <v>0</v>
      </c>
      <c r="C126" s="727">
        <v>1263403.7906195733</v>
      </c>
      <c r="D126" s="727">
        <v>0</v>
      </c>
      <c r="E126" s="727">
        <v>0</v>
      </c>
      <c r="F126" s="727">
        <v>0</v>
      </c>
      <c r="G126" s="727">
        <v>0</v>
      </c>
      <c r="H126" s="727">
        <v>0</v>
      </c>
      <c r="I126" s="727">
        <v>0</v>
      </c>
      <c r="J126" s="727">
        <v>0</v>
      </c>
      <c r="K126" s="727">
        <v>0</v>
      </c>
      <c r="L126" s="727">
        <v>0</v>
      </c>
      <c r="M126" s="727">
        <v>0</v>
      </c>
      <c r="N126" s="727">
        <v>0</v>
      </c>
      <c r="O126" s="727">
        <v>1263403.7906195733</v>
      </c>
    </row>
    <row r="127" spans="1:15" ht="12.5" x14ac:dyDescent="0.25">
      <c r="A127" s="728" t="s">
        <v>407</v>
      </c>
      <c r="B127" s="731">
        <v>0</v>
      </c>
      <c r="C127" s="731">
        <v>1263403.7906195733</v>
      </c>
      <c r="D127" s="731">
        <v>0</v>
      </c>
      <c r="E127" s="731">
        <v>0</v>
      </c>
      <c r="F127" s="731">
        <v>0</v>
      </c>
      <c r="G127" s="731">
        <v>0</v>
      </c>
      <c r="H127" s="731">
        <v>0</v>
      </c>
      <c r="I127" s="731">
        <v>0</v>
      </c>
      <c r="J127" s="731">
        <v>0</v>
      </c>
      <c r="K127" s="731">
        <v>0</v>
      </c>
      <c r="L127" s="731">
        <v>0</v>
      </c>
      <c r="M127" s="731">
        <v>0</v>
      </c>
      <c r="N127" s="731">
        <v>0</v>
      </c>
      <c r="O127" s="731">
        <f>SUM(B127:N127)</f>
        <v>1263403.7906195733</v>
      </c>
    </row>
    <row r="128" spans="1:15" ht="12.5" x14ac:dyDescent="0.25">
      <c r="A128" s="739" t="s">
        <v>408</v>
      </c>
      <c r="B128" s="733">
        <f t="shared" ref="B128:O128" si="13">SUM(B127)</f>
        <v>0</v>
      </c>
      <c r="C128" s="733">
        <f t="shared" si="13"/>
        <v>1263403.7906195733</v>
      </c>
      <c r="D128" s="733">
        <f t="shared" si="13"/>
        <v>0</v>
      </c>
      <c r="E128" s="733">
        <f t="shared" si="13"/>
        <v>0</v>
      </c>
      <c r="F128" s="733">
        <f t="shared" si="13"/>
        <v>0</v>
      </c>
      <c r="G128" s="733">
        <f t="shared" si="13"/>
        <v>0</v>
      </c>
      <c r="H128" s="733">
        <f t="shared" si="13"/>
        <v>0</v>
      </c>
      <c r="I128" s="733">
        <f t="shared" si="13"/>
        <v>0</v>
      </c>
      <c r="J128" s="733">
        <f t="shared" si="13"/>
        <v>0</v>
      </c>
      <c r="K128" s="733">
        <f t="shared" si="13"/>
        <v>0</v>
      </c>
      <c r="L128" s="733">
        <f t="shared" si="13"/>
        <v>0</v>
      </c>
      <c r="M128" s="733">
        <f t="shared" si="13"/>
        <v>0</v>
      </c>
      <c r="N128" s="733">
        <f t="shared" si="13"/>
        <v>0</v>
      </c>
      <c r="O128" s="733">
        <f t="shared" si="13"/>
        <v>1263403.7906195733</v>
      </c>
    </row>
    <row r="129" spans="1:15" ht="12.5" x14ac:dyDescent="0.25">
      <c r="A129" s="726" t="s">
        <v>4248</v>
      </c>
      <c r="B129" s="727">
        <v>5476546.7840504767</v>
      </c>
      <c r="C129" s="727">
        <v>3019588.7714808066</v>
      </c>
      <c r="D129" s="727">
        <v>250276.10950317228</v>
      </c>
      <c r="E129" s="727">
        <v>167565.94075704605</v>
      </c>
      <c r="F129" s="727">
        <v>548630.0022021624</v>
      </c>
      <c r="G129" s="727">
        <v>81070.829250724288</v>
      </c>
      <c r="H129" s="727">
        <v>0</v>
      </c>
      <c r="I129" s="727">
        <v>505133.60261524539</v>
      </c>
      <c r="J129" s="727">
        <v>0</v>
      </c>
      <c r="K129" s="727">
        <v>0</v>
      </c>
      <c r="L129" s="727">
        <v>0</v>
      </c>
      <c r="M129" s="727">
        <v>0</v>
      </c>
      <c r="N129" s="727">
        <v>0</v>
      </c>
      <c r="O129" s="727">
        <v>10048812.039859634</v>
      </c>
    </row>
    <row r="130" spans="1:15" ht="12.5" x14ac:dyDescent="0.25">
      <c r="A130" s="728" t="s">
        <v>409</v>
      </c>
      <c r="B130" s="731">
        <v>8894462.8241311591</v>
      </c>
      <c r="C130" s="731">
        <v>6534044.9832042959</v>
      </c>
      <c r="D130" s="731">
        <v>353570.9801550266</v>
      </c>
      <c r="E130" s="731">
        <v>282824.70963458403</v>
      </c>
      <c r="F130" s="731">
        <v>670051.74335327279</v>
      </c>
      <c r="G130" s="731">
        <v>864579.77255320782</v>
      </c>
      <c r="H130" s="731">
        <v>0</v>
      </c>
      <c r="I130" s="731">
        <v>1864879.3561484437</v>
      </c>
      <c r="J130" s="731">
        <v>0</v>
      </c>
      <c r="K130" s="731">
        <v>0</v>
      </c>
      <c r="L130" s="731">
        <v>0</v>
      </c>
      <c r="M130" s="731">
        <v>0</v>
      </c>
      <c r="N130" s="731">
        <v>0</v>
      </c>
      <c r="O130" s="731">
        <f>SUM(B130:N130)</f>
        <v>19464414.36917999</v>
      </c>
    </row>
    <row r="131" spans="1:15" ht="12.5" x14ac:dyDescent="0.25">
      <c r="A131" s="728" t="s">
        <v>410</v>
      </c>
      <c r="B131" s="731">
        <v>-3417916.0400806824</v>
      </c>
      <c r="C131" s="731">
        <v>-3514456.2117234892</v>
      </c>
      <c r="D131" s="731">
        <v>-103294.87065185433</v>
      </c>
      <c r="E131" s="731">
        <v>-115258.76887753799</v>
      </c>
      <c r="F131" s="731">
        <v>-121421.7411511104</v>
      </c>
      <c r="G131" s="731">
        <v>-783508.94330248353</v>
      </c>
      <c r="H131" s="731">
        <v>0</v>
      </c>
      <c r="I131" s="731">
        <v>-1359745.7535331983</v>
      </c>
      <c r="J131" s="731">
        <v>0</v>
      </c>
      <c r="K131" s="731">
        <v>0</v>
      </c>
      <c r="L131" s="731">
        <v>0</v>
      </c>
      <c r="M131" s="731">
        <v>0</v>
      </c>
      <c r="N131" s="731">
        <v>0</v>
      </c>
      <c r="O131" s="731">
        <f>SUM(B131:N131)</f>
        <v>-9415602.3293203544</v>
      </c>
    </row>
    <row r="132" spans="1:15" ht="12.5" x14ac:dyDescent="0.25">
      <c r="A132" s="739" t="s">
        <v>4249</v>
      </c>
      <c r="B132" s="733">
        <f t="shared" ref="B132:O132" si="14">SUM(B130:B131)</f>
        <v>5476546.7840504767</v>
      </c>
      <c r="C132" s="733">
        <f t="shared" si="14"/>
        <v>3019588.7714808066</v>
      </c>
      <c r="D132" s="733">
        <f t="shared" si="14"/>
        <v>250276.10950317228</v>
      </c>
      <c r="E132" s="733">
        <f t="shared" si="14"/>
        <v>167565.94075704605</v>
      </c>
      <c r="F132" s="733">
        <f t="shared" si="14"/>
        <v>548630.0022021624</v>
      </c>
      <c r="G132" s="733">
        <f t="shared" si="14"/>
        <v>81070.829250724288</v>
      </c>
      <c r="H132" s="733">
        <f t="shared" si="14"/>
        <v>0</v>
      </c>
      <c r="I132" s="733">
        <f t="shared" si="14"/>
        <v>505133.60261524539</v>
      </c>
      <c r="J132" s="733">
        <f t="shared" si="14"/>
        <v>0</v>
      </c>
      <c r="K132" s="733">
        <f t="shared" si="14"/>
        <v>0</v>
      </c>
      <c r="L132" s="733">
        <f t="shared" si="14"/>
        <v>0</v>
      </c>
      <c r="M132" s="733">
        <f t="shared" si="14"/>
        <v>0</v>
      </c>
      <c r="N132" s="733">
        <f t="shared" si="14"/>
        <v>0</v>
      </c>
      <c r="O132" s="733">
        <f t="shared" si="14"/>
        <v>10048812.039859636</v>
      </c>
    </row>
    <row r="133" spans="1:15" ht="12.5" x14ac:dyDescent="0.25">
      <c r="A133" s="726" t="s">
        <v>411</v>
      </c>
      <c r="B133" s="727">
        <v>10136736.317448234</v>
      </c>
      <c r="C133" s="727">
        <v>420383.80020615621</v>
      </c>
      <c r="D133" s="727">
        <v>112386.73165444432</v>
      </c>
      <c r="E133" s="727">
        <v>24001.664637927599</v>
      </c>
      <c r="F133" s="727">
        <v>40913.256887989199</v>
      </c>
      <c r="G133" s="727">
        <v>243054.80042849237</v>
      </c>
      <c r="H133" s="727">
        <v>0</v>
      </c>
      <c r="I133" s="727">
        <v>356753.11583167361</v>
      </c>
      <c r="J133" s="727">
        <v>0</v>
      </c>
      <c r="K133" s="727">
        <v>2887.0011981208995</v>
      </c>
      <c r="L133" s="727">
        <v>0</v>
      </c>
      <c r="M133" s="727">
        <v>351377</v>
      </c>
      <c r="N133" s="727">
        <v>-8095701.069330873</v>
      </c>
      <c r="O133" s="727">
        <v>3592792.618962165</v>
      </c>
    </row>
    <row r="134" spans="1:15" ht="12.5" x14ac:dyDescent="0.25">
      <c r="A134" s="728" t="s">
        <v>412</v>
      </c>
      <c r="B134" s="731">
        <v>-504777.09069581039</v>
      </c>
      <c r="C134" s="731">
        <v>0</v>
      </c>
      <c r="D134" s="731">
        <v>0</v>
      </c>
      <c r="E134" s="731">
        <v>0</v>
      </c>
      <c r="F134" s="731">
        <v>0</v>
      </c>
      <c r="G134" s="731">
        <v>0</v>
      </c>
      <c r="H134" s="731">
        <v>0</v>
      </c>
      <c r="I134" s="731">
        <v>0</v>
      </c>
      <c r="J134" s="731">
        <v>0</v>
      </c>
      <c r="K134" s="731">
        <v>0</v>
      </c>
      <c r="L134" s="731">
        <v>0</v>
      </c>
      <c r="M134" s="731">
        <v>0</v>
      </c>
      <c r="N134" s="731">
        <v>0</v>
      </c>
      <c r="O134" s="731">
        <f t="shared" ref="O134:O151" si="15">SUM(B134:N134)</f>
        <v>-504777.09069581039</v>
      </c>
    </row>
    <row r="135" spans="1:15" ht="12.5" x14ac:dyDescent="0.25">
      <c r="A135" s="728" t="s">
        <v>413</v>
      </c>
      <c r="B135" s="731">
        <v>0</v>
      </c>
      <c r="C135" s="731">
        <v>-480000.00023539201</v>
      </c>
      <c r="D135" s="731">
        <v>0</v>
      </c>
      <c r="E135" s="731">
        <v>0</v>
      </c>
      <c r="F135" s="731">
        <v>0</v>
      </c>
      <c r="G135" s="731">
        <v>0</v>
      </c>
      <c r="H135" s="731">
        <v>0</v>
      </c>
      <c r="I135" s="731">
        <v>0</v>
      </c>
      <c r="J135" s="731">
        <v>0</v>
      </c>
      <c r="K135" s="731">
        <v>0</v>
      </c>
      <c r="L135" s="731">
        <v>0</v>
      </c>
      <c r="M135" s="731">
        <v>0</v>
      </c>
      <c r="N135" s="731">
        <v>0</v>
      </c>
      <c r="O135" s="731">
        <f t="shared" si="15"/>
        <v>-480000.00023539201</v>
      </c>
    </row>
    <row r="136" spans="1:15" ht="12.5" x14ac:dyDescent="0.25">
      <c r="A136" s="728" t="s">
        <v>414</v>
      </c>
      <c r="B136" s="731">
        <v>63969.016505799598</v>
      </c>
      <c r="C136" s="731">
        <v>0</v>
      </c>
      <c r="D136" s="731">
        <v>0</v>
      </c>
      <c r="E136" s="731">
        <v>0</v>
      </c>
      <c r="F136" s="731">
        <v>0</v>
      </c>
      <c r="G136" s="731">
        <v>0</v>
      </c>
      <c r="H136" s="731">
        <v>0</v>
      </c>
      <c r="I136" s="731">
        <v>0</v>
      </c>
      <c r="J136" s="731">
        <v>0</v>
      </c>
      <c r="K136" s="731">
        <v>0</v>
      </c>
      <c r="L136" s="731">
        <v>0</v>
      </c>
      <c r="M136" s="731">
        <v>0</v>
      </c>
      <c r="N136" s="731">
        <v>0</v>
      </c>
      <c r="O136" s="731">
        <f t="shared" si="15"/>
        <v>63969.016505799598</v>
      </c>
    </row>
    <row r="137" spans="1:15" ht="12.5" x14ac:dyDescent="0.25">
      <c r="A137" s="728" t="s">
        <v>415</v>
      </c>
      <c r="B137" s="731">
        <v>901541.12207796006</v>
      </c>
      <c r="C137" s="731">
        <v>0</v>
      </c>
      <c r="D137" s="731">
        <v>6555.1360085414426</v>
      </c>
      <c r="E137" s="731">
        <v>0</v>
      </c>
      <c r="F137" s="731">
        <v>0</v>
      </c>
      <c r="G137" s="731">
        <v>0</v>
      </c>
      <c r="H137" s="731">
        <v>0</v>
      </c>
      <c r="I137" s="731">
        <v>191207.65534711358</v>
      </c>
      <c r="J137" s="731">
        <v>0</v>
      </c>
      <c r="K137" s="731">
        <v>0</v>
      </c>
      <c r="L137" s="731">
        <v>0</v>
      </c>
      <c r="M137" s="731">
        <v>351377</v>
      </c>
      <c r="N137" s="731">
        <v>0</v>
      </c>
      <c r="O137" s="731">
        <f t="shared" si="15"/>
        <v>1450680.9134336151</v>
      </c>
    </row>
    <row r="138" spans="1:15" ht="12.5" x14ac:dyDescent="0.25">
      <c r="A138" s="728" t="s">
        <v>416</v>
      </c>
      <c r="B138" s="731">
        <v>504777.12291438121</v>
      </c>
      <c r="C138" s="731">
        <v>0</v>
      </c>
      <c r="D138" s="731">
        <v>0</v>
      </c>
      <c r="E138" s="731">
        <v>0</v>
      </c>
      <c r="F138" s="731">
        <v>0</v>
      </c>
      <c r="G138" s="731">
        <v>0</v>
      </c>
      <c r="H138" s="731">
        <v>0</v>
      </c>
      <c r="I138" s="731">
        <v>0</v>
      </c>
      <c r="J138" s="731">
        <v>0</v>
      </c>
      <c r="K138" s="731">
        <v>0</v>
      </c>
      <c r="L138" s="731">
        <v>0</v>
      </c>
      <c r="M138" s="731">
        <v>0</v>
      </c>
      <c r="N138" s="731">
        <v>0</v>
      </c>
      <c r="O138" s="731">
        <f t="shared" si="15"/>
        <v>504777.12291438121</v>
      </c>
    </row>
    <row r="139" spans="1:15" ht="12.5" x14ac:dyDescent="0.25">
      <c r="A139" s="728" t="s">
        <v>418</v>
      </c>
      <c r="B139" s="731">
        <v>133.4707993008</v>
      </c>
      <c r="C139" s="731">
        <v>0</v>
      </c>
      <c r="D139" s="731">
        <v>0</v>
      </c>
      <c r="E139" s="731">
        <v>0</v>
      </c>
      <c r="F139" s="731">
        <v>0</v>
      </c>
      <c r="G139" s="731">
        <v>0</v>
      </c>
      <c r="H139" s="731">
        <v>0</v>
      </c>
      <c r="I139" s="731">
        <v>0</v>
      </c>
      <c r="J139" s="731">
        <v>0</v>
      </c>
      <c r="K139" s="731">
        <v>0</v>
      </c>
      <c r="L139" s="731">
        <v>0</v>
      </c>
      <c r="M139" s="731">
        <v>0</v>
      </c>
      <c r="N139" s="731">
        <v>-133.48153882439999</v>
      </c>
      <c r="O139" s="731">
        <f t="shared" si="15"/>
        <v>-1.0739523599994527E-2</v>
      </c>
    </row>
    <row r="140" spans="1:15" ht="12.5" x14ac:dyDescent="0.25">
      <c r="A140" s="728" t="s">
        <v>419</v>
      </c>
      <c r="B140" s="731">
        <v>76642.921617584405</v>
      </c>
      <c r="C140" s="731">
        <v>0</v>
      </c>
      <c r="D140" s="731">
        <v>0</v>
      </c>
      <c r="E140" s="731">
        <v>0</v>
      </c>
      <c r="F140" s="731">
        <v>0</v>
      </c>
      <c r="G140" s="731">
        <v>0</v>
      </c>
      <c r="H140" s="731">
        <v>0</v>
      </c>
      <c r="I140" s="731">
        <v>0</v>
      </c>
      <c r="J140" s="731">
        <v>0</v>
      </c>
      <c r="K140" s="731">
        <v>0</v>
      </c>
      <c r="L140" s="731">
        <v>0</v>
      </c>
      <c r="M140" s="731">
        <v>0</v>
      </c>
      <c r="N140" s="731">
        <v>-76642.921617584405</v>
      </c>
      <c r="O140" s="731">
        <f t="shared" si="15"/>
        <v>0</v>
      </c>
    </row>
    <row r="141" spans="1:15" ht="12.5" x14ac:dyDescent="0.25">
      <c r="A141" s="728" t="s">
        <v>420</v>
      </c>
      <c r="B141" s="731">
        <v>26848.809000000001</v>
      </c>
      <c r="C141" s="731">
        <v>0</v>
      </c>
      <c r="D141" s="731">
        <v>0</v>
      </c>
      <c r="E141" s="731">
        <v>0</v>
      </c>
      <c r="F141" s="731">
        <v>0</v>
      </c>
      <c r="G141" s="731">
        <v>0</v>
      </c>
      <c r="H141" s="731">
        <v>0</v>
      </c>
      <c r="I141" s="731">
        <v>0</v>
      </c>
      <c r="J141" s="731">
        <v>0</v>
      </c>
      <c r="K141" s="731">
        <v>0</v>
      </c>
      <c r="L141" s="731">
        <v>0</v>
      </c>
      <c r="M141" s="731">
        <v>0</v>
      </c>
      <c r="N141" s="731">
        <v>-26848.809000000001</v>
      </c>
      <c r="O141" s="731">
        <f t="shared" si="15"/>
        <v>0</v>
      </c>
    </row>
    <row r="142" spans="1:15" ht="12.5" x14ac:dyDescent="0.25">
      <c r="A142" s="728" t="s">
        <v>421</v>
      </c>
      <c r="B142" s="731">
        <v>1420.3342146708001</v>
      </c>
      <c r="C142" s="731">
        <v>0</v>
      </c>
      <c r="D142" s="731">
        <v>0</v>
      </c>
      <c r="E142" s="731">
        <v>0</v>
      </c>
      <c r="F142" s="731">
        <v>0</v>
      </c>
      <c r="G142" s="731">
        <v>0</v>
      </c>
      <c r="H142" s="731">
        <v>0</v>
      </c>
      <c r="I142" s="731">
        <v>0</v>
      </c>
      <c r="J142" s="731">
        <v>0</v>
      </c>
      <c r="K142" s="731">
        <v>0</v>
      </c>
      <c r="L142" s="731">
        <v>0</v>
      </c>
      <c r="M142" s="731">
        <v>0</v>
      </c>
      <c r="N142" s="731">
        <v>-1420.3342146708001</v>
      </c>
      <c r="O142" s="731">
        <f t="shared" si="15"/>
        <v>0</v>
      </c>
    </row>
    <row r="143" spans="1:15" ht="12.5" x14ac:dyDescent="0.25">
      <c r="A143" s="728" t="s">
        <v>4198</v>
      </c>
      <c r="B143" s="731">
        <v>10739.5236</v>
      </c>
      <c r="C143" s="731">
        <v>0</v>
      </c>
      <c r="D143" s="731">
        <v>0</v>
      </c>
      <c r="E143" s="731">
        <v>0</v>
      </c>
      <c r="F143" s="731">
        <v>0</v>
      </c>
      <c r="G143" s="731">
        <v>0</v>
      </c>
      <c r="H143" s="731">
        <v>0</v>
      </c>
      <c r="I143" s="731">
        <v>0</v>
      </c>
      <c r="J143" s="731">
        <v>0</v>
      </c>
      <c r="K143" s="731">
        <v>0</v>
      </c>
      <c r="L143" s="731">
        <v>0</v>
      </c>
      <c r="M143" s="731">
        <v>0</v>
      </c>
      <c r="N143" s="731">
        <v>-10739.5236</v>
      </c>
      <c r="O143" s="731">
        <f t="shared" si="15"/>
        <v>0</v>
      </c>
    </row>
    <row r="144" spans="1:15" ht="12.5" x14ac:dyDescent="0.25">
      <c r="A144" s="728" t="s">
        <v>422</v>
      </c>
      <c r="B144" s="731">
        <v>12496.0693404924</v>
      </c>
      <c r="C144" s="731">
        <v>0</v>
      </c>
      <c r="D144" s="731">
        <v>0</v>
      </c>
      <c r="E144" s="731">
        <v>0</v>
      </c>
      <c r="F144" s="731">
        <v>0</v>
      </c>
      <c r="G144" s="731">
        <v>0</v>
      </c>
      <c r="H144" s="731">
        <v>0</v>
      </c>
      <c r="I144" s="731">
        <v>0</v>
      </c>
      <c r="J144" s="731">
        <v>0</v>
      </c>
      <c r="K144" s="731">
        <v>0</v>
      </c>
      <c r="L144" s="731">
        <v>0</v>
      </c>
      <c r="M144" s="731">
        <v>0</v>
      </c>
      <c r="N144" s="731">
        <v>-12496.0693404924</v>
      </c>
      <c r="O144" s="731">
        <f t="shared" si="15"/>
        <v>0</v>
      </c>
    </row>
    <row r="145" spans="1:15" ht="12.5" x14ac:dyDescent="0.25">
      <c r="A145" s="728" t="s">
        <v>423</v>
      </c>
      <c r="B145" s="731">
        <v>69659.2993876416</v>
      </c>
      <c r="C145" s="731">
        <v>0</v>
      </c>
      <c r="D145" s="731">
        <v>0</v>
      </c>
      <c r="E145" s="731">
        <v>0</v>
      </c>
      <c r="F145" s="731">
        <v>0</v>
      </c>
      <c r="G145" s="731">
        <v>0</v>
      </c>
      <c r="H145" s="731">
        <v>0</v>
      </c>
      <c r="I145" s="731">
        <v>0</v>
      </c>
      <c r="J145" s="731">
        <v>0</v>
      </c>
      <c r="K145" s="731">
        <v>0</v>
      </c>
      <c r="L145" s="731">
        <v>0</v>
      </c>
      <c r="M145" s="731">
        <v>0</v>
      </c>
      <c r="N145" s="731">
        <v>-69659.2993876416</v>
      </c>
      <c r="O145" s="731">
        <f t="shared" si="15"/>
        <v>0</v>
      </c>
    </row>
    <row r="146" spans="1:15" ht="12.5" x14ac:dyDescent="0.25">
      <c r="A146" s="728" t="s">
        <v>424</v>
      </c>
      <c r="B146" s="731">
        <v>5078.4629618735999</v>
      </c>
      <c r="C146" s="731">
        <v>0</v>
      </c>
      <c r="D146" s="731">
        <v>0</v>
      </c>
      <c r="E146" s="731">
        <v>0</v>
      </c>
      <c r="F146" s="731">
        <v>0</v>
      </c>
      <c r="G146" s="731">
        <v>0</v>
      </c>
      <c r="H146" s="731">
        <v>0</v>
      </c>
      <c r="I146" s="731">
        <v>0</v>
      </c>
      <c r="J146" s="731">
        <v>0</v>
      </c>
      <c r="K146" s="731">
        <v>0</v>
      </c>
      <c r="L146" s="731">
        <v>0</v>
      </c>
      <c r="M146" s="731">
        <v>0</v>
      </c>
      <c r="N146" s="731">
        <v>-5078.4629618735999</v>
      </c>
      <c r="O146" s="731">
        <f t="shared" si="15"/>
        <v>0</v>
      </c>
    </row>
    <row r="147" spans="1:15" ht="12.5" x14ac:dyDescent="0.25">
      <c r="A147" s="728" t="s">
        <v>425</v>
      </c>
      <c r="B147" s="731">
        <v>127.17743847120001</v>
      </c>
      <c r="C147" s="731">
        <v>0</v>
      </c>
      <c r="D147" s="731">
        <v>0</v>
      </c>
      <c r="E147" s="731">
        <v>0</v>
      </c>
      <c r="F147" s="731">
        <v>0</v>
      </c>
      <c r="G147" s="731">
        <v>0</v>
      </c>
      <c r="H147" s="731">
        <v>0</v>
      </c>
      <c r="I147" s="731">
        <v>0</v>
      </c>
      <c r="J147" s="731">
        <v>0</v>
      </c>
      <c r="K147" s="731">
        <v>0</v>
      </c>
      <c r="L147" s="731">
        <v>0</v>
      </c>
      <c r="M147" s="731">
        <v>0</v>
      </c>
      <c r="N147" s="731">
        <v>-127.1881779948</v>
      </c>
      <c r="O147" s="731">
        <f t="shared" si="15"/>
        <v>-1.0739523599994527E-2</v>
      </c>
    </row>
    <row r="148" spans="1:15" ht="12.5" x14ac:dyDescent="0.25">
      <c r="A148" s="728" t="s">
        <v>426</v>
      </c>
      <c r="B148" s="731">
        <v>7892554.9794917908</v>
      </c>
      <c r="C148" s="731">
        <v>0</v>
      </c>
      <c r="D148" s="731">
        <v>0</v>
      </c>
      <c r="E148" s="731">
        <v>0</v>
      </c>
      <c r="F148" s="731">
        <v>0</v>
      </c>
      <c r="G148" s="731">
        <v>0</v>
      </c>
      <c r="H148" s="731">
        <v>0</v>
      </c>
      <c r="I148" s="731">
        <v>0</v>
      </c>
      <c r="J148" s="731">
        <v>0</v>
      </c>
      <c r="K148" s="731">
        <v>0</v>
      </c>
      <c r="L148" s="731">
        <v>0</v>
      </c>
      <c r="M148" s="731">
        <v>0</v>
      </c>
      <c r="N148" s="731">
        <v>-7892554.9794917908</v>
      </c>
      <c r="O148" s="731">
        <f t="shared" si="15"/>
        <v>0</v>
      </c>
    </row>
    <row r="149" spans="1:15" ht="12.5" x14ac:dyDescent="0.25">
      <c r="A149" s="728" t="s">
        <v>427</v>
      </c>
      <c r="B149" s="731">
        <v>518573.81299997523</v>
      </c>
      <c r="C149" s="731">
        <v>0</v>
      </c>
      <c r="D149" s="731">
        <v>0</v>
      </c>
      <c r="E149" s="731">
        <v>0</v>
      </c>
      <c r="F149" s="731">
        <v>0</v>
      </c>
      <c r="G149" s="731">
        <v>0</v>
      </c>
      <c r="H149" s="731">
        <v>0</v>
      </c>
      <c r="I149" s="731">
        <v>0</v>
      </c>
      <c r="J149" s="731">
        <v>0</v>
      </c>
      <c r="K149" s="731">
        <v>0</v>
      </c>
      <c r="L149" s="731">
        <v>0</v>
      </c>
      <c r="M149" s="731">
        <v>0</v>
      </c>
      <c r="N149" s="731">
        <v>0</v>
      </c>
      <c r="O149" s="731">
        <f t="shared" si="15"/>
        <v>518573.81299997523</v>
      </c>
    </row>
    <row r="150" spans="1:15" ht="12.5" x14ac:dyDescent="0.25">
      <c r="A150" s="728" t="s">
        <v>428</v>
      </c>
      <c r="B150" s="731">
        <v>0</v>
      </c>
      <c r="C150" s="731">
        <v>480000.00023539201</v>
      </c>
      <c r="D150" s="731">
        <v>0</v>
      </c>
      <c r="E150" s="731">
        <v>0</v>
      </c>
      <c r="F150" s="731">
        <v>0</v>
      </c>
      <c r="G150" s="731">
        <v>0</v>
      </c>
      <c r="H150" s="731">
        <v>0</v>
      </c>
      <c r="I150" s="731">
        <v>0</v>
      </c>
      <c r="J150" s="731">
        <v>0</v>
      </c>
      <c r="K150" s="731">
        <v>0</v>
      </c>
      <c r="L150" s="731">
        <v>0</v>
      </c>
      <c r="M150" s="731">
        <v>0</v>
      </c>
      <c r="N150" s="731">
        <v>0</v>
      </c>
      <c r="O150" s="731">
        <f t="shared" si="15"/>
        <v>480000.00023539201</v>
      </c>
    </row>
    <row r="151" spans="1:15" ht="12.5" x14ac:dyDescent="0.25">
      <c r="A151" s="728" t="s">
        <v>429</v>
      </c>
      <c r="B151" s="731">
        <v>556951.28579410317</v>
      </c>
      <c r="C151" s="731">
        <v>420383.80020615621</v>
      </c>
      <c r="D151" s="731">
        <v>105831.59564590287</v>
      </c>
      <c r="E151" s="731">
        <v>24001.664637927599</v>
      </c>
      <c r="F151" s="731">
        <v>40913.256887989199</v>
      </c>
      <c r="G151" s="731">
        <v>243054.80042849237</v>
      </c>
      <c r="H151" s="731">
        <v>0</v>
      </c>
      <c r="I151" s="731">
        <v>165545.46048456</v>
      </c>
      <c r="J151" s="731">
        <v>0</v>
      </c>
      <c r="K151" s="731">
        <v>2887.0011981208995</v>
      </c>
      <c r="L151" s="731">
        <v>0</v>
      </c>
      <c r="M151" s="731">
        <v>0</v>
      </c>
      <c r="N151" s="731">
        <v>0</v>
      </c>
      <c r="O151" s="731">
        <f t="shared" si="15"/>
        <v>1559568.8652832522</v>
      </c>
    </row>
    <row r="152" spans="1:15" ht="12.5" x14ac:dyDescent="0.25">
      <c r="A152" s="739" t="s">
        <v>430</v>
      </c>
      <c r="B152" s="733">
        <f t="shared" ref="B152:O152" si="16">SUM(B134:B151)</f>
        <v>10136736.317448234</v>
      </c>
      <c r="C152" s="733">
        <f t="shared" si="16"/>
        <v>420383.80020615621</v>
      </c>
      <c r="D152" s="733">
        <f t="shared" si="16"/>
        <v>112386.73165444432</v>
      </c>
      <c r="E152" s="733">
        <f t="shared" si="16"/>
        <v>24001.664637927599</v>
      </c>
      <c r="F152" s="733">
        <f t="shared" si="16"/>
        <v>40913.256887989199</v>
      </c>
      <c r="G152" s="733">
        <f t="shared" si="16"/>
        <v>243054.80042849237</v>
      </c>
      <c r="H152" s="733">
        <f t="shared" si="16"/>
        <v>0</v>
      </c>
      <c r="I152" s="733">
        <f t="shared" si="16"/>
        <v>356753.11583167361</v>
      </c>
      <c r="J152" s="733">
        <f t="shared" si="16"/>
        <v>0</v>
      </c>
      <c r="K152" s="733">
        <f t="shared" si="16"/>
        <v>2887.0011981208995</v>
      </c>
      <c r="L152" s="733">
        <f t="shared" si="16"/>
        <v>0</v>
      </c>
      <c r="M152" s="733">
        <f t="shared" si="16"/>
        <v>351377</v>
      </c>
      <c r="N152" s="733">
        <f t="shared" si="16"/>
        <v>-8095701.069330873</v>
      </c>
      <c r="O152" s="733">
        <f t="shared" si="16"/>
        <v>3592792.6189621659</v>
      </c>
    </row>
    <row r="153" spans="1:15" ht="13" x14ac:dyDescent="0.2">
      <c r="A153" s="740" t="s">
        <v>431</v>
      </c>
      <c r="B153" s="741">
        <f t="shared" ref="B153:O153" si="17">B96+B100+B125+B128+B132+B152</f>
        <v>182940400.5772883</v>
      </c>
      <c r="C153" s="741">
        <f t="shared" si="17"/>
        <v>80419253.959437594</v>
      </c>
      <c r="D153" s="741">
        <f t="shared" si="17"/>
        <v>3726093.5818908536</v>
      </c>
      <c r="E153" s="741">
        <f t="shared" si="17"/>
        <v>469424.64099314174</v>
      </c>
      <c r="F153" s="741">
        <f t="shared" si="17"/>
        <v>1873032.6490702629</v>
      </c>
      <c r="G153" s="741">
        <f t="shared" si="17"/>
        <v>2097825.0314812297</v>
      </c>
      <c r="H153" s="741">
        <f t="shared" si="17"/>
        <v>221258.2641719112</v>
      </c>
      <c r="I153" s="741">
        <f t="shared" si="17"/>
        <v>2977112.8430803553</v>
      </c>
      <c r="J153" s="741">
        <f t="shared" si="17"/>
        <v>651391.10155019164</v>
      </c>
      <c r="K153" s="741">
        <f t="shared" si="17"/>
        <v>2532222.6134631652</v>
      </c>
      <c r="L153" s="741">
        <f t="shared" si="17"/>
        <v>351235.60384086717</v>
      </c>
      <c r="M153" s="741">
        <f t="shared" si="17"/>
        <v>351377</v>
      </c>
      <c r="N153" s="741">
        <f t="shared" si="17"/>
        <v>-42224946.054601051</v>
      </c>
      <c r="O153" s="741">
        <f t="shared" si="17"/>
        <v>236385681.81166688</v>
      </c>
    </row>
    <row r="154" spans="1:15" ht="10.5" x14ac:dyDescent="0.2">
      <c r="A154" s="742"/>
      <c r="B154" s="743"/>
      <c r="C154" s="743"/>
      <c r="D154" s="743"/>
      <c r="E154" s="743"/>
      <c r="F154" s="743"/>
      <c r="G154" s="743"/>
      <c r="H154" s="743"/>
      <c r="I154" s="743"/>
      <c r="J154" s="743"/>
      <c r="K154" s="743"/>
      <c r="L154" s="743"/>
      <c r="M154" s="743"/>
      <c r="N154" s="743"/>
      <c r="O154" s="743"/>
    </row>
    <row r="155" spans="1:15" ht="13" x14ac:dyDescent="0.2">
      <c r="A155" s="744" t="s">
        <v>432</v>
      </c>
      <c r="B155" s="745"/>
      <c r="C155" s="745"/>
      <c r="D155" s="745"/>
      <c r="E155" s="745"/>
      <c r="F155" s="745"/>
      <c r="G155" s="745"/>
      <c r="H155" s="745"/>
      <c r="I155" s="745"/>
      <c r="J155" s="745"/>
      <c r="K155" s="745"/>
      <c r="L155" s="745"/>
      <c r="M155" s="745"/>
      <c r="N155" s="745"/>
      <c r="O155" s="745"/>
    </row>
    <row r="156" spans="1:15" ht="12.5" x14ac:dyDescent="0.25">
      <c r="A156" s="726" t="s">
        <v>433</v>
      </c>
      <c r="B156" s="727">
        <v>65744551.023499154</v>
      </c>
      <c r="C156" s="727">
        <v>61493386.750156358</v>
      </c>
      <c r="D156" s="727">
        <v>3161523.1673368663</v>
      </c>
      <c r="E156" s="727">
        <v>298521.61880739121</v>
      </c>
      <c r="F156" s="727">
        <v>569118.56461958156</v>
      </c>
      <c r="G156" s="727">
        <v>536750.26814968418</v>
      </c>
      <c r="H156" s="727">
        <v>140948.27852348879</v>
      </c>
      <c r="I156" s="727">
        <v>1093837.8630328204</v>
      </c>
      <c r="J156" s="727">
        <v>317403.62367091561</v>
      </c>
      <c r="K156" s="727">
        <v>2088597.3825491529</v>
      </c>
      <c r="L156" s="727">
        <v>248578.63491366355</v>
      </c>
      <c r="M156" s="727">
        <v>1853047</v>
      </c>
      <c r="N156" s="727">
        <v>-34129244.050931625</v>
      </c>
      <c r="O156" s="727">
        <v>103417020.12432748</v>
      </c>
    </row>
    <row r="157" spans="1:15" ht="12.5" x14ac:dyDescent="0.25">
      <c r="A157" s="728" t="s">
        <v>434</v>
      </c>
      <c r="B157" s="727"/>
      <c r="C157" s="727"/>
      <c r="D157" s="727"/>
      <c r="E157" s="727"/>
      <c r="F157" s="727"/>
      <c r="G157" s="727"/>
      <c r="H157" s="727"/>
      <c r="I157" s="727"/>
      <c r="J157" s="727"/>
      <c r="K157" s="727"/>
      <c r="L157" s="727"/>
      <c r="M157" s="727"/>
      <c r="N157" s="727"/>
      <c r="O157" s="727"/>
    </row>
    <row r="158" spans="1:15" ht="12.5" x14ac:dyDescent="0.25">
      <c r="A158" s="729" t="s">
        <v>435</v>
      </c>
      <c r="B158" s="731">
        <v>2716192.1958462722</v>
      </c>
      <c r="C158" s="731">
        <v>377921.27018533257</v>
      </c>
      <c r="D158" s="731">
        <v>34838.799751603925</v>
      </c>
      <c r="E158" s="731">
        <v>807.17185425239995</v>
      </c>
      <c r="F158" s="731">
        <v>100576.66950826559</v>
      </c>
      <c r="G158" s="731">
        <v>115806.94940543962</v>
      </c>
      <c r="H158" s="731">
        <v>0</v>
      </c>
      <c r="I158" s="731">
        <v>13787.254542062085</v>
      </c>
      <c r="J158" s="731">
        <v>18352.718182421999</v>
      </c>
      <c r="K158" s="731">
        <v>332633.57108887046</v>
      </c>
      <c r="L158" s="731">
        <v>-1.07395236E-2</v>
      </c>
      <c r="M158" s="731">
        <v>0</v>
      </c>
      <c r="N158" s="731">
        <v>0</v>
      </c>
      <c r="O158" s="731">
        <f>SUM(B158:N158)</f>
        <v>3710916.5896249982</v>
      </c>
    </row>
    <row r="159" spans="1:15" ht="12.5" x14ac:dyDescent="0.25">
      <c r="A159" s="729" t="s">
        <v>4381</v>
      </c>
      <c r="B159" s="731">
        <v>0</v>
      </c>
      <c r="C159" s="731">
        <v>0</v>
      </c>
      <c r="D159" s="731">
        <v>0</v>
      </c>
      <c r="E159" s="731">
        <v>0</v>
      </c>
      <c r="F159" s="731">
        <v>-1550.7872078400001</v>
      </c>
      <c r="G159" s="731">
        <v>0</v>
      </c>
      <c r="H159" s="731">
        <v>0</v>
      </c>
      <c r="I159" s="731">
        <v>0</v>
      </c>
      <c r="J159" s="731">
        <v>0</v>
      </c>
      <c r="K159" s="731">
        <v>0</v>
      </c>
      <c r="L159" s="731">
        <v>0</v>
      </c>
      <c r="M159" s="731">
        <v>0</v>
      </c>
      <c r="N159" s="731">
        <v>0</v>
      </c>
      <c r="O159" s="731">
        <f>SUM(B159:N159)</f>
        <v>-1550.7872078400001</v>
      </c>
    </row>
    <row r="160" spans="1:15" ht="12.5" x14ac:dyDescent="0.25">
      <c r="A160" s="729" t="s">
        <v>436</v>
      </c>
      <c r="B160" s="731">
        <v>20484.910979395201</v>
      </c>
      <c r="C160" s="731">
        <v>60724.080029779092</v>
      </c>
      <c r="D160" s="731">
        <v>1085.0205653236399</v>
      </c>
      <c r="E160" s="731">
        <v>47.672745260399999</v>
      </c>
      <c r="F160" s="731">
        <v>2019.9003382116</v>
      </c>
      <c r="G160" s="731">
        <v>2105.1036329244321</v>
      </c>
      <c r="H160" s="731">
        <v>-77.625276580800005</v>
      </c>
      <c r="I160" s="731">
        <v>512.55933558224388</v>
      </c>
      <c r="J160" s="731">
        <v>0</v>
      </c>
      <c r="K160" s="731">
        <v>1748.1664527334956</v>
      </c>
      <c r="L160" s="731">
        <v>0</v>
      </c>
      <c r="M160" s="731">
        <v>0</v>
      </c>
      <c r="N160" s="731">
        <v>0</v>
      </c>
      <c r="O160" s="731">
        <f>SUM(B160:N160)</f>
        <v>88649.788802629308</v>
      </c>
    </row>
    <row r="161" spans="1:15" ht="12.5" x14ac:dyDescent="0.25">
      <c r="A161" s="729" t="s">
        <v>437</v>
      </c>
      <c r="B161" s="731">
        <v>-564321.10129270202</v>
      </c>
      <c r="C161" s="731">
        <v>-31927.720015657353</v>
      </c>
      <c r="D161" s="731">
        <v>-18512.071269361415</v>
      </c>
      <c r="E161" s="731">
        <v>0</v>
      </c>
      <c r="F161" s="731">
        <v>-65959.469070299994</v>
      </c>
      <c r="G161" s="731">
        <v>0</v>
      </c>
      <c r="H161" s="731">
        <v>0</v>
      </c>
      <c r="I161" s="731">
        <v>0</v>
      </c>
      <c r="J161" s="731">
        <v>-17207.842008567601</v>
      </c>
      <c r="K161" s="731">
        <v>0</v>
      </c>
      <c r="L161" s="731">
        <v>0</v>
      </c>
      <c r="M161" s="731">
        <v>0</v>
      </c>
      <c r="N161" s="731">
        <v>0</v>
      </c>
      <c r="O161" s="731">
        <f>SUM(B161:N161)</f>
        <v>-697928.20365658845</v>
      </c>
    </row>
    <row r="162" spans="1:15" ht="12.5" x14ac:dyDescent="0.25">
      <c r="A162" s="729" t="s">
        <v>438</v>
      </c>
      <c r="B162" s="731">
        <v>11515063.11108763</v>
      </c>
      <c r="C162" s="731">
        <v>21340986.570465621</v>
      </c>
      <c r="D162" s="731">
        <v>-7.3143673382519998E-3</v>
      </c>
      <c r="E162" s="731">
        <v>0</v>
      </c>
      <c r="F162" s="731">
        <v>9471.0032909387992</v>
      </c>
      <c r="G162" s="731">
        <v>1600.187936970483</v>
      </c>
      <c r="H162" s="731">
        <v>0</v>
      </c>
      <c r="I162" s="731">
        <v>1679.5609029436387</v>
      </c>
      <c r="J162" s="731">
        <v>0</v>
      </c>
      <c r="K162" s="731">
        <v>1260435.5893516056</v>
      </c>
      <c r="L162" s="731">
        <v>0</v>
      </c>
      <c r="M162" s="731">
        <v>0</v>
      </c>
      <c r="N162" s="731">
        <v>-34129244.050931625</v>
      </c>
      <c r="O162" s="731">
        <f>SUM(B162:N162)</f>
        <v>-8.0352102890610695</v>
      </c>
    </row>
    <row r="163" spans="1:15" ht="12.5" x14ac:dyDescent="0.25">
      <c r="A163" s="734" t="s">
        <v>439</v>
      </c>
      <c r="B163" s="733">
        <f t="shared" ref="B163:O163" si="18">SUM(B158:B162)</f>
        <v>13687419.116620595</v>
      </c>
      <c r="C163" s="733">
        <f t="shared" si="18"/>
        <v>21747704.200665075</v>
      </c>
      <c r="D163" s="733">
        <f t="shared" si="18"/>
        <v>17411.741733198811</v>
      </c>
      <c r="E163" s="733">
        <f t="shared" si="18"/>
        <v>854.84459951279996</v>
      </c>
      <c r="F163" s="733">
        <f t="shared" si="18"/>
        <v>44557.316859276005</v>
      </c>
      <c r="G163" s="733">
        <f t="shared" si="18"/>
        <v>119512.24097533454</v>
      </c>
      <c r="H163" s="733">
        <f t="shared" si="18"/>
        <v>-77.625276580800005</v>
      </c>
      <c r="I163" s="733">
        <f t="shared" si="18"/>
        <v>15979.374780587967</v>
      </c>
      <c r="J163" s="733">
        <f t="shared" si="18"/>
        <v>1144.8761738543981</v>
      </c>
      <c r="K163" s="733">
        <f t="shared" si="18"/>
        <v>1594817.3268932095</v>
      </c>
      <c r="L163" s="733">
        <f t="shared" si="18"/>
        <v>-1.07395236E-2</v>
      </c>
      <c r="M163" s="733">
        <f t="shared" si="18"/>
        <v>0</v>
      </c>
      <c r="N163" s="733">
        <f t="shared" si="18"/>
        <v>-34129244.050931625</v>
      </c>
      <c r="O163" s="733">
        <f t="shared" si="18"/>
        <v>3100079.3523529097</v>
      </c>
    </row>
    <row r="164" spans="1:15" ht="12.5" x14ac:dyDescent="0.25">
      <c r="A164" s="728" t="s">
        <v>440</v>
      </c>
      <c r="B164" s="727"/>
      <c r="C164" s="727"/>
      <c r="D164" s="727"/>
      <c r="E164" s="727"/>
      <c r="F164" s="727"/>
      <c r="G164" s="727"/>
      <c r="H164" s="727"/>
      <c r="I164" s="727"/>
      <c r="J164" s="727"/>
      <c r="K164" s="727"/>
      <c r="L164" s="727"/>
      <c r="M164" s="727"/>
      <c r="N164" s="727"/>
      <c r="O164" s="727"/>
    </row>
    <row r="165" spans="1:15" ht="12.5" x14ac:dyDescent="0.25">
      <c r="A165" s="729" t="s">
        <v>3868</v>
      </c>
      <c r="B165" s="731">
        <v>7274.9532866400004</v>
      </c>
      <c r="C165" s="731">
        <v>0</v>
      </c>
      <c r="D165" s="731">
        <v>0</v>
      </c>
      <c r="E165" s="731">
        <v>0</v>
      </c>
      <c r="F165" s="731">
        <v>0</v>
      </c>
      <c r="G165" s="731">
        <v>0</v>
      </c>
      <c r="H165" s="731">
        <v>0</v>
      </c>
      <c r="I165" s="731">
        <v>0</v>
      </c>
      <c r="J165" s="731">
        <v>0</v>
      </c>
      <c r="K165" s="731">
        <v>0</v>
      </c>
      <c r="L165" s="731">
        <v>0</v>
      </c>
      <c r="M165" s="731">
        <v>0</v>
      </c>
      <c r="N165" s="731">
        <v>0</v>
      </c>
      <c r="O165" s="731">
        <f t="shared" ref="O165:O190" si="19">SUM(B165:N165)</f>
        <v>7274.9532866400004</v>
      </c>
    </row>
    <row r="166" spans="1:15" ht="12.5" x14ac:dyDescent="0.25">
      <c r="A166" s="729" t="s">
        <v>441</v>
      </c>
      <c r="B166" s="731">
        <v>175412.93476824</v>
      </c>
      <c r="C166" s="731">
        <v>562184.99027569557</v>
      </c>
      <c r="D166" s="731">
        <v>37804.307587755458</v>
      </c>
      <c r="E166" s="731">
        <v>16942.951658973601</v>
      </c>
      <c r="F166" s="731">
        <v>106032.39045516</v>
      </c>
      <c r="G166" s="731">
        <v>60695.387909138692</v>
      </c>
      <c r="H166" s="731">
        <v>36598.9110302556</v>
      </c>
      <c r="I166" s="731">
        <v>409.19718859339321</v>
      </c>
      <c r="J166" s="731">
        <v>24064.157925756001</v>
      </c>
      <c r="K166" s="731">
        <v>3854.351732027425</v>
      </c>
      <c r="L166" s="731">
        <v>31205.833724519998</v>
      </c>
      <c r="M166" s="731">
        <v>0</v>
      </c>
      <c r="N166" s="731">
        <v>0</v>
      </c>
      <c r="O166" s="731">
        <f t="shared" si="19"/>
        <v>1055205.4142561157</v>
      </c>
    </row>
    <row r="167" spans="1:15" ht="12.5" x14ac:dyDescent="0.25">
      <c r="A167" s="729" t="s">
        <v>442</v>
      </c>
      <c r="B167" s="731">
        <v>10959.673094276401</v>
      </c>
      <c r="C167" s="731">
        <v>0</v>
      </c>
      <c r="D167" s="731">
        <v>0</v>
      </c>
      <c r="E167" s="731">
        <v>0</v>
      </c>
      <c r="F167" s="731">
        <v>4066.7461411355998</v>
      </c>
      <c r="G167" s="731">
        <v>5439.4599677640599</v>
      </c>
      <c r="H167" s="731">
        <v>0</v>
      </c>
      <c r="I167" s="731">
        <v>0</v>
      </c>
      <c r="J167" s="731">
        <v>8287.4218740300003</v>
      </c>
      <c r="K167" s="731">
        <v>831.99219170040328</v>
      </c>
      <c r="L167" s="731">
        <v>0</v>
      </c>
      <c r="M167" s="731">
        <v>0</v>
      </c>
      <c r="N167" s="731">
        <v>0</v>
      </c>
      <c r="O167" s="731">
        <f t="shared" si="19"/>
        <v>29585.293268906462</v>
      </c>
    </row>
    <row r="168" spans="1:15" ht="12.5" x14ac:dyDescent="0.25">
      <c r="A168" s="729" t="s">
        <v>443</v>
      </c>
      <c r="B168" s="731">
        <v>412126.89841290237</v>
      </c>
      <c r="C168" s="731">
        <v>259312.03012716662</v>
      </c>
      <c r="D168" s="731">
        <v>0</v>
      </c>
      <c r="E168" s="731">
        <v>2.5023089987999998</v>
      </c>
      <c r="F168" s="731">
        <v>0</v>
      </c>
      <c r="G168" s="731">
        <v>20649.550361201567</v>
      </c>
      <c r="H168" s="731">
        <v>9414.8785406051993</v>
      </c>
      <c r="I168" s="731">
        <v>0</v>
      </c>
      <c r="J168" s="731">
        <v>0</v>
      </c>
      <c r="K168" s="731">
        <v>0</v>
      </c>
      <c r="L168" s="731">
        <v>28979.057943201598</v>
      </c>
      <c r="M168" s="731">
        <v>0</v>
      </c>
      <c r="N168" s="731">
        <v>0</v>
      </c>
      <c r="O168" s="731">
        <f t="shared" si="19"/>
        <v>730484.9176940762</v>
      </c>
    </row>
    <row r="169" spans="1:15" ht="12.5" x14ac:dyDescent="0.25">
      <c r="A169" s="729" t="s">
        <v>444</v>
      </c>
      <c r="B169" s="731">
        <v>1102032.8527431132</v>
      </c>
      <c r="C169" s="731">
        <v>2059159.1510098116</v>
      </c>
      <c r="D169" s="731">
        <v>158565.60949739671</v>
      </c>
      <c r="E169" s="731">
        <v>45811.403248618801</v>
      </c>
      <c r="F169" s="731">
        <v>66093.122441501997</v>
      </c>
      <c r="G169" s="731">
        <v>66116.669241994678</v>
      </c>
      <c r="H169" s="731">
        <v>4220.1817148088003</v>
      </c>
      <c r="I169" s="731">
        <v>147499.27726104856</v>
      </c>
      <c r="J169" s="731">
        <v>6982.2905290163999</v>
      </c>
      <c r="K169" s="731">
        <v>10133.879433949185</v>
      </c>
      <c r="L169" s="731">
        <v>9697.5213227099994</v>
      </c>
      <c r="M169" s="731">
        <v>0</v>
      </c>
      <c r="N169" s="731">
        <v>0</v>
      </c>
      <c r="O169" s="731">
        <f t="shared" si="19"/>
        <v>3676311.958443969</v>
      </c>
    </row>
    <row r="170" spans="1:15" ht="12.5" x14ac:dyDescent="0.25">
      <c r="A170" s="729" t="s">
        <v>445</v>
      </c>
      <c r="B170" s="731">
        <v>0</v>
      </c>
      <c r="C170" s="731">
        <v>908.47000044551373</v>
      </c>
      <c r="D170" s="731">
        <v>0</v>
      </c>
      <c r="E170" s="731">
        <v>0</v>
      </c>
      <c r="F170" s="731">
        <v>0</v>
      </c>
      <c r="G170" s="731">
        <v>0</v>
      </c>
      <c r="H170" s="731">
        <v>0</v>
      </c>
      <c r="I170" s="731">
        <v>0</v>
      </c>
      <c r="J170" s="731">
        <v>0</v>
      </c>
      <c r="K170" s="731">
        <v>0</v>
      </c>
      <c r="L170" s="731">
        <v>0</v>
      </c>
      <c r="M170" s="731">
        <v>0</v>
      </c>
      <c r="N170" s="731">
        <v>0</v>
      </c>
      <c r="O170" s="731">
        <f t="shared" si="19"/>
        <v>908.47000044551373</v>
      </c>
    </row>
    <row r="171" spans="1:15" ht="12.5" x14ac:dyDescent="0.25">
      <c r="A171" s="729" t="s">
        <v>446</v>
      </c>
      <c r="B171" s="731">
        <v>0</v>
      </c>
      <c r="C171" s="731">
        <v>0</v>
      </c>
      <c r="D171" s="731">
        <v>0</v>
      </c>
      <c r="E171" s="731">
        <v>-56.049573668400001</v>
      </c>
      <c r="F171" s="731">
        <v>0</v>
      </c>
      <c r="G171" s="731">
        <v>0</v>
      </c>
      <c r="H171" s="731">
        <v>0</v>
      </c>
      <c r="I171" s="731">
        <v>0</v>
      </c>
      <c r="J171" s="731">
        <v>0</v>
      </c>
      <c r="K171" s="731">
        <v>165132.68251745679</v>
      </c>
      <c r="L171" s="731">
        <v>18823.044878960402</v>
      </c>
      <c r="M171" s="731">
        <v>0</v>
      </c>
      <c r="N171" s="731">
        <v>0</v>
      </c>
      <c r="O171" s="731">
        <f t="shared" si="19"/>
        <v>183899.67782274881</v>
      </c>
    </row>
    <row r="172" spans="1:15" ht="12.5" x14ac:dyDescent="0.25">
      <c r="A172" s="729" t="s">
        <v>447</v>
      </c>
      <c r="B172" s="731">
        <v>265654.44521909283</v>
      </c>
      <c r="C172" s="731">
        <v>0</v>
      </c>
      <c r="D172" s="731">
        <v>0</v>
      </c>
      <c r="E172" s="731">
        <v>0</v>
      </c>
      <c r="F172" s="731">
        <v>33716.46585411</v>
      </c>
      <c r="G172" s="731">
        <v>0</v>
      </c>
      <c r="H172" s="731">
        <v>0</v>
      </c>
      <c r="I172" s="731">
        <v>0</v>
      </c>
      <c r="J172" s="731">
        <v>0</v>
      </c>
      <c r="K172" s="731">
        <v>0</v>
      </c>
      <c r="L172" s="731">
        <v>0</v>
      </c>
      <c r="M172" s="731">
        <v>0</v>
      </c>
      <c r="N172" s="731">
        <v>0</v>
      </c>
      <c r="O172" s="731">
        <f t="shared" si="19"/>
        <v>299370.91107320285</v>
      </c>
    </row>
    <row r="173" spans="1:15" ht="12.5" x14ac:dyDescent="0.25">
      <c r="A173" s="729" t="s">
        <v>448</v>
      </c>
      <c r="B173" s="731">
        <v>-153336.86671179239</v>
      </c>
      <c r="C173" s="731">
        <v>43.490000021327496</v>
      </c>
      <c r="D173" s="731">
        <v>0</v>
      </c>
      <c r="E173" s="731">
        <v>0</v>
      </c>
      <c r="F173" s="731">
        <v>7113.3341959835998</v>
      </c>
      <c r="G173" s="731">
        <v>0</v>
      </c>
      <c r="H173" s="731">
        <v>12481.6032022032</v>
      </c>
      <c r="I173" s="731">
        <v>76021.462950269299</v>
      </c>
      <c r="J173" s="731">
        <v>34777.6059624552</v>
      </c>
      <c r="K173" s="731">
        <v>0</v>
      </c>
      <c r="L173" s="731">
        <v>18391.520081188799</v>
      </c>
      <c r="M173" s="731">
        <v>0</v>
      </c>
      <c r="N173" s="731">
        <v>0</v>
      </c>
      <c r="O173" s="731">
        <f t="shared" si="19"/>
        <v>-4507.8503196709717</v>
      </c>
    </row>
    <row r="174" spans="1:15" ht="12.5" x14ac:dyDescent="0.25">
      <c r="A174" s="729" t="s">
        <v>449</v>
      </c>
      <c r="B174" s="731">
        <v>575573.21161460644</v>
      </c>
      <c r="C174" s="731">
        <v>209436.01010270743</v>
      </c>
      <c r="D174" s="731">
        <v>23564.390050218262</v>
      </c>
      <c r="E174" s="731">
        <v>0</v>
      </c>
      <c r="F174" s="731">
        <v>29519.127105998399</v>
      </c>
      <c r="G174" s="731">
        <v>17500.168278015251</v>
      </c>
      <c r="H174" s="731">
        <v>0</v>
      </c>
      <c r="I174" s="731">
        <v>0</v>
      </c>
      <c r="J174" s="731">
        <v>9748.6307155224004</v>
      </c>
      <c r="K174" s="731">
        <v>0</v>
      </c>
      <c r="L174" s="731">
        <v>12066.692447440801</v>
      </c>
      <c r="M174" s="731">
        <v>0</v>
      </c>
      <c r="N174" s="731">
        <v>0</v>
      </c>
      <c r="O174" s="731">
        <f t="shared" si="19"/>
        <v>877408.2303145089</v>
      </c>
    </row>
    <row r="175" spans="1:15" ht="12.5" x14ac:dyDescent="0.25">
      <c r="A175" s="729" t="s">
        <v>450</v>
      </c>
      <c r="B175" s="731">
        <v>5740.6082894315996</v>
      </c>
      <c r="C175" s="731">
        <v>0</v>
      </c>
      <c r="D175" s="731">
        <v>0</v>
      </c>
      <c r="E175" s="731">
        <v>0</v>
      </c>
      <c r="F175" s="731">
        <v>0</v>
      </c>
      <c r="G175" s="731">
        <v>0</v>
      </c>
      <c r="H175" s="731">
        <v>1.07395236E-2</v>
      </c>
      <c r="I175" s="731">
        <v>0</v>
      </c>
      <c r="J175" s="731">
        <v>0</v>
      </c>
      <c r="K175" s="731">
        <v>-7.8954722207244005E-2</v>
      </c>
      <c r="L175" s="731">
        <v>0</v>
      </c>
      <c r="M175" s="731">
        <v>0</v>
      </c>
      <c r="N175" s="731">
        <v>0</v>
      </c>
      <c r="O175" s="731">
        <f t="shared" si="19"/>
        <v>5740.5400742329921</v>
      </c>
    </row>
    <row r="176" spans="1:15" ht="12.5" x14ac:dyDescent="0.25">
      <c r="A176" s="729" t="s">
        <v>451</v>
      </c>
      <c r="B176" s="731">
        <v>4344988.1886548279</v>
      </c>
      <c r="C176" s="731">
        <v>326684.83016020624</v>
      </c>
      <c r="D176" s="731">
        <v>211590.24510634135</v>
      </c>
      <c r="E176" s="731">
        <v>15505.670476062</v>
      </c>
      <c r="F176" s="731">
        <v>54151.169560675196</v>
      </c>
      <c r="G176" s="731">
        <v>57916.624800831807</v>
      </c>
      <c r="H176" s="731">
        <v>52214.436093222001</v>
      </c>
      <c r="I176" s="731">
        <v>390622.25808747369</v>
      </c>
      <c r="J176" s="731">
        <v>117537.71726450521</v>
      </c>
      <c r="K176" s="731">
        <v>66954.148947068476</v>
      </c>
      <c r="L176" s="731">
        <v>26180.6817577968</v>
      </c>
      <c r="M176" s="731">
        <v>0</v>
      </c>
      <c r="N176" s="731">
        <v>0</v>
      </c>
      <c r="O176" s="731">
        <f t="shared" si="19"/>
        <v>5664345.9709090116</v>
      </c>
    </row>
    <row r="177" spans="1:15" ht="12.5" x14ac:dyDescent="0.25">
      <c r="A177" s="729" t="s">
        <v>4365</v>
      </c>
      <c r="B177" s="731">
        <v>22607.2126751328</v>
      </c>
      <c r="C177" s="731">
        <v>0</v>
      </c>
      <c r="D177" s="731">
        <v>0</v>
      </c>
      <c r="E177" s="731">
        <v>0</v>
      </c>
      <c r="F177" s="731">
        <v>0</v>
      </c>
      <c r="G177" s="731">
        <v>0</v>
      </c>
      <c r="H177" s="731">
        <v>0</v>
      </c>
      <c r="I177" s="731">
        <v>0</v>
      </c>
      <c r="J177" s="731">
        <v>0</v>
      </c>
      <c r="K177" s="731">
        <v>0</v>
      </c>
      <c r="L177" s="731">
        <v>0</v>
      </c>
      <c r="M177" s="731">
        <v>0</v>
      </c>
      <c r="N177" s="731">
        <v>0</v>
      </c>
      <c r="O177" s="731">
        <f t="shared" si="19"/>
        <v>22607.2126751328</v>
      </c>
    </row>
    <row r="178" spans="1:15" ht="12.5" x14ac:dyDescent="0.25">
      <c r="A178" s="729" t="s">
        <v>452</v>
      </c>
      <c r="B178" s="731">
        <v>-108553.1284764576</v>
      </c>
      <c r="C178" s="731">
        <v>0</v>
      </c>
      <c r="D178" s="731">
        <v>0</v>
      </c>
      <c r="E178" s="731">
        <v>0</v>
      </c>
      <c r="F178" s="731">
        <v>0</v>
      </c>
      <c r="G178" s="731">
        <v>0</v>
      </c>
      <c r="H178" s="731">
        <v>0</v>
      </c>
      <c r="I178" s="731">
        <v>0</v>
      </c>
      <c r="J178" s="731">
        <v>0</v>
      </c>
      <c r="K178" s="731">
        <v>0</v>
      </c>
      <c r="L178" s="731">
        <v>0</v>
      </c>
      <c r="M178" s="731">
        <v>0</v>
      </c>
      <c r="N178" s="731">
        <v>0</v>
      </c>
      <c r="O178" s="731">
        <f t="shared" si="19"/>
        <v>-108553.1284764576</v>
      </c>
    </row>
    <row r="179" spans="1:15" ht="12.5" x14ac:dyDescent="0.25">
      <c r="A179" s="729" t="s">
        <v>4199</v>
      </c>
      <c r="B179" s="731">
        <v>1347.9927837012001</v>
      </c>
      <c r="C179" s="731">
        <v>0</v>
      </c>
      <c r="D179" s="731">
        <v>0</v>
      </c>
      <c r="E179" s="731">
        <v>0</v>
      </c>
      <c r="F179" s="731">
        <v>0</v>
      </c>
      <c r="G179" s="731">
        <v>0</v>
      </c>
      <c r="H179" s="731">
        <v>0</v>
      </c>
      <c r="I179" s="731">
        <v>0</v>
      </c>
      <c r="J179" s="731">
        <v>0</v>
      </c>
      <c r="K179" s="731">
        <v>0</v>
      </c>
      <c r="L179" s="731">
        <v>0</v>
      </c>
      <c r="M179" s="731">
        <v>0</v>
      </c>
      <c r="N179" s="731">
        <v>0</v>
      </c>
      <c r="O179" s="731">
        <f t="shared" si="19"/>
        <v>1347.9927837012001</v>
      </c>
    </row>
    <row r="180" spans="1:15" ht="12.5" x14ac:dyDescent="0.25">
      <c r="A180" s="729" t="s">
        <v>3869</v>
      </c>
      <c r="B180" s="731">
        <v>16035.354519537599</v>
      </c>
      <c r="C180" s="731">
        <v>0</v>
      </c>
      <c r="D180" s="731">
        <v>0</v>
      </c>
      <c r="E180" s="731">
        <v>0</v>
      </c>
      <c r="F180" s="731">
        <v>0</v>
      </c>
      <c r="G180" s="731">
        <v>0</v>
      </c>
      <c r="H180" s="731">
        <v>0</v>
      </c>
      <c r="I180" s="731">
        <v>0</v>
      </c>
      <c r="J180" s="731">
        <v>0</v>
      </c>
      <c r="K180" s="731">
        <v>0</v>
      </c>
      <c r="L180" s="731">
        <v>0</v>
      </c>
      <c r="M180" s="731">
        <v>0</v>
      </c>
      <c r="N180" s="731">
        <v>0</v>
      </c>
      <c r="O180" s="731">
        <f t="shared" si="19"/>
        <v>16035.354519537599</v>
      </c>
    </row>
    <row r="181" spans="1:15" ht="12.5" x14ac:dyDescent="0.25">
      <c r="A181" s="729" t="s">
        <v>454</v>
      </c>
      <c r="B181" s="731">
        <v>217247.40651159</v>
      </c>
      <c r="C181" s="731">
        <v>0</v>
      </c>
      <c r="D181" s="731">
        <v>0</v>
      </c>
      <c r="E181" s="731">
        <v>0</v>
      </c>
      <c r="F181" s="731">
        <v>0</v>
      </c>
      <c r="G181" s="731">
        <v>0</v>
      </c>
      <c r="H181" s="731">
        <v>0</v>
      </c>
      <c r="I181" s="731">
        <v>0</v>
      </c>
      <c r="J181" s="731">
        <v>0</v>
      </c>
      <c r="K181" s="731">
        <v>0</v>
      </c>
      <c r="L181" s="731">
        <v>633.21305097959998</v>
      </c>
      <c r="M181" s="731">
        <v>0</v>
      </c>
      <c r="N181" s="731">
        <v>0</v>
      </c>
      <c r="O181" s="731">
        <f t="shared" si="19"/>
        <v>217880.6195625696</v>
      </c>
    </row>
    <row r="182" spans="1:15" ht="12.5" x14ac:dyDescent="0.25">
      <c r="A182" s="729" t="s">
        <v>4366</v>
      </c>
      <c r="B182" s="731">
        <v>10172.3478796368</v>
      </c>
      <c r="C182" s="731">
        <v>0</v>
      </c>
      <c r="D182" s="731">
        <v>0</v>
      </c>
      <c r="E182" s="731">
        <v>0</v>
      </c>
      <c r="F182" s="731">
        <v>0</v>
      </c>
      <c r="G182" s="731">
        <v>0</v>
      </c>
      <c r="H182" s="731">
        <v>0</v>
      </c>
      <c r="I182" s="731">
        <v>0</v>
      </c>
      <c r="J182" s="731">
        <v>0</v>
      </c>
      <c r="K182" s="731">
        <v>0</v>
      </c>
      <c r="L182" s="731">
        <v>0</v>
      </c>
      <c r="M182" s="731">
        <v>0</v>
      </c>
      <c r="N182" s="731">
        <v>0</v>
      </c>
      <c r="O182" s="731">
        <f t="shared" si="19"/>
        <v>10172.3478796368</v>
      </c>
    </row>
    <row r="183" spans="1:15" ht="12.5" x14ac:dyDescent="0.25">
      <c r="A183" s="729" t="s">
        <v>455</v>
      </c>
      <c r="B183" s="731">
        <v>1982744.6902779203</v>
      </c>
      <c r="C183" s="731">
        <v>38878.910019066214</v>
      </c>
      <c r="D183" s="731">
        <v>25390.824146416478</v>
      </c>
      <c r="E183" s="731">
        <v>1247.4923218524</v>
      </c>
      <c r="F183" s="731">
        <v>5577.5608421364004</v>
      </c>
      <c r="G183" s="731">
        <v>7992.4765625465698</v>
      </c>
      <c r="H183" s="731">
        <v>0</v>
      </c>
      <c r="I183" s="731">
        <v>0</v>
      </c>
      <c r="J183" s="731">
        <v>36930.354207598801</v>
      </c>
      <c r="K183" s="731">
        <v>0</v>
      </c>
      <c r="L183" s="731">
        <v>5072.6743586532002</v>
      </c>
      <c r="M183" s="731">
        <v>0</v>
      </c>
      <c r="N183" s="731">
        <v>0</v>
      </c>
      <c r="O183" s="731">
        <f t="shared" si="19"/>
        <v>2103834.9827361903</v>
      </c>
    </row>
    <row r="184" spans="1:15" ht="12.5" x14ac:dyDescent="0.25">
      <c r="A184" s="729" t="s">
        <v>456</v>
      </c>
      <c r="B184" s="731">
        <v>0</v>
      </c>
      <c r="C184" s="731">
        <v>0</v>
      </c>
      <c r="D184" s="731">
        <v>0</v>
      </c>
      <c r="E184" s="731">
        <v>0</v>
      </c>
      <c r="F184" s="731">
        <v>0</v>
      </c>
      <c r="G184" s="731">
        <v>0</v>
      </c>
      <c r="H184" s="731">
        <v>0</v>
      </c>
      <c r="I184" s="731">
        <v>0</v>
      </c>
      <c r="J184" s="731">
        <v>0</v>
      </c>
      <c r="K184" s="731">
        <v>0</v>
      </c>
      <c r="L184" s="731">
        <v>17370.631707296401</v>
      </c>
      <c r="M184" s="731">
        <v>0</v>
      </c>
      <c r="N184" s="731">
        <v>0</v>
      </c>
      <c r="O184" s="731">
        <f t="shared" si="19"/>
        <v>17370.631707296401</v>
      </c>
    </row>
    <row r="185" spans="1:15" ht="12.5" x14ac:dyDescent="0.25">
      <c r="A185" s="729" t="s">
        <v>457</v>
      </c>
      <c r="B185" s="731">
        <v>-71687.651730926402</v>
      </c>
      <c r="C185" s="731">
        <v>0</v>
      </c>
      <c r="D185" s="731">
        <v>0</v>
      </c>
      <c r="E185" s="731">
        <v>0</v>
      </c>
      <c r="F185" s="731">
        <v>0</v>
      </c>
      <c r="G185" s="731">
        <v>0</v>
      </c>
      <c r="H185" s="731">
        <v>0</v>
      </c>
      <c r="I185" s="731">
        <v>0</v>
      </c>
      <c r="J185" s="731">
        <v>0</v>
      </c>
      <c r="K185" s="731">
        <v>0</v>
      </c>
      <c r="L185" s="731">
        <v>0</v>
      </c>
      <c r="M185" s="731">
        <v>0</v>
      </c>
      <c r="N185" s="731">
        <v>0</v>
      </c>
      <c r="O185" s="731">
        <f t="shared" si="19"/>
        <v>-71687.651730926402</v>
      </c>
    </row>
    <row r="186" spans="1:15" ht="12.5" x14ac:dyDescent="0.25">
      <c r="A186" s="729" t="s">
        <v>458</v>
      </c>
      <c r="B186" s="731">
        <v>0</v>
      </c>
      <c r="C186" s="731">
        <v>0</v>
      </c>
      <c r="D186" s="731">
        <v>0</v>
      </c>
      <c r="E186" s="731">
        <v>0</v>
      </c>
      <c r="F186" s="731">
        <v>0</v>
      </c>
      <c r="G186" s="731">
        <v>0</v>
      </c>
      <c r="H186" s="731">
        <v>0</v>
      </c>
      <c r="I186" s="731">
        <v>0</v>
      </c>
      <c r="J186" s="731">
        <v>54523.100741990398</v>
      </c>
      <c r="K186" s="731">
        <v>0</v>
      </c>
      <c r="L186" s="731">
        <v>13033.281790011601</v>
      </c>
      <c r="M186" s="731">
        <v>0</v>
      </c>
      <c r="N186" s="731">
        <v>0</v>
      </c>
      <c r="O186" s="731">
        <f t="shared" si="19"/>
        <v>67556.382532001997</v>
      </c>
    </row>
    <row r="187" spans="1:15" ht="12.5" x14ac:dyDescent="0.25">
      <c r="A187" s="729" t="s">
        <v>459</v>
      </c>
      <c r="B187" s="731">
        <v>0</v>
      </c>
      <c r="C187" s="731">
        <v>-12723.170006239443</v>
      </c>
      <c r="D187" s="731">
        <v>-5149.9070698838068</v>
      </c>
      <c r="E187" s="731">
        <v>0.1718323776</v>
      </c>
      <c r="F187" s="731">
        <v>0</v>
      </c>
      <c r="G187" s="731">
        <v>0</v>
      </c>
      <c r="H187" s="731">
        <v>-1.07395236E-2</v>
      </c>
      <c r="I187" s="731">
        <v>-75701.737205004363</v>
      </c>
      <c r="J187" s="731">
        <v>0</v>
      </c>
      <c r="K187" s="731">
        <v>0</v>
      </c>
      <c r="L187" s="731">
        <v>0</v>
      </c>
      <c r="M187" s="731">
        <v>0</v>
      </c>
      <c r="N187" s="731">
        <v>0</v>
      </c>
      <c r="O187" s="731">
        <f t="shared" si="19"/>
        <v>-93574.653188273616</v>
      </c>
    </row>
    <row r="188" spans="1:15" ht="12.5" x14ac:dyDescent="0.25">
      <c r="A188" s="729" t="s">
        <v>4260</v>
      </c>
      <c r="B188" s="731">
        <v>223.01694707760001</v>
      </c>
      <c r="C188" s="731">
        <v>0</v>
      </c>
      <c r="D188" s="731">
        <v>0</v>
      </c>
      <c r="E188" s="731">
        <v>0</v>
      </c>
      <c r="F188" s="731">
        <v>0</v>
      </c>
      <c r="G188" s="731">
        <v>0</v>
      </c>
      <c r="H188" s="731">
        <v>0</v>
      </c>
      <c r="I188" s="731">
        <v>0</v>
      </c>
      <c r="J188" s="731">
        <v>0</v>
      </c>
      <c r="K188" s="731">
        <v>0</v>
      </c>
      <c r="L188" s="731">
        <v>0</v>
      </c>
      <c r="M188" s="731">
        <v>0</v>
      </c>
      <c r="N188" s="731">
        <v>0</v>
      </c>
      <c r="O188" s="731">
        <f t="shared" si="19"/>
        <v>223.01694707760001</v>
      </c>
    </row>
    <row r="189" spans="1:15" ht="12.5" x14ac:dyDescent="0.25">
      <c r="A189" s="729" t="s">
        <v>4402</v>
      </c>
      <c r="B189" s="731">
        <v>265571.23539023998</v>
      </c>
      <c r="C189" s="731">
        <v>0</v>
      </c>
      <c r="D189" s="731">
        <v>0</v>
      </c>
      <c r="E189" s="731">
        <v>0</v>
      </c>
      <c r="F189" s="731">
        <v>0</v>
      </c>
      <c r="G189" s="731">
        <v>0</v>
      </c>
      <c r="H189" s="731">
        <v>0</v>
      </c>
      <c r="I189" s="731">
        <v>0</v>
      </c>
      <c r="J189" s="731">
        <v>0</v>
      </c>
      <c r="K189" s="731">
        <v>0</v>
      </c>
      <c r="L189" s="731">
        <v>0</v>
      </c>
      <c r="M189" s="731">
        <v>0</v>
      </c>
      <c r="N189" s="731">
        <v>0</v>
      </c>
      <c r="O189" s="731">
        <f t="shared" si="19"/>
        <v>265571.23539023998</v>
      </c>
    </row>
    <row r="190" spans="1:15" ht="12.5" x14ac:dyDescent="0.25">
      <c r="A190" s="729" t="s">
        <v>4403</v>
      </c>
      <c r="B190" s="731">
        <v>1327947.9676594092</v>
      </c>
      <c r="C190" s="731">
        <v>0</v>
      </c>
      <c r="D190" s="731">
        <v>0</v>
      </c>
      <c r="E190" s="731">
        <v>0</v>
      </c>
      <c r="F190" s="731">
        <v>0</v>
      </c>
      <c r="G190" s="731">
        <v>0</v>
      </c>
      <c r="H190" s="731">
        <v>0</v>
      </c>
      <c r="I190" s="731">
        <v>0</v>
      </c>
      <c r="J190" s="731">
        <v>0</v>
      </c>
      <c r="K190" s="731">
        <v>0</v>
      </c>
      <c r="L190" s="731">
        <v>0</v>
      </c>
      <c r="M190" s="731">
        <v>0</v>
      </c>
      <c r="N190" s="731">
        <v>0</v>
      </c>
      <c r="O190" s="731">
        <f t="shared" si="19"/>
        <v>1327947.9676594092</v>
      </c>
    </row>
    <row r="191" spans="1:15" ht="12.5" x14ac:dyDescent="0.25">
      <c r="A191" s="734" t="s">
        <v>461</v>
      </c>
      <c r="B191" s="733">
        <f t="shared" ref="B191:O191" si="20">SUM(B165:B190)</f>
        <v>10410083.3438082</v>
      </c>
      <c r="C191" s="733">
        <f t="shared" si="20"/>
        <v>3443884.7116888808</v>
      </c>
      <c r="D191" s="733">
        <f t="shared" si="20"/>
        <v>451765.46931824443</v>
      </c>
      <c r="E191" s="733">
        <f t="shared" si="20"/>
        <v>79454.142273214806</v>
      </c>
      <c r="F191" s="733">
        <f t="shared" si="20"/>
        <v>306269.91659670119</v>
      </c>
      <c r="G191" s="733">
        <f t="shared" si="20"/>
        <v>236310.33712149263</v>
      </c>
      <c r="H191" s="733">
        <f t="shared" si="20"/>
        <v>114930.0105810948</v>
      </c>
      <c r="I191" s="733">
        <f t="shared" si="20"/>
        <v>538850.4582823806</v>
      </c>
      <c r="J191" s="733">
        <f t="shared" si="20"/>
        <v>292851.27922087442</v>
      </c>
      <c r="K191" s="733">
        <f t="shared" si="20"/>
        <v>246906.9758674801</v>
      </c>
      <c r="L191" s="733">
        <f t="shared" si="20"/>
        <v>181454.15306275917</v>
      </c>
      <c r="M191" s="733">
        <f t="shared" si="20"/>
        <v>0</v>
      </c>
      <c r="N191" s="733">
        <f t="shared" si="20"/>
        <v>0</v>
      </c>
      <c r="O191" s="733">
        <f t="shared" si="20"/>
        <v>16302760.797821324</v>
      </c>
    </row>
    <row r="192" spans="1:15" ht="12.5" x14ac:dyDescent="0.25">
      <c r="A192" s="728" t="s">
        <v>462</v>
      </c>
      <c r="B192" s="727"/>
      <c r="C192" s="727"/>
      <c r="D192" s="727"/>
      <c r="E192" s="727"/>
      <c r="F192" s="727"/>
      <c r="G192" s="727"/>
      <c r="H192" s="727"/>
      <c r="I192" s="727"/>
      <c r="J192" s="727"/>
      <c r="K192" s="727"/>
      <c r="L192" s="727"/>
      <c r="M192" s="727"/>
      <c r="N192" s="727"/>
      <c r="O192" s="727"/>
    </row>
    <row r="193" spans="1:15" ht="12.5" x14ac:dyDescent="0.25">
      <c r="A193" s="729" t="s">
        <v>463</v>
      </c>
      <c r="B193" s="731">
        <v>64395.203760342003</v>
      </c>
      <c r="C193" s="731">
        <v>-2.0000000009807999</v>
      </c>
      <c r="D193" s="731">
        <v>0</v>
      </c>
      <c r="E193" s="731">
        <v>0</v>
      </c>
      <c r="F193" s="731">
        <v>0</v>
      </c>
      <c r="G193" s="731">
        <v>0</v>
      </c>
      <c r="H193" s="731">
        <v>0</v>
      </c>
      <c r="I193" s="731">
        <v>0</v>
      </c>
      <c r="J193" s="731">
        <v>0</v>
      </c>
      <c r="K193" s="731">
        <v>26908.202217912582</v>
      </c>
      <c r="L193" s="731">
        <v>0</v>
      </c>
      <c r="M193" s="731">
        <v>0</v>
      </c>
      <c r="N193" s="731">
        <v>0</v>
      </c>
      <c r="O193" s="731">
        <f t="shared" ref="O193:O210" si="21">SUM(B193:N193)</f>
        <v>91301.405978253606</v>
      </c>
    </row>
    <row r="194" spans="1:15" ht="12.5" x14ac:dyDescent="0.25">
      <c r="A194" s="729" t="s">
        <v>464</v>
      </c>
      <c r="B194" s="731">
        <v>67924.834107670802</v>
      </c>
      <c r="C194" s="731">
        <v>0</v>
      </c>
      <c r="D194" s="731">
        <v>0</v>
      </c>
      <c r="E194" s="731">
        <v>0</v>
      </c>
      <c r="F194" s="731">
        <v>0</v>
      </c>
      <c r="G194" s="731">
        <v>0</v>
      </c>
      <c r="H194" s="731">
        <v>0</v>
      </c>
      <c r="I194" s="731">
        <v>0</v>
      </c>
      <c r="J194" s="731">
        <v>0</v>
      </c>
      <c r="K194" s="731">
        <v>67196.041712721824</v>
      </c>
      <c r="L194" s="731">
        <v>0</v>
      </c>
      <c r="M194" s="731">
        <v>0</v>
      </c>
      <c r="N194" s="731">
        <v>0</v>
      </c>
      <c r="O194" s="731">
        <f t="shared" si="21"/>
        <v>135120.87582039263</v>
      </c>
    </row>
    <row r="195" spans="1:15" ht="12.5" x14ac:dyDescent="0.25">
      <c r="A195" s="729" t="s">
        <v>465</v>
      </c>
      <c r="B195" s="731">
        <v>0</v>
      </c>
      <c r="C195" s="731">
        <v>970655.14047600923</v>
      </c>
      <c r="D195" s="731">
        <v>19137.040072211017</v>
      </c>
      <c r="E195" s="731">
        <v>45513.628477761602</v>
      </c>
      <c r="F195" s="731">
        <v>0</v>
      </c>
      <c r="G195" s="731">
        <v>0</v>
      </c>
      <c r="H195" s="731">
        <v>6251.8955289803998</v>
      </c>
      <c r="I195" s="731">
        <v>31975.319942007565</v>
      </c>
      <c r="J195" s="731">
        <v>0</v>
      </c>
      <c r="K195" s="731">
        <v>0</v>
      </c>
      <c r="L195" s="731">
        <v>0</v>
      </c>
      <c r="M195" s="731">
        <v>0</v>
      </c>
      <c r="N195" s="731">
        <v>0</v>
      </c>
      <c r="O195" s="731">
        <f t="shared" si="21"/>
        <v>1073533.02449697</v>
      </c>
    </row>
    <row r="196" spans="1:15" ht="12.5" x14ac:dyDescent="0.25">
      <c r="A196" s="729" t="s">
        <v>466</v>
      </c>
      <c r="B196" s="731">
        <v>1725472.6472795759</v>
      </c>
      <c r="C196" s="731">
        <v>0</v>
      </c>
      <c r="D196" s="731">
        <v>0</v>
      </c>
      <c r="E196" s="731">
        <v>0</v>
      </c>
      <c r="F196" s="731">
        <v>22957.557414012001</v>
      </c>
      <c r="G196" s="731">
        <v>123065.37344942272</v>
      </c>
      <c r="H196" s="731">
        <v>0</v>
      </c>
      <c r="I196" s="731">
        <v>0</v>
      </c>
      <c r="J196" s="731">
        <v>11764.3104209592</v>
      </c>
      <c r="K196" s="731">
        <v>31587.30953296362</v>
      </c>
      <c r="L196" s="731">
        <v>48327.856200000002</v>
      </c>
      <c r="M196" s="731">
        <v>0</v>
      </c>
      <c r="N196" s="731">
        <v>0</v>
      </c>
      <c r="O196" s="731">
        <f t="shared" si="21"/>
        <v>1963175.0542969336</v>
      </c>
    </row>
    <row r="197" spans="1:15" ht="12.5" x14ac:dyDescent="0.25">
      <c r="A197" s="729" t="s">
        <v>240</v>
      </c>
      <c r="B197" s="731">
        <v>707645.85381696955</v>
      </c>
      <c r="C197" s="731">
        <v>-799.6500003921484</v>
      </c>
      <c r="D197" s="731">
        <v>30998.076662859166</v>
      </c>
      <c r="E197" s="731">
        <v>45614.762571502797</v>
      </c>
      <c r="F197" s="731">
        <v>66841.624278327596</v>
      </c>
      <c r="G197" s="731">
        <v>52649.754336234626</v>
      </c>
      <c r="H197" s="731">
        <v>19843.997689994401</v>
      </c>
      <c r="I197" s="731">
        <v>-41986.170393251487</v>
      </c>
      <c r="J197" s="731">
        <v>11643.157855227601</v>
      </c>
      <c r="K197" s="731">
        <v>2540.7085090965552</v>
      </c>
      <c r="L197" s="731">
        <v>29507.625076222801</v>
      </c>
      <c r="M197" s="731">
        <v>1853047</v>
      </c>
      <c r="N197" s="731">
        <v>0</v>
      </c>
      <c r="O197" s="731">
        <f t="shared" si="21"/>
        <v>2777546.7404027916</v>
      </c>
    </row>
    <row r="198" spans="1:15" ht="12.5" x14ac:dyDescent="0.25">
      <c r="A198" s="729" t="s">
        <v>467</v>
      </c>
      <c r="B198" s="731">
        <v>0</v>
      </c>
      <c r="C198" s="731">
        <v>0</v>
      </c>
      <c r="D198" s="731">
        <v>0</v>
      </c>
      <c r="E198" s="731">
        <v>0</v>
      </c>
      <c r="F198" s="731">
        <v>-0.42958094400000002</v>
      </c>
      <c r="G198" s="731">
        <v>0</v>
      </c>
      <c r="H198" s="731">
        <v>0</v>
      </c>
      <c r="I198" s="731">
        <v>0</v>
      </c>
      <c r="J198" s="731">
        <v>0</v>
      </c>
      <c r="K198" s="731">
        <v>0</v>
      </c>
      <c r="L198" s="731">
        <v>0</v>
      </c>
      <c r="M198" s="731">
        <v>0</v>
      </c>
      <c r="N198" s="731">
        <v>0</v>
      </c>
      <c r="O198" s="731">
        <f t="shared" si="21"/>
        <v>-0.42958094400000002</v>
      </c>
    </row>
    <row r="199" spans="1:15" ht="12.5" x14ac:dyDescent="0.25">
      <c r="A199" s="729" t="s">
        <v>468</v>
      </c>
      <c r="B199" s="731">
        <v>0</v>
      </c>
      <c r="C199" s="731">
        <v>58240.040028560914</v>
      </c>
      <c r="D199" s="731">
        <v>8909.0091335010093</v>
      </c>
      <c r="E199" s="731">
        <v>0</v>
      </c>
      <c r="F199" s="731">
        <v>0</v>
      </c>
      <c r="G199" s="731">
        <v>0</v>
      </c>
      <c r="H199" s="731">
        <v>0</v>
      </c>
      <c r="I199" s="731">
        <v>0</v>
      </c>
      <c r="J199" s="731">
        <v>0</v>
      </c>
      <c r="K199" s="731">
        <v>0</v>
      </c>
      <c r="L199" s="731">
        <v>0</v>
      </c>
      <c r="M199" s="731">
        <v>0</v>
      </c>
      <c r="N199" s="731">
        <v>0</v>
      </c>
      <c r="O199" s="731">
        <f t="shared" si="21"/>
        <v>67149.049162061929</v>
      </c>
    </row>
    <row r="200" spans="1:15" ht="12.5" x14ac:dyDescent="0.25">
      <c r="A200" s="729" t="s">
        <v>470</v>
      </c>
      <c r="B200" s="731">
        <v>376858.21699431358</v>
      </c>
      <c r="C200" s="731">
        <v>0</v>
      </c>
      <c r="D200" s="731">
        <v>1266.1974442921419</v>
      </c>
      <c r="E200" s="731">
        <v>0</v>
      </c>
      <c r="F200" s="731">
        <v>1804.2399648000001</v>
      </c>
      <c r="G200" s="731">
        <v>0</v>
      </c>
      <c r="H200" s="731">
        <v>0</v>
      </c>
      <c r="I200" s="731">
        <v>0</v>
      </c>
      <c r="J200" s="731">
        <v>0</v>
      </c>
      <c r="K200" s="731">
        <v>0</v>
      </c>
      <c r="L200" s="731">
        <v>3037.0620974148001</v>
      </c>
      <c r="M200" s="731">
        <v>0</v>
      </c>
      <c r="N200" s="731">
        <v>0</v>
      </c>
      <c r="O200" s="731">
        <f t="shared" si="21"/>
        <v>382965.71650082053</v>
      </c>
    </row>
    <row r="201" spans="1:15" ht="12.5" x14ac:dyDescent="0.25">
      <c r="A201" s="729" t="s">
        <v>471</v>
      </c>
      <c r="B201" s="731">
        <v>1234417.6284593868</v>
      </c>
      <c r="C201" s="731">
        <v>0</v>
      </c>
      <c r="D201" s="731">
        <v>0</v>
      </c>
      <c r="E201" s="731">
        <v>0</v>
      </c>
      <c r="F201" s="731">
        <v>0</v>
      </c>
      <c r="G201" s="731">
        <v>0</v>
      </c>
      <c r="H201" s="731">
        <v>0</v>
      </c>
      <c r="I201" s="731">
        <v>0</v>
      </c>
      <c r="J201" s="731">
        <v>0</v>
      </c>
      <c r="K201" s="731">
        <v>-55228.988815988218</v>
      </c>
      <c r="L201" s="731">
        <v>0</v>
      </c>
      <c r="M201" s="731">
        <v>0</v>
      </c>
      <c r="N201" s="731">
        <v>0</v>
      </c>
      <c r="O201" s="731">
        <f t="shared" si="21"/>
        <v>1179188.6396433986</v>
      </c>
    </row>
    <row r="202" spans="1:15" ht="12.5" x14ac:dyDescent="0.25">
      <c r="A202" s="729" t="s">
        <v>472</v>
      </c>
      <c r="B202" s="731">
        <v>2324424.5882052155</v>
      </c>
      <c r="C202" s="731">
        <v>0</v>
      </c>
      <c r="D202" s="731">
        <v>0</v>
      </c>
      <c r="E202" s="731">
        <v>0</v>
      </c>
      <c r="F202" s="731">
        <v>0</v>
      </c>
      <c r="G202" s="731">
        <v>0</v>
      </c>
      <c r="H202" s="731">
        <v>0</v>
      </c>
      <c r="I202" s="731">
        <v>0</v>
      </c>
      <c r="J202" s="731">
        <v>0</v>
      </c>
      <c r="K202" s="731">
        <v>0</v>
      </c>
      <c r="L202" s="731">
        <v>0</v>
      </c>
      <c r="M202" s="731">
        <v>0</v>
      </c>
      <c r="N202" s="731">
        <v>0</v>
      </c>
      <c r="O202" s="731">
        <f t="shared" si="21"/>
        <v>2324424.5882052155</v>
      </c>
    </row>
    <row r="203" spans="1:15" ht="12.5" x14ac:dyDescent="0.25">
      <c r="A203" s="729" t="s">
        <v>473</v>
      </c>
      <c r="B203" s="731">
        <v>149940.41719662721</v>
      </c>
      <c r="C203" s="731">
        <v>0</v>
      </c>
      <c r="D203" s="731">
        <v>0</v>
      </c>
      <c r="E203" s="731">
        <v>0</v>
      </c>
      <c r="F203" s="731">
        <v>0</v>
      </c>
      <c r="G203" s="731">
        <v>0</v>
      </c>
      <c r="H203" s="731">
        <v>0</v>
      </c>
      <c r="I203" s="731">
        <v>0</v>
      </c>
      <c r="J203" s="731">
        <v>0</v>
      </c>
      <c r="K203" s="731">
        <v>0</v>
      </c>
      <c r="L203" s="731">
        <v>0</v>
      </c>
      <c r="M203" s="731">
        <v>0</v>
      </c>
      <c r="N203" s="731">
        <v>0</v>
      </c>
      <c r="O203" s="731">
        <f t="shared" si="21"/>
        <v>149940.41719662721</v>
      </c>
    </row>
    <row r="204" spans="1:15" ht="12.5" x14ac:dyDescent="0.25">
      <c r="A204" s="729" t="s">
        <v>474</v>
      </c>
      <c r="B204" s="731">
        <v>364.06985004000001</v>
      </c>
      <c r="C204" s="731">
        <v>0</v>
      </c>
      <c r="D204" s="731">
        <v>0</v>
      </c>
      <c r="E204" s="731">
        <v>0</v>
      </c>
      <c r="F204" s="731">
        <v>0</v>
      </c>
      <c r="G204" s="731">
        <v>0</v>
      </c>
      <c r="H204" s="731">
        <v>0</v>
      </c>
      <c r="I204" s="731">
        <v>0</v>
      </c>
      <c r="J204" s="731">
        <v>0</v>
      </c>
      <c r="K204" s="731">
        <v>0</v>
      </c>
      <c r="L204" s="731">
        <v>0</v>
      </c>
      <c r="M204" s="731">
        <v>0</v>
      </c>
      <c r="N204" s="731">
        <v>0</v>
      </c>
      <c r="O204" s="731">
        <f t="shared" si="21"/>
        <v>364.06985004000001</v>
      </c>
    </row>
    <row r="205" spans="1:15" ht="12.5" x14ac:dyDescent="0.25">
      <c r="A205" s="729" t="s">
        <v>475</v>
      </c>
      <c r="B205" s="731">
        <v>-8672.1008698583992</v>
      </c>
      <c r="C205" s="731">
        <v>0</v>
      </c>
      <c r="D205" s="731">
        <v>0</v>
      </c>
      <c r="E205" s="731">
        <v>0</v>
      </c>
      <c r="F205" s="731">
        <v>0</v>
      </c>
      <c r="G205" s="731">
        <v>0</v>
      </c>
      <c r="H205" s="731">
        <v>0</v>
      </c>
      <c r="I205" s="731">
        <v>0</v>
      </c>
      <c r="J205" s="731">
        <v>0</v>
      </c>
      <c r="K205" s="731">
        <v>0</v>
      </c>
      <c r="L205" s="731">
        <v>0</v>
      </c>
      <c r="M205" s="731">
        <v>0</v>
      </c>
      <c r="N205" s="731">
        <v>0</v>
      </c>
      <c r="O205" s="731">
        <f t="shared" si="21"/>
        <v>-8672.1008698583992</v>
      </c>
    </row>
    <row r="206" spans="1:15" ht="12.5" x14ac:dyDescent="0.25">
      <c r="A206" s="729" t="s">
        <v>476</v>
      </c>
      <c r="B206" s="731">
        <v>0</v>
      </c>
      <c r="C206" s="731">
        <v>0</v>
      </c>
      <c r="D206" s="731">
        <v>0</v>
      </c>
      <c r="E206" s="731">
        <v>0</v>
      </c>
      <c r="F206" s="731">
        <v>0</v>
      </c>
      <c r="G206" s="731">
        <v>0</v>
      </c>
      <c r="H206" s="731">
        <v>0</v>
      </c>
      <c r="I206" s="731">
        <v>0</v>
      </c>
      <c r="J206" s="731">
        <v>0</v>
      </c>
      <c r="K206" s="731">
        <v>13686.640462604704</v>
      </c>
      <c r="L206" s="731">
        <v>0</v>
      </c>
      <c r="M206" s="731">
        <v>0</v>
      </c>
      <c r="N206" s="731">
        <v>0</v>
      </c>
      <c r="O206" s="731">
        <f t="shared" si="21"/>
        <v>13686.640462604704</v>
      </c>
    </row>
    <row r="207" spans="1:15" ht="12.5" x14ac:dyDescent="0.25">
      <c r="A207" s="729" t="s">
        <v>4488</v>
      </c>
      <c r="B207" s="731">
        <v>0</v>
      </c>
      <c r="C207" s="731">
        <v>0</v>
      </c>
      <c r="D207" s="731">
        <v>0</v>
      </c>
      <c r="E207" s="731">
        <v>0</v>
      </c>
      <c r="F207" s="731">
        <v>0</v>
      </c>
      <c r="G207" s="731">
        <v>0</v>
      </c>
      <c r="H207" s="731">
        <v>0</v>
      </c>
      <c r="I207" s="731">
        <v>0</v>
      </c>
      <c r="J207" s="731">
        <v>0</v>
      </c>
      <c r="K207" s="731">
        <v>0</v>
      </c>
      <c r="L207" s="731">
        <v>-13748.050783209599</v>
      </c>
      <c r="M207" s="731">
        <v>0</v>
      </c>
      <c r="N207" s="731">
        <v>0</v>
      </c>
      <c r="O207" s="731">
        <f t="shared" si="21"/>
        <v>-13748.050783209599</v>
      </c>
    </row>
    <row r="208" spans="1:15" ht="12.5" x14ac:dyDescent="0.25">
      <c r="A208" s="729" t="s">
        <v>477</v>
      </c>
      <c r="B208" s="731">
        <v>0</v>
      </c>
      <c r="C208" s="731">
        <v>0</v>
      </c>
      <c r="D208" s="731">
        <v>24740.277000985006</v>
      </c>
      <c r="E208" s="731">
        <v>0</v>
      </c>
      <c r="F208" s="731">
        <v>0</v>
      </c>
      <c r="G208" s="731">
        <v>0</v>
      </c>
      <c r="H208" s="731">
        <v>0</v>
      </c>
      <c r="I208" s="731">
        <v>15040.641089597722</v>
      </c>
      <c r="J208" s="731">
        <v>0</v>
      </c>
      <c r="K208" s="731">
        <v>0</v>
      </c>
      <c r="L208" s="731">
        <v>0</v>
      </c>
      <c r="M208" s="731">
        <v>0</v>
      </c>
      <c r="N208" s="731">
        <v>0</v>
      </c>
      <c r="O208" s="731">
        <f t="shared" si="21"/>
        <v>39780.918090582731</v>
      </c>
    </row>
    <row r="209" spans="1:15" ht="12.5" x14ac:dyDescent="0.25">
      <c r="A209" s="729" t="s">
        <v>478</v>
      </c>
      <c r="B209" s="731">
        <v>0</v>
      </c>
      <c r="C209" s="731">
        <v>0</v>
      </c>
      <c r="D209" s="731">
        <v>12103.785813870056</v>
      </c>
      <c r="E209" s="731">
        <v>0</v>
      </c>
      <c r="F209" s="731">
        <v>0</v>
      </c>
      <c r="G209" s="731">
        <v>0</v>
      </c>
      <c r="H209" s="731">
        <v>0</v>
      </c>
      <c r="I209" s="731">
        <v>0</v>
      </c>
      <c r="J209" s="731">
        <v>0</v>
      </c>
      <c r="K209" s="731">
        <v>0</v>
      </c>
      <c r="L209" s="731">
        <v>0</v>
      </c>
      <c r="M209" s="731">
        <v>0</v>
      </c>
      <c r="N209" s="731">
        <v>0</v>
      </c>
      <c r="O209" s="731">
        <f t="shared" si="21"/>
        <v>12103.785813870056</v>
      </c>
    </row>
    <row r="210" spans="1:15" ht="12.5" x14ac:dyDescent="0.25">
      <c r="A210" s="729" t="s">
        <v>479</v>
      </c>
      <c r="B210" s="731">
        <v>0</v>
      </c>
      <c r="C210" s="731">
        <v>0</v>
      </c>
      <c r="D210" s="731">
        <v>0</v>
      </c>
      <c r="E210" s="731">
        <v>0</v>
      </c>
      <c r="F210" s="731">
        <v>0</v>
      </c>
      <c r="G210" s="731">
        <v>0</v>
      </c>
      <c r="H210" s="731">
        <v>0</v>
      </c>
      <c r="I210" s="731">
        <v>2658.5478123740527</v>
      </c>
      <c r="J210" s="731">
        <v>0</v>
      </c>
      <c r="K210" s="731">
        <v>0</v>
      </c>
      <c r="L210" s="731">
        <v>0</v>
      </c>
      <c r="M210" s="731">
        <v>0</v>
      </c>
      <c r="N210" s="731">
        <v>0</v>
      </c>
      <c r="O210" s="731">
        <f t="shared" si="21"/>
        <v>2658.5478123740527</v>
      </c>
    </row>
    <row r="211" spans="1:15" ht="12.5" x14ac:dyDescent="0.25">
      <c r="A211" s="734" t="s">
        <v>480</v>
      </c>
      <c r="B211" s="733">
        <f t="shared" ref="B211:O211" si="22">SUM(B193:B210)</f>
        <v>6642771.3588002818</v>
      </c>
      <c r="C211" s="733">
        <f t="shared" si="22"/>
        <v>1028093.5305041771</v>
      </c>
      <c r="D211" s="733">
        <f t="shared" si="22"/>
        <v>97154.386127718404</v>
      </c>
      <c r="E211" s="733">
        <f t="shared" si="22"/>
        <v>91128.391049264406</v>
      </c>
      <c r="F211" s="733">
        <f t="shared" si="22"/>
        <v>91602.992076195602</v>
      </c>
      <c r="G211" s="733">
        <f t="shared" si="22"/>
        <v>175715.12778565736</v>
      </c>
      <c r="H211" s="733">
        <f t="shared" si="22"/>
        <v>26095.893218974801</v>
      </c>
      <c r="I211" s="733">
        <f t="shared" si="22"/>
        <v>7688.3384507278533</v>
      </c>
      <c r="J211" s="733">
        <f t="shared" si="22"/>
        <v>23407.468276186803</v>
      </c>
      <c r="K211" s="733">
        <f t="shared" si="22"/>
        <v>86689.913619311061</v>
      </c>
      <c r="L211" s="733">
        <f t="shared" si="22"/>
        <v>67124.492590427995</v>
      </c>
      <c r="M211" s="733">
        <f t="shared" si="22"/>
        <v>1853047</v>
      </c>
      <c r="N211" s="733">
        <f t="shared" si="22"/>
        <v>0</v>
      </c>
      <c r="O211" s="733">
        <f t="shared" si="22"/>
        <v>10190518.892498927</v>
      </c>
    </row>
    <row r="212" spans="1:15" ht="12.5" x14ac:dyDescent="0.25">
      <c r="A212" s="728" t="s">
        <v>4250</v>
      </c>
      <c r="B212" s="727"/>
      <c r="C212" s="727"/>
      <c r="D212" s="727"/>
      <c r="E212" s="727"/>
      <c r="F212" s="727"/>
      <c r="G212" s="727"/>
      <c r="H212" s="727"/>
      <c r="I212" s="727"/>
      <c r="J212" s="727"/>
      <c r="K212" s="727"/>
      <c r="L212" s="727"/>
      <c r="M212" s="727"/>
      <c r="N212" s="727"/>
      <c r="O212" s="727"/>
    </row>
    <row r="213" spans="1:15" ht="12.5" x14ac:dyDescent="0.25">
      <c r="A213" s="729" t="s">
        <v>481</v>
      </c>
      <c r="B213" s="731">
        <v>1622348.9601357635</v>
      </c>
      <c r="C213" s="731">
        <v>1325545.7506500476</v>
      </c>
      <c r="D213" s="731">
        <v>54811.125945108644</v>
      </c>
      <c r="E213" s="731">
        <v>127084.24088539919</v>
      </c>
      <c r="F213" s="731">
        <v>126688.33908740881</v>
      </c>
      <c r="G213" s="731">
        <v>5212.5622671995807</v>
      </c>
      <c r="H213" s="731">
        <v>0</v>
      </c>
      <c r="I213" s="731">
        <v>531319.69151912397</v>
      </c>
      <c r="J213" s="731">
        <v>0</v>
      </c>
      <c r="K213" s="731">
        <v>0</v>
      </c>
      <c r="L213" s="731">
        <v>0</v>
      </c>
      <c r="M213" s="731">
        <v>0</v>
      </c>
      <c r="N213" s="731">
        <v>0</v>
      </c>
      <c r="O213" s="731">
        <f>SUM(B213:N213)</f>
        <v>3793010.6704900512</v>
      </c>
    </row>
    <row r="214" spans="1:15" ht="12.5" x14ac:dyDescent="0.25">
      <c r="A214" s="734" t="s">
        <v>4251</v>
      </c>
      <c r="B214" s="733">
        <f t="shared" ref="B214:O214" si="23">SUM(B213)</f>
        <v>1622348.9601357635</v>
      </c>
      <c r="C214" s="733">
        <f t="shared" si="23"/>
        <v>1325545.7506500476</v>
      </c>
      <c r="D214" s="733">
        <f t="shared" si="23"/>
        <v>54811.125945108644</v>
      </c>
      <c r="E214" s="733">
        <f t="shared" si="23"/>
        <v>127084.24088539919</v>
      </c>
      <c r="F214" s="733">
        <f t="shared" si="23"/>
        <v>126688.33908740881</v>
      </c>
      <c r="G214" s="733">
        <f t="shared" si="23"/>
        <v>5212.5622671995807</v>
      </c>
      <c r="H214" s="733">
        <f t="shared" si="23"/>
        <v>0</v>
      </c>
      <c r="I214" s="733">
        <f t="shared" si="23"/>
        <v>531319.69151912397</v>
      </c>
      <c r="J214" s="733">
        <f t="shared" si="23"/>
        <v>0</v>
      </c>
      <c r="K214" s="733">
        <f t="shared" si="23"/>
        <v>0</v>
      </c>
      <c r="L214" s="733">
        <f t="shared" si="23"/>
        <v>0</v>
      </c>
      <c r="M214" s="733">
        <f t="shared" si="23"/>
        <v>0</v>
      </c>
      <c r="N214" s="733">
        <f t="shared" si="23"/>
        <v>0</v>
      </c>
      <c r="O214" s="733">
        <f t="shared" si="23"/>
        <v>3793010.6704900512</v>
      </c>
    </row>
    <row r="215" spans="1:15" ht="12.5" x14ac:dyDescent="0.25">
      <c r="A215" s="728" t="s">
        <v>482</v>
      </c>
      <c r="B215" s="727"/>
      <c r="C215" s="727"/>
      <c r="D215" s="727"/>
      <c r="E215" s="727"/>
      <c r="F215" s="727"/>
      <c r="G215" s="727"/>
      <c r="H215" s="727"/>
      <c r="I215" s="727"/>
      <c r="J215" s="727"/>
      <c r="K215" s="727"/>
      <c r="L215" s="727"/>
      <c r="M215" s="727"/>
      <c r="N215" s="727"/>
      <c r="O215" s="727"/>
    </row>
    <row r="216" spans="1:15" ht="12.5" x14ac:dyDescent="0.25">
      <c r="A216" s="729" t="s">
        <v>483</v>
      </c>
      <c r="B216" s="731">
        <v>31809665.651271861</v>
      </c>
      <c r="C216" s="731">
        <v>33346440.316353094</v>
      </c>
      <c r="D216" s="731">
        <v>2465912.7533119749</v>
      </c>
      <c r="E216" s="731">
        <v>0</v>
      </c>
      <c r="F216" s="731">
        <v>0</v>
      </c>
      <c r="G216" s="731">
        <v>0</v>
      </c>
      <c r="H216" s="731">
        <v>0</v>
      </c>
      <c r="I216" s="731">
        <v>0</v>
      </c>
      <c r="J216" s="731">
        <v>0</v>
      </c>
      <c r="K216" s="731">
        <v>127487.65632301783</v>
      </c>
      <c r="L216" s="731">
        <v>0</v>
      </c>
      <c r="M216" s="731">
        <v>0</v>
      </c>
      <c r="N216" s="731">
        <v>0</v>
      </c>
      <c r="O216" s="731">
        <f t="shared" ref="O216:O225" si="24">SUM(B216:N216)</f>
        <v>67749506.37725994</v>
      </c>
    </row>
    <row r="217" spans="1:15" ht="12.5" x14ac:dyDescent="0.25">
      <c r="A217" s="729" t="s">
        <v>484</v>
      </c>
      <c r="B217" s="731">
        <v>797192.50635137875</v>
      </c>
      <c r="C217" s="731">
        <v>371466.08018216694</v>
      </c>
      <c r="D217" s="731">
        <v>479.89564106271371</v>
      </c>
      <c r="E217" s="731">
        <v>0</v>
      </c>
      <c r="F217" s="731">
        <v>0</v>
      </c>
      <c r="G217" s="731">
        <v>0</v>
      </c>
      <c r="H217" s="731">
        <v>0</v>
      </c>
      <c r="I217" s="731">
        <v>0</v>
      </c>
      <c r="J217" s="731">
        <v>0</v>
      </c>
      <c r="K217" s="731">
        <v>0</v>
      </c>
      <c r="L217" s="731">
        <v>0</v>
      </c>
      <c r="M217" s="731">
        <v>0</v>
      </c>
      <c r="N217" s="731">
        <v>0</v>
      </c>
      <c r="O217" s="731">
        <f t="shared" si="24"/>
        <v>1169138.4821746084</v>
      </c>
    </row>
    <row r="218" spans="1:15" ht="12.5" x14ac:dyDescent="0.25">
      <c r="A218" s="729" t="s">
        <v>485</v>
      </c>
      <c r="B218" s="731">
        <v>187675.45168900321</v>
      </c>
      <c r="C218" s="731">
        <v>1.0000000004903999E-2</v>
      </c>
      <c r="D218" s="731">
        <v>0.23405975482406399</v>
      </c>
      <c r="E218" s="731">
        <v>0</v>
      </c>
      <c r="F218" s="731">
        <v>0</v>
      </c>
      <c r="G218" s="731">
        <v>0</v>
      </c>
      <c r="H218" s="731">
        <v>0</v>
      </c>
      <c r="I218" s="731">
        <v>0</v>
      </c>
      <c r="J218" s="731">
        <v>0</v>
      </c>
      <c r="K218" s="731">
        <v>0</v>
      </c>
      <c r="L218" s="731">
        <v>0</v>
      </c>
      <c r="M218" s="731">
        <v>0</v>
      </c>
      <c r="N218" s="731">
        <v>0</v>
      </c>
      <c r="O218" s="731">
        <f t="shared" si="24"/>
        <v>187675.69574875804</v>
      </c>
    </row>
    <row r="219" spans="1:15" ht="12.5" x14ac:dyDescent="0.25">
      <c r="A219" s="729" t="s">
        <v>486</v>
      </c>
      <c r="B219" s="731">
        <v>291165.62507566559</v>
      </c>
      <c r="C219" s="731">
        <v>0</v>
      </c>
      <c r="D219" s="731">
        <v>0</v>
      </c>
      <c r="E219" s="731">
        <v>0</v>
      </c>
      <c r="F219" s="731">
        <v>0</v>
      </c>
      <c r="G219" s="731">
        <v>0</v>
      </c>
      <c r="H219" s="731">
        <v>0</v>
      </c>
      <c r="I219" s="731">
        <v>0</v>
      </c>
      <c r="J219" s="731">
        <v>0</v>
      </c>
      <c r="K219" s="731">
        <v>0</v>
      </c>
      <c r="L219" s="731">
        <v>0</v>
      </c>
      <c r="M219" s="731">
        <v>0</v>
      </c>
      <c r="N219" s="731">
        <v>0</v>
      </c>
      <c r="O219" s="731">
        <f t="shared" si="24"/>
        <v>291165.62507566559</v>
      </c>
    </row>
    <row r="220" spans="1:15" ht="12.5" x14ac:dyDescent="0.25">
      <c r="A220" s="729" t="s">
        <v>490</v>
      </c>
      <c r="B220" s="731">
        <v>11263.182770736001</v>
      </c>
      <c r="C220" s="731">
        <v>66033.580032382873</v>
      </c>
      <c r="D220" s="731">
        <v>8590.5123221241647</v>
      </c>
      <c r="E220" s="731">
        <v>0</v>
      </c>
      <c r="F220" s="731">
        <v>0</v>
      </c>
      <c r="G220" s="731">
        <v>0</v>
      </c>
      <c r="H220" s="731">
        <v>0</v>
      </c>
      <c r="I220" s="731">
        <v>0</v>
      </c>
      <c r="J220" s="731">
        <v>0</v>
      </c>
      <c r="K220" s="731">
        <v>0</v>
      </c>
      <c r="L220" s="731">
        <v>0</v>
      </c>
      <c r="M220" s="731">
        <v>0</v>
      </c>
      <c r="N220" s="731">
        <v>0</v>
      </c>
      <c r="O220" s="731">
        <f t="shared" si="24"/>
        <v>85887.275125243046</v>
      </c>
    </row>
    <row r="221" spans="1:15" ht="12.5" x14ac:dyDescent="0.25">
      <c r="A221" s="729" t="s">
        <v>491</v>
      </c>
      <c r="B221" s="731">
        <v>284965.82697566878</v>
      </c>
      <c r="C221" s="731">
        <v>429895.80021082092</v>
      </c>
      <c r="D221" s="731">
        <v>65397.151278822057</v>
      </c>
      <c r="E221" s="731">
        <v>0</v>
      </c>
      <c r="F221" s="731">
        <v>0</v>
      </c>
      <c r="G221" s="731">
        <v>0</v>
      </c>
      <c r="H221" s="731">
        <v>0</v>
      </c>
      <c r="I221" s="731">
        <v>0</v>
      </c>
      <c r="J221" s="731">
        <v>0</v>
      </c>
      <c r="K221" s="731">
        <v>32695.509846134613</v>
      </c>
      <c r="L221" s="731">
        <v>0</v>
      </c>
      <c r="M221" s="731">
        <v>0</v>
      </c>
      <c r="N221" s="731">
        <v>0</v>
      </c>
      <c r="O221" s="731">
        <f t="shared" si="24"/>
        <v>812954.28831144643</v>
      </c>
    </row>
    <row r="222" spans="1:15" ht="12.5" x14ac:dyDescent="0.25">
      <c r="A222" s="729" t="s">
        <v>492</v>
      </c>
      <c r="B222" s="731">
        <v>0</v>
      </c>
      <c r="C222" s="731">
        <v>-0.26000000012750402</v>
      </c>
      <c r="D222" s="731">
        <v>0</v>
      </c>
      <c r="E222" s="731">
        <v>0</v>
      </c>
      <c r="F222" s="731">
        <v>0</v>
      </c>
      <c r="G222" s="731">
        <v>0</v>
      </c>
      <c r="H222" s="731">
        <v>0</v>
      </c>
      <c r="I222" s="731">
        <v>0</v>
      </c>
      <c r="J222" s="731">
        <v>0</v>
      </c>
      <c r="K222" s="731">
        <v>0</v>
      </c>
      <c r="L222" s="731">
        <v>0</v>
      </c>
      <c r="M222" s="731">
        <v>0</v>
      </c>
      <c r="N222" s="731">
        <v>0</v>
      </c>
      <c r="O222" s="731">
        <f t="shared" si="24"/>
        <v>-0.26000000012750402</v>
      </c>
    </row>
    <row r="223" spans="1:15" ht="12.5" x14ac:dyDescent="0.25">
      <c r="A223" s="729" t="s">
        <v>493</v>
      </c>
      <c r="B223" s="731">
        <v>0</v>
      </c>
      <c r="C223" s="731">
        <v>61917.650030364413</v>
      </c>
      <c r="D223" s="731">
        <v>0</v>
      </c>
      <c r="E223" s="731">
        <v>0</v>
      </c>
      <c r="F223" s="731">
        <v>0</v>
      </c>
      <c r="G223" s="731">
        <v>0</v>
      </c>
      <c r="H223" s="731">
        <v>0</v>
      </c>
      <c r="I223" s="731">
        <v>0</v>
      </c>
      <c r="J223" s="731">
        <v>0</v>
      </c>
      <c r="K223" s="731">
        <v>0</v>
      </c>
      <c r="L223" s="731">
        <v>0</v>
      </c>
      <c r="M223" s="731">
        <v>0</v>
      </c>
      <c r="N223" s="731">
        <v>0</v>
      </c>
      <c r="O223" s="731">
        <f t="shared" si="24"/>
        <v>61917.650030364413</v>
      </c>
    </row>
    <row r="224" spans="1:15" ht="12.5" x14ac:dyDescent="0.25">
      <c r="A224" s="729" t="s">
        <v>494</v>
      </c>
      <c r="B224" s="731">
        <v>0</v>
      </c>
      <c r="C224" s="731">
        <v>-327594.69016065245</v>
      </c>
      <c r="D224" s="731">
        <v>-0.102401142735528</v>
      </c>
      <c r="E224" s="731">
        <v>0</v>
      </c>
      <c r="F224" s="731">
        <v>0</v>
      </c>
      <c r="G224" s="731">
        <v>0</v>
      </c>
      <c r="H224" s="731">
        <v>0</v>
      </c>
      <c r="I224" s="731">
        <v>0</v>
      </c>
      <c r="J224" s="731">
        <v>0</v>
      </c>
      <c r="K224" s="731">
        <v>0</v>
      </c>
      <c r="L224" s="731">
        <v>0</v>
      </c>
      <c r="M224" s="731">
        <v>0</v>
      </c>
      <c r="N224" s="731">
        <v>0</v>
      </c>
      <c r="O224" s="731">
        <f t="shared" si="24"/>
        <v>-327594.79256179516</v>
      </c>
    </row>
    <row r="225" spans="1:15" ht="12.5" x14ac:dyDescent="0.25">
      <c r="A225" s="729" t="s">
        <v>495</v>
      </c>
      <c r="B225" s="731">
        <v>0</v>
      </c>
      <c r="C225" s="731">
        <v>7.0000000034328005E-2</v>
      </c>
      <c r="D225" s="731">
        <v>0</v>
      </c>
      <c r="E225" s="731">
        <v>0</v>
      </c>
      <c r="F225" s="731">
        <v>0</v>
      </c>
      <c r="G225" s="731">
        <v>0</v>
      </c>
      <c r="H225" s="731">
        <v>0</v>
      </c>
      <c r="I225" s="731">
        <v>0</v>
      </c>
      <c r="J225" s="731">
        <v>0</v>
      </c>
      <c r="K225" s="731">
        <v>0</v>
      </c>
      <c r="L225" s="731">
        <v>0</v>
      </c>
      <c r="M225" s="731">
        <v>0</v>
      </c>
      <c r="N225" s="731">
        <v>0</v>
      </c>
      <c r="O225" s="731">
        <f t="shared" si="24"/>
        <v>7.0000000034328005E-2</v>
      </c>
    </row>
    <row r="226" spans="1:15" ht="12.5" x14ac:dyDescent="0.25">
      <c r="A226" s="734" t="s">
        <v>496</v>
      </c>
      <c r="B226" s="733">
        <f t="shared" ref="B226:O226" si="25">SUM(B216:B225)</f>
        <v>33381928.244134314</v>
      </c>
      <c r="C226" s="733">
        <f t="shared" si="25"/>
        <v>33948158.55664818</v>
      </c>
      <c r="D226" s="733">
        <f t="shared" si="25"/>
        <v>2540380.4442125959</v>
      </c>
      <c r="E226" s="733">
        <f t="shared" si="25"/>
        <v>0</v>
      </c>
      <c r="F226" s="733">
        <f t="shared" si="25"/>
        <v>0</v>
      </c>
      <c r="G226" s="733">
        <f t="shared" si="25"/>
        <v>0</v>
      </c>
      <c r="H226" s="733">
        <f t="shared" si="25"/>
        <v>0</v>
      </c>
      <c r="I226" s="733">
        <f t="shared" si="25"/>
        <v>0</v>
      </c>
      <c r="J226" s="733">
        <f t="shared" si="25"/>
        <v>0</v>
      </c>
      <c r="K226" s="733">
        <f t="shared" si="25"/>
        <v>160183.16616915245</v>
      </c>
      <c r="L226" s="733">
        <f t="shared" si="25"/>
        <v>0</v>
      </c>
      <c r="M226" s="733">
        <f t="shared" si="25"/>
        <v>0</v>
      </c>
      <c r="N226" s="733">
        <f t="shared" si="25"/>
        <v>0</v>
      </c>
      <c r="O226" s="733">
        <f t="shared" si="25"/>
        <v>70030650.411164224</v>
      </c>
    </row>
    <row r="227" spans="1:15" ht="12.5" x14ac:dyDescent="0.25">
      <c r="A227" s="737" t="s">
        <v>497</v>
      </c>
      <c r="B227" s="738">
        <f t="shared" ref="B227:O227" si="26">B163+B191+B211+B214+B226</f>
        <v>65744551.023499154</v>
      </c>
      <c r="C227" s="738">
        <f t="shared" si="26"/>
        <v>61493386.750156358</v>
      </c>
      <c r="D227" s="738">
        <f t="shared" si="26"/>
        <v>3161523.1673368663</v>
      </c>
      <c r="E227" s="738">
        <f t="shared" si="26"/>
        <v>298521.61880739121</v>
      </c>
      <c r="F227" s="738">
        <f t="shared" si="26"/>
        <v>569118.56461958156</v>
      </c>
      <c r="G227" s="738">
        <f t="shared" si="26"/>
        <v>536750.26814968418</v>
      </c>
      <c r="H227" s="738">
        <f t="shared" si="26"/>
        <v>140948.27852348879</v>
      </c>
      <c r="I227" s="738">
        <f t="shared" si="26"/>
        <v>1093837.8630328204</v>
      </c>
      <c r="J227" s="738">
        <f t="shared" si="26"/>
        <v>317403.62367091561</v>
      </c>
      <c r="K227" s="738">
        <f t="shared" si="26"/>
        <v>2088597.3825491529</v>
      </c>
      <c r="L227" s="738">
        <f t="shared" si="26"/>
        <v>248578.63491366355</v>
      </c>
      <c r="M227" s="738">
        <f t="shared" si="26"/>
        <v>1853047</v>
      </c>
      <c r="N227" s="738">
        <f t="shared" si="26"/>
        <v>-34129244.050931625</v>
      </c>
      <c r="O227" s="738">
        <f t="shared" si="26"/>
        <v>103417020.12432744</v>
      </c>
    </row>
    <row r="228" spans="1:15" ht="12.5" x14ac:dyDescent="0.25">
      <c r="A228" s="726" t="s">
        <v>4252</v>
      </c>
      <c r="B228" s="727">
        <v>4271813.5747048166</v>
      </c>
      <c r="C228" s="727">
        <v>1860583.26091243</v>
      </c>
      <c r="D228" s="727">
        <v>271372.90264505584</v>
      </c>
      <c r="E228" s="727">
        <v>32039.585899682399</v>
      </c>
      <c r="F228" s="727">
        <v>423519.44948492397</v>
      </c>
      <c r="G228" s="727">
        <v>0</v>
      </c>
      <c r="H228" s="727">
        <v>0</v>
      </c>
      <c r="I228" s="727">
        <v>0</v>
      </c>
      <c r="J228" s="727">
        <v>0</v>
      </c>
      <c r="K228" s="727">
        <v>0</v>
      </c>
      <c r="L228" s="727">
        <v>0</v>
      </c>
      <c r="M228" s="727">
        <v>0</v>
      </c>
      <c r="N228" s="727">
        <v>0</v>
      </c>
      <c r="O228" s="727">
        <v>6859328.7736469088</v>
      </c>
    </row>
    <row r="229" spans="1:15" ht="12.5" x14ac:dyDescent="0.25">
      <c r="A229" s="728" t="s">
        <v>498</v>
      </c>
      <c r="B229" s="727">
        <v>4271813.5747048166</v>
      </c>
      <c r="C229" s="727">
        <v>1860583.26091243</v>
      </c>
      <c r="D229" s="727">
        <v>271372.90264505584</v>
      </c>
      <c r="E229" s="727">
        <v>32039.585899682399</v>
      </c>
      <c r="F229" s="727">
        <v>423519.44948492397</v>
      </c>
      <c r="G229" s="727">
        <v>0</v>
      </c>
      <c r="H229" s="727">
        <v>0</v>
      </c>
      <c r="I229" s="727">
        <v>0</v>
      </c>
      <c r="J229" s="727">
        <v>0</v>
      </c>
      <c r="K229" s="727">
        <v>0</v>
      </c>
      <c r="L229" s="727">
        <v>0</v>
      </c>
      <c r="M229" s="727">
        <v>0</v>
      </c>
      <c r="N229" s="727">
        <v>0</v>
      </c>
      <c r="O229" s="727">
        <f>SUM(B229:N229)</f>
        <v>6859328.7736469088</v>
      </c>
    </row>
    <row r="230" spans="1:15" ht="12.5" x14ac:dyDescent="0.25">
      <c r="A230" s="739" t="s">
        <v>4253</v>
      </c>
      <c r="B230" s="746">
        <f t="shared" ref="B230:O230" si="27">SUM(B229)</f>
        <v>4271813.5747048166</v>
      </c>
      <c r="C230" s="746">
        <f t="shared" si="27"/>
        <v>1860583.26091243</v>
      </c>
      <c r="D230" s="746">
        <f t="shared" si="27"/>
        <v>271372.90264505584</v>
      </c>
      <c r="E230" s="746">
        <f t="shared" si="27"/>
        <v>32039.585899682399</v>
      </c>
      <c r="F230" s="746">
        <f t="shared" si="27"/>
        <v>423519.44948492397</v>
      </c>
      <c r="G230" s="746">
        <f t="shared" si="27"/>
        <v>0</v>
      </c>
      <c r="H230" s="746">
        <f t="shared" si="27"/>
        <v>0</v>
      </c>
      <c r="I230" s="746">
        <f t="shared" si="27"/>
        <v>0</v>
      </c>
      <c r="J230" s="746">
        <f t="shared" si="27"/>
        <v>0</v>
      </c>
      <c r="K230" s="746">
        <f t="shared" si="27"/>
        <v>0</v>
      </c>
      <c r="L230" s="746">
        <f t="shared" si="27"/>
        <v>0</v>
      </c>
      <c r="M230" s="746">
        <f t="shared" si="27"/>
        <v>0</v>
      </c>
      <c r="N230" s="746">
        <f t="shared" si="27"/>
        <v>0</v>
      </c>
      <c r="O230" s="746">
        <f t="shared" si="27"/>
        <v>6859328.7736469088</v>
      </c>
    </row>
    <row r="231" spans="1:15" ht="12.5" x14ac:dyDescent="0.25">
      <c r="A231" s="726" t="s">
        <v>499</v>
      </c>
      <c r="B231" s="727">
        <v>3528597.0655446732</v>
      </c>
      <c r="C231" s="727">
        <v>848269.02041599108</v>
      </c>
      <c r="D231" s="727">
        <v>0</v>
      </c>
      <c r="E231" s="727">
        <v>0</v>
      </c>
      <c r="F231" s="727">
        <v>0</v>
      </c>
      <c r="G231" s="727">
        <v>45541.465322932803</v>
      </c>
      <c r="H231" s="727">
        <v>0</v>
      </c>
      <c r="I231" s="727">
        <v>236220.1047224536</v>
      </c>
      <c r="J231" s="727">
        <v>0</v>
      </c>
      <c r="K231" s="727">
        <v>0</v>
      </c>
      <c r="L231" s="727">
        <v>0</v>
      </c>
      <c r="M231" s="727">
        <v>0</v>
      </c>
      <c r="N231" s="727">
        <v>0</v>
      </c>
      <c r="O231" s="727">
        <v>4658627.6560060503</v>
      </c>
    </row>
    <row r="232" spans="1:15" ht="12.5" x14ac:dyDescent="0.25">
      <c r="A232" s="728" t="s">
        <v>777</v>
      </c>
      <c r="B232" s="731">
        <v>3672.9170712</v>
      </c>
      <c r="C232" s="731">
        <v>327595.01016065257</v>
      </c>
      <c r="D232" s="731">
        <v>0</v>
      </c>
      <c r="E232" s="731">
        <v>0</v>
      </c>
      <c r="F232" s="731">
        <v>0</v>
      </c>
      <c r="G232" s="731">
        <v>0</v>
      </c>
      <c r="H232" s="731">
        <v>0</v>
      </c>
      <c r="I232" s="731">
        <v>0</v>
      </c>
      <c r="J232" s="731">
        <v>0</v>
      </c>
      <c r="K232" s="731">
        <v>0</v>
      </c>
      <c r="L232" s="731">
        <v>0</v>
      </c>
      <c r="M232" s="731">
        <v>0</v>
      </c>
      <c r="N232" s="731">
        <v>0</v>
      </c>
      <c r="O232" s="731">
        <f t="shared" ref="O232:O238" si="28">SUM(B232:N232)</f>
        <v>331267.92723185255</v>
      </c>
    </row>
    <row r="233" spans="1:15" ht="12.5" x14ac:dyDescent="0.25">
      <c r="A233" s="728" t="s">
        <v>500</v>
      </c>
      <c r="B233" s="731">
        <v>0</v>
      </c>
      <c r="C233" s="731">
        <v>1.0000000004903999E-2</v>
      </c>
      <c r="D233" s="731">
        <v>0</v>
      </c>
      <c r="E233" s="731">
        <v>0</v>
      </c>
      <c r="F233" s="731">
        <v>0</v>
      </c>
      <c r="G233" s="731">
        <v>0</v>
      </c>
      <c r="H233" s="731">
        <v>0</v>
      </c>
      <c r="I233" s="731">
        <v>0</v>
      </c>
      <c r="J233" s="731">
        <v>0</v>
      </c>
      <c r="K233" s="731">
        <v>0</v>
      </c>
      <c r="L233" s="731">
        <v>0</v>
      </c>
      <c r="M233" s="731">
        <v>0</v>
      </c>
      <c r="N233" s="731">
        <v>0</v>
      </c>
      <c r="O233" s="731">
        <f t="shared" si="28"/>
        <v>1.0000000004903999E-2</v>
      </c>
    </row>
    <row r="234" spans="1:15" ht="12.5" x14ac:dyDescent="0.25">
      <c r="A234" s="728" t="s">
        <v>501</v>
      </c>
      <c r="B234" s="731">
        <v>61332.023141532001</v>
      </c>
      <c r="C234" s="731">
        <v>0</v>
      </c>
      <c r="D234" s="731">
        <v>0</v>
      </c>
      <c r="E234" s="731">
        <v>0</v>
      </c>
      <c r="F234" s="731">
        <v>0</v>
      </c>
      <c r="G234" s="731">
        <v>45541.465322932803</v>
      </c>
      <c r="H234" s="731">
        <v>0</v>
      </c>
      <c r="I234" s="731">
        <v>0</v>
      </c>
      <c r="J234" s="731">
        <v>0</v>
      </c>
      <c r="K234" s="731">
        <v>0</v>
      </c>
      <c r="L234" s="731">
        <v>0</v>
      </c>
      <c r="M234" s="731">
        <v>0</v>
      </c>
      <c r="N234" s="731">
        <v>0</v>
      </c>
      <c r="O234" s="731">
        <f t="shared" si="28"/>
        <v>106873.48846446481</v>
      </c>
    </row>
    <row r="235" spans="1:15" ht="12.5" x14ac:dyDescent="0.25">
      <c r="A235" s="728" t="s">
        <v>502</v>
      </c>
      <c r="B235" s="731">
        <v>276655.41178161121</v>
      </c>
      <c r="C235" s="731">
        <v>0</v>
      </c>
      <c r="D235" s="731">
        <v>0</v>
      </c>
      <c r="E235" s="731">
        <v>0</v>
      </c>
      <c r="F235" s="731">
        <v>0</v>
      </c>
      <c r="G235" s="731">
        <v>0</v>
      </c>
      <c r="H235" s="731">
        <v>0</v>
      </c>
      <c r="I235" s="731">
        <v>0</v>
      </c>
      <c r="J235" s="731">
        <v>0</v>
      </c>
      <c r="K235" s="731">
        <v>0</v>
      </c>
      <c r="L235" s="731">
        <v>0</v>
      </c>
      <c r="M235" s="731">
        <v>0</v>
      </c>
      <c r="N235" s="731">
        <v>0</v>
      </c>
      <c r="O235" s="731">
        <f t="shared" si="28"/>
        <v>276655.41178161121</v>
      </c>
    </row>
    <row r="236" spans="1:15" ht="12.5" x14ac:dyDescent="0.25">
      <c r="A236" s="728" t="s">
        <v>503</v>
      </c>
      <c r="B236" s="731">
        <v>0</v>
      </c>
      <c r="C236" s="731">
        <v>520674.00025533856</v>
      </c>
      <c r="D236" s="731">
        <v>0</v>
      </c>
      <c r="E236" s="731">
        <v>0</v>
      </c>
      <c r="F236" s="731">
        <v>0</v>
      </c>
      <c r="G236" s="731">
        <v>0</v>
      </c>
      <c r="H236" s="731">
        <v>0</v>
      </c>
      <c r="I236" s="731">
        <v>0</v>
      </c>
      <c r="J236" s="731">
        <v>0</v>
      </c>
      <c r="K236" s="731">
        <v>0</v>
      </c>
      <c r="L236" s="731">
        <v>0</v>
      </c>
      <c r="M236" s="731">
        <v>0</v>
      </c>
      <c r="N236" s="731">
        <v>0</v>
      </c>
      <c r="O236" s="731">
        <f t="shared" si="28"/>
        <v>520674.00025533856</v>
      </c>
    </row>
    <row r="237" spans="1:15" ht="12.5" x14ac:dyDescent="0.25">
      <c r="A237" s="728" t="s">
        <v>504</v>
      </c>
      <c r="B237" s="731">
        <v>3185165.8949829731</v>
      </c>
      <c r="C237" s="731">
        <v>0</v>
      </c>
      <c r="D237" s="731">
        <v>0</v>
      </c>
      <c r="E237" s="731">
        <v>0</v>
      </c>
      <c r="F237" s="731">
        <v>0</v>
      </c>
      <c r="G237" s="731">
        <v>0</v>
      </c>
      <c r="H237" s="731">
        <v>0</v>
      </c>
      <c r="I237" s="731">
        <v>236220.1047224536</v>
      </c>
      <c r="J237" s="731">
        <v>0</v>
      </c>
      <c r="K237" s="731">
        <v>0</v>
      </c>
      <c r="L237" s="731">
        <v>0</v>
      </c>
      <c r="M237" s="731">
        <v>0</v>
      </c>
      <c r="N237" s="731">
        <v>0</v>
      </c>
      <c r="O237" s="731">
        <f t="shared" si="28"/>
        <v>3421385.9997054269</v>
      </c>
    </row>
    <row r="238" spans="1:15" ht="12.5" x14ac:dyDescent="0.25">
      <c r="A238" s="728" t="s">
        <v>505</v>
      </c>
      <c r="B238" s="731">
        <v>1770.8185673568</v>
      </c>
      <c r="C238" s="731">
        <v>0</v>
      </c>
      <c r="D238" s="731">
        <v>0</v>
      </c>
      <c r="E238" s="731">
        <v>0</v>
      </c>
      <c r="F238" s="731">
        <v>0</v>
      </c>
      <c r="G238" s="731">
        <v>0</v>
      </c>
      <c r="H238" s="731">
        <v>0</v>
      </c>
      <c r="I238" s="731">
        <v>0</v>
      </c>
      <c r="J238" s="731">
        <v>0</v>
      </c>
      <c r="K238" s="731">
        <v>0</v>
      </c>
      <c r="L238" s="731">
        <v>0</v>
      </c>
      <c r="M238" s="731">
        <v>0</v>
      </c>
      <c r="N238" s="731">
        <v>0</v>
      </c>
      <c r="O238" s="731">
        <f t="shared" si="28"/>
        <v>1770.8185673568</v>
      </c>
    </row>
    <row r="239" spans="1:15" ht="12.5" x14ac:dyDescent="0.25">
      <c r="A239" s="747" t="s">
        <v>506</v>
      </c>
      <c r="B239" s="736">
        <f t="shared" ref="B239:O239" si="29">SUM(B232:B238)</f>
        <v>3528597.0655446732</v>
      </c>
      <c r="C239" s="736">
        <f t="shared" si="29"/>
        <v>848269.02041599108</v>
      </c>
      <c r="D239" s="736">
        <f t="shared" si="29"/>
        <v>0</v>
      </c>
      <c r="E239" s="736">
        <f t="shared" si="29"/>
        <v>0</v>
      </c>
      <c r="F239" s="736">
        <f t="shared" si="29"/>
        <v>0</v>
      </c>
      <c r="G239" s="736">
        <f t="shared" si="29"/>
        <v>45541.465322932803</v>
      </c>
      <c r="H239" s="736">
        <f t="shared" si="29"/>
        <v>0</v>
      </c>
      <c r="I239" s="736">
        <f t="shared" si="29"/>
        <v>236220.1047224536</v>
      </c>
      <c r="J239" s="736">
        <f t="shared" si="29"/>
        <v>0</v>
      </c>
      <c r="K239" s="736">
        <f t="shared" si="29"/>
        <v>0</v>
      </c>
      <c r="L239" s="736">
        <f t="shared" si="29"/>
        <v>0</v>
      </c>
      <c r="M239" s="736">
        <f t="shared" si="29"/>
        <v>0</v>
      </c>
      <c r="N239" s="736">
        <f t="shared" si="29"/>
        <v>0</v>
      </c>
      <c r="O239" s="736">
        <f t="shared" si="29"/>
        <v>4658627.6560060512</v>
      </c>
    </row>
    <row r="240" spans="1:15" ht="12.5" x14ac:dyDescent="0.2">
      <c r="A240" s="748" t="s">
        <v>507</v>
      </c>
      <c r="B240" s="749">
        <f t="shared" ref="B240:O240" si="30">B227+B230+B239</f>
        <v>73544961.663748652</v>
      </c>
      <c r="C240" s="749">
        <f t="shared" si="30"/>
        <v>64202239.031484783</v>
      </c>
      <c r="D240" s="749">
        <f t="shared" si="30"/>
        <v>3432896.0699819219</v>
      </c>
      <c r="E240" s="749">
        <f t="shared" si="30"/>
        <v>330561.20470707363</v>
      </c>
      <c r="F240" s="749">
        <f t="shared" si="30"/>
        <v>992638.01410450554</v>
      </c>
      <c r="G240" s="749">
        <f t="shared" si="30"/>
        <v>582291.73347261699</v>
      </c>
      <c r="H240" s="749">
        <f t="shared" si="30"/>
        <v>140948.27852348879</v>
      </c>
      <c r="I240" s="749">
        <f t="shared" si="30"/>
        <v>1330057.9677552739</v>
      </c>
      <c r="J240" s="749">
        <f t="shared" si="30"/>
        <v>317403.62367091561</v>
      </c>
      <c r="K240" s="749">
        <f t="shared" si="30"/>
        <v>2088597.3825491529</v>
      </c>
      <c r="L240" s="749">
        <f t="shared" si="30"/>
        <v>248578.63491366355</v>
      </c>
      <c r="M240" s="749">
        <f t="shared" si="30"/>
        <v>1853047</v>
      </c>
      <c r="N240" s="749">
        <f t="shared" si="30"/>
        <v>-34129244.050931625</v>
      </c>
      <c r="O240" s="749">
        <f t="shared" si="30"/>
        <v>114934976.5539804</v>
      </c>
    </row>
    <row r="241" spans="1:15" ht="10.5" x14ac:dyDescent="0.2">
      <c r="A241" s="742"/>
      <c r="B241" s="743"/>
      <c r="C241" s="743"/>
      <c r="D241" s="743"/>
      <c r="E241" s="743"/>
      <c r="F241" s="743"/>
      <c r="G241" s="743"/>
      <c r="H241" s="743"/>
      <c r="I241" s="743"/>
      <c r="J241" s="743"/>
      <c r="K241" s="743"/>
      <c r="L241" s="743"/>
      <c r="M241" s="743"/>
      <c r="N241" s="743"/>
      <c r="O241" s="743"/>
    </row>
    <row r="242" spans="1:15" ht="12.5" x14ac:dyDescent="0.2">
      <c r="A242" s="750" t="s">
        <v>508</v>
      </c>
      <c r="B242" s="727"/>
      <c r="C242" s="727"/>
      <c r="D242" s="727"/>
      <c r="E242" s="727"/>
      <c r="F242" s="727"/>
      <c r="G242" s="727"/>
      <c r="H242" s="727"/>
      <c r="I242" s="727"/>
      <c r="J242" s="727"/>
      <c r="K242" s="727"/>
      <c r="L242" s="727"/>
      <c r="M242" s="727"/>
      <c r="N242" s="727"/>
      <c r="O242" s="727"/>
    </row>
    <row r="243" spans="1:15" ht="12.5" x14ac:dyDescent="0.25">
      <c r="A243" s="726" t="s">
        <v>509</v>
      </c>
      <c r="B243" s="727">
        <v>129489300.51361388</v>
      </c>
      <c r="C243" s="727">
        <v>0</v>
      </c>
      <c r="D243" s="727">
        <v>0</v>
      </c>
      <c r="E243" s="727">
        <v>0</v>
      </c>
      <c r="F243" s="727">
        <v>0</v>
      </c>
      <c r="G243" s="727">
        <v>0</v>
      </c>
      <c r="H243" s="727">
        <v>0</v>
      </c>
      <c r="I243" s="727">
        <v>0</v>
      </c>
      <c r="J243" s="727">
        <v>0</v>
      </c>
      <c r="K243" s="727">
        <v>0</v>
      </c>
      <c r="L243" s="727">
        <v>0</v>
      </c>
      <c r="M243" s="727">
        <v>0</v>
      </c>
      <c r="N243" s="727">
        <v>0</v>
      </c>
      <c r="O243" s="727">
        <v>129489300.51361388</v>
      </c>
    </row>
    <row r="244" spans="1:15" ht="12.5" x14ac:dyDescent="0.25">
      <c r="A244" s="728" t="s">
        <v>510</v>
      </c>
      <c r="B244" s="731">
        <v>129489300.51361388</v>
      </c>
      <c r="C244" s="731">
        <v>0</v>
      </c>
      <c r="D244" s="731">
        <v>0</v>
      </c>
      <c r="E244" s="731">
        <v>0</v>
      </c>
      <c r="F244" s="731">
        <v>0</v>
      </c>
      <c r="G244" s="731">
        <v>0</v>
      </c>
      <c r="H244" s="731">
        <v>0</v>
      </c>
      <c r="I244" s="731">
        <v>0</v>
      </c>
      <c r="J244" s="731">
        <v>0</v>
      </c>
      <c r="K244" s="731">
        <v>0</v>
      </c>
      <c r="L244" s="731">
        <v>0</v>
      </c>
      <c r="M244" s="731">
        <v>0</v>
      </c>
      <c r="N244" s="731">
        <v>0</v>
      </c>
      <c r="O244" s="731">
        <f>SUM(B244:N244)</f>
        <v>129489300.51361388</v>
      </c>
    </row>
    <row r="245" spans="1:15" ht="12.5" x14ac:dyDescent="0.25">
      <c r="A245" s="739" t="s">
        <v>511</v>
      </c>
      <c r="B245" s="733">
        <f t="shared" ref="B245:O245" si="31">SUM(B244)</f>
        <v>129489300.51361388</v>
      </c>
      <c r="C245" s="733">
        <f t="shared" si="31"/>
        <v>0</v>
      </c>
      <c r="D245" s="733">
        <f t="shared" si="31"/>
        <v>0</v>
      </c>
      <c r="E245" s="733">
        <f t="shared" si="31"/>
        <v>0</v>
      </c>
      <c r="F245" s="733">
        <f t="shared" si="31"/>
        <v>0</v>
      </c>
      <c r="G245" s="733">
        <f t="shared" si="31"/>
        <v>0</v>
      </c>
      <c r="H245" s="733">
        <f t="shared" si="31"/>
        <v>0</v>
      </c>
      <c r="I245" s="733">
        <f t="shared" si="31"/>
        <v>0</v>
      </c>
      <c r="J245" s="733">
        <f t="shared" si="31"/>
        <v>0</v>
      </c>
      <c r="K245" s="733">
        <f t="shared" si="31"/>
        <v>0</v>
      </c>
      <c r="L245" s="733">
        <f t="shared" si="31"/>
        <v>0</v>
      </c>
      <c r="M245" s="733">
        <f t="shared" si="31"/>
        <v>0</v>
      </c>
      <c r="N245" s="733">
        <f t="shared" si="31"/>
        <v>0</v>
      </c>
      <c r="O245" s="733">
        <f t="shared" si="31"/>
        <v>129489300.51361388</v>
      </c>
    </row>
    <row r="246" spans="1:15" ht="12.5" x14ac:dyDescent="0.2">
      <c r="A246" s="751" t="s">
        <v>512</v>
      </c>
      <c r="B246" s="733">
        <f t="shared" ref="B246:O246" si="32">B245</f>
        <v>129489300.51361388</v>
      </c>
      <c r="C246" s="733">
        <f t="shared" si="32"/>
        <v>0</v>
      </c>
      <c r="D246" s="733">
        <f t="shared" si="32"/>
        <v>0</v>
      </c>
      <c r="E246" s="733">
        <f t="shared" si="32"/>
        <v>0</v>
      </c>
      <c r="F246" s="733">
        <f t="shared" si="32"/>
        <v>0</v>
      </c>
      <c r="G246" s="733">
        <f t="shared" si="32"/>
        <v>0</v>
      </c>
      <c r="H246" s="733">
        <f t="shared" si="32"/>
        <v>0</v>
      </c>
      <c r="I246" s="733">
        <f t="shared" si="32"/>
        <v>0</v>
      </c>
      <c r="J246" s="733">
        <f t="shared" si="32"/>
        <v>0</v>
      </c>
      <c r="K246" s="733">
        <f t="shared" si="32"/>
        <v>0</v>
      </c>
      <c r="L246" s="733">
        <f t="shared" si="32"/>
        <v>0</v>
      </c>
      <c r="M246" s="733">
        <f t="shared" si="32"/>
        <v>0</v>
      </c>
      <c r="N246" s="733">
        <f t="shared" si="32"/>
        <v>0</v>
      </c>
      <c r="O246" s="733">
        <f t="shared" si="32"/>
        <v>129489300.51361388</v>
      </c>
    </row>
    <row r="247" spans="1:15" ht="10.5" x14ac:dyDescent="0.2">
      <c r="A247" s="742"/>
      <c r="B247" s="743"/>
      <c r="C247" s="743"/>
      <c r="D247" s="743"/>
      <c r="E247" s="743"/>
      <c r="F247" s="743"/>
      <c r="G247" s="743"/>
      <c r="H247" s="743"/>
      <c r="I247" s="743"/>
      <c r="J247" s="743"/>
      <c r="K247" s="743"/>
      <c r="L247" s="743"/>
      <c r="M247" s="743"/>
      <c r="N247" s="743"/>
      <c r="O247" s="743"/>
    </row>
    <row r="248" spans="1:15" ht="12.5" x14ac:dyDescent="0.2">
      <c r="A248" s="750" t="s">
        <v>513</v>
      </c>
      <c r="B248" s="727"/>
      <c r="C248" s="727"/>
      <c r="D248" s="727"/>
      <c r="E248" s="727"/>
      <c r="F248" s="727"/>
      <c r="G248" s="727"/>
      <c r="H248" s="727"/>
      <c r="I248" s="727"/>
      <c r="J248" s="727"/>
      <c r="K248" s="727"/>
      <c r="L248" s="727"/>
      <c r="M248" s="727"/>
      <c r="N248" s="727"/>
      <c r="O248" s="727"/>
    </row>
    <row r="249" spans="1:15" ht="12.5" x14ac:dyDescent="0.25">
      <c r="A249" s="726" t="s">
        <v>514</v>
      </c>
      <c r="B249" s="727">
        <v>87113.481882237495</v>
      </c>
      <c r="C249" s="727">
        <v>7857221.0067916652</v>
      </c>
      <c r="D249" s="727">
        <v>80034.031776300006</v>
      </c>
      <c r="E249" s="727">
        <v>72740.78714</v>
      </c>
      <c r="F249" s="727">
        <v>28036.83</v>
      </c>
      <c r="G249" s="727">
        <v>140.87610301999999</v>
      </c>
      <c r="H249" s="727">
        <v>70.040770199999997</v>
      </c>
      <c r="I249" s="727">
        <v>1483.1800070769</v>
      </c>
      <c r="J249" s="727">
        <v>5353.4203799999996</v>
      </c>
      <c r="K249" s="727">
        <v>13265.579235314999</v>
      </c>
      <c r="L249" s="727">
        <v>10409.6185</v>
      </c>
      <c r="M249" s="727">
        <v>0</v>
      </c>
      <c r="N249" s="727">
        <v>-8068755.4935888806</v>
      </c>
      <c r="O249" s="727">
        <v>87113.358996934257</v>
      </c>
    </row>
    <row r="250" spans="1:15" ht="12.5" x14ac:dyDescent="0.25">
      <c r="A250" s="728" t="s">
        <v>515</v>
      </c>
      <c r="B250" s="731">
        <v>87113.481882237495</v>
      </c>
      <c r="C250" s="731">
        <v>-1.5962960000000001E-7</v>
      </c>
      <c r="D250" s="731">
        <v>0</v>
      </c>
      <c r="E250" s="731">
        <v>0</v>
      </c>
      <c r="F250" s="731">
        <v>0</v>
      </c>
      <c r="G250" s="731">
        <v>0</v>
      </c>
      <c r="H250" s="731">
        <v>0</v>
      </c>
      <c r="I250" s="731">
        <v>0</v>
      </c>
      <c r="J250" s="731">
        <v>0</v>
      </c>
      <c r="K250" s="731">
        <v>0</v>
      </c>
      <c r="L250" s="731">
        <v>0</v>
      </c>
      <c r="M250" s="731">
        <v>0</v>
      </c>
      <c r="N250" s="731">
        <v>0</v>
      </c>
      <c r="O250" s="731">
        <f>SUM(B250:N250)</f>
        <v>87113.48188207786</v>
      </c>
    </row>
    <row r="251" spans="1:15" ht="12.5" x14ac:dyDescent="0.25">
      <c r="A251" s="728" t="s">
        <v>4122</v>
      </c>
      <c r="B251" s="731">
        <v>0</v>
      </c>
      <c r="C251" s="731">
        <v>7857221.0067918245</v>
      </c>
      <c r="D251" s="731">
        <v>80034.031776300006</v>
      </c>
      <c r="E251" s="731">
        <v>72740.78714</v>
      </c>
      <c r="F251" s="731">
        <v>28036.83</v>
      </c>
      <c r="G251" s="731">
        <v>140.87610301999999</v>
      </c>
      <c r="H251" s="731">
        <v>70.040770199999997</v>
      </c>
      <c r="I251" s="731">
        <v>1483.1800070769</v>
      </c>
      <c r="J251" s="731">
        <v>5353.4203799999996</v>
      </c>
      <c r="K251" s="731">
        <v>13265.579235314999</v>
      </c>
      <c r="L251" s="731">
        <v>10409.6185</v>
      </c>
      <c r="M251" s="731">
        <v>0</v>
      </c>
      <c r="N251" s="731">
        <v>-8068755.4935888806</v>
      </c>
      <c r="O251" s="731">
        <f>SUM(B251:N251)</f>
        <v>-0.12288514431566</v>
      </c>
    </row>
    <row r="252" spans="1:15" ht="12.5" x14ac:dyDescent="0.25">
      <c r="A252" s="739" t="s">
        <v>516</v>
      </c>
      <c r="B252" s="733">
        <f t="shared" ref="B252:O252" si="33">SUM(B250:B251)</f>
        <v>87113.481882237495</v>
      </c>
      <c r="C252" s="733">
        <f t="shared" si="33"/>
        <v>7857221.0067916652</v>
      </c>
      <c r="D252" s="733">
        <f t="shared" si="33"/>
        <v>80034.031776300006</v>
      </c>
      <c r="E252" s="733">
        <f t="shared" si="33"/>
        <v>72740.78714</v>
      </c>
      <c r="F252" s="733">
        <f t="shared" si="33"/>
        <v>28036.83</v>
      </c>
      <c r="G252" s="733">
        <f t="shared" si="33"/>
        <v>140.87610301999999</v>
      </c>
      <c r="H252" s="733">
        <f t="shared" si="33"/>
        <v>70.040770199999997</v>
      </c>
      <c r="I252" s="733">
        <f t="shared" si="33"/>
        <v>1483.1800070769</v>
      </c>
      <c r="J252" s="733">
        <f t="shared" si="33"/>
        <v>5353.4203799999996</v>
      </c>
      <c r="K252" s="733">
        <f t="shared" si="33"/>
        <v>13265.579235314999</v>
      </c>
      <c r="L252" s="733">
        <f t="shared" si="33"/>
        <v>10409.6185</v>
      </c>
      <c r="M252" s="733">
        <f t="shared" si="33"/>
        <v>0</v>
      </c>
      <c r="N252" s="733">
        <f t="shared" si="33"/>
        <v>-8068755.4935888806</v>
      </c>
      <c r="O252" s="733">
        <f t="shared" si="33"/>
        <v>87113.358996933544</v>
      </c>
    </row>
    <row r="253" spans="1:15" ht="12.5" x14ac:dyDescent="0.25">
      <c r="A253" s="726" t="s">
        <v>517</v>
      </c>
      <c r="B253" s="727">
        <v>2809095.2335951976</v>
      </c>
      <c r="C253" s="727">
        <v>88928.224877040222</v>
      </c>
      <c r="D253" s="727">
        <v>0</v>
      </c>
      <c r="E253" s="727">
        <v>0</v>
      </c>
      <c r="F253" s="727">
        <v>0</v>
      </c>
      <c r="G253" s="727">
        <v>0</v>
      </c>
      <c r="H253" s="727">
        <v>0</v>
      </c>
      <c r="I253" s="727">
        <v>0</v>
      </c>
      <c r="J253" s="727">
        <v>0</v>
      </c>
      <c r="K253" s="727">
        <v>0</v>
      </c>
      <c r="L253" s="727">
        <v>0</v>
      </c>
      <c r="M253" s="727">
        <v>0</v>
      </c>
      <c r="N253" s="727">
        <v>0</v>
      </c>
      <c r="O253" s="727">
        <v>2898023.4584722379</v>
      </c>
    </row>
    <row r="254" spans="1:15" ht="12.5" x14ac:dyDescent="0.25">
      <c r="A254" s="728" t="s">
        <v>518</v>
      </c>
      <c r="B254" s="731">
        <v>2809095.2335951976</v>
      </c>
      <c r="C254" s="731">
        <v>88928.224877040222</v>
      </c>
      <c r="D254" s="731">
        <v>0</v>
      </c>
      <c r="E254" s="731">
        <v>0</v>
      </c>
      <c r="F254" s="731">
        <v>0</v>
      </c>
      <c r="G254" s="731">
        <v>0</v>
      </c>
      <c r="H254" s="731">
        <v>0</v>
      </c>
      <c r="I254" s="731">
        <v>0</v>
      </c>
      <c r="J254" s="731">
        <v>0</v>
      </c>
      <c r="K254" s="731">
        <v>0</v>
      </c>
      <c r="L254" s="731">
        <v>0</v>
      </c>
      <c r="M254" s="731">
        <v>0</v>
      </c>
      <c r="N254" s="731">
        <v>0</v>
      </c>
      <c r="O254" s="731">
        <f>SUM(B254:N254)</f>
        <v>2898023.4584722379</v>
      </c>
    </row>
    <row r="255" spans="1:15" ht="12.5" x14ac:dyDescent="0.25">
      <c r="A255" s="739" t="s">
        <v>519</v>
      </c>
      <c r="B255" s="733">
        <f t="shared" ref="B255:O255" si="34">SUM(B254)</f>
        <v>2809095.2335951976</v>
      </c>
      <c r="C255" s="733">
        <f t="shared" si="34"/>
        <v>88928.224877040222</v>
      </c>
      <c r="D255" s="733">
        <f t="shared" si="34"/>
        <v>0</v>
      </c>
      <c r="E255" s="733">
        <f t="shared" si="34"/>
        <v>0</v>
      </c>
      <c r="F255" s="733">
        <f t="shared" si="34"/>
        <v>0</v>
      </c>
      <c r="G255" s="733">
        <f t="shared" si="34"/>
        <v>0</v>
      </c>
      <c r="H255" s="733">
        <f t="shared" si="34"/>
        <v>0</v>
      </c>
      <c r="I255" s="733">
        <f t="shared" si="34"/>
        <v>0</v>
      </c>
      <c r="J255" s="733">
        <f t="shared" si="34"/>
        <v>0</v>
      </c>
      <c r="K255" s="733">
        <f t="shared" si="34"/>
        <v>0</v>
      </c>
      <c r="L255" s="733">
        <f t="shared" si="34"/>
        <v>0</v>
      </c>
      <c r="M255" s="733">
        <f t="shared" si="34"/>
        <v>0</v>
      </c>
      <c r="N255" s="733">
        <f t="shared" si="34"/>
        <v>0</v>
      </c>
      <c r="O255" s="733">
        <f t="shared" si="34"/>
        <v>2898023.4584722379</v>
      </c>
    </row>
    <row r="256" spans="1:15" ht="12.5" x14ac:dyDescent="0.25">
      <c r="A256" s="726" t="s">
        <v>520</v>
      </c>
      <c r="B256" s="727">
        <v>-4039165.4472374814</v>
      </c>
      <c r="C256" s="727">
        <v>-11674.047222269295</v>
      </c>
      <c r="D256" s="727">
        <v>-510908.00953600003</v>
      </c>
      <c r="E256" s="727">
        <v>-8400.909216</v>
      </c>
      <c r="F256" s="727">
        <v>-20383.134662</v>
      </c>
      <c r="G256" s="727">
        <v>-90710.201644999994</v>
      </c>
      <c r="H256" s="727">
        <v>-5229.986347</v>
      </c>
      <c r="I256" s="727">
        <v>-75506.21428</v>
      </c>
      <c r="J256" s="727">
        <v>-15646.719346</v>
      </c>
      <c r="K256" s="727">
        <v>10303.575269999999</v>
      </c>
      <c r="L256" s="727">
        <v>99.219859999999997</v>
      </c>
      <c r="M256" s="727">
        <v>0</v>
      </c>
      <c r="N256" s="727">
        <v>-33322.013401000033</v>
      </c>
      <c r="O256" s="727">
        <v>-4800543.8877627524</v>
      </c>
    </row>
    <row r="257" spans="1:15" ht="12.5" x14ac:dyDescent="0.25">
      <c r="A257" s="726" t="s">
        <v>4254</v>
      </c>
      <c r="B257" s="727"/>
      <c r="C257" s="727"/>
      <c r="D257" s="727"/>
      <c r="E257" s="727"/>
      <c r="F257" s="727"/>
      <c r="G257" s="727"/>
      <c r="H257" s="727"/>
      <c r="I257" s="727"/>
      <c r="J257" s="727"/>
      <c r="K257" s="727"/>
      <c r="L257" s="727"/>
      <c r="M257" s="727"/>
      <c r="N257" s="727"/>
      <c r="O257" s="727"/>
    </row>
    <row r="258" spans="1:15" ht="12.5" x14ac:dyDescent="0.25">
      <c r="A258" s="728" t="s">
        <v>4200</v>
      </c>
      <c r="B258" s="731">
        <v>0</v>
      </c>
      <c r="C258" s="731">
        <v>-0.50260326929499999</v>
      </c>
      <c r="D258" s="731">
        <v>0</v>
      </c>
      <c r="E258" s="731">
        <v>0</v>
      </c>
      <c r="F258" s="731">
        <v>0</v>
      </c>
      <c r="G258" s="731">
        <v>0</v>
      </c>
      <c r="H258" s="731">
        <v>0</v>
      </c>
      <c r="I258" s="731">
        <v>0</v>
      </c>
      <c r="J258" s="731">
        <v>0</v>
      </c>
      <c r="K258" s="731">
        <v>0</v>
      </c>
      <c r="L258" s="731">
        <v>0</v>
      </c>
      <c r="M258" s="731">
        <v>331592.95</v>
      </c>
      <c r="N258" s="731">
        <v>-41875.128604000034</v>
      </c>
      <c r="O258" s="731">
        <f>SUM(B258:N258)</f>
        <v>289717.31879273069</v>
      </c>
    </row>
    <row r="259" spans="1:15" ht="12.5" x14ac:dyDescent="0.25">
      <c r="A259" s="728" t="s">
        <v>4201</v>
      </c>
      <c r="B259" s="731">
        <v>278072.61412552575</v>
      </c>
      <c r="C259" s="731">
        <v>0</v>
      </c>
      <c r="D259" s="731">
        <v>0</v>
      </c>
      <c r="E259" s="731">
        <v>0</v>
      </c>
      <c r="F259" s="731">
        <v>0</v>
      </c>
      <c r="G259" s="731">
        <v>0</v>
      </c>
      <c r="H259" s="731">
        <v>0</v>
      </c>
      <c r="I259" s="731">
        <v>0</v>
      </c>
      <c r="J259" s="731">
        <v>0</v>
      </c>
      <c r="K259" s="731">
        <v>0</v>
      </c>
      <c r="L259" s="731">
        <v>0</v>
      </c>
      <c r="M259" s="731">
        <v>-331592.95</v>
      </c>
      <c r="N259" s="731">
        <v>0</v>
      </c>
      <c r="O259" s="731">
        <f>SUM(B259:N259)</f>
        <v>-53520.335874474258</v>
      </c>
    </row>
    <row r="260" spans="1:15" ht="12.5" x14ac:dyDescent="0.25">
      <c r="A260" s="728" t="s">
        <v>4202</v>
      </c>
      <c r="B260" s="731">
        <v>-468986.1662515169</v>
      </c>
      <c r="C260" s="731">
        <v>0</v>
      </c>
      <c r="D260" s="731">
        <v>0</v>
      </c>
      <c r="E260" s="731">
        <v>0</v>
      </c>
      <c r="F260" s="731">
        <v>0</v>
      </c>
      <c r="G260" s="731">
        <v>0</v>
      </c>
      <c r="H260" s="731">
        <v>0</v>
      </c>
      <c r="I260" s="731">
        <v>0</v>
      </c>
      <c r="J260" s="731">
        <v>0</v>
      </c>
      <c r="K260" s="731">
        <v>0</v>
      </c>
      <c r="L260" s="731">
        <v>0</v>
      </c>
      <c r="M260" s="731">
        <v>0</v>
      </c>
      <c r="N260" s="731">
        <v>0</v>
      </c>
      <c r="O260" s="731">
        <f>SUM(B260:N260)</f>
        <v>-468986.1662515169</v>
      </c>
    </row>
    <row r="261" spans="1:15" ht="12.5" x14ac:dyDescent="0.25">
      <c r="A261" s="728" t="s">
        <v>4396</v>
      </c>
      <c r="B261" s="731">
        <v>-301582.90080816002</v>
      </c>
      <c r="C261" s="731">
        <v>0</v>
      </c>
      <c r="D261" s="731">
        <v>0</v>
      </c>
      <c r="E261" s="731">
        <v>0</v>
      </c>
      <c r="F261" s="731">
        <v>0</v>
      </c>
      <c r="G261" s="731">
        <v>0</v>
      </c>
      <c r="H261" s="731">
        <v>0</v>
      </c>
      <c r="I261" s="731">
        <v>0</v>
      </c>
      <c r="J261" s="731">
        <v>0</v>
      </c>
      <c r="K261" s="731">
        <v>0</v>
      </c>
      <c r="L261" s="731">
        <v>0</v>
      </c>
      <c r="M261" s="731">
        <v>0</v>
      </c>
      <c r="N261" s="731">
        <v>0</v>
      </c>
      <c r="O261" s="731">
        <f>SUM(B261:N261)</f>
        <v>-301582.90080816002</v>
      </c>
    </row>
    <row r="262" spans="1:15" ht="12.5" x14ac:dyDescent="0.25">
      <c r="A262" s="728" t="s">
        <v>4397</v>
      </c>
      <c r="B262" s="731">
        <v>100278.87439567001</v>
      </c>
      <c r="C262" s="731">
        <v>0</v>
      </c>
      <c r="D262" s="731">
        <v>0</v>
      </c>
      <c r="E262" s="731">
        <v>0</v>
      </c>
      <c r="F262" s="731">
        <v>0</v>
      </c>
      <c r="G262" s="731">
        <v>0</v>
      </c>
      <c r="H262" s="731">
        <v>0</v>
      </c>
      <c r="I262" s="731">
        <v>0</v>
      </c>
      <c r="J262" s="731">
        <v>0</v>
      </c>
      <c r="K262" s="731">
        <v>0</v>
      </c>
      <c r="L262" s="731">
        <v>0</v>
      </c>
      <c r="M262" s="731">
        <v>0</v>
      </c>
      <c r="N262" s="731">
        <v>0</v>
      </c>
      <c r="O262" s="731">
        <f>SUM(B262:N262)</f>
        <v>100278.87439567001</v>
      </c>
    </row>
    <row r="263" spans="1:15" ht="13" x14ac:dyDescent="0.3">
      <c r="A263" s="752" t="s">
        <v>4255</v>
      </c>
      <c r="B263" s="753">
        <f t="shared" ref="B263:O263" si="35">SUM(B258:B262)</f>
        <v>-392217.57853848115</v>
      </c>
      <c r="C263" s="753">
        <f t="shared" si="35"/>
        <v>-0.50260326929499999</v>
      </c>
      <c r="D263" s="753">
        <f t="shared" si="35"/>
        <v>0</v>
      </c>
      <c r="E263" s="753">
        <f t="shared" si="35"/>
        <v>0</v>
      </c>
      <c r="F263" s="753">
        <f t="shared" si="35"/>
        <v>0</v>
      </c>
      <c r="G263" s="753">
        <f t="shared" si="35"/>
        <v>0</v>
      </c>
      <c r="H263" s="753">
        <f t="shared" si="35"/>
        <v>0</v>
      </c>
      <c r="I263" s="753">
        <f t="shared" si="35"/>
        <v>0</v>
      </c>
      <c r="J263" s="753">
        <f t="shared" si="35"/>
        <v>0</v>
      </c>
      <c r="K263" s="753">
        <f t="shared" si="35"/>
        <v>0</v>
      </c>
      <c r="L263" s="753">
        <f t="shared" si="35"/>
        <v>0</v>
      </c>
      <c r="M263" s="753">
        <f t="shared" si="35"/>
        <v>0</v>
      </c>
      <c r="N263" s="753">
        <f t="shared" si="35"/>
        <v>-41875.128604000034</v>
      </c>
      <c r="O263" s="753">
        <f t="shared" si="35"/>
        <v>-434093.20974575041</v>
      </c>
    </row>
    <row r="264" spans="1:15" ht="12.5" x14ac:dyDescent="0.25">
      <c r="A264" s="728" t="s">
        <v>4203</v>
      </c>
      <c r="B264" s="731">
        <f>-3646947.868699</f>
        <v>-3646947.8686990002</v>
      </c>
      <c r="C264" s="731">
        <f>-11673.544619</f>
        <v>-11673.544619</v>
      </c>
      <c r="D264" s="731">
        <f>-510908.009536</f>
        <v>-510908.00953600003</v>
      </c>
      <c r="E264" s="731">
        <f>-8400.909216</f>
        <v>-8400.909216</v>
      </c>
      <c r="F264" s="731">
        <f>-20383.134662</f>
        <v>-20383.134662</v>
      </c>
      <c r="G264" s="731">
        <f>-90710.201645</f>
        <v>-90710.201644999994</v>
      </c>
      <c r="H264" s="731">
        <f>-5229.986347</f>
        <v>-5229.986347</v>
      </c>
      <c r="I264" s="731">
        <f>-75506.21428</f>
        <v>-75506.21428</v>
      </c>
      <c r="J264" s="731">
        <f>-15646.719346</f>
        <v>-15646.719346</v>
      </c>
      <c r="K264" s="731">
        <f>10303.57527</f>
        <v>10303.575269999999</v>
      </c>
      <c r="L264" s="731">
        <f>99.21986</f>
        <v>99.219859999999997</v>
      </c>
      <c r="M264" s="731">
        <f>0</f>
        <v>0</v>
      </c>
      <c r="N264" s="731">
        <f>8553.115203</f>
        <v>8553.1152029999994</v>
      </c>
      <c r="O264" s="731">
        <f>-4366450.678017</f>
        <v>-4366450.6780169997</v>
      </c>
    </row>
    <row r="265" spans="1:15" ht="12.5" x14ac:dyDescent="0.25">
      <c r="A265" s="739" t="s">
        <v>4256</v>
      </c>
      <c r="B265" s="733">
        <f t="shared" ref="B265:O265" si="36">B263+B264</f>
        <v>-4039165.4472374814</v>
      </c>
      <c r="C265" s="733">
        <f t="shared" si="36"/>
        <v>-11674.047222269295</v>
      </c>
      <c r="D265" s="733">
        <f t="shared" si="36"/>
        <v>-510908.00953600003</v>
      </c>
      <c r="E265" s="733">
        <f t="shared" si="36"/>
        <v>-8400.909216</v>
      </c>
      <c r="F265" s="733">
        <f t="shared" si="36"/>
        <v>-20383.134662</v>
      </c>
      <c r="G265" s="733">
        <f t="shared" si="36"/>
        <v>-90710.201644999994</v>
      </c>
      <c r="H265" s="733">
        <f t="shared" si="36"/>
        <v>-5229.986347</v>
      </c>
      <c r="I265" s="733">
        <f t="shared" si="36"/>
        <v>-75506.21428</v>
      </c>
      <c r="J265" s="733">
        <f t="shared" si="36"/>
        <v>-15646.719346</v>
      </c>
      <c r="K265" s="733">
        <f t="shared" si="36"/>
        <v>10303.575269999999</v>
      </c>
      <c r="L265" s="733">
        <f t="shared" si="36"/>
        <v>99.219859999999997</v>
      </c>
      <c r="M265" s="733">
        <f t="shared" si="36"/>
        <v>0</v>
      </c>
      <c r="N265" s="733">
        <f t="shared" si="36"/>
        <v>-33322.013401000033</v>
      </c>
      <c r="O265" s="733">
        <f t="shared" si="36"/>
        <v>-4800543.8877627505</v>
      </c>
    </row>
    <row r="266" spans="1:15" x14ac:dyDescent="0.2">
      <c r="A266" s="754" t="s">
        <v>520</v>
      </c>
      <c r="B266" s="755">
        <f>B263+-3646947.868699</f>
        <v>-4039165.4472374814</v>
      </c>
      <c r="C266" s="755">
        <f>C263+-11673.544619</f>
        <v>-11674.047222269295</v>
      </c>
      <c r="D266" s="755">
        <f>D263+-510908.009536</f>
        <v>-510908.00953600003</v>
      </c>
      <c r="E266" s="755">
        <f>E263+-8400.909216</f>
        <v>-8400.909216</v>
      </c>
      <c r="F266" s="755">
        <f>F263+-20383.134662</f>
        <v>-20383.134662</v>
      </c>
      <c r="G266" s="755">
        <f>G263+-90710.201645</f>
        <v>-90710.201644999994</v>
      </c>
      <c r="H266" s="755">
        <f>H263+-5229.986347</f>
        <v>-5229.986347</v>
      </c>
      <c r="I266" s="755">
        <f>I263+-75506.21428</f>
        <v>-75506.21428</v>
      </c>
      <c r="J266" s="755">
        <f>J263+-15646.719346</f>
        <v>-15646.719346</v>
      </c>
      <c r="K266" s="755">
        <f>K263+10303.57527</f>
        <v>10303.575269999999</v>
      </c>
      <c r="L266" s="755">
        <f>L263+99.21986</f>
        <v>99.219859999999997</v>
      </c>
      <c r="M266" s="755">
        <f>M263+0</f>
        <v>0</v>
      </c>
      <c r="N266" s="755">
        <f>N263+8553.115203</f>
        <v>-33322.013401000033</v>
      </c>
      <c r="O266" s="755">
        <f>O263+-4366450.678017</f>
        <v>-4800543.8877627505</v>
      </c>
    </row>
    <row r="267" spans="1:15" ht="12.5" x14ac:dyDescent="0.25">
      <c r="A267" s="726" t="s">
        <v>521</v>
      </c>
      <c r="B267" s="727">
        <v>-18933040.155677103</v>
      </c>
      <c r="C267" s="727">
        <v>8282539.7435066234</v>
      </c>
      <c r="D267" s="727">
        <v>724071.48966812971</v>
      </c>
      <c r="E267" s="727">
        <v>74523.558362442782</v>
      </c>
      <c r="F267" s="727">
        <v>872740.93962812086</v>
      </c>
      <c r="G267" s="727">
        <v>1606102.6235506365</v>
      </c>
      <c r="H267" s="727">
        <v>85469.93122563744</v>
      </c>
      <c r="I267" s="727">
        <v>1721077.9095984637</v>
      </c>
      <c r="J267" s="727">
        <v>344280.77684569784</v>
      </c>
      <c r="K267" s="727">
        <v>420056.07640872151</v>
      </c>
      <c r="L267" s="727">
        <v>92148.130567342829</v>
      </c>
      <c r="M267" s="727">
        <v>-1501670</v>
      </c>
      <c r="N267" s="727">
        <v>6375.5033208643417</v>
      </c>
      <c r="O267" s="727">
        <v>-6205323.4729944356</v>
      </c>
    </row>
    <row r="268" spans="1:15" ht="12.5" x14ac:dyDescent="0.25">
      <c r="A268" s="728" t="s">
        <v>522</v>
      </c>
      <c r="B268" s="727"/>
      <c r="C268" s="727"/>
      <c r="D268" s="727"/>
      <c r="E268" s="727"/>
      <c r="F268" s="727"/>
      <c r="G268" s="727"/>
      <c r="H268" s="727"/>
      <c r="I268" s="727"/>
      <c r="J268" s="727"/>
      <c r="K268" s="727"/>
      <c r="L268" s="727"/>
      <c r="M268" s="727"/>
      <c r="N268" s="727"/>
      <c r="O268" s="727"/>
    </row>
    <row r="269" spans="1:15" ht="12.5" x14ac:dyDescent="0.25">
      <c r="A269" s="729" t="s">
        <v>523</v>
      </c>
      <c r="B269" s="731">
        <v>-2500748.0100769941</v>
      </c>
      <c r="C269" s="731">
        <v>0</v>
      </c>
      <c r="D269" s="731">
        <v>0</v>
      </c>
      <c r="E269" s="731">
        <v>0</v>
      </c>
      <c r="F269" s="731">
        <v>0</v>
      </c>
      <c r="G269" s="731">
        <v>0</v>
      </c>
      <c r="H269" s="731">
        <v>0</v>
      </c>
      <c r="I269" s="731">
        <v>0</v>
      </c>
      <c r="J269" s="731">
        <v>0</v>
      </c>
      <c r="K269" s="731">
        <v>0</v>
      </c>
      <c r="L269" s="731">
        <v>0</v>
      </c>
      <c r="M269" s="731">
        <v>0</v>
      </c>
      <c r="N269" s="731">
        <v>0</v>
      </c>
      <c r="O269" s="731">
        <f>SUM(B269:N269)</f>
        <v>-2500748.0100769941</v>
      </c>
    </row>
    <row r="270" spans="1:15" ht="12.5" x14ac:dyDescent="0.25">
      <c r="A270" s="729" t="s">
        <v>524</v>
      </c>
      <c r="B270" s="731">
        <v>-32837027.326849319</v>
      </c>
      <c r="C270" s="731">
        <v>-4689224.4721418163</v>
      </c>
      <c r="D270" s="731">
        <v>-57935.51839781009</v>
      </c>
      <c r="E270" s="731">
        <v>45152.037120596797</v>
      </c>
      <c r="F270" s="731">
        <v>0</v>
      </c>
      <c r="G270" s="731">
        <v>0</v>
      </c>
      <c r="H270" s="731">
        <v>0</v>
      </c>
      <c r="I270" s="731">
        <v>0</v>
      </c>
      <c r="J270" s="731">
        <v>0</v>
      </c>
      <c r="K270" s="731">
        <v>0</v>
      </c>
      <c r="L270" s="731">
        <v>0</v>
      </c>
      <c r="M270" s="731">
        <v>0</v>
      </c>
      <c r="N270" s="731">
        <v>-883.98403809659999</v>
      </c>
      <c r="O270" s="731">
        <f>SUM(B270:N270)</f>
        <v>-37539919.264306448</v>
      </c>
    </row>
    <row r="271" spans="1:15" ht="12.5" x14ac:dyDescent="0.25">
      <c r="A271" s="729" t="s">
        <v>525</v>
      </c>
      <c r="B271" s="731">
        <v>6355403.2071198002</v>
      </c>
      <c r="C271" s="731">
        <v>0</v>
      </c>
      <c r="D271" s="731">
        <v>0</v>
      </c>
      <c r="E271" s="731">
        <v>0</v>
      </c>
      <c r="F271" s="731">
        <v>0</v>
      </c>
      <c r="G271" s="731">
        <v>0</v>
      </c>
      <c r="H271" s="731">
        <v>0</v>
      </c>
      <c r="I271" s="731">
        <v>0</v>
      </c>
      <c r="J271" s="731">
        <v>0</v>
      </c>
      <c r="K271" s="731">
        <v>0</v>
      </c>
      <c r="L271" s="731">
        <v>0</v>
      </c>
      <c r="M271" s="731">
        <v>0</v>
      </c>
      <c r="N271" s="731">
        <v>0</v>
      </c>
      <c r="O271" s="731">
        <f>SUM(B271:N271)</f>
        <v>6355403.2071198002</v>
      </c>
    </row>
    <row r="272" spans="1:15" ht="12.5" x14ac:dyDescent="0.25">
      <c r="A272" s="728" t="s">
        <v>526</v>
      </c>
      <c r="B272" s="731">
        <f t="shared" ref="B272:O272" si="37">SUM(B269:B271)</f>
        <v>-28982372.129806511</v>
      </c>
      <c r="C272" s="731">
        <f t="shared" si="37"/>
        <v>-4689224.4721418163</v>
      </c>
      <c r="D272" s="731">
        <f t="shared" si="37"/>
        <v>-57935.51839781009</v>
      </c>
      <c r="E272" s="731">
        <f t="shared" si="37"/>
        <v>45152.037120596797</v>
      </c>
      <c r="F272" s="731">
        <f t="shared" si="37"/>
        <v>0</v>
      </c>
      <c r="G272" s="731">
        <f t="shared" si="37"/>
        <v>0</v>
      </c>
      <c r="H272" s="731">
        <f t="shared" si="37"/>
        <v>0</v>
      </c>
      <c r="I272" s="731">
        <f t="shared" si="37"/>
        <v>0</v>
      </c>
      <c r="J272" s="731">
        <f t="shared" si="37"/>
        <v>0</v>
      </c>
      <c r="K272" s="731">
        <f t="shared" si="37"/>
        <v>0</v>
      </c>
      <c r="L272" s="731">
        <f t="shared" si="37"/>
        <v>0</v>
      </c>
      <c r="M272" s="731">
        <f t="shared" si="37"/>
        <v>0</v>
      </c>
      <c r="N272" s="731">
        <f t="shared" si="37"/>
        <v>-883.98403809659999</v>
      </c>
      <c r="O272" s="731">
        <f t="shared" si="37"/>
        <v>-33685264.06726364</v>
      </c>
    </row>
    <row r="273" spans="1:15" ht="12.5" x14ac:dyDescent="0.25">
      <c r="A273" s="728" t="s">
        <v>527</v>
      </c>
      <c r="B273" s="731">
        <v>8030950.8910129284</v>
      </c>
      <c r="C273" s="731">
        <v>2363588.2333771684</v>
      </c>
      <c r="D273" s="731">
        <v>70004.503819829202</v>
      </c>
      <c r="E273" s="731">
        <v>72471.624376801614</v>
      </c>
      <c r="F273" s="731">
        <v>124620.68442806846</v>
      </c>
      <c r="G273" s="731">
        <v>162168.79992049767</v>
      </c>
      <c r="H273" s="731">
        <v>-31976.31338060234</v>
      </c>
      <c r="I273" s="731">
        <v>296677.46437766764</v>
      </c>
      <c r="J273" s="731">
        <v>32571.71695169375</v>
      </c>
      <c r="K273" s="731">
        <v>61304.396931464697</v>
      </c>
      <c r="L273" s="731">
        <v>32384.78420886839</v>
      </c>
      <c r="M273" s="731">
        <v>-1501670</v>
      </c>
      <c r="N273" s="731">
        <v>-7658.4105702020315</v>
      </c>
      <c r="O273" s="731">
        <f>SUM(B273:N273)</f>
        <v>9705438.3754541818</v>
      </c>
    </row>
    <row r="274" spans="1:15" ht="12.5" x14ac:dyDescent="0.25">
      <c r="A274" s="728" t="s">
        <v>528</v>
      </c>
      <c r="B274" s="731">
        <v>2018381.0831164778</v>
      </c>
      <c r="C274" s="731">
        <v>10608175.98296934</v>
      </c>
      <c r="D274" s="731">
        <v>712002.50424611056</v>
      </c>
      <c r="E274" s="731">
        <v>-43100.103134955629</v>
      </c>
      <c r="F274" s="731">
        <v>748120.2552000524</v>
      </c>
      <c r="G274" s="731">
        <v>1443933.8236301388</v>
      </c>
      <c r="H274" s="731">
        <v>117446.24460623978</v>
      </c>
      <c r="I274" s="731">
        <v>1424400.4452207959</v>
      </c>
      <c r="J274" s="731">
        <v>311709.05989400408</v>
      </c>
      <c r="K274" s="731">
        <v>358751.67947725684</v>
      </c>
      <c r="L274" s="731">
        <v>59763.346358474439</v>
      </c>
      <c r="M274" s="731">
        <v>0</v>
      </c>
      <c r="N274" s="731">
        <v>14917.897929162973</v>
      </c>
      <c r="O274" s="731">
        <f>SUM(B274:N274)</f>
        <v>17774502.219513092</v>
      </c>
    </row>
    <row r="275" spans="1:15" ht="12.5" x14ac:dyDescent="0.2">
      <c r="A275" s="751" t="s">
        <v>529</v>
      </c>
      <c r="B275" s="733">
        <f>0+B272+B273+B274</f>
        <v>-18933040.155677103</v>
      </c>
      <c r="C275" s="733">
        <f>-0.0006980684+C272+C273+C274</f>
        <v>8282539.7435066234</v>
      </c>
      <c r="D275" s="733">
        <f t="shared" ref="D275:N275" si="38">0+D272+D273+D274</f>
        <v>724071.48966812971</v>
      </c>
      <c r="E275" s="733">
        <f t="shared" si="38"/>
        <v>74523.558362442782</v>
      </c>
      <c r="F275" s="733">
        <f t="shared" si="38"/>
        <v>872740.93962812086</v>
      </c>
      <c r="G275" s="733">
        <f t="shared" si="38"/>
        <v>1606102.6235506365</v>
      </c>
      <c r="H275" s="733">
        <f t="shared" si="38"/>
        <v>85469.93122563744</v>
      </c>
      <c r="I275" s="733">
        <f t="shared" si="38"/>
        <v>1721077.9095984637</v>
      </c>
      <c r="J275" s="733">
        <f t="shared" si="38"/>
        <v>344280.77684569784</v>
      </c>
      <c r="K275" s="733">
        <f t="shared" si="38"/>
        <v>420056.07640872151</v>
      </c>
      <c r="L275" s="733">
        <f t="shared" si="38"/>
        <v>92148.130567342829</v>
      </c>
      <c r="M275" s="733">
        <f t="shared" si="38"/>
        <v>-1501670</v>
      </c>
      <c r="N275" s="733">
        <f t="shared" si="38"/>
        <v>6375.5033208643417</v>
      </c>
      <c r="O275" s="733">
        <f>-0.0006980684+O272+O273+O274</f>
        <v>-6205323.4729944356</v>
      </c>
    </row>
    <row r="276" spans="1:15" ht="12.5" x14ac:dyDescent="0.25">
      <c r="A276" s="726" t="s">
        <v>4352</v>
      </c>
      <c r="B276" s="727">
        <v>-17864.712637245899</v>
      </c>
      <c r="C276" s="727">
        <v>0</v>
      </c>
      <c r="D276" s="727">
        <v>0</v>
      </c>
      <c r="E276" s="727">
        <v>0</v>
      </c>
      <c r="F276" s="727">
        <v>0</v>
      </c>
      <c r="G276" s="727">
        <v>0</v>
      </c>
      <c r="H276" s="727">
        <v>0</v>
      </c>
      <c r="I276" s="727">
        <v>0</v>
      </c>
      <c r="J276" s="727">
        <v>0</v>
      </c>
      <c r="K276" s="727">
        <v>0</v>
      </c>
      <c r="L276" s="727">
        <v>0</v>
      </c>
      <c r="M276" s="727">
        <v>0</v>
      </c>
      <c r="N276" s="727">
        <v>0</v>
      </c>
      <c r="O276" s="727">
        <v>-17864.712637245899</v>
      </c>
    </row>
    <row r="277" spans="1:15" ht="12.5" x14ac:dyDescent="0.25">
      <c r="A277" s="728" t="s">
        <v>4330</v>
      </c>
      <c r="B277" s="731">
        <v>-17864.712637245899</v>
      </c>
      <c r="C277" s="731">
        <v>0</v>
      </c>
      <c r="D277" s="731">
        <v>0</v>
      </c>
      <c r="E277" s="731">
        <v>0</v>
      </c>
      <c r="F277" s="731">
        <v>0</v>
      </c>
      <c r="G277" s="731">
        <v>0</v>
      </c>
      <c r="H277" s="731">
        <v>0</v>
      </c>
      <c r="I277" s="731">
        <v>0</v>
      </c>
      <c r="J277" s="731">
        <v>0</v>
      </c>
      <c r="K277" s="731">
        <v>0</v>
      </c>
      <c r="L277" s="731">
        <v>0</v>
      </c>
      <c r="M277" s="731">
        <v>0</v>
      </c>
      <c r="N277" s="731">
        <v>0</v>
      </c>
      <c r="O277" s="731">
        <f>SUM(B277:N277)</f>
        <v>-17864.712637245899</v>
      </c>
    </row>
    <row r="278" spans="1:15" ht="12.5" x14ac:dyDescent="0.25">
      <c r="A278" s="739" t="s">
        <v>4353</v>
      </c>
      <c r="B278" s="733">
        <f t="shared" ref="B278:O278" si="39">SUM(B277)</f>
        <v>-17864.712637245899</v>
      </c>
      <c r="C278" s="733">
        <f t="shared" si="39"/>
        <v>0</v>
      </c>
      <c r="D278" s="733">
        <f t="shared" si="39"/>
        <v>0</v>
      </c>
      <c r="E278" s="733">
        <f t="shared" si="39"/>
        <v>0</v>
      </c>
      <c r="F278" s="733">
        <f t="shared" si="39"/>
        <v>0</v>
      </c>
      <c r="G278" s="733">
        <f t="shared" si="39"/>
        <v>0</v>
      </c>
      <c r="H278" s="733">
        <f t="shared" si="39"/>
        <v>0</v>
      </c>
      <c r="I278" s="733">
        <f t="shared" si="39"/>
        <v>0</v>
      </c>
      <c r="J278" s="733">
        <f t="shared" si="39"/>
        <v>0</v>
      </c>
      <c r="K278" s="733">
        <f t="shared" si="39"/>
        <v>0</v>
      </c>
      <c r="L278" s="733">
        <f t="shared" si="39"/>
        <v>0</v>
      </c>
      <c r="M278" s="733">
        <f t="shared" si="39"/>
        <v>0</v>
      </c>
      <c r="N278" s="733">
        <f t="shared" si="39"/>
        <v>0</v>
      </c>
      <c r="O278" s="733">
        <f t="shared" si="39"/>
        <v>-17864.712637245899</v>
      </c>
    </row>
    <row r="279" spans="1:15" ht="12.5" x14ac:dyDescent="0.2">
      <c r="A279" s="748" t="s">
        <v>530</v>
      </c>
      <c r="B279" s="749">
        <f t="shared" ref="B279:O279" si="40">B252+B255+B265+B266+B275+B278</f>
        <v>-24133027.047311876</v>
      </c>
      <c r="C279" s="749">
        <f t="shared" si="40"/>
        <v>16205340.880730789</v>
      </c>
      <c r="D279" s="749">
        <f t="shared" si="40"/>
        <v>-217710.49762757029</v>
      </c>
      <c r="E279" s="749">
        <f t="shared" si="40"/>
        <v>130462.52707044278</v>
      </c>
      <c r="F279" s="749">
        <f t="shared" si="40"/>
        <v>860011.50030412083</v>
      </c>
      <c r="G279" s="749">
        <f t="shared" si="40"/>
        <v>1424823.0963636565</v>
      </c>
      <c r="H279" s="749">
        <f t="shared" si="40"/>
        <v>75079.999301837437</v>
      </c>
      <c r="I279" s="749">
        <f t="shared" si="40"/>
        <v>1571548.6610455406</v>
      </c>
      <c r="J279" s="749">
        <f t="shared" si="40"/>
        <v>318340.75853369781</v>
      </c>
      <c r="K279" s="749">
        <f t="shared" si="40"/>
        <v>453928.80618403648</v>
      </c>
      <c r="L279" s="749">
        <f t="shared" si="40"/>
        <v>102756.18878734283</v>
      </c>
      <c r="M279" s="749">
        <f t="shared" si="40"/>
        <v>-1501670</v>
      </c>
      <c r="N279" s="749">
        <f t="shared" si="40"/>
        <v>-8129024.0170700159</v>
      </c>
      <c r="O279" s="749">
        <f t="shared" si="40"/>
        <v>-12839139.143688012</v>
      </c>
    </row>
    <row r="280" spans="1:15" ht="13" thickBot="1" x14ac:dyDescent="0.25">
      <c r="A280" s="756" t="s">
        <v>531</v>
      </c>
      <c r="B280" s="757">
        <f t="shared" ref="B280:O280" si="41">B275+B252+B255+B265+B278</f>
        <v>-20093861.600074396</v>
      </c>
      <c r="C280" s="757">
        <f t="shared" si="41"/>
        <v>16217014.927953059</v>
      </c>
      <c r="D280" s="757">
        <f t="shared" si="41"/>
        <v>293197.51190842973</v>
      </c>
      <c r="E280" s="757">
        <f t="shared" si="41"/>
        <v>138863.4362864428</v>
      </c>
      <c r="F280" s="757">
        <f t="shared" si="41"/>
        <v>880394.63496612082</v>
      </c>
      <c r="G280" s="757">
        <f t="shared" si="41"/>
        <v>1515533.2980086566</v>
      </c>
      <c r="H280" s="757">
        <f t="shared" si="41"/>
        <v>80309.985648837435</v>
      </c>
      <c r="I280" s="757">
        <f t="shared" si="41"/>
        <v>1647054.8753255405</v>
      </c>
      <c r="J280" s="757">
        <f t="shared" si="41"/>
        <v>333987.47787969786</v>
      </c>
      <c r="K280" s="757">
        <f t="shared" si="41"/>
        <v>443625.23091403645</v>
      </c>
      <c r="L280" s="757">
        <f t="shared" si="41"/>
        <v>102656.96892734282</v>
      </c>
      <c r="M280" s="757">
        <f t="shared" si="41"/>
        <v>-1501670</v>
      </c>
      <c r="N280" s="757">
        <f t="shared" si="41"/>
        <v>-8095702.0036690161</v>
      </c>
      <c r="O280" s="757">
        <f t="shared" si="41"/>
        <v>-8038595.2559252605</v>
      </c>
    </row>
    <row r="281" spans="1:15" ht="14" thickTop="1" thickBot="1" x14ac:dyDescent="0.25">
      <c r="A281" s="758" t="s">
        <v>532</v>
      </c>
      <c r="B281" s="759">
        <f t="shared" ref="B281:O281" si="42">B227+B246+B280+B239+B230</f>
        <v>182940400.57728815</v>
      </c>
      <c r="C281" s="759">
        <f t="shared" si="42"/>
        <v>80419253.959437847</v>
      </c>
      <c r="D281" s="759">
        <f t="shared" si="42"/>
        <v>3726093.5818903516</v>
      </c>
      <c r="E281" s="759">
        <f t="shared" si="42"/>
        <v>469424.64099351643</v>
      </c>
      <c r="F281" s="759">
        <f t="shared" si="42"/>
        <v>1873032.6490706261</v>
      </c>
      <c r="G281" s="759">
        <f t="shared" si="42"/>
        <v>2097825.0314812735</v>
      </c>
      <c r="H281" s="759">
        <f t="shared" si="42"/>
        <v>221258.26417232622</v>
      </c>
      <c r="I281" s="759">
        <f t="shared" si="42"/>
        <v>2977112.8430808145</v>
      </c>
      <c r="J281" s="759">
        <f t="shared" si="42"/>
        <v>651391.10155061353</v>
      </c>
      <c r="K281" s="759">
        <f t="shared" si="42"/>
        <v>2532222.6134631895</v>
      </c>
      <c r="L281" s="759">
        <f t="shared" si="42"/>
        <v>351235.60384100641</v>
      </c>
      <c r="M281" s="759">
        <f t="shared" si="42"/>
        <v>351377</v>
      </c>
      <c r="N281" s="759">
        <f t="shared" si="42"/>
        <v>-42224946.054600641</v>
      </c>
      <c r="O281" s="759">
        <f t="shared" si="42"/>
        <v>236385681.81166899</v>
      </c>
    </row>
    <row r="282" spans="1:15" ht="10.5" thickTop="1" x14ac:dyDescent="0.2">
      <c r="A282" s="760" t="s">
        <v>533</v>
      </c>
      <c r="B282" s="761">
        <f t="shared" ref="B282:O282" si="43">B153-B281</f>
        <v>0</v>
      </c>
      <c r="C282" s="761">
        <f t="shared" si="43"/>
        <v>-2.5331974029541016E-7</v>
      </c>
      <c r="D282" s="761">
        <f t="shared" si="43"/>
        <v>5.0198286771774292E-7</v>
      </c>
      <c r="E282" s="761">
        <f t="shared" si="43"/>
        <v>-3.746827132999897E-7</v>
      </c>
      <c r="F282" s="761">
        <f t="shared" si="43"/>
        <v>-3.6321580410003662E-7</v>
      </c>
      <c r="G282" s="761">
        <f t="shared" si="43"/>
        <v>-4.377216100692749E-8</v>
      </c>
      <c r="H282" s="761">
        <f t="shared" si="43"/>
        <v>-4.1502062231302261E-7</v>
      </c>
      <c r="I282" s="761">
        <f t="shared" si="43"/>
        <v>-4.5914202928543091E-7</v>
      </c>
      <c r="J282" s="761">
        <f t="shared" si="43"/>
        <v>-4.2188912630081177E-7</v>
      </c>
      <c r="K282" s="761">
        <f t="shared" si="43"/>
        <v>-2.4214386940002441E-8</v>
      </c>
      <c r="L282" s="761">
        <f t="shared" si="43"/>
        <v>-1.3923272490501404E-7</v>
      </c>
      <c r="M282" s="761">
        <f t="shared" si="43"/>
        <v>0</v>
      </c>
      <c r="N282" s="761">
        <f t="shared" si="43"/>
        <v>-4.0978193283081055E-7</v>
      </c>
      <c r="O282" s="761">
        <f t="shared" si="43"/>
        <v>-2.1159648895263672E-6</v>
      </c>
    </row>
  </sheetData>
  <mergeCells count="6">
    <mergeCell ref="A6:O6"/>
    <mergeCell ref="A1:O1"/>
    <mergeCell ref="A2:O2"/>
    <mergeCell ref="A3:O3"/>
    <mergeCell ref="A4:O4"/>
    <mergeCell ref="A5:O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7"/>
  <dimension ref="A1:O617"/>
  <sheetViews>
    <sheetView topLeftCell="A6" workbookViewId="0">
      <pane xSplit="1" ySplit="4" topLeftCell="B10" activePane="bottomRight" state="frozen"/>
      <selection activeCell="A6" sqref="A6"/>
      <selection pane="topRight" activeCell="B6" sqref="B6"/>
      <selection pane="bottomLeft" activeCell="A10" sqref="A10"/>
      <selection pane="bottomRight" activeCell="A6" sqref="A6:O6"/>
    </sheetView>
  </sheetViews>
  <sheetFormatPr defaultRowHeight="10" x14ac:dyDescent="0.2"/>
  <cols>
    <col min="1" max="1" width="45.109375" customWidth="1"/>
    <col min="2" max="15" width="18.88671875" customWidth="1"/>
  </cols>
  <sheetData>
    <row r="1" spans="1:15" ht="15.5" x14ac:dyDescent="0.35">
      <c r="A1" s="811" t="s">
        <v>0</v>
      </c>
      <c r="B1" s="811"/>
      <c r="C1" s="811"/>
      <c r="D1" s="811"/>
      <c r="E1" s="811"/>
      <c r="F1" s="811"/>
      <c r="G1" s="811"/>
      <c r="H1" s="811"/>
      <c r="I1" s="811"/>
      <c r="J1" s="811"/>
      <c r="K1" s="811"/>
      <c r="L1" s="811"/>
      <c r="M1" s="811"/>
      <c r="N1" s="811"/>
      <c r="O1" s="811"/>
    </row>
    <row r="2" spans="1:15" ht="15.5" x14ac:dyDescent="0.35">
      <c r="A2" s="811" t="s">
        <v>1</v>
      </c>
      <c r="B2" s="811"/>
      <c r="C2" s="811"/>
      <c r="D2" s="811"/>
      <c r="E2" s="811"/>
      <c r="F2" s="811"/>
      <c r="G2" s="811"/>
      <c r="H2" s="811"/>
      <c r="I2" s="811"/>
      <c r="J2" s="811"/>
      <c r="K2" s="811"/>
      <c r="L2" s="811"/>
      <c r="M2" s="811"/>
      <c r="N2" s="811"/>
      <c r="O2" s="811"/>
    </row>
    <row r="3" spans="1:15" ht="18" x14ac:dyDescent="0.4">
      <c r="A3" s="810" t="s">
        <v>4204</v>
      </c>
      <c r="B3" s="810"/>
      <c r="C3" s="810"/>
      <c r="D3" s="810"/>
      <c r="E3" s="810"/>
      <c r="F3" s="810"/>
      <c r="G3" s="810"/>
      <c r="H3" s="810"/>
      <c r="I3" s="810"/>
      <c r="J3" s="810"/>
      <c r="K3" s="810"/>
      <c r="L3" s="810"/>
      <c r="M3" s="810"/>
      <c r="N3" s="810"/>
      <c r="O3" s="810"/>
    </row>
    <row r="4" spans="1:15" ht="18" x14ac:dyDescent="0.4">
      <c r="A4" s="812" t="s">
        <v>4734</v>
      </c>
      <c r="B4" s="812"/>
      <c r="C4" s="812"/>
      <c r="D4" s="812"/>
      <c r="E4" s="812"/>
      <c r="F4" s="812"/>
      <c r="G4" s="812"/>
      <c r="H4" s="812"/>
      <c r="I4" s="812"/>
      <c r="J4" s="812"/>
      <c r="K4" s="812"/>
      <c r="L4" s="812"/>
      <c r="M4" s="812"/>
      <c r="N4" s="812"/>
      <c r="O4" s="812"/>
    </row>
    <row r="5" spans="1:15" ht="18" x14ac:dyDescent="0.4">
      <c r="A5" s="810" t="s">
        <v>4</v>
      </c>
      <c r="B5" s="810"/>
      <c r="C5" s="810"/>
      <c r="D5" s="810"/>
      <c r="E5" s="810"/>
      <c r="F5" s="810"/>
      <c r="G5" s="810"/>
      <c r="H5" s="810"/>
      <c r="I5" s="810"/>
      <c r="J5" s="810"/>
      <c r="K5" s="810"/>
      <c r="L5" s="810"/>
      <c r="M5" s="810"/>
      <c r="N5" s="810"/>
      <c r="O5" s="810"/>
    </row>
    <row r="6" spans="1:15" ht="18" x14ac:dyDescent="0.4">
      <c r="A6" s="810" t="s">
        <v>4205</v>
      </c>
      <c r="B6" s="810"/>
      <c r="C6" s="810"/>
      <c r="D6" s="810"/>
      <c r="E6" s="810"/>
      <c r="F6" s="810"/>
      <c r="G6" s="810"/>
      <c r="H6" s="810"/>
      <c r="I6" s="810"/>
      <c r="J6" s="810"/>
      <c r="K6" s="810"/>
      <c r="L6" s="810"/>
      <c r="M6" s="810"/>
      <c r="N6" s="810"/>
      <c r="O6" s="810"/>
    </row>
    <row r="7" spans="1:15" x14ac:dyDescent="0.2">
      <c r="A7" s="501" t="s">
        <v>307</v>
      </c>
      <c r="B7" s="502" t="s">
        <v>61</v>
      </c>
      <c r="C7" s="502" t="s">
        <v>27</v>
      </c>
      <c r="D7" s="502" t="s">
        <v>212</v>
      </c>
      <c r="E7" s="502" t="s">
        <v>201</v>
      </c>
      <c r="F7" s="502" t="s">
        <v>38</v>
      </c>
      <c r="G7" s="502" t="s">
        <v>186</v>
      </c>
      <c r="H7" s="502" t="s">
        <v>197</v>
      </c>
      <c r="I7" s="502" t="s">
        <v>204</v>
      </c>
      <c r="J7" s="502" t="s">
        <v>193</v>
      </c>
      <c r="K7" s="502" t="s">
        <v>308</v>
      </c>
      <c r="L7" s="502" t="s">
        <v>4194</v>
      </c>
      <c r="M7" s="502" t="s">
        <v>117</v>
      </c>
      <c r="N7" s="502" t="s">
        <v>309</v>
      </c>
      <c r="O7" s="502" t="s">
        <v>218</v>
      </c>
    </row>
    <row r="8" spans="1:15" s="507" customFormat="1" x14ac:dyDescent="0.2">
      <c r="A8" s="506" t="s">
        <v>310</v>
      </c>
      <c r="B8" s="506">
        <v>101</v>
      </c>
      <c r="C8" s="506">
        <v>201</v>
      </c>
      <c r="D8" s="506">
        <v>202</v>
      </c>
      <c r="E8" s="506">
        <v>203</v>
      </c>
      <c r="F8" s="506">
        <v>204</v>
      </c>
      <c r="G8" s="506">
        <v>205</v>
      </c>
      <c r="H8" s="506">
        <v>206</v>
      </c>
      <c r="I8" s="506">
        <v>207</v>
      </c>
      <c r="J8" s="506">
        <v>208</v>
      </c>
      <c r="K8" s="506">
        <v>209</v>
      </c>
      <c r="L8" s="506">
        <v>210</v>
      </c>
      <c r="M8" s="506">
        <v>300</v>
      </c>
      <c r="N8" s="506">
        <v>400</v>
      </c>
      <c r="O8" s="506">
        <v>1000</v>
      </c>
    </row>
    <row r="9" spans="1:15" ht="10.5" x14ac:dyDescent="0.2">
      <c r="A9" s="611" t="s">
        <v>4206</v>
      </c>
      <c r="B9" s="609"/>
      <c r="C9" s="609"/>
      <c r="D9" s="609"/>
      <c r="E9" s="609"/>
      <c r="F9" s="609"/>
      <c r="G9" s="609"/>
      <c r="H9" s="609"/>
      <c r="I9" s="609"/>
      <c r="J9" s="609"/>
      <c r="K9" s="609"/>
      <c r="L9" s="609"/>
      <c r="M9" s="609"/>
      <c r="N9" s="609"/>
      <c r="O9" s="606"/>
    </row>
    <row r="10" spans="1:15" ht="10.5" x14ac:dyDescent="0.25">
      <c r="A10" s="779" t="s">
        <v>4207</v>
      </c>
      <c r="B10" s="780"/>
      <c r="C10" s="780"/>
      <c r="D10" s="780"/>
      <c r="E10" s="780"/>
      <c r="F10" s="780"/>
      <c r="G10" s="780"/>
      <c r="H10" s="780"/>
      <c r="I10" s="780"/>
      <c r="J10" s="780"/>
      <c r="K10" s="780"/>
      <c r="L10" s="780"/>
      <c r="M10" s="780"/>
      <c r="N10" s="780"/>
      <c r="O10" s="780"/>
    </row>
    <row r="11" spans="1:15" ht="10.5" x14ac:dyDescent="0.25">
      <c r="A11" s="781" t="s">
        <v>4208</v>
      </c>
      <c r="B11" s="780">
        <v>43886877.200847819</v>
      </c>
      <c r="C11" s="780">
        <v>33989854.810249262</v>
      </c>
      <c r="D11" s="780">
        <v>2747562.5605823579</v>
      </c>
      <c r="E11" s="780">
        <v>0</v>
      </c>
      <c r="F11" s="780">
        <v>0</v>
      </c>
      <c r="G11" s="780">
        <v>0</v>
      </c>
      <c r="H11" s="780">
        <v>0</v>
      </c>
      <c r="I11" s="780">
        <v>0</v>
      </c>
      <c r="J11" s="780">
        <v>0</v>
      </c>
      <c r="K11" s="780">
        <v>1273305.2200625066</v>
      </c>
      <c r="L11" s="780">
        <v>0</v>
      </c>
      <c r="M11" s="780">
        <v>0</v>
      </c>
      <c r="N11" s="780">
        <v>0</v>
      </c>
      <c r="O11" s="780">
        <v>81897599.791741937</v>
      </c>
    </row>
    <row r="12" spans="1:15" ht="10.5" x14ac:dyDescent="0.25">
      <c r="A12" s="782" t="s">
        <v>534</v>
      </c>
      <c r="B12" s="780"/>
      <c r="C12" s="780"/>
      <c r="D12" s="780"/>
      <c r="E12" s="780"/>
      <c r="F12" s="780"/>
      <c r="G12" s="780"/>
      <c r="H12" s="780"/>
      <c r="I12" s="780"/>
      <c r="J12" s="780"/>
      <c r="K12" s="780"/>
      <c r="L12" s="780"/>
      <c r="M12" s="780"/>
      <c r="N12" s="780"/>
      <c r="O12" s="780"/>
    </row>
    <row r="13" spans="1:15" x14ac:dyDescent="0.2">
      <c r="A13" s="783" t="s">
        <v>535</v>
      </c>
      <c r="B13" s="784">
        <v>42089526.952623725</v>
      </c>
      <c r="C13" s="784">
        <v>33647552.485179156</v>
      </c>
      <c r="D13" s="784">
        <v>2396074.440553728</v>
      </c>
      <c r="E13" s="784">
        <v>0</v>
      </c>
      <c r="F13" s="784">
        <v>0</v>
      </c>
      <c r="G13" s="784">
        <v>0</v>
      </c>
      <c r="H13" s="784">
        <v>0</v>
      </c>
      <c r="I13" s="784">
        <v>0</v>
      </c>
      <c r="J13" s="784">
        <v>0</v>
      </c>
      <c r="K13" s="784">
        <v>940945.99819175189</v>
      </c>
      <c r="L13" s="784">
        <v>0</v>
      </c>
      <c r="M13" s="784">
        <v>0</v>
      </c>
      <c r="N13" s="784">
        <v>0</v>
      </c>
      <c r="O13" s="784">
        <f>SUM(B13:N13)</f>
        <v>79074099.876548365</v>
      </c>
    </row>
    <row r="14" spans="1:15" x14ac:dyDescent="0.2">
      <c r="A14" s="783" t="s">
        <v>536</v>
      </c>
      <c r="B14" s="784">
        <v>456100.71392831201</v>
      </c>
      <c r="C14" s="784">
        <v>140658.14524771963</v>
      </c>
      <c r="D14" s="784">
        <v>0</v>
      </c>
      <c r="E14" s="784">
        <v>0</v>
      </c>
      <c r="F14" s="784">
        <v>0</v>
      </c>
      <c r="G14" s="784">
        <v>0</v>
      </c>
      <c r="H14" s="784">
        <v>0</v>
      </c>
      <c r="I14" s="784">
        <v>0</v>
      </c>
      <c r="J14" s="784">
        <v>0</v>
      </c>
      <c r="K14" s="784">
        <v>332359.22187075467</v>
      </c>
      <c r="L14" s="784">
        <v>0</v>
      </c>
      <c r="M14" s="784">
        <v>0</v>
      </c>
      <c r="N14" s="784">
        <v>0</v>
      </c>
      <c r="O14" s="784">
        <f>SUM(B14:N14)</f>
        <v>929118.08104678639</v>
      </c>
    </row>
    <row r="15" spans="1:15" x14ac:dyDescent="0.2">
      <c r="A15" s="783" t="s">
        <v>537</v>
      </c>
      <c r="B15" s="784">
        <v>375481.99033998756</v>
      </c>
      <c r="C15" s="784">
        <v>9474.3457357174557</v>
      </c>
      <c r="D15" s="784">
        <v>-22.109276304169619</v>
      </c>
      <c r="E15" s="784">
        <v>0</v>
      </c>
      <c r="F15" s="784">
        <v>0</v>
      </c>
      <c r="G15" s="784">
        <v>0</v>
      </c>
      <c r="H15" s="784">
        <v>0</v>
      </c>
      <c r="I15" s="784">
        <v>0</v>
      </c>
      <c r="J15" s="784">
        <v>0</v>
      </c>
      <c r="K15" s="784">
        <v>0</v>
      </c>
      <c r="L15" s="784">
        <v>0</v>
      </c>
      <c r="M15" s="784">
        <v>0</v>
      </c>
      <c r="N15" s="784">
        <v>0</v>
      </c>
      <c r="O15" s="784">
        <f>SUM(B15:N15)</f>
        <v>384934.22679940081</v>
      </c>
    </row>
    <row r="16" spans="1:15" x14ac:dyDescent="0.2">
      <c r="A16" s="783" t="s">
        <v>538</v>
      </c>
      <c r="B16" s="784">
        <v>965767.54395579884</v>
      </c>
      <c r="C16" s="784">
        <v>192169.83408667258</v>
      </c>
      <c r="D16" s="784">
        <v>351510.2293049338</v>
      </c>
      <c r="E16" s="784">
        <v>0</v>
      </c>
      <c r="F16" s="784">
        <v>0</v>
      </c>
      <c r="G16" s="784">
        <v>0</v>
      </c>
      <c r="H16" s="784">
        <v>0</v>
      </c>
      <c r="I16" s="784">
        <v>0</v>
      </c>
      <c r="J16" s="784">
        <v>0</v>
      </c>
      <c r="K16" s="784">
        <v>0</v>
      </c>
      <c r="L16" s="784">
        <v>0</v>
      </c>
      <c r="M16" s="784">
        <v>0</v>
      </c>
      <c r="N16" s="784">
        <v>0</v>
      </c>
      <c r="O16" s="784">
        <f>SUM(B16:N16)</f>
        <v>1509447.607347405</v>
      </c>
    </row>
    <row r="17" spans="1:15" ht="10.5" x14ac:dyDescent="0.25">
      <c r="A17" s="785" t="s">
        <v>539</v>
      </c>
      <c r="B17" s="786">
        <f t="shared" ref="B17:O17" si="0">SUM(B13:B16)</f>
        <v>43886877.200847819</v>
      </c>
      <c r="C17" s="786">
        <f t="shared" si="0"/>
        <v>33989854.810249262</v>
      </c>
      <c r="D17" s="786">
        <f t="shared" si="0"/>
        <v>2747562.5605823579</v>
      </c>
      <c r="E17" s="786">
        <f t="shared" si="0"/>
        <v>0</v>
      </c>
      <c r="F17" s="786">
        <f t="shared" si="0"/>
        <v>0</v>
      </c>
      <c r="G17" s="786">
        <f t="shared" si="0"/>
        <v>0</v>
      </c>
      <c r="H17" s="786">
        <f t="shared" si="0"/>
        <v>0</v>
      </c>
      <c r="I17" s="786">
        <f t="shared" si="0"/>
        <v>0</v>
      </c>
      <c r="J17" s="786">
        <f t="shared" si="0"/>
        <v>0</v>
      </c>
      <c r="K17" s="786">
        <f t="shared" si="0"/>
        <v>1273305.2200625066</v>
      </c>
      <c r="L17" s="786">
        <f t="shared" si="0"/>
        <v>0</v>
      </c>
      <c r="M17" s="786">
        <f t="shared" si="0"/>
        <v>0</v>
      </c>
      <c r="N17" s="786">
        <f t="shared" si="0"/>
        <v>0</v>
      </c>
      <c r="O17" s="786">
        <f t="shared" si="0"/>
        <v>81897599.791741952</v>
      </c>
    </row>
    <row r="18" spans="1:15" ht="10.5" x14ac:dyDescent="0.25">
      <c r="A18" s="787" t="s">
        <v>4209</v>
      </c>
      <c r="B18" s="786">
        <f t="shared" ref="B18:O18" si="1">SUM(B17)</f>
        <v>43886877.200847819</v>
      </c>
      <c r="C18" s="786">
        <f t="shared" si="1"/>
        <v>33989854.810249262</v>
      </c>
      <c r="D18" s="786">
        <f t="shared" si="1"/>
        <v>2747562.5605823579</v>
      </c>
      <c r="E18" s="786">
        <f t="shared" si="1"/>
        <v>0</v>
      </c>
      <c r="F18" s="786">
        <f t="shared" si="1"/>
        <v>0</v>
      </c>
      <c r="G18" s="786">
        <f t="shared" si="1"/>
        <v>0</v>
      </c>
      <c r="H18" s="786">
        <f t="shared" si="1"/>
        <v>0</v>
      </c>
      <c r="I18" s="786">
        <f t="shared" si="1"/>
        <v>0</v>
      </c>
      <c r="J18" s="786">
        <f t="shared" si="1"/>
        <v>0</v>
      </c>
      <c r="K18" s="786">
        <f t="shared" si="1"/>
        <v>1273305.2200625066</v>
      </c>
      <c r="L18" s="786">
        <f t="shared" si="1"/>
        <v>0</v>
      </c>
      <c r="M18" s="786">
        <f t="shared" si="1"/>
        <v>0</v>
      </c>
      <c r="N18" s="786">
        <f t="shared" si="1"/>
        <v>0</v>
      </c>
      <c r="O18" s="786">
        <f t="shared" si="1"/>
        <v>81897599.791741952</v>
      </c>
    </row>
    <row r="19" spans="1:15" ht="10.5" x14ac:dyDescent="0.25">
      <c r="A19" s="781" t="s">
        <v>4210</v>
      </c>
      <c r="B19" s="780">
        <v>5619166.3363774586</v>
      </c>
      <c r="C19" s="780">
        <v>9476624.1650976092</v>
      </c>
      <c r="D19" s="780">
        <v>309287.71121935907</v>
      </c>
      <c r="E19" s="780">
        <v>0</v>
      </c>
      <c r="F19" s="780">
        <v>0</v>
      </c>
      <c r="G19" s="780">
        <v>0</v>
      </c>
      <c r="H19" s="780">
        <v>0</v>
      </c>
      <c r="I19" s="780">
        <v>0</v>
      </c>
      <c r="J19" s="780">
        <v>0</v>
      </c>
      <c r="K19" s="780">
        <v>109640.9913195852</v>
      </c>
      <c r="L19" s="780">
        <v>0</v>
      </c>
      <c r="M19" s="780">
        <v>0</v>
      </c>
      <c r="N19" s="780">
        <v>0</v>
      </c>
      <c r="O19" s="780">
        <v>15514719.204014013</v>
      </c>
    </row>
    <row r="20" spans="1:15" ht="10.5" x14ac:dyDescent="0.25">
      <c r="A20" s="782" t="s">
        <v>540</v>
      </c>
      <c r="B20" s="780"/>
      <c r="C20" s="780"/>
      <c r="D20" s="780"/>
      <c r="E20" s="780"/>
      <c r="F20" s="780"/>
      <c r="G20" s="780"/>
      <c r="H20" s="780"/>
      <c r="I20" s="780"/>
      <c r="J20" s="780"/>
      <c r="K20" s="780"/>
      <c r="L20" s="780"/>
      <c r="M20" s="780"/>
      <c r="N20" s="780"/>
      <c r="O20" s="780"/>
    </row>
    <row r="21" spans="1:15" x14ac:dyDescent="0.2">
      <c r="A21" s="783" t="s">
        <v>541</v>
      </c>
      <c r="B21" s="784">
        <v>3493998.0632275757</v>
      </c>
      <c r="C21" s="784">
        <v>3409814.1330390815</v>
      </c>
      <c r="D21" s="784">
        <v>276620.54538326344</v>
      </c>
      <c r="E21" s="784">
        <v>0</v>
      </c>
      <c r="F21" s="784">
        <v>0</v>
      </c>
      <c r="G21" s="784">
        <v>0</v>
      </c>
      <c r="H21" s="784">
        <v>0</v>
      </c>
      <c r="I21" s="784">
        <v>0</v>
      </c>
      <c r="J21" s="784">
        <v>0</v>
      </c>
      <c r="K21" s="784">
        <v>0</v>
      </c>
      <c r="L21" s="784">
        <v>0</v>
      </c>
      <c r="M21" s="784">
        <v>0</v>
      </c>
      <c r="N21" s="784">
        <v>0</v>
      </c>
      <c r="O21" s="784">
        <f>SUM(B21:N21)</f>
        <v>7180432.7416499201</v>
      </c>
    </row>
    <row r="22" spans="1:15" x14ac:dyDescent="0.2">
      <c r="A22" s="783" t="s">
        <v>542</v>
      </c>
      <c r="B22" s="784">
        <v>1411128.989886319</v>
      </c>
      <c r="C22" s="784">
        <v>4238149.4958864441</v>
      </c>
      <c r="D22" s="784">
        <v>27935.852247304418</v>
      </c>
      <c r="E22" s="784">
        <v>0</v>
      </c>
      <c r="F22" s="784">
        <v>0</v>
      </c>
      <c r="G22" s="784">
        <v>0</v>
      </c>
      <c r="H22" s="784">
        <v>0</v>
      </c>
      <c r="I22" s="784">
        <v>0</v>
      </c>
      <c r="J22" s="784">
        <v>0</v>
      </c>
      <c r="K22" s="784">
        <v>109640.9913195852</v>
      </c>
      <c r="L22" s="784">
        <v>0</v>
      </c>
      <c r="M22" s="784">
        <v>0</v>
      </c>
      <c r="N22" s="784">
        <v>0</v>
      </c>
      <c r="O22" s="784">
        <f>SUM(B22:N22)</f>
        <v>5786855.3293396533</v>
      </c>
    </row>
    <row r="23" spans="1:15" x14ac:dyDescent="0.2">
      <c r="A23" s="783" t="s">
        <v>543</v>
      </c>
      <c r="B23" s="784">
        <v>674163.65796676406</v>
      </c>
      <c r="C23" s="784">
        <v>357398.52569690702</v>
      </c>
      <c r="D23" s="784">
        <v>4731.3135887912131</v>
      </c>
      <c r="E23" s="784">
        <v>0</v>
      </c>
      <c r="F23" s="784">
        <v>0</v>
      </c>
      <c r="G23" s="784">
        <v>0</v>
      </c>
      <c r="H23" s="784">
        <v>0</v>
      </c>
      <c r="I23" s="784">
        <v>0</v>
      </c>
      <c r="J23" s="784">
        <v>0</v>
      </c>
      <c r="K23" s="784">
        <v>0</v>
      </c>
      <c r="L23" s="784">
        <v>0</v>
      </c>
      <c r="M23" s="784">
        <v>0</v>
      </c>
      <c r="N23" s="784">
        <v>0</v>
      </c>
      <c r="O23" s="784">
        <f>SUM(B23:N23)</f>
        <v>1036293.4972524623</v>
      </c>
    </row>
    <row r="24" spans="1:15" x14ac:dyDescent="0.2">
      <c r="A24" s="783" t="s">
        <v>544</v>
      </c>
      <c r="B24" s="784">
        <v>39875.625296800201</v>
      </c>
      <c r="C24" s="784">
        <v>1471262.0104751759</v>
      </c>
      <c r="D24" s="784">
        <v>0</v>
      </c>
      <c r="E24" s="784">
        <v>0</v>
      </c>
      <c r="F24" s="784">
        <v>0</v>
      </c>
      <c r="G24" s="784">
        <v>0</v>
      </c>
      <c r="H24" s="784">
        <v>0</v>
      </c>
      <c r="I24" s="784">
        <v>0</v>
      </c>
      <c r="J24" s="784">
        <v>0</v>
      </c>
      <c r="K24" s="784">
        <v>0</v>
      </c>
      <c r="L24" s="784">
        <v>0</v>
      </c>
      <c r="M24" s="784">
        <v>0</v>
      </c>
      <c r="N24" s="784">
        <v>0</v>
      </c>
      <c r="O24" s="784">
        <f>SUM(B24:N24)</f>
        <v>1511137.6357719761</v>
      </c>
    </row>
    <row r="25" spans="1:15" ht="10.5" x14ac:dyDescent="0.25">
      <c r="A25" s="788" t="s">
        <v>545</v>
      </c>
      <c r="B25" s="789">
        <f t="shared" ref="B25:O25" si="2">SUM(B21:B24)</f>
        <v>5619166.3363774586</v>
      </c>
      <c r="C25" s="789">
        <f t="shared" si="2"/>
        <v>9476624.1650976092</v>
      </c>
      <c r="D25" s="789">
        <f t="shared" si="2"/>
        <v>309287.71121935907</v>
      </c>
      <c r="E25" s="789">
        <f t="shared" si="2"/>
        <v>0</v>
      </c>
      <c r="F25" s="789">
        <f t="shared" si="2"/>
        <v>0</v>
      </c>
      <c r="G25" s="789">
        <f t="shared" si="2"/>
        <v>0</v>
      </c>
      <c r="H25" s="789">
        <f t="shared" si="2"/>
        <v>0</v>
      </c>
      <c r="I25" s="789">
        <f t="shared" si="2"/>
        <v>0</v>
      </c>
      <c r="J25" s="789">
        <f t="shared" si="2"/>
        <v>0</v>
      </c>
      <c r="K25" s="789">
        <f t="shared" si="2"/>
        <v>109640.9913195852</v>
      </c>
      <c r="L25" s="789">
        <f t="shared" si="2"/>
        <v>0</v>
      </c>
      <c r="M25" s="789">
        <f t="shared" si="2"/>
        <v>0</v>
      </c>
      <c r="N25" s="789">
        <f t="shared" si="2"/>
        <v>0</v>
      </c>
      <c r="O25" s="789">
        <f t="shared" si="2"/>
        <v>15514719.204014013</v>
      </c>
    </row>
    <row r="26" spans="1:15" ht="10.5" x14ac:dyDescent="0.25">
      <c r="A26" s="790" t="s">
        <v>4211</v>
      </c>
      <c r="B26" s="789">
        <f t="shared" ref="B26:O26" si="3">SUM(B25)</f>
        <v>5619166.3363774586</v>
      </c>
      <c r="C26" s="789">
        <f t="shared" si="3"/>
        <v>9476624.1650976092</v>
      </c>
      <c r="D26" s="789">
        <f t="shared" si="3"/>
        <v>309287.71121935907</v>
      </c>
      <c r="E26" s="789">
        <f t="shared" si="3"/>
        <v>0</v>
      </c>
      <c r="F26" s="789">
        <f t="shared" si="3"/>
        <v>0</v>
      </c>
      <c r="G26" s="789">
        <f t="shared" si="3"/>
        <v>0</v>
      </c>
      <c r="H26" s="789">
        <f t="shared" si="3"/>
        <v>0</v>
      </c>
      <c r="I26" s="789">
        <f t="shared" si="3"/>
        <v>0</v>
      </c>
      <c r="J26" s="789">
        <f t="shared" si="3"/>
        <v>0</v>
      </c>
      <c r="K26" s="789">
        <f t="shared" si="3"/>
        <v>109640.9913195852</v>
      </c>
      <c r="L26" s="789">
        <f t="shared" si="3"/>
        <v>0</v>
      </c>
      <c r="M26" s="789">
        <f t="shared" si="3"/>
        <v>0</v>
      </c>
      <c r="N26" s="789">
        <f t="shared" si="3"/>
        <v>0</v>
      </c>
      <c r="O26" s="789">
        <f t="shared" si="3"/>
        <v>15514719.204014013</v>
      </c>
    </row>
    <row r="27" spans="1:15" ht="10.5" x14ac:dyDescent="0.25">
      <c r="A27" s="781" t="s">
        <v>4212</v>
      </c>
      <c r="B27" s="780">
        <v>14042893.712335896</v>
      </c>
      <c r="C27" s="780">
        <v>10579134.768259907</v>
      </c>
      <c r="D27" s="780">
        <v>231361.6362103087</v>
      </c>
      <c r="E27" s="780">
        <v>1231847.9755645399</v>
      </c>
      <c r="F27" s="780">
        <v>2393660.0730937882</v>
      </c>
      <c r="G27" s="780">
        <v>2779319.5586013007</v>
      </c>
      <c r="H27" s="780">
        <v>397661.67925599584</v>
      </c>
      <c r="I27" s="780">
        <v>3441262.7209576452</v>
      </c>
      <c r="J27" s="780">
        <v>791131.45715623349</v>
      </c>
      <c r="K27" s="780">
        <v>0</v>
      </c>
      <c r="L27" s="780">
        <v>580327.17971041822</v>
      </c>
      <c r="M27" s="780">
        <v>0</v>
      </c>
      <c r="N27" s="780">
        <v>-36468600.775116369</v>
      </c>
      <c r="O27" s="780">
        <v>-1.3970337808132172E-2</v>
      </c>
    </row>
    <row r="28" spans="1:15" ht="10.5" x14ac:dyDescent="0.25">
      <c r="A28" s="782" t="s">
        <v>546</v>
      </c>
      <c r="B28" s="780"/>
      <c r="C28" s="780"/>
      <c r="D28" s="780"/>
      <c r="E28" s="780"/>
      <c r="F28" s="780"/>
      <c r="G28" s="780"/>
      <c r="H28" s="780"/>
      <c r="I28" s="780"/>
      <c r="J28" s="780"/>
      <c r="K28" s="780"/>
      <c r="L28" s="780"/>
      <c r="M28" s="780"/>
      <c r="N28" s="780"/>
      <c r="O28" s="780"/>
    </row>
    <row r="29" spans="1:15" x14ac:dyDescent="0.2">
      <c r="A29" s="783" t="s">
        <v>4374</v>
      </c>
      <c r="B29" s="784">
        <v>0</v>
      </c>
      <c r="C29" s="784">
        <v>1830528.0607338415</v>
      </c>
      <c r="D29" s="784">
        <v>231361.6362103087</v>
      </c>
      <c r="E29" s="784">
        <v>0</v>
      </c>
      <c r="F29" s="784">
        <v>0</v>
      </c>
      <c r="G29" s="784">
        <v>0</v>
      </c>
      <c r="H29" s="784">
        <v>0</v>
      </c>
      <c r="I29" s="784">
        <v>0</v>
      </c>
      <c r="J29" s="784">
        <v>0</v>
      </c>
      <c r="K29" s="784">
        <v>0</v>
      </c>
      <c r="L29" s="784">
        <v>0</v>
      </c>
      <c r="M29" s="784">
        <v>0</v>
      </c>
      <c r="N29" s="784">
        <v>-2061889.6894456798</v>
      </c>
      <c r="O29" s="784">
        <f t="shared" ref="O29:O34" si="4">SUM(B29:N29)</f>
        <v>7.4984703678637743E-3</v>
      </c>
    </row>
    <row r="30" spans="1:15" x14ac:dyDescent="0.2">
      <c r="A30" s="783" t="s">
        <v>547</v>
      </c>
      <c r="B30" s="784">
        <v>0</v>
      </c>
      <c r="C30" s="784">
        <v>0</v>
      </c>
      <c r="D30" s="784">
        <v>0</v>
      </c>
      <c r="E30" s="784">
        <v>1231847.9755645399</v>
      </c>
      <c r="F30" s="784">
        <v>2393660.0730937882</v>
      </c>
      <c r="G30" s="784">
        <v>2779319.5586013007</v>
      </c>
      <c r="H30" s="784">
        <v>397661.67925599584</v>
      </c>
      <c r="I30" s="784">
        <v>3441262.7209576452</v>
      </c>
      <c r="J30" s="784">
        <v>791131.45715623349</v>
      </c>
      <c r="K30" s="784">
        <v>0</v>
      </c>
      <c r="L30" s="784">
        <v>580327.17971041822</v>
      </c>
      <c r="M30" s="784">
        <v>0</v>
      </c>
      <c r="N30" s="784">
        <v>-11615210.662849464</v>
      </c>
      <c r="O30" s="784">
        <f t="shared" si="4"/>
        <v>-1.850954070687294E-2</v>
      </c>
    </row>
    <row r="31" spans="1:15" x14ac:dyDescent="0.2">
      <c r="A31" s="783" t="s">
        <v>548</v>
      </c>
      <c r="B31" s="784">
        <v>2681365.3513638452</v>
      </c>
      <c r="C31" s="784">
        <v>6929519.4860522524</v>
      </c>
      <c r="D31" s="784">
        <v>0</v>
      </c>
      <c r="E31" s="784">
        <v>0</v>
      </c>
      <c r="F31" s="784">
        <v>0</v>
      </c>
      <c r="G31" s="784">
        <v>0</v>
      </c>
      <c r="H31" s="784">
        <v>0</v>
      </c>
      <c r="I31" s="784">
        <v>0</v>
      </c>
      <c r="J31" s="784">
        <v>0</v>
      </c>
      <c r="K31" s="784">
        <v>0</v>
      </c>
      <c r="L31" s="784">
        <v>0</v>
      </c>
      <c r="M31" s="784">
        <v>0</v>
      </c>
      <c r="N31" s="784">
        <v>-9610884.8401541617</v>
      </c>
      <c r="O31" s="784">
        <f t="shared" si="4"/>
        <v>-2.7380641549825668E-3</v>
      </c>
    </row>
    <row r="32" spans="1:15" x14ac:dyDescent="0.2">
      <c r="A32" s="783" t="s">
        <v>549</v>
      </c>
      <c r="B32" s="784">
        <v>1335890.3463970816</v>
      </c>
      <c r="C32" s="784">
        <v>1392146.8989964009</v>
      </c>
      <c r="D32" s="784">
        <v>0</v>
      </c>
      <c r="E32" s="784">
        <v>0</v>
      </c>
      <c r="F32" s="784">
        <v>0</v>
      </c>
      <c r="G32" s="784">
        <v>0</v>
      </c>
      <c r="H32" s="784">
        <v>0</v>
      </c>
      <c r="I32" s="784">
        <v>0</v>
      </c>
      <c r="J32" s="784">
        <v>0</v>
      </c>
      <c r="K32" s="784">
        <v>0</v>
      </c>
      <c r="L32" s="784">
        <v>0</v>
      </c>
      <c r="M32" s="784">
        <v>0</v>
      </c>
      <c r="N32" s="784">
        <v>-2728037.2460521767</v>
      </c>
      <c r="O32" s="784">
        <f t="shared" si="4"/>
        <v>-6.5869418904185295E-4</v>
      </c>
    </row>
    <row r="33" spans="1:15" x14ac:dyDescent="0.2">
      <c r="A33" s="783" t="s">
        <v>550</v>
      </c>
      <c r="B33" s="784">
        <v>272925.7997330426</v>
      </c>
      <c r="C33" s="784">
        <v>426940.3224774116</v>
      </c>
      <c r="D33" s="784">
        <v>0</v>
      </c>
      <c r="E33" s="784">
        <v>0</v>
      </c>
      <c r="F33" s="784">
        <v>0</v>
      </c>
      <c r="G33" s="784">
        <v>0</v>
      </c>
      <c r="H33" s="784">
        <v>0</v>
      </c>
      <c r="I33" s="784">
        <v>0</v>
      </c>
      <c r="J33" s="784">
        <v>0</v>
      </c>
      <c r="K33" s="784">
        <v>0</v>
      </c>
      <c r="L33" s="784">
        <v>0</v>
      </c>
      <c r="M33" s="784">
        <v>0</v>
      </c>
      <c r="N33" s="784">
        <v>-699866.12177296518</v>
      </c>
      <c r="O33" s="784">
        <f t="shared" si="4"/>
        <v>4.3748901225626469E-4</v>
      </c>
    </row>
    <row r="34" spans="1:15" x14ac:dyDescent="0.2">
      <c r="A34" s="783" t="s">
        <v>4394</v>
      </c>
      <c r="B34" s="784">
        <v>9752712.2148419265</v>
      </c>
      <c r="C34" s="784">
        <v>0</v>
      </c>
      <c r="D34" s="784">
        <v>0</v>
      </c>
      <c r="E34" s="784">
        <v>0</v>
      </c>
      <c r="F34" s="784">
        <v>0</v>
      </c>
      <c r="G34" s="784">
        <v>0</v>
      </c>
      <c r="H34" s="784">
        <v>0</v>
      </c>
      <c r="I34" s="784">
        <v>0</v>
      </c>
      <c r="J34" s="784">
        <v>0</v>
      </c>
      <c r="K34" s="784">
        <v>0</v>
      </c>
      <c r="L34" s="784">
        <v>0</v>
      </c>
      <c r="M34" s="784">
        <v>0</v>
      </c>
      <c r="N34" s="784">
        <v>-9752712.2148419265</v>
      </c>
      <c r="O34" s="784">
        <f t="shared" si="4"/>
        <v>0</v>
      </c>
    </row>
    <row r="35" spans="1:15" ht="10.5" x14ac:dyDescent="0.25">
      <c r="A35" s="785" t="s">
        <v>552</v>
      </c>
      <c r="B35" s="786">
        <f t="shared" ref="B35:O35" si="5">SUM(B29:B34)</f>
        <v>14042893.712335896</v>
      </c>
      <c r="C35" s="786">
        <f t="shared" si="5"/>
        <v>10579134.768259907</v>
      </c>
      <c r="D35" s="786">
        <f t="shared" si="5"/>
        <v>231361.6362103087</v>
      </c>
      <c r="E35" s="786">
        <f t="shared" si="5"/>
        <v>1231847.9755645399</v>
      </c>
      <c r="F35" s="786">
        <f t="shared" si="5"/>
        <v>2393660.0730937882</v>
      </c>
      <c r="G35" s="786">
        <f t="shared" si="5"/>
        <v>2779319.5586013007</v>
      </c>
      <c r="H35" s="786">
        <f t="shared" si="5"/>
        <v>397661.67925599584</v>
      </c>
      <c r="I35" s="786">
        <f t="shared" si="5"/>
        <v>3441262.7209576452</v>
      </c>
      <c r="J35" s="786">
        <f t="shared" si="5"/>
        <v>791131.45715623349</v>
      </c>
      <c r="K35" s="786">
        <f t="shared" si="5"/>
        <v>0</v>
      </c>
      <c r="L35" s="786">
        <f t="shared" si="5"/>
        <v>580327.17971041822</v>
      </c>
      <c r="M35" s="786">
        <f t="shared" si="5"/>
        <v>0</v>
      </c>
      <c r="N35" s="786">
        <f t="shared" si="5"/>
        <v>-36468600.775116369</v>
      </c>
      <c r="O35" s="786">
        <f t="shared" si="5"/>
        <v>-1.3970339670777321E-2</v>
      </c>
    </row>
    <row r="36" spans="1:15" ht="10.5" x14ac:dyDescent="0.25">
      <c r="A36" s="787" t="s">
        <v>4213</v>
      </c>
      <c r="B36" s="786">
        <f t="shared" ref="B36:O36" si="6">SUM(B35)</f>
        <v>14042893.712335896</v>
      </c>
      <c r="C36" s="786">
        <f t="shared" si="6"/>
        <v>10579134.768259907</v>
      </c>
      <c r="D36" s="786">
        <f t="shared" si="6"/>
        <v>231361.6362103087</v>
      </c>
      <c r="E36" s="786">
        <f t="shared" si="6"/>
        <v>1231847.9755645399</v>
      </c>
      <c r="F36" s="786">
        <f t="shared" si="6"/>
        <v>2393660.0730937882</v>
      </c>
      <c r="G36" s="786">
        <f t="shared" si="6"/>
        <v>2779319.5586013007</v>
      </c>
      <c r="H36" s="786">
        <f t="shared" si="6"/>
        <v>397661.67925599584</v>
      </c>
      <c r="I36" s="786">
        <f t="shared" si="6"/>
        <v>3441262.7209576452</v>
      </c>
      <c r="J36" s="786">
        <f t="shared" si="6"/>
        <v>791131.45715623349</v>
      </c>
      <c r="K36" s="786">
        <f t="shared" si="6"/>
        <v>0</v>
      </c>
      <c r="L36" s="786">
        <f t="shared" si="6"/>
        <v>580327.17971041822</v>
      </c>
      <c r="M36" s="786">
        <f t="shared" si="6"/>
        <v>0</v>
      </c>
      <c r="N36" s="786">
        <f t="shared" si="6"/>
        <v>-36468600.775116369</v>
      </c>
      <c r="O36" s="786">
        <f t="shared" si="6"/>
        <v>-1.3970339670777321E-2</v>
      </c>
    </row>
    <row r="37" spans="1:15" ht="10.5" x14ac:dyDescent="0.25">
      <c r="A37" s="791" t="s">
        <v>4214</v>
      </c>
      <c r="B37" s="786">
        <f t="shared" ref="B37:O37" si="7">B18+B26+B36</f>
        <v>63548937.249561176</v>
      </c>
      <c r="C37" s="786">
        <f t="shared" si="7"/>
        <v>54045613.743606776</v>
      </c>
      <c r="D37" s="786">
        <f t="shared" si="7"/>
        <v>3288211.908012026</v>
      </c>
      <c r="E37" s="786">
        <f t="shared" si="7"/>
        <v>1231847.9755645399</v>
      </c>
      <c r="F37" s="786">
        <f t="shared" si="7"/>
        <v>2393660.0730937882</v>
      </c>
      <c r="G37" s="786">
        <f t="shared" si="7"/>
        <v>2779319.5586013007</v>
      </c>
      <c r="H37" s="786">
        <f t="shared" si="7"/>
        <v>397661.67925599584</v>
      </c>
      <c r="I37" s="786">
        <f t="shared" si="7"/>
        <v>3441262.7209576452</v>
      </c>
      <c r="J37" s="786">
        <f t="shared" si="7"/>
        <v>791131.45715623349</v>
      </c>
      <c r="K37" s="786">
        <f t="shared" si="7"/>
        <v>1382946.2113820917</v>
      </c>
      <c r="L37" s="786">
        <f t="shared" si="7"/>
        <v>580327.17971041822</v>
      </c>
      <c r="M37" s="786">
        <f t="shared" si="7"/>
        <v>0</v>
      </c>
      <c r="N37" s="786">
        <f t="shared" si="7"/>
        <v>-36468600.775116369</v>
      </c>
      <c r="O37" s="786">
        <f t="shared" si="7"/>
        <v>97412318.981785625</v>
      </c>
    </row>
    <row r="38" spans="1:15" ht="10.5" x14ac:dyDescent="0.25">
      <c r="A38" s="779" t="s">
        <v>4215</v>
      </c>
      <c r="B38" s="780"/>
      <c r="C38" s="780"/>
      <c r="D38" s="780"/>
      <c r="E38" s="780"/>
      <c r="F38" s="780"/>
      <c r="G38" s="780"/>
      <c r="H38" s="780"/>
      <c r="I38" s="780"/>
      <c r="J38" s="780"/>
      <c r="K38" s="780"/>
      <c r="L38" s="780"/>
      <c r="M38" s="780"/>
      <c r="N38" s="780"/>
      <c r="O38" s="780"/>
    </row>
    <row r="39" spans="1:15" ht="10.5" x14ac:dyDescent="0.25">
      <c r="A39" s="781" t="s">
        <v>4216</v>
      </c>
      <c r="B39" s="780">
        <v>10268249.09113849</v>
      </c>
      <c r="C39" s="780">
        <v>4810185.129166753</v>
      </c>
      <c r="D39" s="780">
        <v>1321633.7836176471</v>
      </c>
      <c r="E39" s="780">
        <v>0</v>
      </c>
      <c r="F39" s="780">
        <v>32775.587789620353</v>
      </c>
      <c r="G39" s="780">
        <v>41717.368306527831</v>
      </c>
      <c r="H39" s="780">
        <v>0</v>
      </c>
      <c r="I39" s="780">
        <v>1350652.1822821503</v>
      </c>
      <c r="J39" s="780">
        <v>0</v>
      </c>
      <c r="K39" s="780">
        <v>304853.69668914808</v>
      </c>
      <c r="L39" s="780">
        <v>8398.2870952500562</v>
      </c>
      <c r="M39" s="780">
        <v>0</v>
      </c>
      <c r="N39" s="780">
        <v>0</v>
      </c>
      <c r="O39" s="780">
        <v>18138465.126085583</v>
      </c>
    </row>
    <row r="40" spans="1:15" ht="10.5" x14ac:dyDescent="0.25">
      <c r="A40" s="782" t="s">
        <v>553</v>
      </c>
      <c r="B40" s="780"/>
      <c r="C40" s="780"/>
      <c r="D40" s="780"/>
      <c r="E40" s="780"/>
      <c r="F40" s="780"/>
      <c r="G40" s="780"/>
      <c r="H40" s="780"/>
      <c r="I40" s="780"/>
      <c r="J40" s="780"/>
      <c r="K40" s="780"/>
      <c r="L40" s="780"/>
      <c r="M40" s="780"/>
      <c r="N40" s="780"/>
      <c r="O40" s="780"/>
    </row>
    <row r="41" spans="1:15" x14ac:dyDescent="0.2">
      <c r="A41" s="783" t="s">
        <v>554</v>
      </c>
      <c r="B41" s="784">
        <v>2581876.4454533653</v>
      </c>
      <c r="C41" s="784">
        <v>223820.51557960277</v>
      </c>
      <c r="D41" s="784">
        <v>0</v>
      </c>
      <c r="E41" s="784">
        <v>0</v>
      </c>
      <c r="F41" s="784">
        <v>0</v>
      </c>
      <c r="G41" s="784">
        <v>0</v>
      </c>
      <c r="H41" s="784">
        <v>0</v>
      </c>
      <c r="I41" s="784">
        <v>0</v>
      </c>
      <c r="J41" s="784">
        <v>0</v>
      </c>
      <c r="K41" s="784">
        <v>239777.33416930377</v>
      </c>
      <c r="L41" s="784">
        <v>0</v>
      </c>
      <c r="M41" s="784">
        <v>0</v>
      </c>
      <c r="N41" s="784">
        <v>0</v>
      </c>
      <c r="O41" s="784">
        <f>SUM(B41:N41)</f>
        <v>3045474.295202272</v>
      </c>
    </row>
    <row r="42" spans="1:15" x14ac:dyDescent="0.2">
      <c r="A42" s="783" t="s">
        <v>4482</v>
      </c>
      <c r="B42" s="784">
        <v>0</v>
      </c>
      <c r="C42" s="784">
        <v>70.377383120936074</v>
      </c>
      <c r="D42" s="784">
        <v>0</v>
      </c>
      <c r="E42" s="784">
        <v>0</v>
      </c>
      <c r="F42" s="784">
        <v>0</v>
      </c>
      <c r="G42" s="784">
        <v>0</v>
      </c>
      <c r="H42" s="784">
        <v>0</v>
      </c>
      <c r="I42" s="784">
        <v>0</v>
      </c>
      <c r="J42" s="784">
        <v>0</v>
      </c>
      <c r="K42" s="784">
        <v>0</v>
      </c>
      <c r="L42" s="784">
        <v>0</v>
      </c>
      <c r="M42" s="784">
        <v>0</v>
      </c>
      <c r="N42" s="784">
        <v>0</v>
      </c>
      <c r="O42" s="784">
        <f>SUM(B42:N42)</f>
        <v>70.377383120936074</v>
      </c>
    </row>
    <row r="43" spans="1:15" ht="10.5" x14ac:dyDescent="0.25">
      <c r="A43" s="785" t="s">
        <v>556</v>
      </c>
      <c r="B43" s="786">
        <f t="shared" ref="B43:O43" si="8">SUM(B41:B42)</f>
        <v>2581876.4454533653</v>
      </c>
      <c r="C43" s="786">
        <f t="shared" si="8"/>
        <v>223890.89296272371</v>
      </c>
      <c r="D43" s="786">
        <f t="shared" si="8"/>
        <v>0</v>
      </c>
      <c r="E43" s="786">
        <f t="shared" si="8"/>
        <v>0</v>
      </c>
      <c r="F43" s="786">
        <f t="shared" si="8"/>
        <v>0</v>
      </c>
      <c r="G43" s="786">
        <f t="shared" si="8"/>
        <v>0</v>
      </c>
      <c r="H43" s="786">
        <f t="shared" si="8"/>
        <v>0</v>
      </c>
      <c r="I43" s="786">
        <f t="shared" si="8"/>
        <v>0</v>
      </c>
      <c r="J43" s="786">
        <f t="shared" si="8"/>
        <v>0</v>
      </c>
      <c r="K43" s="786">
        <f t="shared" si="8"/>
        <v>239777.33416930377</v>
      </c>
      <c r="L43" s="786">
        <f t="shared" si="8"/>
        <v>0</v>
      </c>
      <c r="M43" s="786">
        <f t="shared" si="8"/>
        <v>0</v>
      </c>
      <c r="N43" s="786">
        <f t="shared" si="8"/>
        <v>0</v>
      </c>
      <c r="O43" s="786">
        <f t="shared" si="8"/>
        <v>3045544.6725853928</v>
      </c>
    </row>
    <row r="44" spans="1:15" ht="10.5" x14ac:dyDescent="0.25">
      <c r="A44" s="782" t="s">
        <v>557</v>
      </c>
      <c r="B44" s="780"/>
      <c r="C44" s="780"/>
      <c r="D44" s="780"/>
      <c r="E44" s="780"/>
      <c r="F44" s="780"/>
      <c r="G44" s="780"/>
      <c r="H44" s="780"/>
      <c r="I44" s="780"/>
      <c r="J44" s="780"/>
      <c r="K44" s="780"/>
      <c r="L44" s="780"/>
      <c r="M44" s="780"/>
      <c r="N44" s="780"/>
      <c r="O44" s="780"/>
    </row>
    <row r="45" spans="1:15" x14ac:dyDescent="0.2">
      <c r="A45" s="783" t="s">
        <v>4375</v>
      </c>
      <c r="B45" s="784">
        <v>9888.8574266831038</v>
      </c>
      <c r="C45" s="784">
        <v>0</v>
      </c>
      <c r="D45" s="784">
        <v>0</v>
      </c>
      <c r="E45" s="784">
        <v>0</v>
      </c>
      <c r="F45" s="784">
        <v>0</v>
      </c>
      <c r="G45" s="784">
        <v>0</v>
      </c>
      <c r="H45" s="784">
        <v>0</v>
      </c>
      <c r="I45" s="784">
        <v>0</v>
      </c>
      <c r="J45" s="784">
        <v>0</v>
      </c>
      <c r="K45" s="784">
        <v>0</v>
      </c>
      <c r="L45" s="784">
        <v>0</v>
      </c>
      <c r="M45" s="784">
        <v>0</v>
      </c>
      <c r="N45" s="784">
        <v>0</v>
      </c>
      <c r="O45" s="784">
        <f t="shared" ref="O45:O67" si="9">SUM(B45:N45)</f>
        <v>9888.8574266831038</v>
      </c>
    </row>
    <row r="46" spans="1:15" x14ac:dyDescent="0.2">
      <c r="A46" s="783" t="s">
        <v>558</v>
      </c>
      <c r="B46" s="784">
        <v>2473961.9395935223</v>
      </c>
      <c r="C46" s="784">
        <v>2568684.8426546352</v>
      </c>
      <c r="D46" s="784">
        <v>862371.75363171729</v>
      </c>
      <c r="E46" s="784">
        <v>0</v>
      </c>
      <c r="F46" s="784">
        <v>0</v>
      </c>
      <c r="G46" s="784">
        <v>0</v>
      </c>
      <c r="H46" s="784">
        <v>0</v>
      </c>
      <c r="I46" s="784">
        <v>787807.1220804326</v>
      </c>
      <c r="J46" s="784">
        <v>0</v>
      </c>
      <c r="K46" s="784">
        <v>0</v>
      </c>
      <c r="L46" s="784">
        <v>0</v>
      </c>
      <c r="M46" s="784">
        <v>0</v>
      </c>
      <c r="N46" s="784">
        <v>0</v>
      </c>
      <c r="O46" s="784">
        <f t="shared" si="9"/>
        <v>6692825.6579603078</v>
      </c>
    </row>
    <row r="47" spans="1:15" x14ac:dyDescent="0.2">
      <c r="A47" s="783" t="s">
        <v>4376</v>
      </c>
      <c r="B47" s="784">
        <v>218244.74140225988</v>
      </c>
      <c r="C47" s="784">
        <v>11253.567952452429</v>
      </c>
      <c r="D47" s="784">
        <v>13142.604270578744</v>
      </c>
      <c r="E47" s="784">
        <v>0</v>
      </c>
      <c r="F47" s="784">
        <v>0</v>
      </c>
      <c r="G47" s="784">
        <v>0</v>
      </c>
      <c r="H47" s="784">
        <v>0</v>
      </c>
      <c r="I47" s="784">
        <v>28468.380632057531</v>
      </c>
      <c r="J47" s="784">
        <v>0</v>
      </c>
      <c r="K47" s="784">
        <v>0</v>
      </c>
      <c r="L47" s="784">
        <v>0</v>
      </c>
      <c r="M47" s="784">
        <v>0</v>
      </c>
      <c r="N47" s="784">
        <v>0</v>
      </c>
      <c r="O47" s="784">
        <f t="shared" si="9"/>
        <v>271109.29425734858</v>
      </c>
    </row>
    <row r="48" spans="1:15" x14ac:dyDescent="0.2">
      <c r="A48" s="783" t="s">
        <v>4735</v>
      </c>
      <c r="B48" s="784">
        <v>72843.370799543656</v>
      </c>
      <c r="C48" s="784">
        <v>0</v>
      </c>
      <c r="D48" s="784">
        <v>0</v>
      </c>
      <c r="E48" s="784">
        <v>0</v>
      </c>
      <c r="F48" s="784">
        <v>0</v>
      </c>
      <c r="G48" s="784">
        <v>0</v>
      </c>
      <c r="H48" s="784">
        <v>0</v>
      </c>
      <c r="I48" s="784">
        <v>0</v>
      </c>
      <c r="J48" s="784">
        <v>0</v>
      </c>
      <c r="K48" s="784">
        <v>0</v>
      </c>
      <c r="L48" s="784">
        <v>0</v>
      </c>
      <c r="M48" s="784">
        <v>0</v>
      </c>
      <c r="N48" s="784">
        <v>0</v>
      </c>
      <c r="O48" s="784">
        <f t="shared" si="9"/>
        <v>72843.370799543656</v>
      </c>
    </row>
    <row r="49" spans="1:15" x14ac:dyDescent="0.2">
      <c r="A49" s="783" t="s">
        <v>4377</v>
      </c>
      <c r="B49" s="784">
        <v>170652.3292682716</v>
      </c>
      <c r="C49" s="784">
        <v>0</v>
      </c>
      <c r="D49" s="784">
        <v>0</v>
      </c>
      <c r="E49" s="784">
        <v>0</v>
      </c>
      <c r="F49" s="784">
        <v>0</v>
      </c>
      <c r="G49" s="784">
        <v>0</v>
      </c>
      <c r="H49" s="784">
        <v>0</v>
      </c>
      <c r="I49" s="784">
        <v>0</v>
      </c>
      <c r="J49" s="784">
        <v>0</v>
      </c>
      <c r="K49" s="784">
        <v>0</v>
      </c>
      <c r="L49" s="784">
        <v>0</v>
      </c>
      <c r="M49" s="784">
        <v>0</v>
      </c>
      <c r="N49" s="784">
        <v>0</v>
      </c>
      <c r="O49" s="784">
        <f t="shared" si="9"/>
        <v>170652.3292682716</v>
      </c>
    </row>
    <row r="50" spans="1:15" x14ac:dyDescent="0.2">
      <c r="A50" s="783" t="s">
        <v>4378</v>
      </c>
      <c r="B50" s="784">
        <v>-15133.564549581884</v>
      </c>
      <c r="C50" s="784">
        <v>0</v>
      </c>
      <c r="D50" s="784">
        <v>0</v>
      </c>
      <c r="E50" s="784">
        <v>0</v>
      </c>
      <c r="F50" s="784">
        <v>0</v>
      </c>
      <c r="G50" s="784">
        <v>0</v>
      </c>
      <c r="H50" s="784">
        <v>0</v>
      </c>
      <c r="I50" s="784">
        <v>0</v>
      </c>
      <c r="J50" s="784">
        <v>0</v>
      </c>
      <c r="K50" s="784">
        <v>0</v>
      </c>
      <c r="L50" s="784">
        <v>0</v>
      </c>
      <c r="M50" s="784">
        <v>0</v>
      </c>
      <c r="N50" s="784">
        <v>0</v>
      </c>
      <c r="O50" s="784">
        <f t="shared" si="9"/>
        <v>-15133.564549581884</v>
      </c>
    </row>
    <row r="51" spans="1:15" x14ac:dyDescent="0.2">
      <c r="A51" s="783" t="s">
        <v>559</v>
      </c>
      <c r="B51" s="784">
        <v>357260.11894921563</v>
      </c>
      <c r="C51" s="784">
        <v>267062.44587668788</v>
      </c>
      <c r="D51" s="784">
        <v>85616.969634916299</v>
      </c>
      <c r="E51" s="784">
        <v>0</v>
      </c>
      <c r="F51" s="784">
        <v>0</v>
      </c>
      <c r="G51" s="784">
        <v>0</v>
      </c>
      <c r="H51" s="784">
        <v>0</v>
      </c>
      <c r="I51" s="784">
        <v>71238.008368703508</v>
      </c>
      <c r="J51" s="784">
        <v>0</v>
      </c>
      <c r="K51" s="784">
        <v>0</v>
      </c>
      <c r="L51" s="784">
        <v>0</v>
      </c>
      <c r="M51" s="784">
        <v>0</v>
      </c>
      <c r="N51" s="784">
        <v>0</v>
      </c>
      <c r="O51" s="784">
        <f t="shared" si="9"/>
        <v>781177.54282952333</v>
      </c>
    </row>
    <row r="52" spans="1:15" x14ac:dyDescent="0.2">
      <c r="A52" s="783" t="s">
        <v>560</v>
      </c>
      <c r="B52" s="784">
        <v>-20735.511908277345</v>
      </c>
      <c r="C52" s="784">
        <v>-647.39527765430307</v>
      </c>
      <c r="D52" s="784">
        <v>0</v>
      </c>
      <c r="E52" s="784">
        <v>0</v>
      </c>
      <c r="F52" s="784">
        <v>0</v>
      </c>
      <c r="G52" s="784">
        <v>0</v>
      </c>
      <c r="H52" s="784">
        <v>0</v>
      </c>
      <c r="I52" s="784">
        <v>0</v>
      </c>
      <c r="J52" s="784">
        <v>0</v>
      </c>
      <c r="K52" s="784">
        <v>0</v>
      </c>
      <c r="L52" s="784">
        <v>0</v>
      </c>
      <c r="M52" s="784">
        <v>0</v>
      </c>
      <c r="N52" s="784">
        <v>0</v>
      </c>
      <c r="O52" s="784">
        <f t="shared" si="9"/>
        <v>-21382.90718593165</v>
      </c>
    </row>
    <row r="53" spans="1:15" x14ac:dyDescent="0.2">
      <c r="A53" s="783" t="s">
        <v>728</v>
      </c>
      <c r="B53" s="784">
        <v>0</v>
      </c>
      <c r="C53" s="784">
        <v>0</v>
      </c>
      <c r="D53" s="784">
        <v>-2980.9364434369108</v>
      </c>
      <c r="E53" s="784">
        <v>0</v>
      </c>
      <c r="F53" s="784">
        <v>0</v>
      </c>
      <c r="G53" s="784">
        <v>0</v>
      </c>
      <c r="H53" s="784">
        <v>0</v>
      </c>
      <c r="I53" s="784">
        <v>81.501352509881855</v>
      </c>
      <c r="J53" s="784">
        <v>0</v>
      </c>
      <c r="K53" s="784">
        <v>0</v>
      </c>
      <c r="L53" s="784">
        <v>0</v>
      </c>
      <c r="M53" s="784">
        <v>0</v>
      </c>
      <c r="N53" s="784">
        <v>0</v>
      </c>
      <c r="O53" s="784">
        <f t="shared" si="9"/>
        <v>-2899.4350909270288</v>
      </c>
    </row>
    <row r="54" spans="1:15" x14ac:dyDescent="0.2">
      <c r="A54" s="783" t="s">
        <v>4585</v>
      </c>
      <c r="B54" s="784">
        <v>61857.891308104401</v>
      </c>
      <c r="C54" s="784">
        <v>0</v>
      </c>
      <c r="D54" s="784">
        <v>0</v>
      </c>
      <c r="E54" s="784">
        <v>0</v>
      </c>
      <c r="F54" s="784">
        <v>0</v>
      </c>
      <c r="G54" s="784">
        <v>0</v>
      </c>
      <c r="H54" s="784">
        <v>0</v>
      </c>
      <c r="I54" s="784">
        <v>0</v>
      </c>
      <c r="J54" s="784">
        <v>0</v>
      </c>
      <c r="K54" s="784">
        <v>0</v>
      </c>
      <c r="L54" s="784">
        <v>0</v>
      </c>
      <c r="M54" s="784">
        <v>0</v>
      </c>
      <c r="N54" s="784">
        <v>0</v>
      </c>
      <c r="O54" s="784">
        <f t="shared" si="9"/>
        <v>61857.891308104401</v>
      </c>
    </row>
    <row r="55" spans="1:15" x14ac:dyDescent="0.2">
      <c r="A55" s="783" t="s">
        <v>4398</v>
      </c>
      <c r="B55" s="784">
        <v>0</v>
      </c>
      <c r="C55" s="784">
        <v>0</v>
      </c>
      <c r="D55" s="784">
        <v>0</v>
      </c>
      <c r="E55" s="784">
        <v>0</v>
      </c>
      <c r="F55" s="784">
        <v>0</v>
      </c>
      <c r="G55" s="784">
        <v>0</v>
      </c>
      <c r="H55" s="784">
        <v>0</v>
      </c>
      <c r="I55" s="784">
        <v>72247.677021608455</v>
      </c>
      <c r="J55" s="784">
        <v>0</v>
      </c>
      <c r="K55" s="784">
        <v>0</v>
      </c>
      <c r="L55" s="784">
        <v>0</v>
      </c>
      <c r="M55" s="784">
        <v>0</v>
      </c>
      <c r="N55" s="784">
        <v>0</v>
      </c>
      <c r="O55" s="784">
        <f t="shared" si="9"/>
        <v>72247.677021608455</v>
      </c>
    </row>
    <row r="56" spans="1:15" x14ac:dyDescent="0.2">
      <c r="A56" s="783" t="s">
        <v>561</v>
      </c>
      <c r="B56" s="784">
        <v>849882.95419066865</v>
      </c>
      <c r="C56" s="784">
        <v>194673.3988140047</v>
      </c>
      <c r="D56" s="784">
        <v>148352.07939643093</v>
      </c>
      <c r="E56" s="784">
        <v>0</v>
      </c>
      <c r="F56" s="784">
        <v>0</v>
      </c>
      <c r="G56" s="784">
        <v>0</v>
      </c>
      <c r="H56" s="784">
        <v>0</v>
      </c>
      <c r="I56" s="784">
        <v>0</v>
      </c>
      <c r="J56" s="784">
        <v>0</v>
      </c>
      <c r="K56" s="784">
        <v>0</v>
      </c>
      <c r="L56" s="784">
        <v>0</v>
      </c>
      <c r="M56" s="784">
        <v>0</v>
      </c>
      <c r="N56" s="784">
        <v>0</v>
      </c>
      <c r="O56" s="784">
        <f t="shared" si="9"/>
        <v>1192908.4324011044</v>
      </c>
    </row>
    <row r="57" spans="1:15" x14ac:dyDescent="0.2">
      <c r="A57" s="783" t="s">
        <v>562</v>
      </c>
      <c r="B57" s="784">
        <v>76330.930934527933</v>
      </c>
      <c r="C57" s="784">
        <v>900.28863594255688</v>
      </c>
      <c r="D57" s="784">
        <v>1577.1115890654564</v>
      </c>
      <c r="E57" s="784">
        <v>0</v>
      </c>
      <c r="F57" s="784">
        <v>0</v>
      </c>
      <c r="G57" s="784">
        <v>0</v>
      </c>
      <c r="H57" s="784">
        <v>0</v>
      </c>
      <c r="I57" s="784">
        <v>0</v>
      </c>
      <c r="J57" s="784">
        <v>0</v>
      </c>
      <c r="K57" s="784">
        <v>0</v>
      </c>
      <c r="L57" s="784">
        <v>0</v>
      </c>
      <c r="M57" s="784">
        <v>0</v>
      </c>
      <c r="N57" s="784">
        <v>0</v>
      </c>
      <c r="O57" s="784">
        <f t="shared" si="9"/>
        <v>78808.331159535956</v>
      </c>
    </row>
    <row r="58" spans="1:15" x14ac:dyDescent="0.2">
      <c r="A58" s="783" t="s">
        <v>563</v>
      </c>
      <c r="B58" s="784">
        <v>-7611.1150446313859</v>
      </c>
      <c r="C58" s="784">
        <v>-869.45837987569416</v>
      </c>
      <c r="D58" s="784">
        <v>278.80325933492372</v>
      </c>
      <c r="E58" s="784">
        <v>0</v>
      </c>
      <c r="F58" s="784">
        <v>0</v>
      </c>
      <c r="G58" s="784">
        <v>0</v>
      </c>
      <c r="H58" s="784">
        <v>0</v>
      </c>
      <c r="I58" s="784">
        <v>0</v>
      </c>
      <c r="J58" s="784">
        <v>0</v>
      </c>
      <c r="K58" s="784">
        <v>0</v>
      </c>
      <c r="L58" s="784">
        <v>0</v>
      </c>
      <c r="M58" s="784">
        <v>0</v>
      </c>
      <c r="N58" s="784">
        <v>0</v>
      </c>
      <c r="O58" s="784">
        <f t="shared" si="9"/>
        <v>-8201.7701651721563</v>
      </c>
    </row>
    <row r="59" spans="1:15" x14ac:dyDescent="0.2">
      <c r="A59" s="783" t="s">
        <v>4358</v>
      </c>
      <c r="B59" s="784">
        <v>-33629.102056751908</v>
      </c>
      <c r="C59" s="784">
        <v>0</v>
      </c>
      <c r="D59" s="784">
        <v>0</v>
      </c>
      <c r="E59" s="784">
        <v>0</v>
      </c>
      <c r="F59" s="784">
        <v>0</v>
      </c>
      <c r="G59" s="784">
        <v>0</v>
      </c>
      <c r="H59" s="784">
        <v>0</v>
      </c>
      <c r="I59" s="784">
        <v>0</v>
      </c>
      <c r="J59" s="784">
        <v>0</v>
      </c>
      <c r="K59" s="784">
        <v>0</v>
      </c>
      <c r="L59" s="784">
        <v>0</v>
      </c>
      <c r="M59" s="784">
        <v>0</v>
      </c>
      <c r="N59" s="784">
        <v>0</v>
      </c>
      <c r="O59" s="784">
        <f t="shared" si="9"/>
        <v>-33629.102056751908</v>
      </c>
    </row>
    <row r="60" spans="1:15" x14ac:dyDescent="0.2">
      <c r="A60" s="783" t="s">
        <v>564</v>
      </c>
      <c r="B60" s="784">
        <v>128661.9741821246</v>
      </c>
      <c r="C60" s="784">
        <v>0</v>
      </c>
      <c r="D60" s="784">
        <v>0</v>
      </c>
      <c r="E60" s="784">
        <v>0</v>
      </c>
      <c r="F60" s="784">
        <v>0</v>
      </c>
      <c r="G60" s="784">
        <v>0</v>
      </c>
      <c r="H60" s="784">
        <v>0</v>
      </c>
      <c r="I60" s="784">
        <v>0</v>
      </c>
      <c r="J60" s="784">
        <v>0</v>
      </c>
      <c r="K60" s="784">
        <v>0</v>
      </c>
      <c r="L60" s="784">
        <v>0</v>
      </c>
      <c r="M60" s="784">
        <v>0</v>
      </c>
      <c r="N60" s="784">
        <v>0</v>
      </c>
      <c r="O60" s="784">
        <f t="shared" si="9"/>
        <v>128661.9741821246</v>
      </c>
    </row>
    <row r="61" spans="1:15" x14ac:dyDescent="0.2">
      <c r="A61" s="783" t="s">
        <v>565</v>
      </c>
      <c r="B61" s="784">
        <v>34527.849331140904</v>
      </c>
      <c r="C61" s="784">
        <v>0</v>
      </c>
      <c r="D61" s="784">
        <v>0</v>
      </c>
      <c r="E61" s="784">
        <v>0</v>
      </c>
      <c r="F61" s="784">
        <v>0</v>
      </c>
      <c r="G61" s="784">
        <v>0</v>
      </c>
      <c r="H61" s="784">
        <v>0</v>
      </c>
      <c r="I61" s="784">
        <v>0</v>
      </c>
      <c r="J61" s="784">
        <v>0</v>
      </c>
      <c r="K61" s="784">
        <v>0</v>
      </c>
      <c r="L61" s="784">
        <v>0</v>
      </c>
      <c r="M61" s="784">
        <v>0</v>
      </c>
      <c r="N61" s="784">
        <v>0</v>
      </c>
      <c r="O61" s="784">
        <f t="shared" si="9"/>
        <v>34527.849331140904</v>
      </c>
    </row>
    <row r="62" spans="1:15" x14ac:dyDescent="0.2">
      <c r="A62" s="783" t="s">
        <v>566</v>
      </c>
      <c r="B62" s="784">
        <v>15463.178592338254</v>
      </c>
      <c r="C62" s="784">
        <v>0</v>
      </c>
      <c r="D62" s="784">
        <v>0</v>
      </c>
      <c r="E62" s="784">
        <v>0</v>
      </c>
      <c r="F62" s="784">
        <v>0</v>
      </c>
      <c r="G62" s="784">
        <v>0</v>
      </c>
      <c r="H62" s="784">
        <v>0</v>
      </c>
      <c r="I62" s="784">
        <v>0</v>
      </c>
      <c r="J62" s="784">
        <v>0</v>
      </c>
      <c r="K62" s="784">
        <v>0</v>
      </c>
      <c r="L62" s="784">
        <v>0</v>
      </c>
      <c r="M62" s="784">
        <v>0</v>
      </c>
      <c r="N62" s="784">
        <v>0</v>
      </c>
      <c r="O62" s="784">
        <f t="shared" si="9"/>
        <v>15463.178592338254</v>
      </c>
    </row>
    <row r="63" spans="1:15" x14ac:dyDescent="0.2">
      <c r="A63" s="783" t="s">
        <v>567</v>
      </c>
      <c r="B63" s="784">
        <v>13042.206471424761</v>
      </c>
      <c r="C63" s="784">
        <v>0</v>
      </c>
      <c r="D63" s="784">
        <v>0</v>
      </c>
      <c r="E63" s="784">
        <v>0</v>
      </c>
      <c r="F63" s="784">
        <v>0</v>
      </c>
      <c r="G63" s="784">
        <v>0</v>
      </c>
      <c r="H63" s="784">
        <v>0</v>
      </c>
      <c r="I63" s="784">
        <v>0</v>
      </c>
      <c r="J63" s="784">
        <v>0</v>
      </c>
      <c r="K63" s="784">
        <v>0</v>
      </c>
      <c r="L63" s="784">
        <v>0</v>
      </c>
      <c r="M63" s="784">
        <v>0</v>
      </c>
      <c r="N63" s="784">
        <v>0</v>
      </c>
      <c r="O63" s="784">
        <f t="shared" si="9"/>
        <v>13042.206471424761</v>
      </c>
    </row>
    <row r="64" spans="1:15" x14ac:dyDescent="0.2">
      <c r="A64" s="783" t="s">
        <v>568</v>
      </c>
      <c r="B64" s="784">
        <v>627.71388094838869</v>
      </c>
      <c r="C64" s="784">
        <v>0</v>
      </c>
      <c r="D64" s="784">
        <v>0</v>
      </c>
      <c r="E64" s="784">
        <v>0</v>
      </c>
      <c r="F64" s="784">
        <v>0</v>
      </c>
      <c r="G64" s="784">
        <v>0</v>
      </c>
      <c r="H64" s="784">
        <v>0</v>
      </c>
      <c r="I64" s="784">
        <v>0</v>
      </c>
      <c r="J64" s="784">
        <v>0</v>
      </c>
      <c r="K64" s="784">
        <v>0</v>
      </c>
      <c r="L64" s="784">
        <v>0</v>
      </c>
      <c r="M64" s="784">
        <v>0</v>
      </c>
      <c r="N64" s="784">
        <v>0</v>
      </c>
      <c r="O64" s="784">
        <f t="shared" si="9"/>
        <v>627.71388094838869</v>
      </c>
    </row>
    <row r="65" spans="1:15" x14ac:dyDescent="0.2">
      <c r="A65" s="783" t="s">
        <v>4399</v>
      </c>
      <c r="B65" s="784">
        <v>288090.91200537828</v>
      </c>
      <c r="C65" s="784">
        <v>0</v>
      </c>
      <c r="D65" s="784">
        <v>0</v>
      </c>
      <c r="E65" s="784">
        <v>0</v>
      </c>
      <c r="F65" s="784">
        <v>0</v>
      </c>
      <c r="G65" s="784">
        <v>0</v>
      </c>
      <c r="H65" s="784">
        <v>0</v>
      </c>
      <c r="I65" s="784">
        <v>0</v>
      </c>
      <c r="J65" s="784">
        <v>0</v>
      </c>
      <c r="K65" s="784">
        <v>0</v>
      </c>
      <c r="L65" s="784">
        <v>0</v>
      </c>
      <c r="M65" s="784">
        <v>0</v>
      </c>
      <c r="N65" s="784">
        <v>0</v>
      </c>
      <c r="O65" s="784">
        <f t="shared" si="9"/>
        <v>288090.91200537828</v>
      </c>
    </row>
    <row r="66" spans="1:15" x14ac:dyDescent="0.2">
      <c r="A66" s="783" t="s">
        <v>4400</v>
      </c>
      <c r="B66" s="784">
        <v>47319.400069747498</v>
      </c>
      <c r="C66" s="784">
        <v>0</v>
      </c>
      <c r="D66" s="784">
        <v>0</v>
      </c>
      <c r="E66" s="784">
        <v>0</v>
      </c>
      <c r="F66" s="784">
        <v>0</v>
      </c>
      <c r="G66" s="784">
        <v>0</v>
      </c>
      <c r="H66" s="784">
        <v>0</v>
      </c>
      <c r="I66" s="784">
        <v>0</v>
      </c>
      <c r="J66" s="784">
        <v>0</v>
      </c>
      <c r="K66" s="784">
        <v>0</v>
      </c>
      <c r="L66" s="784">
        <v>0</v>
      </c>
      <c r="M66" s="784">
        <v>0</v>
      </c>
      <c r="N66" s="784">
        <v>0</v>
      </c>
      <c r="O66" s="784">
        <f t="shared" si="9"/>
        <v>47319.400069747498</v>
      </c>
    </row>
    <row r="67" spans="1:15" x14ac:dyDescent="0.2">
      <c r="A67" s="783" t="s">
        <v>4483</v>
      </c>
      <c r="B67" s="784">
        <v>271991.69552871742</v>
      </c>
      <c r="C67" s="784">
        <v>0</v>
      </c>
      <c r="D67" s="784">
        <v>0</v>
      </c>
      <c r="E67" s="784">
        <v>0</v>
      </c>
      <c r="F67" s="784">
        <v>0</v>
      </c>
      <c r="G67" s="784">
        <v>0</v>
      </c>
      <c r="H67" s="784">
        <v>0</v>
      </c>
      <c r="I67" s="784">
        <v>0</v>
      </c>
      <c r="J67" s="784">
        <v>0</v>
      </c>
      <c r="K67" s="784">
        <v>0</v>
      </c>
      <c r="L67" s="784">
        <v>0</v>
      </c>
      <c r="M67" s="784">
        <v>0</v>
      </c>
      <c r="N67" s="784">
        <v>0</v>
      </c>
      <c r="O67" s="784">
        <f t="shared" si="9"/>
        <v>271991.69552871742</v>
      </c>
    </row>
    <row r="68" spans="1:15" ht="10.5" x14ac:dyDescent="0.25">
      <c r="A68" s="785" t="s">
        <v>569</v>
      </c>
      <c r="B68" s="786">
        <f t="shared" ref="B68:O68" si="10">SUM(B45:B67)</f>
        <v>5013538.7703753747</v>
      </c>
      <c r="C68" s="786">
        <f t="shared" si="10"/>
        <v>3041057.6902761925</v>
      </c>
      <c r="D68" s="786">
        <f t="shared" si="10"/>
        <v>1108358.3853386068</v>
      </c>
      <c r="E68" s="786">
        <f t="shared" si="10"/>
        <v>0</v>
      </c>
      <c r="F68" s="786">
        <f t="shared" si="10"/>
        <v>0</v>
      </c>
      <c r="G68" s="786">
        <f t="shared" si="10"/>
        <v>0</v>
      </c>
      <c r="H68" s="786">
        <f t="shared" si="10"/>
        <v>0</v>
      </c>
      <c r="I68" s="786">
        <f t="shared" si="10"/>
        <v>959842.68945531198</v>
      </c>
      <c r="J68" s="786">
        <f t="shared" si="10"/>
        <v>0</v>
      </c>
      <c r="K68" s="786">
        <f t="shared" si="10"/>
        <v>0</v>
      </c>
      <c r="L68" s="786">
        <f t="shared" si="10"/>
        <v>0</v>
      </c>
      <c r="M68" s="786">
        <f t="shared" si="10"/>
        <v>0</v>
      </c>
      <c r="N68" s="786">
        <f t="shared" si="10"/>
        <v>0</v>
      </c>
      <c r="O68" s="786">
        <f t="shared" si="10"/>
        <v>10122797.535445489</v>
      </c>
    </row>
    <row r="69" spans="1:15" ht="10.5" x14ac:dyDescent="0.25">
      <c r="A69" s="782" t="s">
        <v>570</v>
      </c>
      <c r="B69" s="780"/>
      <c r="C69" s="780"/>
      <c r="D69" s="780"/>
      <c r="E69" s="780"/>
      <c r="F69" s="780"/>
      <c r="G69" s="780"/>
      <c r="H69" s="780"/>
      <c r="I69" s="780"/>
      <c r="J69" s="780"/>
      <c r="K69" s="780"/>
      <c r="L69" s="780"/>
      <c r="M69" s="780"/>
      <c r="N69" s="780"/>
      <c r="O69" s="780"/>
    </row>
    <row r="70" spans="1:15" x14ac:dyDescent="0.2">
      <c r="A70" s="783" t="s">
        <v>574</v>
      </c>
      <c r="B70" s="784">
        <v>31196.99755599846</v>
      </c>
      <c r="C70" s="784">
        <v>-38422.227695462119</v>
      </c>
      <c r="D70" s="784">
        <v>-17019.808409823552</v>
      </c>
      <c r="E70" s="784">
        <v>0</v>
      </c>
      <c r="F70" s="784">
        <v>0</v>
      </c>
      <c r="G70" s="784">
        <v>0</v>
      </c>
      <c r="H70" s="784">
        <v>0</v>
      </c>
      <c r="I70" s="784">
        <v>27.585805993963181</v>
      </c>
      <c r="J70" s="784">
        <v>0</v>
      </c>
      <c r="K70" s="784">
        <v>0</v>
      </c>
      <c r="L70" s="784">
        <v>0</v>
      </c>
      <c r="M70" s="784">
        <v>0</v>
      </c>
      <c r="N70" s="784">
        <v>0</v>
      </c>
      <c r="O70" s="784">
        <f t="shared" ref="O70:O84" si="11">SUM(B70:N70)</f>
        <v>-24217.452743293248</v>
      </c>
    </row>
    <row r="71" spans="1:15" x14ac:dyDescent="0.2">
      <c r="A71" s="783" t="s">
        <v>575</v>
      </c>
      <c r="B71" s="784">
        <v>38741.577506692665</v>
      </c>
      <c r="C71" s="784">
        <v>-1241.5294418352894</v>
      </c>
      <c r="D71" s="784">
        <v>0</v>
      </c>
      <c r="E71" s="784">
        <v>0</v>
      </c>
      <c r="F71" s="784">
        <v>0</v>
      </c>
      <c r="G71" s="784">
        <v>0</v>
      </c>
      <c r="H71" s="784">
        <v>0</v>
      </c>
      <c r="I71" s="784">
        <v>0</v>
      </c>
      <c r="J71" s="784">
        <v>0</v>
      </c>
      <c r="K71" s="784">
        <v>0</v>
      </c>
      <c r="L71" s="784">
        <v>0</v>
      </c>
      <c r="M71" s="784">
        <v>0</v>
      </c>
      <c r="N71" s="784">
        <v>0</v>
      </c>
      <c r="O71" s="784">
        <f t="shared" si="11"/>
        <v>37500.048064857379</v>
      </c>
    </row>
    <row r="72" spans="1:15" x14ac:dyDescent="0.2">
      <c r="A72" s="783" t="s">
        <v>4401</v>
      </c>
      <c r="B72" s="784">
        <v>0</v>
      </c>
      <c r="C72" s="784">
        <v>94362.165924326095</v>
      </c>
      <c r="D72" s="784">
        <v>27980.671199612239</v>
      </c>
      <c r="E72" s="784">
        <v>0</v>
      </c>
      <c r="F72" s="784">
        <v>0</v>
      </c>
      <c r="G72" s="784">
        <v>0</v>
      </c>
      <c r="H72" s="784">
        <v>0</v>
      </c>
      <c r="I72" s="784">
        <v>0</v>
      </c>
      <c r="J72" s="784">
        <v>0</v>
      </c>
      <c r="K72" s="784">
        <v>0</v>
      </c>
      <c r="L72" s="784">
        <v>0</v>
      </c>
      <c r="M72" s="784">
        <v>0</v>
      </c>
      <c r="N72" s="784">
        <v>0</v>
      </c>
      <c r="O72" s="784">
        <f t="shared" si="11"/>
        <v>122342.83712393834</v>
      </c>
    </row>
    <row r="73" spans="1:15" x14ac:dyDescent="0.2">
      <c r="A73" s="783" t="s">
        <v>578</v>
      </c>
      <c r="B73" s="784">
        <v>0</v>
      </c>
      <c r="C73" s="784">
        <v>-4295.2124480886278</v>
      </c>
      <c r="D73" s="784">
        <v>0</v>
      </c>
      <c r="E73" s="784">
        <v>0</v>
      </c>
      <c r="F73" s="784">
        <v>0</v>
      </c>
      <c r="G73" s="784">
        <v>0</v>
      </c>
      <c r="H73" s="784">
        <v>0</v>
      </c>
      <c r="I73" s="784">
        <v>0</v>
      </c>
      <c r="J73" s="784">
        <v>0</v>
      </c>
      <c r="K73" s="784">
        <v>0</v>
      </c>
      <c r="L73" s="784">
        <v>0</v>
      </c>
      <c r="M73" s="784">
        <v>0</v>
      </c>
      <c r="N73" s="784">
        <v>0</v>
      </c>
      <c r="O73" s="784">
        <f t="shared" si="11"/>
        <v>-4295.2124480886278</v>
      </c>
    </row>
    <row r="74" spans="1:15" x14ac:dyDescent="0.2">
      <c r="A74" s="783" t="s">
        <v>580</v>
      </c>
      <c r="B74" s="784">
        <v>0</v>
      </c>
      <c r="C74" s="784">
        <v>0</v>
      </c>
      <c r="D74" s="784">
        <v>0</v>
      </c>
      <c r="E74" s="784">
        <v>0</v>
      </c>
      <c r="F74" s="784">
        <v>0</v>
      </c>
      <c r="G74" s="784">
        <v>0</v>
      </c>
      <c r="H74" s="784">
        <v>0</v>
      </c>
      <c r="I74" s="784">
        <v>82.007955544846482</v>
      </c>
      <c r="J74" s="784">
        <v>0</v>
      </c>
      <c r="K74" s="784">
        <v>0</v>
      </c>
      <c r="L74" s="784">
        <v>0</v>
      </c>
      <c r="M74" s="784">
        <v>0</v>
      </c>
      <c r="N74" s="784">
        <v>0</v>
      </c>
      <c r="O74" s="784">
        <f t="shared" si="11"/>
        <v>82.007955544846482</v>
      </c>
    </row>
    <row r="75" spans="1:15" x14ac:dyDescent="0.2">
      <c r="A75" s="783" t="s">
        <v>581</v>
      </c>
      <c r="B75" s="784">
        <v>0</v>
      </c>
      <c r="C75" s="784">
        <v>0</v>
      </c>
      <c r="D75" s="784">
        <v>509.12381179640812</v>
      </c>
      <c r="E75" s="784">
        <v>0</v>
      </c>
      <c r="F75" s="784">
        <v>0</v>
      </c>
      <c r="G75" s="784">
        <v>0</v>
      </c>
      <c r="H75" s="784">
        <v>0</v>
      </c>
      <c r="I75" s="784">
        <v>199.48565300634522</v>
      </c>
      <c r="J75" s="784">
        <v>0</v>
      </c>
      <c r="K75" s="784">
        <v>0</v>
      </c>
      <c r="L75" s="784">
        <v>0</v>
      </c>
      <c r="M75" s="784">
        <v>0</v>
      </c>
      <c r="N75" s="784">
        <v>0</v>
      </c>
      <c r="O75" s="784">
        <f t="shared" si="11"/>
        <v>708.60946480275334</v>
      </c>
    </row>
    <row r="76" spans="1:15" x14ac:dyDescent="0.2">
      <c r="A76" s="783" t="s">
        <v>582</v>
      </c>
      <c r="B76" s="784">
        <v>5737.9939311920689</v>
      </c>
      <c r="C76" s="784">
        <v>0</v>
      </c>
      <c r="D76" s="784">
        <v>0</v>
      </c>
      <c r="E76" s="784">
        <v>0</v>
      </c>
      <c r="F76" s="784">
        <v>0</v>
      </c>
      <c r="G76" s="784">
        <v>0</v>
      </c>
      <c r="H76" s="784">
        <v>0</v>
      </c>
      <c r="I76" s="784">
        <v>0</v>
      </c>
      <c r="J76" s="784">
        <v>0</v>
      </c>
      <c r="K76" s="784">
        <v>0</v>
      </c>
      <c r="L76" s="784">
        <v>0</v>
      </c>
      <c r="M76" s="784">
        <v>0</v>
      </c>
      <c r="N76" s="784">
        <v>0</v>
      </c>
      <c r="O76" s="784">
        <f t="shared" si="11"/>
        <v>5737.9939311920689</v>
      </c>
    </row>
    <row r="77" spans="1:15" x14ac:dyDescent="0.2">
      <c r="A77" s="783" t="s">
        <v>583</v>
      </c>
      <c r="B77" s="784">
        <v>993.597645316598</v>
      </c>
      <c r="C77" s="784">
        <v>0</v>
      </c>
      <c r="D77" s="784">
        <v>0</v>
      </c>
      <c r="E77" s="784">
        <v>0</v>
      </c>
      <c r="F77" s="784">
        <v>0</v>
      </c>
      <c r="G77" s="784">
        <v>0</v>
      </c>
      <c r="H77" s="784">
        <v>0</v>
      </c>
      <c r="I77" s="784">
        <v>0</v>
      </c>
      <c r="J77" s="784">
        <v>0</v>
      </c>
      <c r="K77" s="784">
        <v>0</v>
      </c>
      <c r="L77" s="784">
        <v>0</v>
      </c>
      <c r="M77" s="784">
        <v>0</v>
      </c>
      <c r="N77" s="784">
        <v>0</v>
      </c>
      <c r="O77" s="784">
        <f t="shared" si="11"/>
        <v>993.597645316598</v>
      </c>
    </row>
    <row r="78" spans="1:15" x14ac:dyDescent="0.2">
      <c r="A78" s="783" t="s">
        <v>584</v>
      </c>
      <c r="B78" s="784">
        <v>22.610203113101246</v>
      </c>
      <c r="C78" s="784">
        <v>0</v>
      </c>
      <c r="D78" s="784">
        <v>0</v>
      </c>
      <c r="E78" s="784">
        <v>0</v>
      </c>
      <c r="F78" s="784">
        <v>0</v>
      </c>
      <c r="G78" s="784">
        <v>0</v>
      </c>
      <c r="H78" s="784">
        <v>0</v>
      </c>
      <c r="I78" s="784">
        <v>0</v>
      </c>
      <c r="J78" s="784">
        <v>0</v>
      </c>
      <c r="K78" s="784">
        <v>0</v>
      </c>
      <c r="L78" s="784">
        <v>0</v>
      </c>
      <c r="M78" s="784">
        <v>0</v>
      </c>
      <c r="N78" s="784">
        <v>0</v>
      </c>
      <c r="O78" s="784">
        <f t="shared" si="11"/>
        <v>22.610203113101246</v>
      </c>
    </row>
    <row r="79" spans="1:15" x14ac:dyDescent="0.2">
      <c r="A79" s="783" t="s">
        <v>585</v>
      </c>
      <c r="B79" s="784">
        <v>2862.24226966176</v>
      </c>
      <c r="C79" s="784">
        <v>0</v>
      </c>
      <c r="D79" s="784">
        <v>0</v>
      </c>
      <c r="E79" s="784">
        <v>0</v>
      </c>
      <c r="F79" s="784">
        <v>0</v>
      </c>
      <c r="G79" s="784">
        <v>0</v>
      </c>
      <c r="H79" s="784">
        <v>0</v>
      </c>
      <c r="I79" s="784">
        <v>0</v>
      </c>
      <c r="J79" s="784">
        <v>0</v>
      </c>
      <c r="K79" s="784">
        <v>0</v>
      </c>
      <c r="L79" s="784">
        <v>0</v>
      </c>
      <c r="M79" s="784">
        <v>0</v>
      </c>
      <c r="N79" s="784">
        <v>0</v>
      </c>
      <c r="O79" s="784">
        <f t="shared" si="11"/>
        <v>2862.24226966176</v>
      </c>
    </row>
    <row r="80" spans="1:15" x14ac:dyDescent="0.2">
      <c r="A80" s="783" t="s">
        <v>586</v>
      </c>
      <c r="B80" s="784">
        <v>-2862.24226966176</v>
      </c>
      <c r="C80" s="784">
        <v>0</v>
      </c>
      <c r="D80" s="784">
        <v>0</v>
      </c>
      <c r="E80" s="784">
        <v>0</v>
      </c>
      <c r="F80" s="784">
        <v>0</v>
      </c>
      <c r="G80" s="784">
        <v>0</v>
      </c>
      <c r="H80" s="784">
        <v>0</v>
      </c>
      <c r="I80" s="784">
        <v>0</v>
      </c>
      <c r="J80" s="784">
        <v>0</v>
      </c>
      <c r="K80" s="784">
        <v>0</v>
      </c>
      <c r="L80" s="784">
        <v>0</v>
      </c>
      <c r="M80" s="784">
        <v>0</v>
      </c>
      <c r="N80" s="784">
        <v>0</v>
      </c>
      <c r="O80" s="784">
        <f t="shared" si="11"/>
        <v>-2862.24226966176</v>
      </c>
    </row>
    <row r="81" spans="1:15" x14ac:dyDescent="0.2">
      <c r="A81" s="783" t="s">
        <v>587</v>
      </c>
      <c r="B81" s="784">
        <v>4852.3138990085026</v>
      </c>
      <c r="C81" s="784">
        <v>0</v>
      </c>
      <c r="D81" s="784">
        <v>0</v>
      </c>
      <c r="E81" s="784">
        <v>0</v>
      </c>
      <c r="F81" s="784">
        <v>0</v>
      </c>
      <c r="G81" s="784">
        <v>0</v>
      </c>
      <c r="H81" s="784">
        <v>0</v>
      </c>
      <c r="I81" s="784">
        <v>0</v>
      </c>
      <c r="J81" s="784">
        <v>0</v>
      </c>
      <c r="K81" s="784">
        <v>0</v>
      </c>
      <c r="L81" s="784">
        <v>0</v>
      </c>
      <c r="M81" s="784">
        <v>0</v>
      </c>
      <c r="N81" s="784">
        <v>0</v>
      </c>
      <c r="O81" s="784">
        <f t="shared" si="11"/>
        <v>4852.3138990085026</v>
      </c>
    </row>
    <row r="82" spans="1:15" x14ac:dyDescent="0.2">
      <c r="A82" s="783" t="s">
        <v>589</v>
      </c>
      <c r="B82" s="784">
        <v>25450.409742883843</v>
      </c>
      <c r="C82" s="784">
        <v>0</v>
      </c>
      <c r="D82" s="784">
        <v>0</v>
      </c>
      <c r="E82" s="784">
        <v>0</v>
      </c>
      <c r="F82" s="784">
        <v>0</v>
      </c>
      <c r="G82" s="784">
        <v>0</v>
      </c>
      <c r="H82" s="784">
        <v>0</v>
      </c>
      <c r="I82" s="784">
        <v>0</v>
      </c>
      <c r="J82" s="784">
        <v>0</v>
      </c>
      <c r="K82" s="784">
        <v>0</v>
      </c>
      <c r="L82" s="784">
        <v>0</v>
      </c>
      <c r="M82" s="784">
        <v>0</v>
      </c>
      <c r="N82" s="784">
        <v>0</v>
      </c>
      <c r="O82" s="784">
        <f t="shared" si="11"/>
        <v>25450.409742883843</v>
      </c>
    </row>
    <row r="83" spans="1:15" x14ac:dyDescent="0.2">
      <c r="A83" s="783" t="s">
        <v>590</v>
      </c>
      <c r="B83" s="784">
        <v>-53136.249903109769</v>
      </c>
      <c r="C83" s="784">
        <v>0</v>
      </c>
      <c r="D83" s="784">
        <v>0</v>
      </c>
      <c r="E83" s="784">
        <v>0</v>
      </c>
      <c r="F83" s="784">
        <v>0</v>
      </c>
      <c r="G83" s="784">
        <v>0</v>
      </c>
      <c r="H83" s="784">
        <v>0</v>
      </c>
      <c r="I83" s="784">
        <v>0</v>
      </c>
      <c r="J83" s="784">
        <v>0</v>
      </c>
      <c r="K83" s="784">
        <v>0</v>
      </c>
      <c r="L83" s="784">
        <v>0</v>
      </c>
      <c r="M83" s="784">
        <v>0</v>
      </c>
      <c r="N83" s="784">
        <v>0</v>
      </c>
      <c r="O83" s="784">
        <f t="shared" si="11"/>
        <v>-53136.249903109769</v>
      </c>
    </row>
    <row r="84" spans="1:15" x14ac:dyDescent="0.2">
      <c r="A84" s="783" t="s">
        <v>591</v>
      </c>
      <c r="B84" s="784">
        <v>813.98261461385164</v>
      </c>
      <c r="C84" s="784">
        <v>0</v>
      </c>
      <c r="D84" s="784">
        <v>0</v>
      </c>
      <c r="E84" s="784">
        <v>0</v>
      </c>
      <c r="F84" s="784">
        <v>0</v>
      </c>
      <c r="G84" s="784">
        <v>0</v>
      </c>
      <c r="H84" s="784">
        <v>0</v>
      </c>
      <c r="I84" s="784">
        <v>0</v>
      </c>
      <c r="J84" s="784">
        <v>0</v>
      </c>
      <c r="K84" s="784">
        <v>0</v>
      </c>
      <c r="L84" s="784">
        <v>0</v>
      </c>
      <c r="M84" s="784">
        <v>0</v>
      </c>
      <c r="N84" s="784">
        <v>0</v>
      </c>
      <c r="O84" s="784">
        <f t="shared" si="11"/>
        <v>813.98261461385164</v>
      </c>
    </row>
    <row r="85" spans="1:15" ht="10.5" x14ac:dyDescent="0.25">
      <c r="A85" s="785" t="s">
        <v>592</v>
      </c>
      <c r="B85" s="786">
        <f t="shared" ref="B85:O85" si="12">SUM(B70:B84)</f>
        <v>54673.233195709312</v>
      </c>
      <c r="C85" s="786">
        <f t="shared" si="12"/>
        <v>50403.196338940063</v>
      </c>
      <c r="D85" s="786">
        <f t="shared" si="12"/>
        <v>11469.986601585095</v>
      </c>
      <c r="E85" s="786">
        <f t="shared" si="12"/>
        <v>0</v>
      </c>
      <c r="F85" s="786">
        <f t="shared" si="12"/>
        <v>0</v>
      </c>
      <c r="G85" s="786">
        <f t="shared" si="12"/>
        <v>0</v>
      </c>
      <c r="H85" s="786">
        <f t="shared" si="12"/>
        <v>0</v>
      </c>
      <c r="I85" s="786">
        <f t="shared" si="12"/>
        <v>309.07941454515486</v>
      </c>
      <c r="J85" s="786">
        <f t="shared" si="12"/>
        <v>0</v>
      </c>
      <c r="K85" s="786">
        <f t="shared" si="12"/>
        <v>0</v>
      </c>
      <c r="L85" s="786">
        <f t="shared" si="12"/>
        <v>0</v>
      </c>
      <c r="M85" s="786">
        <f t="shared" si="12"/>
        <v>0</v>
      </c>
      <c r="N85" s="786">
        <f t="shared" si="12"/>
        <v>0</v>
      </c>
      <c r="O85" s="786">
        <f t="shared" si="12"/>
        <v>116855.49555077958</v>
      </c>
    </row>
    <row r="86" spans="1:15" ht="10.5" x14ac:dyDescent="0.25">
      <c r="A86" s="782" t="s">
        <v>593</v>
      </c>
      <c r="B86" s="780"/>
      <c r="C86" s="780"/>
      <c r="D86" s="780"/>
      <c r="E86" s="780"/>
      <c r="F86" s="780"/>
      <c r="G86" s="780"/>
      <c r="H86" s="780"/>
      <c r="I86" s="780"/>
      <c r="J86" s="780"/>
      <c r="K86" s="780"/>
      <c r="L86" s="780"/>
      <c r="M86" s="780"/>
      <c r="N86" s="780"/>
      <c r="O86" s="780"/>
    </row>
    <row r="87" spans="1:15" x14ac:dyDescent="0.2">
      <c r="A87" s="783" t="s">
        <v>594</v>
      </c>
      <c r="B87" s="784">
        <v>0</v>
      </c>
      <c r="C87" s="784">
        <v>3347.2398255419102</v>
      </c>
      <c r="D87" s="784">
        <v>0</v>
      </c>
      <c r="E87" s="784">
        <v>0</v>
      </c>
      <c r="F87" s="784">
        <v>0</v>
      </c>
      <c r="G87" s="784">
        <v>0</v>
      </c>
      <c r="H87" s="784">
        <v>0</v>
      </c>
      <c r="I87" s="784">
        <v>6112.2072115379933</v>
      </c>
      <c r="J87" s="784">
        <v>0</v>
      </c>
      <c r="K87" s="784">
        <v>0</v>
      </c>
      <c r="L87" s="784">
        <v>0</v>
      </c>
      <c r="M87" s="784">
        <v>0</v>
      </c>
      <c r="N87" s="784">
        <v>0</v>
      </c>
      <c r="O87" s="784">
        <f>SUM(B87:N87)</f>
        <v>9459.4470370799027</v>
      </c>
    </row>
    <row r="88" spans="1:15" x14ac:dyDescent="0.2">
      <c r="A88" s="783" t="s">
        <v>4404</v>
      </c>
      <c r="B88" s="784">
        <v>13394.143614824541</v>
      </c>
      <c r="C88" s="784">
        <v>0</v>
      </c>
      <c r="D88" s="784">
        <v>0</v>
      </c>
      <c r="E88" s="784">
        <v>0</v>
      </c>
      <c r="F88" s="784">
        <v>0</v>
      </c>
      <c r="G88" s="784">
        <v>0</v>
      </c>
      <c r="H88" s="784">
        <v>0</v>
      </c>
      <c r="I88" s="784">
        <v>0</v>
      </c>
      <c r="J88" s="784">
        <v>0</v>
      </c>
      <c r="K88" s="784">
        <v>0</v>
      </c>
      <c r="L88" s="784">
        <v>0</v>
      </c>
      <c r="M88" s="784">
        <v>0</v>
      </c>
      <c r="N88" s="784">
        <v>0</v>
      </c>
      <c r="O88" s="784">
        <f>SUM(B88:N88)</f>
        <v>13394.143614824541</v>
      </c>
    </row>
    <row r="89" spans="1:15" ht="10.5" x14ac:dyDescent="0.25">
      <c r="A89" s="785" t="s">
        <v>595</v>
      </c>
      <c r="B89" s="786">
        <f t="shared" ref="B89:O89" si="13">SUM(B87:B88)</f>
        <v>13394.143614824541</v>
      </c>
      <c r="C89" s="786">
        <f t="shared" si="13"/>
        <v>3347.2398255419102</v>
      </c>
      <c r="D89" s="786">
        <f t="shared" si="13"/>
        <v>0</v>
      </c>
      <c r="E89" s="786">
        <f t="shared" si="13"/>
        <v>0</v>
      </c>
      <c r="F89" s="786">
        <f t="shared" si="13"/>
        <v>0</v>
      </c>
      <c r="G89" s="786">
        <f t="shared" si="13"/>
        <v>0</v>
      </c>
      <c r="H89" s="786">
        <f t="shared" si="13"/>
        <v>0</v>
      </c>
      <c r="I89" s="786">
        <f t="shared" si="13"/>
        <v>6112.2072115379933</v>
      </c>
      <c r="J89" s="786">
        <f t="shared" si="13"/>
        <v>0</v>
      </c>
      <c r="K89" s="786">
        <f t="shared" si="13"/>
        <v>0</v>
      </c>
      <c r="L89" s="786">
        <f t="shared" si="13"/>
        <v>0</v>
      </c>
      <c r="M89" s="786">
        <f t="shared" si="13"/>
        <v>0</v>
      </c>
      <c r="N89" s="786">
        <f t="shared" si="13"/>
        <v>0</v>
      </c>
      <c r="O89" s="786">
        <f t="shared" si="13"/>
        <v>22853.590651904444</v>
      </c>
    </row>
    <row r="90" spans="1:15" ht="10.5" x14ac:dyDescent="0.25">
      <c r="A90" s="782" t="s">
        <v>596</v>
      </c>
      <c r="B90" s="780"/>
      <c r="C90" s="780"/>
      <c r="D90" s="780"/>
      <c r="E90" s="780"/>
      <c r="F90" s="780"/>
      <c r="G90" s="780"/>
      <c r="H90" s="780"/>
      <c r="I90" s="780"/>
      <c r="J90" s="780"/>
      <c r="K90" s="780"/>
      <c r="L90" s="780"/>
      <c r="M90" s="780"/>
      <c r="N90" s="780"/>
      <c r="O90" s="780"/>
    </row>
    <row r="91" spans="1:15" x14ac:dyDescent="0.2">
      <c r="A91" s="783" t="s">
        <v>597</v>
      </c>
      <c r="B91" s="784">
        <v>16736.428320249739</v>
      </c>
      <c r="C91" s="784">
        <v>14894.936280299242</v>
      </c>
      <c r="D91" s="784">
        <v>5267.1977850315425</v>
      </c>
      <c r="E91" s="784">
        <v>0</v>
      </c>
      <c r="F91" s="784">
        <v>0</v>
      </c>
      <c r="G91" s="784">
        <v>0</v>
      </c>
      <c r="H91" s="784">
        <v>0</v>
      </c>
      <c r="I91" s="784">
        <v>10608.627134595527</v>
      </c>
      <c r="J91" s="784">
        <v>0</v>
      </c>
      <c r="K91" s="784">
        <v>0</v>
      </c>
      <c r="L91" s="784">
        <v>0</v>
      </c>
      <c r="M91" s="784">
        <v>0</v>
      </c>
      <c r="N91" s="784">
        <v>0</v>
      </c>
      <c r="O91" s="784">
        <f t="shared" ref="O91:O102" si="14">SUM(B91:N91)</f>
        <v>47507.189520176049</v>
      </c>
    </row>
    <row r="92" spans="1:15" x14ac:dyDescent="0.2">
      <c r="A92" s="783" t="s">
        <v>598</v>
      </c>
      <c r="B92" s="784">
        <v>5954.9067211321353</v>
      </c>
      <c r="C92" s="784">
        <v>28.317755308868911</v>
      </c>
      <c r="D92" s="784">
        <v>0</v>
      </c>
      <c r="E92" s="784">
        <v>0</v>
      </c>
      <c r="F92" s="784">
        <v>0</v>
      </c>
      <c r="G92" s="784">
        <v>0</v>
      </c>
      <c r="H92" s="784">
        <v>0</v>
      </c>
      <c r="I92" s="784">
        <v>0</v>
      </c>
      <c r="J92" s="784">
        <v>0</v>
      </c>
      <c r="K92" s="784">
        <v>0</v>
      </c>
      <c r="L92" s="784">
        <v>0</v>
      </c>
      <c r="M92" s="784">
        <v>0</v>
      </c>
      <c r="N92" s="784">
        <v>0</v>
      </c>
      <c r="O92" s="784">
        <f t="shared" si="14"/>
        <v>5983.2244764410043</v>
      </c>
    </row>
    <row r="93" spans="1:15" x14ac:dyDescent="0.2">
      <c r="A93" s="783" t="s">
        <v>599</v>
      </c>
      <c r="B93" s="784">
        <v>21864.558764156307</v>
      </c>
      <c r="C93" s="784">
        <v>9844.114440797659</v>
      </c>
      <c r="D93" s="784">
        <v>2416.0934329726433</v>
      </c>
      <c r="E93" s="784">
        <v>0</v>
      </c>
      <c r="F93" s="784">
        <v>0</v>
      </c>
      <c r="G93" s="784">
        <v>0</v>
      </c>
      <c r="H93" s="784">
        <v>0</v>
      </c>
      <c r="I93" s="784">
        <v>557.79230844531162</v>
      </c>
      <c r="J93" s="784">
        <v>0</v>
      </c>
      <c r="K93" s="784">
        <v>0</v>
      </c>
      <c r="L93" s="784">
        <v>0</v>
      </c>
      <c r="M93" s="784">
        <v>0</v>
      </c>
      <c r="N93" s="784">
        <v>0</v>
      </c>
      <c r="O93" s="784">
        <f t="shared" si="14"/>
        <v>34682.558946371923</v>
      </c>
    </row>
    <row r="94" spans="1:15" x14ac:dyDescent="0.2">
      <c r="A94" s="783" t="s">
        <v>600</v>
      </c>
      <c r="B94" s="784">
        <v>6340.9444420276332</v>
      </c>
      <c r="C94" s="784">
        <v>2644.3635340821497</v>
      </c>
      <c r="D94" s="784">
        <v>1113.6841771672709</v>
      </c>
      <c r="E94" s="784">
        <v>0</v>
      </c>
      <c r="F94" s="784">
        <v>0</v>
      </c>
      <c r="G94" s="784">
        <v>0</v>
      </c>
      <c r="H94" s="784">
        <v>0</v>
      </c>
      <c r="I94" s="784">
        <v>999.85959384708042</v>
      </c>
      <c r="J94" s="784">
        <v>0</v>
      </c>
      <c r="K94" s="784">
        <v>0</v>
      </c>
      <c r="L94" s="784">
        <v>0</v>
      </c>
      <c r="M94" s="784">
        <v>0</v>
      </c>
      <c r="N94" s="784">
        <v>0</v>
      </c>
      <c r="O94" s="784">
        <f t="shared" si="14"/>
        <v>11098.851747124136</v>
      </c>
    </row>
    <row r="95" spans="1:15" x14ac:dyDescent="0.2">
      <c r="A95" s="783" t="s">
        <v>601</v>
      </c>
      <c r="B95" s="784">
        <v>1451.787286083221</v>
      </c>
      <c r="C95" s="784">
        <v>747.87861519810178</v>
      </c>
      <c r="D95" s="784">
        <v>1110.2214451902889</v>
      </c>
      <c r="E95" s="784">
        <v>0</v>
      </c>
      <c r="F95" s="784">
        <v>0</v>
      </c>
      <c r="G95" s="784">
        <v>0</v>
      </c>
      <c r="H95" s="784">
        <v>0</v>
      </c>
      <c r="I95" s="784">
        <v>540.33850787267602</v>
      </c>
      <c r="J95" s="784">
        <v>0</v>
      </c>
      <c r="K95" s="784">
        <v>0</v>
      </c>
      <c r="L95" s="784">
        <v>0</v>
      </c>
      <c r="M95" s="784">
        <v>0</v>
      </c>
      <c r="N95" s="784">
        <v>0</v>
      </c>
      <c r="O95" s="784">
        <f t="shared" si="14"/>
        <v>3850.2258543442877</v>
      </c>
    </row>
    <row r="96" spans="1:15" x14ac:dyDescent="0.2">
      <c r="A96" s="783" t="s">
        <v>602</v>
      </c>
      <c r="B96" s="784">
        <v>38.343583363360821</v>
      </c>
      <c r="C96" s="784">
        <v>-1142.2184658437457</v>
      </c>
      <c r="D96" s="784">
        <v>-226.18731986454034</v>
      </c>
      <c r="E96" s="784">
        <v>0</v>
      </c>
      <c r="F96" s="784">
        <v>0</v>
      </c>
      <c r="G96" s="784">
        <v>0</v>
      </c>
      <c r="H96" s="784">
        <v>0</v>
      </c>
      <c r="I96" s="784">
        <v>1315.8643362492853</v>
      </c>
      <c r="J96" s="784">
        <v>0</v>
      </c>
      <c r="K96" s="784">
        <v>0</v>
      </c>
      <c r="L96" s="784">
        <v>0</v>
      </c>
      <c r="M96" s="784">
        <v>0</v>
      </c>
      <c r="N96" s="784">
        <v>0</v>
      </c>
      <c r="O96" s="784">
        <f t="shared" si="14"/>
        <v>-14.197866095639938</v>
      </c>
    </row>
    <row r="97" spans="1:15" x14ac:dyDescent="0.2">
      <c r="A97" s="783" t="s">
        <v>603</v>
      </c>
      <c r="B97" s="784">
        <v>449.32571355227122</v>
      </c>
      <c r="C97" s="784">
        <v>90.537864670204343</v>
      </c>
      <c r="D97" s="784">
        <v>0</v>
      </c>
      <c r="E97" s="784">
        <v>0</v>
      </c>
      <c r="F97" s="784">
        <v>0</v>
      </c>
      <c r="G97" s="784">
        <v>0</v>
      </c>
      <c r="H97" s="784">
        <v>0</v>
      </c>
      <c r="I97" s="784">
        <v>93.795936024911001</v>
      </c>
      <c r="J97" s="784">
        <v>0</v>
      </c>
      <c r="K97" s="784">
        <v>0</v>
      </c>
      <c r="L97" s="784">
        <v>0</v>
      </c>
      <c r="M97" s="784">
        <v>0</v>
      </c>
      <c r="N97" s="784">
        <v>0</v>
      </c>
      <c r="O97" s="784">
        <f t="shared" si="14"/>
        <v>633.6595142473866</v>
      </c>
    </row>
    <row r="98" spans="1:15" x14ac:dyDescent="0.2">
      <c r="A98" s="783" t="s">
        <v>604</v>
      </c>
      <c r="B98" s="784">
        <v>1520.0993954769719</v>
      </c>
      <c r="C98" s="784">
        <v>271.92832718586004</v>
      </c>
      <c r="D98" s="784">
        <v>2166.0845810650953</v>
      </c>
      <c r="E98" s="784">
        <v>0</v>
      </c>
      <c r="F98" s="784">
        <v>0</v>
      </c>
      <c r="G98" s="784">
        <v>0</v>
      </c>
      <c r="H98" s="784">
        <v>0</v>
      </c>
      <c r="I98" s="784">
        <v>4.4043227284851199</v>
      </c>
      <c r="J98" s="784">
        <v>0</v>
      </c>
      <c r="K98" s="784">
        <v>0</v>
      </c>
      <c r="L98" s="784">
        <v>0</v>
      </c>
      <c r="M98" s="784">
        <v>0</v>
      </c>
      <c r="N98" s="784">
        <v>0</v>
      </c>
      <c r="O98" s="784">
        <f t="shared" si="14"/>
        <v>3962.5166264564127</v>
      </c>
    </row>
    <row r="99" spans="1:15" x14ac:dyDescent="0.2">
      <c r="A99" s="783" t="s">
        <v>605</v>
      </c>
      <c r="B99" s="784">
        <v>288.38645488489004</v>
      </c>
      <c r="C99" s="784">
        <v>570.43478278967291</v>
      </c>
      <c r="D99" s="784">
        <v>0</v>
      </c>
      <c r="E99" s="784">
        <v>0</v>
      </c>
      <c r="F99" s="784">
        <v>0</v>
      </c>
      <c r="G99" s="784">
        <v>0</v>
      </c>
      <c r="H99" s="784">
        <v>0</v>
      </c>
      <c r="I99" s="784">
        <v>0</v>
      </c>
      <c r="J99" s="784">
        <v>0</v>
      </c>
      <c r="K99" s="784">
        <v>0</v>
      </c>
      <c r="L99" s="784">
        <v>0</v>
      </c>
      <c r="M99" s="784">
        <v>0</v>
      </c>
      <c r="N99" s="784">
        <v>0</v>
      </c>
      <c r="O99" s="784">
        <f t="shared" si="14"/>
        <v>858.82123767456301</v>
      </c>
    </row>
    <row r="100" spans="1:15" x14ac:dyDescent="0.2">
      <c r="A100" s="783" t="s">
        <v>606</v>
      </c>
      <c r="B100" s="784">
        <v>903.69850515142343</v>
      </c>
      <c r="C100" s="784">
        <v>0</v>
      </c>
      <c r="D100" s="784">
        <v>0</v>
      </c>
      <c r="E100" s="784">
        <v>0</v>
      </c>
      <c r="F100" s="784">
        <v>0</v>
      </c>
      <c r="G100" s="784">
        <v>0</v>
      </c>
      <c r="H100" s="784">
        <v>0</v>
      </c>
      <c r="I100" s="784">
        <v>-301.6659403072</v>
      </c>
      <c r="J100" s="784">
        <v>0</v>
      </c>
      <c r="K100" s="784">
        <v>0</v>
      </c>
      <c r="L100" s="784">
        <v>0</v>
      </c>
      <c r="M100" s="784">
        <v>0</v>
      </c>
      <c r="N100" s="784">
        <v>0</v>
      </c>
      <c r="O100" s="784">
        <f t="shared" si="14"/>
        <v>602.03256484422343</v>
      </c>
    </row>
    <row r="101" spans="1:15" x14ac:dyDescent="0.2">
      <c r="A101" s="783" t="s">
        <v>608</v>
      </c>
      <c r="B101" s="784">
        <v>1059.7548464102765</v>
      </c>
      <c r="C101" s="784">
        <v>0</v>
      </c>
      <c r="D101" s="784">
        <v>0</v>
      </c>
      <c r="E101" s="784">
        <v>0</v>
      </c>
      <c r="F101" s="784">
        <v>0</v>
      </c>
      <c r="G101" s="784">
        <v>0</v>
      </c>
      <c r="H101" s="784">
        <v>0</v>
      </c>
      <c r="I101" s="784">
        <v>0</v>
      </c>
      <c r="J101" s="784">
        <v>0</v>
      </c>
      <c r="K101" s="784">
        <v>0</v>
      </c>
      <c r="L101" s="784">
        <v>0</v>
      </c>
      <c r="M101" s="784">
        <v>0</v>
      </c>
      <c r="N101" s="784">
        <v>0</v>
      </c>
      <c r="O101" s="784">
        <f t="shared" si="14"/>
        <v>1059.7548464102765</v>
      </c>
    </row>
    <row r="102" spans="1:15" x14ac:dyDescent="0.2">
      <c r="A102" s="783" t="s">
        <v>740</v>
      </c>
      <c r="B102" s="784">
        <v>19.994236262281561</v>
      </c>
      <c r="C102" s="784">
        <v>0</v>
      </c>
      <c r="D102" s="784">
        <v>0</v>
      </c>
      <c r="E102" s="784">
        <v>0</v>
      </c>
      <c r="F102" s="784">
        <v>0</v>
      </c>
      <c r="G102" s="784">
        <v>0</v>
      </c>
      <c r="H102" s="784">
        <v>0</v>
      </c>
      <c r="I102" s="784">
        <v>0</v>
      </c>
      <c r="J102" s="784">
        <v>0</v>
      </c>
      <c r="K102" s="784">
        <v>0</v>
      </c>
      <c r="L102" s="784">
        <v>0</v>
      </c>
      <c r="M102" s="784">
        <v>0</v>
      </c>
      <c r="N102" s="784">
        <v>0</v>
      </c>
      <c r="O102" s="784">
        <f t="shared" si="14"/>
        <v>19.994236262281561</v>
      </c>
    </row>
    <row r="103" spans="1:15" ht="10.5" x14ac:dyDescent="0.25">
      <c r="A103" s="785" t="s">
        <v>609</v>
      </c>
      <c r="B103" s="786">
        <f t="shared" ref="B103:O103" si="15">SUM(B91:B102)</f>
        <v>56628.228268750507</v>
      </c>
      <c r="C103" s="786">
        <f t="shared" si="15"/>
        <v>27950.293134488009</v>
      </c>
      <c r="D103" s="786">
        <f t="shared" si="15"/>
        <v>11847.094101562301</v>
      </c>
      <c r="E103" s="786">
        <f t="shared" si="15"/>
        <v>0</v>
      </c>
      <c r="F103" s="786">
        <f t="shared" si="15"/>
        <v>0</v>
      </c>
      <c r="G103" s="786">
        <f t="shared" si="15"/>
        <v>0</v>
      </c>
      <c r="H103" s="786">
        <f t="shared" si="15"/>
        <v>0</v>
      </c>
      <c r="I103" s="786">
        <f t="shared" si="15"/>
        <v>13819.016199456079</v>
      </c>
      <c r="J103" s="786">
        <f t="shared" si="15"/>
        <v>0</v>
      </c>
      <c r="K103" s="786">
        <f t="shared" si="15"/>
        <v>0</v>
      </c>
      <c r="L103" s="786">
        <f t="shared" si="15"/>
        <v>0</v>
      </c>
      <c r="M103" s="786">
        <f t="shared" si="15"/>
        <v>0</v>
      </c>
      <c r="N103" s="786">
        <f t="shared" si="15"/>
        <v>0</v>
      </c>
      <c r="O103" s="786">
        <f t="shared" si="15"/>
        <v>110244.6317042569</v>
      </c>
    </row>
    <row r="104" spans="1:15" ht="10.5" x14ac:dyDescent="0.25">
      <c r="A104" s="782" t="s">
        <v>610</v>
      </c>
      <c r="B104" s="780"/>
      <c r="C104" s="780"/>
      <c r="D104" s="780"/>
      <c r="E104" s="780"/>
      <c r="F104" s="780"/>
      <c r="G104" s="780"/>
      <c r="H104" s="780"/>
      <c r="I104" s="780"/>
      <c r="J104" s="780"/>
      <c r="K104" s="780"/>
      <c r="L104" s="780"/>
      <c r="M104" s="780"/>
      <c r="N104" s="780"/>
      <c r="O104" s="780"/>
    </row>
    <row r="105" spans="1:15" x14ac:dyDescent="0.2">
      <c r="A105" s="783" t="s">
        <v>646</v>
      </c>
      <c r="B105" s="784">
        <v>0.29012881264997176</v>
      </c>
      <c r="C105" s="784">
        <v>18474.250334846743</v>
      </c>
      <c r="D105" s="784">
        <v>0</v>
      </c>
      <c r="E105" s="784">
        <v>0</v>
      </c>
      <c r="F105" s="784">
        <v>0</v>
      </c>
      <c r="G105" s="784">
        <v>0</v>
      </c>
      <c r="H105" s="784">
        <v>0</v>
      </c>
      <c r="I105" s="784">
        <v>0</v>
      </c>
      <c r="J105" s="784">
        <v>0</v>
      </c>
      <c r="K105" s="784">
        <v>0</v>
      </c>
      <c r="L105" s="784">
        <v>0</v>
      </c>
      <c r="M105" s="784">
        <v>0</v>
      </c>
      <c r="N105" s="784">
        <v>0</v>
      </c>
      <c r="O105" s="784">
        <f>SUM(B105:N105)</f>
        <v>18474.540463659392</v>
      </c>
    </row>
    <row r="106" spans="1:15" x14ac:dyDescent="0.2">
      <c r="A106" s="783" t="s">
        <v>647</v>
      </c>
      <c r="B106" s="784">
        <v>35238.039542772662</v>
      </c>
      <c r="C106" s="784">
        <v>7493.0857952377764</v>
      </c>
      <c r="D106" s="784">
        <v>5264.6462021603202</v>
      </c>
      <c r="E106" s="784">
        <v>0</v>
      </c>
      <c r="F106" s="784">
        <v>0</v>
      </c>
      <c r="G106" s="784">
        <v>0</v>
      </c>
      <c r="H106" s="784">
        <v>0</v>
      </c>
      <c r="I106" s="784">
        <v>0</v>
      </c>
      <c r="J106" s="784">
        <v>0</v>
      </c>
      <c r="K106" s="784">
        <v>0</v>
      </c>
      <c r="L106" s="784">
        <v>0</v>
      </c>
      <c r="M106" s="784">
        <v>0</v>
      </c>
      <c r="N106" s="784">
        <v>0</v>
      </c>
      <c r="O106" s="784">
        <f>SUM(B106:N106)</f>
        <v>47995.771540170761</v>
      </c>
    </row>
    <row r="107" spans="1:15" x14ac:dyDescent="0.2">
      <c r="A107" s="783" t="s">
        <v>648</v>
      </c>
      <c r="B107" s="784">
        <v>3668.1287188276292</v>
      </c>
      <c r="C107" s="784">
        <v>5000.9322163685547</v>
      </c>
      <c r="D107" s="784">
        <v>0</v>
      </c>
      <c r="E107" s="784">
        <v>0</v>
      </c>
      <c r="F107" s="784">
        <v>0</v>
      </c>
      <c r="G107" s="784">
        <v>0</v>
      </c>
      <c r="H107" s="784">
        <v>0</v>
      </c>
      <c r="I107" s="784">
        <v>0</v>
      </c>
      <c r="J107" s="784">
        <v>0</v>
      </c>
      <c r="K107" s="784">
        <v>0</v>
      </c>
      <c r="L107" s="784">
        <v>0</v>
      </c>
      <c r="M107" s="784">
        <v>0</v>
      </c>
      <c r="N107" s="784">
        <v>0</v>
      </c>
      <c r="O107" s="784">
        <f>SUM(B107:N107)</f>
        <v>8669.060935196183</v>
      </c>
    </row>
    <row r="108" spans="1:15" x14ac:dyDescent="0.2">
      <c r="A108" s="783" t="s">
        <v>611</v>
      </c>
      <c r="B108" s="784">
        <v>68152.112602091758</v>
      </c>
      <c r="C108" s="784">
        <v>4136.6792479592668</v>
      </c>
      <c r="D108" s="784">
        <v>0</v>
      </c>
      <c r="E108" s="784">
        <v>0</v>
      </c>
      <c r="F108" s="784">
        <v>0</v>
      </c>
      <c r="G108" s="784">
        <v>0</v>
      </c>
      <c r="H108" s="784">
        <v>0</v>
      </c>
      <c r="I108" s="784">
        <v>0</v>
      </c>
      <c r="J108" s="784">
        <v>0</v>
      </c>
      <c r="K108" s="784">
        <v>0</v>
      </c>
      <c r="L108" s="784">
        <v>0</v>
      </c>
      <c r="M108" s="784">
        <v>0</v>
      </c>
      <c r="N108" s="784">
        <v>0</v>
      </c>
      <c r="O108" s="784">
        <f>SUM(B108:N108)</f>
        <v>72288.791850051028</v>
      </c>
    </row>
    <row r="109" spans="1:15" x14ac:dyDescent="0.2">
      <c r="A109" s="783" t="s">
        <v>612</v>
      </c>
      <c r="B109" s="784">
        <v>119558.53234425461</v>
      </c>
      <c r="C109" s="784">
        <v>23077.436274379914</v>
      </c>
      <c r="D109" s="784">
        <v>0</v>
      </c>
      <c r="E109" s="784">
        <v>0</v>
      </c>
      <c r="F109" s="784">
        <v>0</v>
      </c>
      <c r="G109" s="784">
        <v>0</v>
      </c>
      <c r="H109" s="784">
        <v>0</v>
      </c>
      <c r="I109" s="784">
        <v>0</v>
      </c>
      <c r="J109" s="784">
        <v>0</v>
      </c>
      <c r="K109" s="784">
        <v>0</v>
      </c>
      <c r="L109" s="784">
        <v>0</v>
      </c>
      <c r="M109" s="784">
        <v>0</v>
      </c>
      <c r="N109" s="784">
        <v>0</v>
      </c>
      <c r="O109" s="784">
        <f>SUM(B109:N109)</f>
        <v>142635.96861863451</v>
      </c>
    </row>
    <row r="110" spans="1:15" ht="10.5" x14ac:dyDescent="0.25">
      <c r="A110" s="785" t="s">
        <v>613</v>
      </c>
      <c r="B110" s="786">
        <f t="shared" ref="B110:O110" si="16">SUM(B105:B109)</f>
        <v>226617.10333675932</v>
      </c>
      <c r="C110" s="786">
        <f t="shared" si="16"/>
        <v>58182.383868792254</v>
      </c>
      <c r="D110" s="786">
        <f t="shared" si="16"/>
        <v>5264.6462021603202</v>
      </c>
      <c r="E110" s="786">
        <f t="shared" si="16"/>
        <v>0</v>
      </c>
      <c r="F110" s="786">
        <f t="shared" si="16"/>
        <v>0</v>
      </c>
      <c r="G110" s="786">
        <f t="shared" si="16"/>
        <v>0</v>
      </c>
      <c r="H110" s="786">
        <f t="shared" si="16"/>
        <v>0</v>
      </c>
      <c r="I110" s="786">
        <f t="shared" si="16"/>
        <v>0</v>
      </c>
      <c r="J110" s="786">
        <f t="shared" si="16"/>
        <v>0</v>
      </c>
      <c r="K110" s="786">
        <f t="shared" si="16"/>
        <v>0</v>
      </c>
      <c r="L110" s="786">
        <f t="shared" si="16"/>
        <v>0</v>
      </c>
      <c r="M110" s="786">
        <f t="shared" si="16"/>
        <v>0</v>
      </c>
      <c r="N110" s="786">
        <f t="shared" si="16"/>
        <v>0</v>
      </c>
      <c r="O110" s="786">
        <f t="shared" si="16"/>
        <v>290064.13340771187</v>
      </c>
    </row>
    <row r="111" spans="1:15" ht="10.5" x14ac:dyDescent="0.25">
      <c r="A111" s="782" t="s">
        <v>614</v>
      </c>
      <c r="B111" s="780"/>
      <c r="C111" s="780"/>
      <c r="D111" s="780"/>
      <c r="E111" s="780"/>
      <c r="F111" s="780"/>
      <c r="G111" s="780"/>
      <c r="H111" s="780"/>
      <c r="I111" s="780"/>
      <c r="J111" s="780"/>
      <c r="K111" s="780"/>
      <c r="L111" s="780"/>
      <c r="M111" s="780"/>
      <c r="N111" s="780"/>
      <c r="O111" s="780"/>
    </row>
    <row r="112" spans="1:15" x14ac:dyDescent="0.2">
      <c r="A112" s="783" t="s">
        <v>615</v>
      </c>
      <c r="B112" s="784">
        <v>0</v>
      </c>
      <c r="C112" s="784">
        <v>0</v>
      </c>
      <c r="D112" s="784">
        <v>17.520471365730408</v>
      </c>
      <c r="E112" s="784">
        <v>0</v>
      </c>
      <c r="F112" s="784">
        <v>0</v>
      </c>
      <c r="G112" s="784">
        <v>0</v>
      </c>
      <c r="H112" s="784">
        <v>0</v>
      </c>
      <c r="I112" s="784">
        <v>0</v>
      </c>
      <c r="J112" s="784">
        <v>0</v>
      </c>
      <c r="K112" s="784">
        <v>0</v>
      </c>
      <c r="L112" s="784">
        <v>0</v>
      </c>
      <c r="M112" s="784">
        <v>0</v>
      </c>
      <c r="N112" s="784">
        <v>0</v>
      </c>
      <c r="O112" s="784">
        <f t="shared" ref="O112:O119" si="17">SUM(B112:N112)</f>
        <v>17.520471365730408</v>
      </c>
    </row>
    <row r="113" spans="1:15" x14ac:dyDescent="0.2">
      <c r="A113" s="783" t="s">
        <v>645</v>
      </c>
      <c r="B113" s="784">
        <v>3431.074527700081</v>
      </c>
      <c r="C113" s="784">
        <v>0</v>
      </c>
      <c r="D113" s="784">
        <v>0</v>
      </c>
      <c r="E113" s="784">
        <v>0</v>
      </c>
      <c r="F113" s="784">
        <v>0</v>
      </c>
      <c r="G113" s="784">
        <v>0</v>
      </c>
      <c r="H113" s="784">
        <v>0</v>
      </c>
      <c r="I113" s="784">
        <v>0</v>
      </c>
      <c r="J113" s="784">
        <v>0</v>
      </c>
      <c r="K113" s="784">
        <v>0</v>
      </c>
      <c r="L113" s="784">
        <v>0</v>
      </c>
      <c r="M113" s="784">
        <v>0</v>
      </c>
      <c r="N113" s="784">
        <v>0</v>
      </c>
      <c r="O113" s="784">
        <f t="shared" si="17"/>
        <v>3431.074527700081</v>
      </c>
    </row>
    <row r="114" spans="1:15" x14ac:dyDescent="0.2">
      <c r="A114" s="783" t="s">
        <v>617</v>
      </c>
      <c r="B114" s="784">
        <v>0</v>
      </c>
      <c r="C114" s="784">
        <v>40.902951503418869</v>
      </c>
      <c r="D114" s="784">
        <v>0</v>
      </c>
      <c r="E114" s="784">
        <v>0</v>
      </c>
      <c r="F114" s="784">
        <v>0</v>
      </c>
      <c r="G114" s="784">
        <v>0</v>
      </c>
      <c r="H114" s="784">
        <v>0</v>
      </c>
      <c r="I114" s="784">
        <v>0</v>
      </c>
      <c r="J114" s="784">
        <v>0</v>
      </c>
      <c r="K114" s="784">
        <v>0</v>
      </c>
      <c r="L114" s="784">
        <v>0</v>
      </c>
      <c r="M114" s="784">
        <v>0</v>
      </c>
      <c r="N114" s="784">
        <v>0</v>
      </c>
      <c r="O114" s="784">
        <f t="shared" si="17"/>
        <v>40.902951503418869</v>
      </c>
    </row>
    <row r="115" spans="1:15" x14ac:dyDescent="0.2">
      <c r="A115" s="783" t="s">
        <v>698</v>
      </c>
      <c r="B115" s="784">
        <v>626.63404626027932</v>
      </c>
      <c r="C115" s="784">
        <v>0</v>
      </c>
      <c r="D115" s="784">
        <v>0</v>
      </c>
      <c r="E115" s="784">
        <v>0</v>
      </c>
      <c r="F115" s="784">
        <v>0</v>
      </c>
      <c r="G115" s="784">
        <v>0</v>
      </c>
      <c r="H115" s="784">
        <v>0</v>
      </c>
      <c r="I115" s="784">
        <v>0</v>
      </c>
      <c r="J115" s="784">
        <v>0</v>
      </c>
      <c r="K115" s="784">
        <v>0</v>
      </c>
      <c r="L115" s="784">
        <v>0</v>
      </c>
      <c r="M115" s="784">
        <v>0</v>
      </c>
      <c r="N115" s="784">
        <v>0</v>
      </c>
      <c r="O115" s="784">
        <f t="shared" si="17"/>
        <v>626.63404626027932</v>
      </c>
    </row>
    <row r="116" spans="1:15" x14ac:dyDescent="0.2">
      <c r="A116" s="783" t="s">
        <v>618</v>
      </c>
      <c r="B116" s="784">
        <v>0</v>
      </c>
      <c r="C116" s="784">
        <v>253.3670585095584</v>
      </c>
      <c r="D116" s="784">
        <v>245.82681365400239</v>
      </c>
      <c r="E116" s="784">
        <v>0</v>
      </c>
      <c r="F116" s="784">
        <v>0</v>
      </c>
      <c r="G116" s="784">
        <v>0</v>
      </c>
      <c r="H116" s="784">
        <v>0</v>
      </c>
      <c r="I116" s="784">
        <v>0</v>
      </c>
      <c r="J116" s="784">
        <v>0</v>
      </c>
      <c r="K116" s="784">
        <v>0</v>
      </c>
      <c r="L116" s="784">
        <v>0</v>
      </c>
      <c r="M116" s="784">
        <v>0</v>
      </c>
      <c r="N116" s="784">
        <v>0</v>
      </c>
      <c r="O116" s="784">
        <f t="shared" si="17"/>
        <v>499.1938721635608</v>
      </c>
    </row>
    <row r="117" spans="1:15" x14ac:dyDescent="0.2">
      <c r="A117" s="783" t="s">
        <v>619</v>
      </c>
      <c r="B117" s="784">
        <v>18411.942963791029</v>
      </c>
      <c r="C117" s="784">
        <v>5390.4877991710928</v>
      </c>
      <c r="D117" s="784">
        <v>0</v>
      </c>
      <c r="E117" s="784">
        <v>0</v>
      </c>
      <c r="F117" s="784">
        <v>0</v>
      </c>
      <c r="G117" s="784">
        <v>0</v>
      </c>
      <c r="H117" s="784">
        <v>0</v>
      </c>
      <c r="I117" s="784">
        <v>0</v>
      </c>
      <c r="J117" s="784">
        <v>0</v>
      </c>
      <c r="K117" s="784">
        <v>0</v>
      </c>
      <c r="L117" s="784">
        <v>0</v>
      </c>
      <c r="M117" s="784">
        <v>0</v>
      </c>
      <c r="N117" s="784">
        <v>0</v>
      </c>
      <c r="O117" s="784">
        <f t="shared" si="17"/>
        <v>23802.430762962122</v>
      </c>
    </row>
    <row r="118" spans="1:15" x14ac:dyDescent="0.2">
      <c r="A118" s="783" t="s">
        <v>620</v>
      </c>
      <c r="B118" s="784">
        <v>441.59895347404358</v>
      </c>
      <c r="C118" s="784">
        <v>0</v>
      </c>
      <c r="D118" s="784">
        <v>0</v>
      </c>
      <c r="E118" s="784">
        <v>0</v>
      </c>
      <c r="F118" s="784">
        <v>0</v>
      </c>
      <c r="G118" s="784">
        <v>0</v>
      </c>
      <c r="H118" s="784">
        <v>0</v>
      </c>
      <c r="I118" s="784">
        <v>0</v>
      </c>
      <c r="J118" s="784">
        <v>0</v>
      </c>
      <c r="K118" s="784">
        <v>0</v>
      </c>
      <c r="L118" s="784">
        <v>0</v>
      </c>
      <c r="M118" s="784">
        <v>0</v>
      </c>
      <c r="N118" s="784">
        <v>0</v>
      </c>
      <c r="O118" s="784">
        <f t="shared" si="17"/>
        <v>441.59895347404358</v>
      </c>
    </row>
    <row r="119" spans="1:15" x14ac:dyDescent="0.2">
      <c r="A119" s="783" t="s">
        <v>717</v>
      </c>
      <c r="B119" s="784">
        <v>3415.9533939956609</v>
      </c>
      <c r="C119" s="784">
        <v>0</v>
      </c>
      <c r="D119" s="784">
        <v>0</v>
      </c>
      <c r="E119" s="784">
        <v>0</v>
      </c>
      <c r="F119" s="784">
        <v>0</v>
      </c>
      <c r="G119" s="784">
        <v>0</v>
      </c>
      <c r="H119" s="784">
        <v>0</v>
      </c>
      <c r="I119" s="784">
        <v>0</v>
      </c>
      <c r="J119" s="784">
        <v>0</v>
      </c>
      <c r="K119" s="784">
        <v>0</v>
      </c>
      <c r="L119" s="784">
        <v>0</v>
      </c>
      <c r="M119" s="784">
        <v>0</v>
      </c>
      <c r="N119" s="784">
        <v>0</v>
      </c>
      <c r="O119" s="784">
        <f t="shared" si="17"/>
        <v>3415.9533939956609</v>
      </c>
    </row>
    <row r="120" spans="1:15" ht="10.5" x14ac:dyDescent="0.25">
      <c r="A120" s="785" t="s">
        <v>621</v>
      </c>
      <c r="B120" s="786">
        <f t="shared" ref="B120:O120" si="18">SUM(B112:B119)</f>
        <v>26327.203885221094</v>
      </c>
      <c r="C120" s="786">
        <f t="shared" si="18"/>
        <v>5684.7578091840696</v>
      </c>
      <c r="D120" s="786">
        <f t="shared" si="18"/>
        <v>263.34728501973279</v>
      </c>
      <c r="E120" s="786">
        <f t="shared" si="18"/>
        <v>0</v>
      </c>
      <c r="F120" s="786">
        <f t="shared" si="18"/>
        <v>0</v>
      </c>
      <c r="G120" s="786">
        <f t="shared" si="18"/>
        <v>0</v>
      </c>
      <c r="H120" s="786">
        <f t="shared" si="18"/>
        <v>0</v>
      </c>
      <c r="I120" s="786">
        <f t="shared" si="18"/>
        <v>0</v>
      </c>
      <c r="J120" s="786">
        <f t="shared" si="18"/>
        <v>0</v>
      </c>
      <c r="K120" s="786">
        <f t="shared" si="18"/>
        <v>0</v>
      </c>
      <c r="L120" s="786">
        <f t="shared" si="18"/>
        <v>0</v>
      </c>
      <c r="M120" s="786">
        <f t="shared" si="18"/>
        <v>0</v>
      </c>
      <c r="N120" s="786">
        <f t="shared" si="18"/>
        <v>0</v>
      </c>
      <c r="O120" s="786">
        <f t="shared" si="18"/>
        <v>32275.308979424895</v>
      </c>
    </row>
    <row r="121" spans="1:15" ht="10.5" x14ac:dyDescent="0.25">
      <c r="A121" s="782" t="s">
        <v>623</v>
      </c>
      <c r="B121" s="780"/>
      <c r="C121" s="780"/>
      <c r="D121" s="780"/>
      <c r="E121" s="780"/>
      <c r="F121" s="780"/>
      <c r="G121" s="780"/>
      <c r="H121" s="780"/>
      <c r="I121" s="780"/>
      <c r="J121" s="780"/>
      <c r="K121" s="780"/>
      <c r="L121" s="780"/>
      <c r="M121" s="780"/>
      <c r="N121" s="780"/>
      <c r="O121" s="780"/>
    </row>
    <row r="122" spans="1:15" x14ac:dyDescent="0.2">
      <c r="A122" s="783" t="s">
        <v>650</v>
      </c>
      <c r="B122" s="784">
        <v>22248.989155451141</v>
      </c>
      <c r="C122" s="784">
        <v>0</v>
      </c>
      <c r="D122" s="784">
        <v>0</v>
      </c>
      <c r="E122" s="784">
        <v>0</v>
      </c>
      <c r="F122" s="784">
        <v>0</v>
      </c>
      <c r="G122" s="784">
        <v>0</v>
      </c>
      <c r="H122" s="784">
        <v>0</v>
      </c>
      <c r="I122" s="784">
        <v>0</v>
      </c>
      <c r="J122" s="784">
        <v>0</v>
      </c>
      <c r="K122" s="784">
        <v>0</v>
      </c>
      <c r="L122" s="784">
        <v>0</v>
      </c>
      <c r="M122" s="784">
        <v>0</v>
      </c>
      <c r="N122" s="784">
        <v>0</v>
      </c>
      <c r="O122" s="784">
        <f>SUM(B122:N122)</f>
        <v>22248.989155451141</v>
      </c>
    </row>
    <row r="123" spans="1:15" x14ac:dyDescent="0.2">
      <c r="A123" s="783" t="s">
        <v>651</v>
      </c>
      <c r="B123" s="784">
        <v>278998.03266277118</v>
      </c>
      <c r="C123" s="784">
        <v>680.33945456427159</v>
      </c>
      <c r="D123" s="784">
        <v>0</v>
      </c>
      <c r="E123" s="784">
        <v>0</v>
      </c>
      <c r="F123" s="784">
        <v>0</v>
      </c>
      <c r="G123" s="784">
        <v>0</v>
      </c>
      <c r="H123" s="784">
        <v>0</v>
      </c>
      <c r="I123" s="784">
        <v>617.41750301926083</v>
      </c>
      <c r="J123" s="784">
        <v>0</v>
      </c>
      <c r="K123" s="784">
        <v>0</v>
      </c>
      <c r="L123" s="784">
        <v>0</v>
      </c>
      <c r="M123" s="784">
        <v>0</v>
      </c>
      <c r="N123" s="784">
        <v>0</v>
      </c>
      <c r="O123" s="784">
        <f>SUM(B123:N123)</f>
        <v>280295.78962035471</v>
      </c>
    </row>
    <row r="124" spans="1:15" x14ac:dyDescent="0.2">
      <c r="A124" s="783" t="s">
        <v>694</v>
      </c>
      <c r="B124" s="784">
        <v>0</v>
      </c>
      <c r="C124" s="784">
        <v>0</v>
      </c>
      <c r="D124" s="784">
        <v>-22.875236879679974</v>
      </c>
      <c r="E124" s="784">
        <v>0</v>
      </c>
      <c r="F124" s="784">
        <v>0</v>
      </c>
      <c r="G124" s="784">
        <v>0</v>
      </c>
      <c r="H124" s="784">
        <v>0</v>
      </c>
      <c r="I124" s="784">
        <v>0</v>
      </c>
      <c r="J124" s="784">
        <v>0</v>
      </c>
      <c r="K124" s="784">
        <v>0</v>
      </c>
      <c r="L124" s="784">
        <v>0</v>
      </c>
      <c r="M124" s="784">
        <v>0</v>
      </c>
      <c r="N124" s="784">
        <v>0</v>
      </c>
      <c r="O124" s="784">
        <f>SUM(B124:N124)</f>
        <v>-22.875236879679974</v>
      </c>
    </row>
    <row r="125" spans="1:15" x14ac:dyDescent="0.2">
      <c r="A125" s="783" t="s">
        <v>755</v>
      </c>
      <c r="B125" s="784">
        <v>0</v>
      </c>
      <c r="C125" s="784">
        <v>0</v>
      </c>
      <c r="D125" s="784">
        <v>-9.4263003311712446E-2</v>
      </c>
      <c r="E125" s="784">
        <v>0</v>
      </c>
      <c r="F125" s="784">
        <v>0</v>
      </c>
      <c r="G125" s="784">
        <v>0</v>
      </c>
      <c r="H125" s="784">
        <v>0</v>
      </c>
      <c r="I125" s="784">
        <v>0</v>
      </c>
      <c r="J125" s="784">
        <v>0</v>
      </c>
      <c r="K125" s="784">
        <v>0</v>
      </c>
      <c r="L125" s="784">
        <v>0</v>
      </c>
      <c r="M125" s="784">
        <v>0</v>
      </c>
      <c r="N125" s="784">
        <v>0</v>
      </c>
      <c r="O125" s="784">
        <f>SUM(B125:N125)</f>
        <v>-9.4263003311712446E-2</v>
      </c>
    </row>
    <row r="126" spans="1:15" ht="10.5" x14ac:dyDescent="0.25">
      <c r="A126" s="785" t="s">
        <v>624</v>
      </c>
      <c r="B126" s="786">
        <f t="shared" ref="B126:O126" si="19">SUM(B122:B125)</f>
        <v>301247.0218182223</v>
      </c>
      <c r="C126" s="786">
        <f t="shared" si="19"/>
        <v>680.33945456427159</v>
      </c>
      <c r="D126" s="786">
        <f t="shared" si="19"/>
        <v>-22.969499882991688</v>
      </c>
      <c r="E126" s="786">
        <f t="shared" si="19"/>
        <v>0</v>
      </c>
      <c r="F126" s="786">
        <f t="shared" si="19"/>
        <v>0</v>
      </c>
      <c r="G126" s="786">
        <f t="shared" si="19"/>
        <v>0</v>
      </c>
      <c r="H126" s="786">
        <f t="shared" si="19"/>
        <v>0</v>
      </c>
      <c r="I126" s="786">
        <f t="shared" si="19"/>
        <v>617.41750301926083</v>
      </c>
      <c r="J126" s="786">
        <f t="shared" si="19"/>
        <v>0</v>
      </c>
      <c r="K126" s="786">
        <f t="shared" si="19"/>
        <v>0</v>
      </c>
      <c r="L126" s="786">
        <f t="shared" si="19"/>
        <v>0</v>
      </c>
      <c r="M126" s="786">
        <f t="shared" si="19"/>
        <v>0</v>
      </c>
      <c r="N126" s="786">
        <f t="shared" si="19"/>
        <v>0</v>
      </c>
      <c r="O126" s="786">
        <f t="shared" si="19"/>
        <v>302521.80927592283</v>
      </c>
    </row>
    <row r="127" spans="1:15" ht="10.5" x14ac:dyDescent="0.25">
      <c r="A127" s="782" t="s">
        <v>625</v>
      </c>
      <c r="B127" s="780"/>
      <c r="C127" s="780"/>
      <c r="D127" s="780"/>
      <c r="E127" s="780"/>
      <c r="F127" s="780"/>
      <c r="G127" s="780"/>
      <c r="H127" s="780"/>
      <c r="I127" s="780"/>
      <c r="J127" s="780"/>
      <c r="K127" s="780"/>
      <c r="L127" s="780"/>
      <c r="M127" s="780"/>
      <c r="N127" s="780"/>
      <c r="O127" s="780"/>
    </row>
    <row r="128" spans="1:15" ht="10.5" x14ac:dyDescent="0.25">
      <c r="A128" s="792" t="s">
        <v>626</v>
      </c>
      <c r="B128" s="780"/>
      <c r="C128" s="780"/>
      <c r="D128" s="780"/>
      <c r="E128" s="780"/>
      <c r="F128" s="780"/>
      <c r="G128" s="780"/>
      <c r="H128" s="780"/>
      <c r="I128" s="780"/>
      <c r="J128" s="780"/>
      <c r="K128" s="780"/>
      <c r="L128" s="780"/>
      <c r="M128" s="780"/>
      <c r="N128" s="780"/>
      <c r="O128" s="780"/>
    </row>
    <row r="129" spans="1:15" x14ac:dyDescent="0.2">
      <c r="A129" s="793" t="s">
        <v>653</v>
      </c>
      <c r="B129" s="784">
        <v>566267.26290301373</v>
      </c>
      <c r="C129" s="784">
        <v>226385.00423777787</v>
      </c>
      <c r="D129" s="784">
        <v>68777.989747989152</v>
      </c>
      <c r="E129" s="784">
        <v>0</v>
      </c>
      <c r="F129" s="784">
        <v>32775.587789620353</v>
      </c>
      <c r="G129" s="784">
        <v>41717.368306527831</v>
      </c>
      <c r="H129" s="784">
        <v>0</v>
      </c>
      <c r="I129" s="784">
        <v>126073.51513008717</v>
      </c>
      <c r="J129" s="784">
        <v>0</v>
      </c>
      <c r="K129" s="784">
        <v>65076.362519844348</v>
      </c>
      <c r="L129" s="784">
        <v>8398.2870952500562</v>
      </c>
      <c r="M129" s="784">
        <v>0</v>
      </c>
      <c r="N129" s="784">
        <v>0</v>
      </c>
      <c r="O129" s="784">
        <f>SUM(B129:N129)</f>
        <v>1135471.3777301107</v>
      </c>
    </row>
    <row r="130" spans="1:15" x14ac:dyDescent="0.2">
      <c r="A130" s="793" t="s">
        <v>627</v>
      </c>
      <c r="B130" s="784">
        <v>3487942.3116861358</v>
      </c>
      <c r="C130" s="784">
        <v>3278682.7905285498</v>
      </c>
      <c r="D130" s="784">
        <v>876905.66934130434</v>
      </c>
      <c r="E130" s="784">
        <v>0</v>
      </c>
      <c r="F130" s="784">
        <v>0</v>
      </c>
      <c r="G130" s="784">
        <v>0</v>
      </c>
      <c r="H130" s="784">
        <v>0</v>
      </c>
      <c r="I130" s="784">
        <v>950528.6144743195</v>
      </c>
      <c r="J130" s="784">
        <v>0</v>
      </c>
      <c r="K130" s="784">
        <v>0</v>
      </c>
      <c r="L130" s="784">
        <v>0</v>
      </c>
      <c r="M130" s="784">
        <v>0</v>
      </c>
      <c r="N130" s="784">
        <v>0</v>
      </c>
      <c r="O130" s="784">
        <f>SUM(B130:N130)</f>
        <v>8594059.3860303089</v>
      </c>
    </row>
    <row r="131" spans="1:15" x14ac:dyDescent="0.2">
      <c r="A131" s="793" t="s">
        <v>654</v>
      </c>
      <c r="B131" s="784">
        <v>855876.51621756388</v>
      </c>
      <c r="C131" s="784">
        <v>529098.27408219385</v>
      </c>
      <c r="D131" s="784">
        <v>0</v>
      </c>
      <c r="E131" s="784">
        <v>0</v>
      </c>
      <c r="F131" s="784">
        <v>0</v>
      </c>
      <c r="G131" s="784">
        <v>0</v>
      </c>
      <c r="H131" s="784">
        <v>0</v>
      </c>
      <c r="I131" s="784">
        <v>23178.912026449176</v>
      </c>
      <c r="J131" s="784">
        <v>0</v>
      </c>
      <c r="K131" s="784">
        <v>0</v>
      </c>
      <c r="L131" s="784">
        <v>0</v>
      </c>
      <c r="M131" s="784">
        <v>0</v>
      </c>
      <c r="N131" s="784">
        <v>0</v>
      </c>
      <c r="O131" s="784">
        <f>SUM(B131:N131)</f>
        <v>1408153.702326207</v>
      </c>
    </row>
    <row r="132" spans="1:15" ht="10.5" x14ac:dyDescent="0.25">
      <c r="A132" s="794" t="s">
        <v>628</v>
      </c>
      <c r="B132" s="786">
        <f t="shared" ref="B132:O132" si="20">SUM(B129:B131)</f>
        <v>4910086.0908067133</v>
      </c>
      <c r="C132" s="786">
        <f t="shared" si="20"/>
        <v>4034166.0688485214</v>
      </c>
      <c r="D132" s="786">
        <f t="shared" si="20"/>
        <v>945683.65908929345</v>
      </c>
      <c r="E132" s="786">
        <f t="shared" si="20"/>
        <v>0</v>
      </c>
      <c r="F132" s="786">
        <f t="shared" si="20"/>
        <v>32775.587789620353</v>
      </c>
      <c r="G132" s="786">
        <f t="shared" si="20"/>
        <v>41717.368306527831</v>
      </c>
      <c r="H132" s="786">
        <f t="shared" si="20"/>
        <v>0</v>
      </c>
      <c r="I132" s="786">
        <f t="shared" si="20"/>
        <v>1099781.0416308558</v>
      </c>
      <c r="J132" s="786">
        <f t="shared" si="20"/>
        <v>0</v>
      </c>
      <c r="K132" s="786">
        <f t="shared" si="20"/>
        <v>65076.362519844348</v>
      </c>
      <c r="L132" s="786">
        <f t="shared" si="20"/>
        <v>8398.2870952500562</v>
      </c>
      <c r="M132" s="786">
        <f t="shared" si="20"/>
        <v>0</v>
      </c>
      <c r="N132" s="786">
        <f t="shared" si="20"/>
        <v>0</v>
      </c>
      <c r="O132" s="786">
        <f t="shared" si="20"/>
        <v>11137684.466086626</v>
      </c>
    </row>
    <row r="133" spans="1:15" ht="10.5" x14ac:dyDescent="0.25">
      <c r="A133" s="792" t="s">
        <v>629</v>
      </c>
      <c r="B133" s="780"/>
      <c r="C133" s="780"/>
      <c r="D133" s="780"/>
      <c r="E133" s="780"/>
      <c r="F133" s="780"/>
      <c r="G133" s="780"/>
      <c r="H133" s="780"/>
      <c r="I133" s="780"/>
      <c r="J133" s="780"/>
      <c r="K133" s="780"/>
      <c r="L133" s="780"/>
      <c r="M133" s="780"/>
      <c r="N133" s="780"/>
      <c r="O133" s="780"/>
    </row>
    <row r="134" spans="1:15" x14ac:dyDescent="0.2">
      <c r="A134" s="793" t="s">
        <v>630</v>
      </c>
      <c r="B134" s="784">
        <v>-3543609.1925538601</v>
      </c>
      <c r="C134" s="784">
        <v>-3320113.7037076489</v>
      </c>
      <c r="D134" s="784">
        <v>-893182.91971278598</v>
      </c>
      <c r="E134" s="784">
        <v>0</v>
      </c>
      <c r="F134" s="784">
        <v>0</v>
      </c>
      <c r="G134" s="784">
        <v>0</v>
      </c>
      <c r="H134" s="784">
        <v>0</v>
      </c>
      <c r="I134" s="784">
        <v>-959033.34952558717</v>
      </c>
      <c r="J134" s="784">
        <v>0</v>
      </c>
      <c r="K134" s="784">
        <v>0</v>
      </c>
      <c r="L134" s="784">
        <v>0</v>
      </c>
      <c r="M134" s="784">
        <v>0</v>
      </c>
      <c r="N134" s="784">
        <v>0</v>
      </c>
      <c r="O134" s="784">
        <f>SUM(B134:N134)</f>
        <v>-8715939.1654998828</v>
      </c>
    </row>
    <row r="135" spans="1:15" ht="10.5" x14ac:dyDescent="0.25">
      <c r="A135" s="794" t="s">
        <v>631</v>
      </c>
      <c r="B135" s="786">
        <f t="shared" ref="B135:O135" si="21">SUM(B134)</f>
        <v>-3543609.1925538601</v>
      </c>
      <c r="C135" s="786">
        <f t="shared" si="21"/>
        <v>-3320113.7037076489</v>
      </c>
      <c r="D135" s="786">
        <f t="shared" si="21"/>
        <v>-893182.91971278598</v>
      </c>
      <c r="E135" s="786">
        <f t="shared" si="21"/>
        <v>0</v>
      </c>
      <c r="F135" s="786">
        <f t="shared" si="21"/>
        <v>0</v>
      </c>
      <c r="G135" s="786">
        <f t="shared" si="21"/>
        <v>0</v>
      </c>
      <c r="H135" s="786">
        <f t="shared" si="21"/>
        <v>0</v>
      </c>
      <c r="I135" s="786">
        <f t="shared" si="21"/>
        <v>-959033.34952558717</v>
      </c>
      <c r="J135" s="786">
        <f t="shared" si="21"/>
        <v>0</v>
      </c>
      <c r="K135" s="786">
        <f t="shared" si="21"/>
        <v>0</v>
      </c>
      <c r="L135" s="786">
        <f t="shared" si="21"/>
        <v>0</v>
      </c>
      <c r="M135" s="786">
        <f t="shared" si="21"/>
        <v>0</v>
      </c>
      <c r="N135" s="786">
        <f t="shared" si="21"/>
        <v>0</v>
      </c>
      <c r="O135" s="786">
        <f t="shared" si="21"/>
        <v>-8715939.1654998828</v>
      </c>
    </row>
    <row r="136" spans="1:15" ht="10.5" x14ac:dyDescent="0.25">
      <c r="A136" s="792" t="s">
        <v>632</v>
      </c>
      <c r="B136" s="780"/>
      <c r="C136" s="780"/>
      <c r="D136" s="780"/>
      <c r="E136" s="780"/>
      <c r="F136" s="780"/>
      <c r="G136" s="780"/>
      <c r="H136" s="780"/>
      <c r="I136" s="780"/>
      <c r="J136" s="780"/>
      <c r="K136" s="780"/>
      <c r="L136" s="780"/>
      <c r="M136" s="780"/>
      <c r="N136" s="780"/>
      <c r="O136" s="780"/>
    </row>
    <row r="137" spans="1:15" x14ac:dyDescent="0.2">
      <c r="A137" s="793" t="s">
        <v>633</v>
      </c>
      <c r="B137" s="784">
        <v>153900.22914918629</v>
      </c>
      <c r="C137" s="784">
        <v>374334.59924163925</v>
      </c>
      <c r="D137" s="784">
        <v>52662.549678892225</v>
      </c>
      <c r="E137" s="784">
        <v>0</v>
      </c>
      <c r="F137" s="784">
        <v>0</v>
      </c>
      <c r="G137" s="784">
        <v>0</v>
      </c>
      <c r="H137" s="784">
        <v>0</v>
      </c>
      <c r="I137" s="784">
        <v>23207.46292010081</v>
      </c>
      <c r="J137" s="784">
        <v>0</v>
      </c>
      <c r="K137" s="784">
        <v>0</v>
      </c>
      <c r="L137" s="784">
        <v>0</v>
      </c>
      <c r="M137" s="784">
        <v>0</v>
      </c>
      <c r="N137" s="784">
        <v>0</v>
      </c>
      <c r="O137" s="784">
        <f>SUM(B137:N137)</f>
        <v>604104.84098981856</v>
      </c>
    </row>
    <row r="138" spans="1:15" ht="10.5" x14ac:dyDescent="0.25">
      <c r="A138" s="794" t="s">
        <v>634</v>
      </c>
      <c r="B138" s="786">
        <f t="shared" ref="B138:O138" si="22">SUM(B137)</f>
        <v>153900.22914918629</v>
      </c>
      <c r="C138" s="786">
        <f t="shared" si="22"/>
        <v>374334.59924163925</v>
      </c>
      <c r="D138" s="786">
        <f t="shared" si="22"/>
        <v>52662.549678892225</v>
      </c>
      <c r="E138" s="786">
        <f t="shared" si="22"/>
        <v>0</v>
      </c>
      <c r="F138" s="786">
        <f t="shared" si="22"/>
        <v>0</v>
      </c>
      <c r="G138" s="786">
        <f t="shared" si="22"/>
        <v>0</v>
      </c>
      <c r="H138" s="786">
        <f t="shared" si="22"/>
        <v>0</v>
      </c>
      <c r="I138" s="786">
        <f t="shared" si="22"/>
        <v>23207.46292010081</v>
      </c>
      <c r="J138" s="786">
        <f t="shared" si="22"/>
        <v>0</v>
      </c>
      <c r="K138" s="786">
        <f t="shared" si="22"/>
        <v>0</v>
      </c>
      <c r="L138" s="786">
        <f t="shared" si="22"/>
        <v>0</v>
      </c>
      <c r="M138" s="786">
        <f t="shared" si="22"/>
        <v>0</v>
      </c>
      <c r="N138" s="786">
        <f t="shared" si="22"/>
        <v>0</v>
      </c>
      <c r="O138" s="786">
        <f t="shared" si="22"/>
        <v>604104.84098981856</v>
      </c>
    </row>
    <row r="139" spans="1:15" ht="10.5" x14ac:dyDescent="0.25">
      <c r="A139" s="792" t="s">
        <v>635</v>
      </c>
      <c r="B139" s="780"/>
      <c r="C139" s="780"/>
      <c r="D139" s="780"/>
      <c r="E139" s="780"/>
      <c r="F139" s="780"/>
      <c r="G139" s="780"/>
      <c r="H139" s="780"/>
      <c r="I139" s="780"/>
      <c r="J139" s="780"/>
      <c r="K139" s="780"/>
      <c r="L139" s="780"/>
      <c r="M139" s="780"/>
      <c r="N139" s="780"/>
      <c r="O139" s="780"/>
    </row>
    <row r="140" spans="1:15" x14ac:dyDescent="0.2">
      <c r="A140" s="793" t="s">
        <v>636</v>
      </c>
      <c r="B140" s="784">
        <v>131386.28365199102</v>
      </c>
      <c r="C140" s="784">
        <v>45625.95112948928</v>
      </c>
      <c r="D140" s="784">
        <v>14619.282080571287</v>
      </c>
      <c r="E140" s="784">
        <v>0</v>
      </c>
      <c r="F140" s="784">
        <v>0</v>
      </c>
      <c r="G140" s="784">
        <v>0</v>
      </c>
      <c r="H140" s="784">
        <v>0</v>
      </c>
      <c r="I140" s="784">
        <v>19328.203338942727</v>
      </c>
      <c r="J140" s="784">
        <v>0</v>
      </c>
      <c r="K140" s="784">
        <v>0</v>
      </c>
      <c r="L140" s="784">
        <v>0</v>
      </c>
      <c r="M140" s="784">
        <v>0</v>
      </c>
      <c r="N140" s="784">
        <v>0</v>
      </c>
      <c r="O140" s="784">
        <f>SUM(B140:N140)</f>
        <v>210959.72020099431</v>
      </c>
    </row>
    <row r="141" spans="1:15" ht="10.5" x14ac:dyDescent="0.25">
      <c r="A141" s="794" t="s">
        <v>637</v>
      </c>
      <c r="B141" s="786">
        <f t="shared" ref="B141:O141" si="23">SUM(B140)</f>
        <v>131386.28365199102</v>
      </c>
      <c r="C141" s="786">
        <f t="shared" si="23"/>
        <v>45625.95112948928</v>
      </c>
      <c r="D141" s="786">
        <f t="shared" si="23"/>
        <v>14619.282080571287</v>
      </c>
      <c r="E141" s="786">
        <f t="shared" si="23"/>
        <v>0</v>
      </c>
      <c r="F141" s="786">
        <f t="shared" si="23"/>
        <v>0</v>
      </c>
      <c r="G141" s="786">
        <f t="shared" si="23"/>
        <v>0</v>
      </c>
      <c r="H141" s="786">
        <f t="shared" si="23"/>
        <v>0</v>
      </c>
      <c r="I141" s="786">
        <f t="shared" si="23"/>
        <v>19328.203338942727</v>
      </c>
      <c r="J141" s="786">
        <f t="shared" si="23"/>
        <v>0</v>
      </c>
      <c r="K141" s="786">
        <f t="shared" si="23"/>
        <v>0</v>
      </c>
      <c r="L141" s="786">
        <f t="shared" si="23"/>
        <v>0</v>
      </c>
      <c r="M141" s="786">
        <f t="shared" si="23"/>
        <v>0</v>
      </c>
      <c r="N141" s="786">
        <f t="shared" si="23"/>
        <v>0</v>
      </c>
      <c r="O141" s="786">
        <f t="shared" si="23"/>
        <v>210959.72020099431</v>
      </c>
    </row>
    <row r="142" spans="1:15" ht="10.5" x14ac:dyDescent="0.25">
      <c r="A142" s="792" t="s">
        <v>638</v>
      </c>
      <c r="B142" s="780"/>
      <c r="C142" s="780"/>
      <c r="D142" s="780"/>
      <c r="E142" s="780"/>
      <c r="F142" s="780"/>
      <c r="G142" s="780"/>
      <c r="H142" s="780"/>
      <c r="I142" s="780"/>
      <c r="J142" s="780"/>
      <c r="K142" s="780"/>
      <c r="L142" s="780"/>
      <c r="M142" s="780"/>
      <c r="N142" s="780"/>
      <c r="O142" s="780"/>
    </row>
    <row r="143" spans="1:15" x14ac:dyDescent="0.2">
      <c r="A143" s="793" t="s">
        <v>639</v>
      </c>
      <c r="B143" s="784">
        <v>342183.53013623162</v>
      </c>
      <c r="C143" s="784">
        <v>264975.41998432553</v>
      </c>
      <c r="D143" s="784">
        <v>64670.722452625036</v>
      </c>
      <c r="E143" s="784">
        <v>0</v>
      </c>
      <c r="F143" s="784">
        <v>0</v>
      </c>
      <c r="G143" s="784">
        <v>0</v>
      </c>
      <c r="H143" s="784">
        <v>0</v>
      </c>
      <c r="I143" s="784">
        <v>186668.41413396769</v>
      </c>
      <c r="J143" s="784">
        <v>0</v>
      </c>
      <c r="K143" s="784">
        <v>0</v>
      </c>
      <c r="L143" s="784">
        <v>0</v>
      </c>
      <c r="M143" s="784">
        <v>0</v>
      </c>
      <c r="N143" s="784">
        <v>0</v>
      </c>
      <c r="O143" s="784">
        <f>SUM(B143:N143)</f>
        <v>858498.08670714987</v>
      </c>
    </row>
    <row r="144" spans="1:15" ht="10.5" x14ac:dyDescent="0.25">
      <c r="A144" s="794" t="s">
        <v>640</v>
      </c>
      <c r="B144" s="786">
        <f t="shared" ref="B144:O144" si="24">SUM(B143)</f>
        <v>342183.53013623162</v>
      </c>
      <c r="C144" s="786">
        <f t="shared" si="24"/>
        <v>264975.41998432553</v>
      </c>
      <c r="D144" s="786">
        <f t="shared" si="24"/>
        <v>64670.722452625036</v>
      </c>
      <c r="E144" s="786">
        <f t="shared" si="24"/>
        <v>0</v>
      </c>
      <c r="F144" s="786">
        <f t="shared" si="24"/>
        <v>0</v>
      </c>
      <c r="G144" s="786">
        <f t="shared" si="24"/>
        <v>0</v>
      </c>
      <c r="H144" s="786">
        <f t="shared" si="24"/>
        <v>0</v>
      </c>
      <c r="I144" s="786">
        <f t="shared" si="24"/>
        <v>186668.41413396769</v>
      </c>
      <c r="J144" s="786">
        <f t="shared" si="24"/>
        <v>0</v>
      </c>
      <c r="K144" s="786">
        <f t="shared" si="24"/>
        <v>0</v>
      </c>
      <c r="L144" s="786">
        <f t="shared" si="24"/>
        <v>0</v>
      </c>
      <c r="M144" s="786">
        <f t="shared" si="24"/>
        <v>0</v>
      </c>
      <c r="N144" s="786">
        <f t="shared" si="24"/>
        <v>0</v>
      </c>
      <c r="O144" s="786">
        <f t="shared" si="24"/>
        <v>858498.08670714987</v>
      </c>
    </row>
    <row r="145" spans="1:15" ht="10.5" x14ac:dyDescent="0.25">
      <c r="A145" s="785" t="s">
        <v>641</v>
      </c>
      <c r="B145" s="786">
        <f t="shared" ref="B145:O145" si="25">SUM(B132,B135,B138,B141,B144)</f>
        <v>1993946.9411902621</v>
      </c>
      <c r="C145" s="786">
        <f t="shared" si="25"/>
        <v>1398988.3354963267</v>
      </c>
      <c r="D145" s="786">
        <f t="shared" si="25"/>
        <v>184453.29358859599</v>
      </c>
      <c r="E145" s="786">
        <f t="shared" si="25"/>
        <v>0</v>
      </c>
      <c r="F145" s="786">
        <f t="shared" si="25"/>
        <v>32775.587789620353</v>
      </c>
      <c r="G145" s="786">
        <f t="shared" si="25"/>
        <v>41717.368306527831</v>
      </c>
      <c r="H145" s="786">
        <f t="shared" si="25"/>
        <v>0</v>
      </c>
      <c r="I145" s="786">
        <f t="shared" si="25"/>
        <v>369951.77249827981</v>
      </c>
      <c r="J145" s="786">
        <f t="shared" si="25"/>
        <v>0</v>
      </c>
      <c r="K145" s="786">
        <f t="shared" si="25"/>
        <v>65076.362519844348</v>
      </c>
      <c r="L145" s="786">
        <f t="shared" si="25"/>
        <v>8398.2870952500562</v>
      </c>
      <c r="M145" s="786">
        <f t="shared" si="25"/>
        <v>0</v>
      </c>
      <c r="N145" s="786">
        <f t="shared" si="25"/>
        <v>0</v>
      </c>
      <c r="O145" s="786">
        <f t="shared" si="25"/>
        <v>4095307.9484847067</v>
      </c>
    </row>
    <row r="146" spans="1:15" ht="10.5" x14ac:dyDescent="0.25">
      <c r="A146" s="787" t="s">
        <v>4217</v>
      </c>
      <c r="B146" s="786">
        <f t="shared" ref="B146:O146" si="26">SUM(B43,B68,B85,B89,B103,B110,B120,B126,B145)</f>
        <v>10268249.09113849</v>
      </c>
      <c r="C146" s="786">
        <f t="shared" si="26"/>
        <v>4810185.129166753</v>
      </c>
      <c r="D146" s="786">
        <f t="shared" si="26"/>
        <v>1321633.7836176471</v>
      </c>
      <c r="E146" s="786">
        <f t="shared" si="26"/>
        <v>0</v>
      </c>
      <c r="F146" s="786">
        <f t="shared" si="26"/>
        <v>32775.587789620353</v>
      </c>
      <c r="G146" s="786">
        <f t="shared" si="26"/>
        <v>41717.368306527831</v>
      </c>
      <c r="H146" s="786">
        <f t="shared" si="26"/>
        <v>0</v>
      </c>
      <c r="I146" s="786">
        <f t="shared" si="26"/>
        <v>1350652.1822821503</v>
      </c>
      <c r="J146" s="786">
        <f t="shared" si="26"/>
        <v>0</v>
      </c>
      <c r="K146" s="786">
        <f t="shared" si="26"/>
        <v>304853.69668914808</v>
      </c>
      <c r="L146" s="786">
        <f t="shared" si="26"/>
        <v>8398.2870952500562</v>
      </c>
      <c r="M146" s="786">
        <f t="shared" si="26"/>
        <v>0</v>
      </c>
      <c r="N146" s="786">
        <f t="shared" si="26"/>
        <v>0</v>
      </c>
      <c r="O146" s="786">
        <f t="shared" si="26"/>
        <v>18138465.126085591</v>
      </c>
    </row>
    <row r="147" spans="1:15" ht="10.5" x14ac:dyDescent="0.25">
      <c r="A147" s="781" t="s">
        <v>4218</v>
      </c>
      <c r="B147" s="780">
        <v>3521799.5719631417</v>
      </c>
      <c r="C147" s="780">
        <v>5820357.5841384325</v>
      </c>
      <c r="D147" s="780">
        <v>379565.28331541497</v>
      </c>
      <c r="E147" s="780">
        <v>132463.88142765389</v>
      </c>
      <c r="F147" s="780">
        <v>450347.82046908315</v>
      </c>
      <c r="G147" s="780">
        <v>317433.00128263113</v>
      </c>
      <c r="H147" s="780">
        <v>0</v>
      </c>
      <c r="I147" s="780">
        <v>773151.92863663111</v>
      </c>
      <c r="J147" s="780">
        <v>0</v>
      </c>
      <c r="K147" s="780">
        <v>301096.61139517906</v>
      </c>
      <c r="L147" s="780">
        <v>65337.590410946628</v>
      </c>
      <c r="M147" s="780">
        <v>0</v>
      </c>
      <c r="N147" s="780">
        <v>0</v>
      </c>
      <c r="O147" s="780">
        <v>11761553.27303911</v>
      </c>
    </row>
    <row r="148" spans="1:15" ht="10.5" x14ac:dyDescent="0.25">
      <c r="A148" s="782" t="s">
        <v>553</v>
      </c>
      <c r="B148" s="780"/>
      <c r="C148" s="780"/>
      <c r="D148" s="780"/>
      <c r="E148" s="780"/>
      <c r="F148" s="780"/>
      <c r="G148" s="780"/>
      <c r="H148" s="780"/>
      <c r="I148" s="780"/>
      <c r="J148" s="780"/>
      <c r="K148" s="780"/>
      <c r="L148" s="780"/>
      <c r="M148" s="780"/>
      <c r="N148" s="780"/>
      <c r="O148" s="780"/>
    </row>
    <row r="149" spans="1:15" x14ac:dyDescent="0.2">
      <c r="A149" s="783" t="s">
        <v>655</v>
      </c>
      <c r="B149" s="784">
        <v>473127.72744945379</v>
      </c>
      <c r="C149" s="784">
        <v>149589.75900265932</v>
      </c>
      <c r="D149" s="784">
        <v>0</v>
      </c>
      <c r="E149" s="784">
        <v>0</v>
      </c>
      <c r="F149" s="784">
        <v>0</v>
      </c>
      <c r="G149" s="784">
        <v>0</v>
      </c>
      <c r="H149" s="784">
        <v>0</v>
      </c>
      <c r="I149" s="784">
        <v>0</v>
      </c>
      <c r="J149" s="784">
        <v>0</v>
      </c>
      <c r="K149" s="784">
        <v>0</v>
      </c>
      <c r="L149" s="784">
        <v>0</v>
      </c>
      <c r="M149" s="784">
        <v>0</v>
      </c>
      <c r="N149" s="784">
        <v>0</v>
      </c>
      <c r="O149" s="784">
        <f>SUM(B149:N149)</f>
        <v>622717.48645211314</v>
      </c>
    </row>
    <row r="150" spans="1:15" x14ac:dyDescent="0.2">
      <c r="A150" s="783" t="s">
        <v>555</v>
      </c>
      <c r="B150" s="784">
        <v>96211.261429479462</v>
      </c>
      <c r="C150" s="784">
        <v>1856977.7278313721</v>
      </c>
      <c r="D150" s="784">
        <v>0</v>
      </c>
      <c r="E150" s="784">
        <v>0</v>
      </c>
      <c r="F150" s="784">
        <v>0</v>
      </c>
      <c r="G150" s="784">
        <v>0</v>
      </c>
      <c r="H150" s="784">
        <v>0</v>
      </c>
      <c r="I150" s="784">
        <v>0</v>
      </c>
      <c r="J150" s="784">
        <v>0</v>
      </c>
      <c r="K150" s="784">
        <v>78798.27074915843</v>
      </c>
      <c r="L150" s="784">
        <v>0</v>
      </c>
      <c r="M150" s="784">
        <v>0</v>
      </c>
      <c r="N150" s="784">
        <v>0</v>
      </c>
      <c r="O150" s="784">
        <f>SUM(B150:N150)</f>
        <v>2031987.2600100099</v>
      </c>
    </row>
    <row r="151" spans="1:15" ht="10.5" x14ac:dyDescent="0.25">
      <c r="A151" s="785" t="s">
        <v>556</v>
      </c>
      <c r="B151" s="786">
        <f t="shared" ref="B151:O151" si="27">SUM(B149:B150)</f>
        <v>569338.98887893325</v>
      </c>
      <c r="C151" s="786">
        <f t="shared" si="27"/>
        <v>2006567.4868340313</v>
      </c>
      <c r="D151" s="786">
        <f t="shared" si="27"/>
        <v>0</v>
      </c>
      <c r="E151" s="786">
        <f t="shared" si="27"/>
        <v>0</v>
      </c>
      <c r="F151" s="786">
        <f t="shared" si="27"/>
        <v>0</v>
      </c>
      <c r="G151" s="786">
        <f t="shared" si="27"/>
        <v>0</v>
      </c>
      <c r="H151" s="786">
        <f t="shared" si="27"/>
        <v>0</v>
      </c>
      <c r="I151" s="786">
        <f t="shared" si="27"/>
        <v>0</v>
      </c>
      <c r="J151" s="786">
        <f t="shared" si="27"/>
        <v>0</v>
      </c>
      <c r="K151" s="786">
        <f t="shared" si="27"/>
        <v>78798.27074915843</v>
      </c>
      <c r="L151" s="786">
        <f t="shared" si="27"/>
        <v>0</v>
      </c>
      <c r="M151" s="786">
        <f t="shared" si="27"/>
        <v>0</v>
      </c>
      <c r="N151" s="786">
        <f t="shared" si="27"/>
        <v>0</v>
      </c>
      <c r="O151" s="786">
        <f t="shared" si="27"/>
        <v>2654704.746462123</v>
      </c>
    </row>
    <row r="152" spans="1:15" ht="10.5" x14ac:dyDescent="0.25">
      <c r="A152" s="782" t="s">
        <v>557</v>
      </c>
      <c r="B152" s="780"/>
      <c r="C152" s="780"/>
      <c r="D152" s="780"/>
      <c r="E152" s="780"/>
      <c r="F152" s="780"/>
      <c r="G152" s="780"/>
      <c r="H152" s="780"/>
      <c r="I152" s="780"/>
      <c r="J152" s="780"/>
      <c r="K152" s="780"/>
      <c r="L152" s="780"/>
      <c r="M152" s="780"/>
      <c r="N152" s="780"/>
      <c r="O152" s="780"/>
    </row>
    <row r="153" spans="1:15" x14ac:dyDescent="0.2">
      <c r="A153" s="783" t="s">
        <v>4375</v>
      </c>
      <c r="B153" s="784">
        <v>10940.2965026647</v>
      </c>
      <c r="C153" s="784">
        <v>0</v>
      </c>
      <c r="D153" s="784">
        <v>0</v>
      </c>
      <c r="E153" s="784">
        <v>0</v>
      </c>
      <c r="F153" s="784">
        <v>0</v>
      </c>
      <c r="G153" s="784">
        <v>0</v>
      </c>
      <c r="H153" s="784">
        <v>0</v>
      </c>
      <c r="I153" s="784">
        <v>0</v>
      </c>
      <c r="J153" s="784">
        <v>0</v>
      </c>
      <c r="K153" s="784">
        <v>0</v>
      </c>
      <c r="L153" s="784">
        <v>0</v>
      </c>
      <c r="M153" s="784">
        <v>0</v>
      </c>
      <c r="N153" s="784">
        <v>0</v>
      </c>
      <c r="O153" s="784">
        <f t="shared" ref="O153:O178" si="28">SUM(B153:N153)</f>
        <v>10940.2965026647</v>
      </c>
    </row>
    <row r="154" spans="1:15" x14ac:dyDescent="0.2">
      <c r="A154" s="783" t="s">
        <v>558</v>
      </c>
      <c r="B154" s="784">
        <v>1439080.0687430971</v>
      </c>
      <c r="C154" s="784">
        <v>2283821.5659346813</v>
      </c>
      <c r="D154" s="784">
        <v>304970.00286046811</v>
      </c>
      <c r="E154" s="784">
        <v>72094.971025318489</v>
      </c>
      <c r="F154" s="784">
        <v>337364.59055257053</v>
      </c>
      <c r="G154" s="784">
        <v>220888.37184639054</v>
      </c>
      <c r="H154" s="784">
        <v>0</v>
      </c>
      <c r="I154" s="784">
        <v>638841.02851460187</v>
      </c>
      <c r="J154" s="784">
        <v>0</v>
      </c>
      <c r="K154" s="784">
        <v>200512.57522543182</v>
      </c>
      <c r="L154" s="784">
        <v>57126.76448578111</v>
      </c>
      <c r="M154" s="784">
        <v>0</v>
      </c>
      <c r="N154" s="784">
        <v>0</v>
      </c>
      <c r="O154" s="784">
        <f t="shared" si="28"/>
        <v>5554699.9391883416</v>
      </c>
    </row>
    <row r="155" spans="1:15" x14ac:dyDescent="0.2">
      <c r="A155" s="783" t="s">
        <v>4376</v>
      </c>
      <c r="B155" s="784">
        <v>127582.41316559493</v>
      </c>
      <c r="C155" s="784">
        <v>7273.9497752475572</v>
      </c>
      <c r="D155" s="784">
        <v>13768.353260550186</v>
      </c>
      <c r="E155" s="784">
        <v>3144.9475020836053</v>
      </c>
      <c r="F155" s="784">
        <v>0</v>
      </c>
      <c r="G155" s="784">
        <v>0</v>
      </c>
      <c r="H155" s="784">
        <v>0</v>
      </c>
      <c r="I155" s="784">
        <v>14999.124189196702</v>
      </c>
      <c r="J155" s="784">
        <v>0</v>
      </c>
      <c r="K155" s="784">
        <v>0</v>
      </c>
      <c r="L155" s="784">
        <v>0</v>
      </c>
      <c r="M155" s="784">
        <v>0</v>
      </c>
      <c r="N155" s="784">
        <v>0</v>
      </c>
      <c r="O155" s="784">
        <f t="shared" si="28"/>
        <v>166768.78789267299</v>
      </c>
    </row>
    <row r="156" spans="1:15" x14ac:dyDescent="0.2">
      <c r="A156" s="783" t="s">
        <v>4735</v>
      </c>
      <c r="B156" s="784">
        <v>35295.241521428368</v>
      </c>
      <c r="C156" s="784">
        <v>0</v>
      </c>
      <c r="D156" s="784">
        <v>0</v>
      </c>
      <c r="E156" s="784">
        <v>0</v>
      </c>
      <c r="F156" s="784">
        <v>0</v>
      </c>
      <c r="G156" s="784">
        <v>0</v>
      </c>
      <c r="H156" s="784">
        <v>0</v>
      </c>
      <c r="I156" s="784">
        <v>0</v>
      </c>
      <c r="J156" s="784">
        <v>0</v>
      </c>
      <c r="K156" s="784">
        <v>0</v>
      </c>
      <c r="L156" s="784">
        <v>0</v>
      </c>
      <c r="M156" s="784">
        <v>0</v>
      </c>
      <c r="N156" s="784">
        <v>0</v>
      </c>
      <c r="O156" s="784">
        <f t="shared" si="28"/>
        <v>35295.241521428368</v>
      </c>
    </row>
    <row r="157" spans="1:15" x14ac:dyDescent="0.2">
      <c r="A157" s="783" t="s">
        <v>4377</v>
      </c>
      <c r="B157" s="784">
        <v>68999.820266589086</v>
      </c>
      <c r="C157" s="784">
        <v>0</v>
      </c>
      <c r="D157" s="784">
        <v>0</v>
      </c>
      <c r="E157" s="784">
        <v>0</v>
      </c>
      <c r="F157" s="784">
        <v>11401.577811070001</v>
      </c>
      <c r="G157" s="784">
        <v>1614.9973544904954</v>
      </c>
      <c r="H157" s="784">
        <v>0</v>
      </c>
      <c r="I157" s="784">
        <v>0</v>
      </c>
      <c r="J157" s="784">
        <v>0</v>
      </c>
      <c r="K157" s="784">
        <v>5508.2537150343187</v>
      </c>
      <c r="L157" s="784">
        <v>1974.7082517370175</v>
      </c>
      <c r="M157" s="784">
        <v>0</v>
      </c>
      <c r="N157" s="784">
        <v>0</v>
      </c>
      <c r="O157" s="784">
        <f t="shared" si="28"/>
        <v>89499.357398920911</v>
      </c>
    </row>
    <row r="158" spans="1:15" x14ac:dyDescent="0.2">
      <c r="A158" s="783" t="s">
        <v>4378</v>
      </c>
      <c r="B158" s="784">
        <v>-8062.6779806625182</v>
      </c>
      <c r="C158" s="784">
        <v>0</v>
      </c>
      <c r="D158" s="784">
        <v>0</v>
      </c>
      <c r="E158" s="784">
        <v>0</v>
      </c>
      <c r="F158" s="784">
        <v>0</v>
      </c>
      <c r="G158" s="784">
        <v>0</v>
      </c>
      <c r="H158" s="784">
        <v>0</v>
      </c>
      <c r="I158" s="784">
        <v>0</v>
      </c>
      <c r="J158" s="784">
        <v>0</v>
      </c>
      <c r="K158" s="784">
        <v>0</v>
      </c>
      <c r="L158" s="784">
        <v>0</v>
      </c>
      <c r="M158" s="784">
        <v>0</v>
      </c>
      <c r="N158" s="784">
        <v>0</v>
      </c>
      <c r="O158" s="784">
        <f t="shared" si="28"/>
        <v>-8062.6779806625182</v>
      </c>
    </row>
    <row r="159" spans="1:15" x14ac:dyDescent="0.2">
      <c r="A159" s="783" t="s">
        <v>559</v>
      </c>
      <c r="B159" s="784">
        <v>162662.74871919252</v>
      </c>
      <c r="C159" s="784">
        <v>280891.4429069616</v>
      </c>
      <c r="D159" s="784">
        <v>25902.664028775453</v>
      </c>
      <c r="E159" s="784">
        <v>19967.036893705943</v>
      </c>
      <c r="F159" s="784">
        <v>25556.351151917035</v>
      </c>
      <c r="G159" s="784">
        <v>21438.579598207001</v>
      </c>
      <c r="H159" s="784">
        <v>0</v>
      </c>
      <c r="I159" s="784">
        <v>55985.105425235422</v>
      </c>
      <c r="J159" s="784">
        <v>0</v>
      </c>
      <c r="K159" s="784">
        <v>16800.76343881687</v>
      </c>
      <c r="L159" s="784">
        <v>6858.1782752434328</v>
      </c>
      <c r="M159" s="784">
        <v>0</v>
      </c>
      <c r="N159" s="784">
        <v>0</v>
      </c>
      <c r="O159" s="784">
        <f t="shared" si="28"/>
        <v>616062.87043805525</v>
      </c>
    </row>
    <row r="160" spans="1:15" x14ac:dyDescent="0.2">
      <c r="A160" s="783" t="s">
        <v>560</v>
      </c>
      <c r="B160" s="784">
        <v>0</v>
      </c>
      <c r="C160" s="784">
        <v>-5916.9370748717174</v>
      </c>
      <c r="D160" s="784">
        <v>0</v>
      </c>
      <c r="E160" s="784">
        <v>0</v>
      </c>
      <c r="F160" s="784">
        <v>0</v>
      </c>
      <c r="G160" s="784">
        <v>0</v>
      </c>
      <c r="H160" s="784">
        <v>0</v>
      </c>
      <c r="I160" s="784">
        <v>0</v>
      </c>
      <c r="J160" s="784">
        <v>0</v>
      </c>
      <c r="K160" s="784">
        <v>0</v>
      </c>
      <c r="L160" s="784">
        <v>0</v>
      </c>
      <c r="M160" s="784">
        <v>0</v>
      </c>
      <c r="N160" s="784">
        <v>0</v>
      </c>
      <c r="O160" s="784">
        <f t="shared" si="28"/>
        <v>-5916.9370748717174</v>
      </c>
    </row>
    <row r="161" spans="1:15" x14ac:dyDescent="0.2">
      <c r="A161" s="783" t="s">
        <v>700</v>
      </c>
      <c r="B161" s="784">
        <v>0</v>
      </c>
      <c r="C161" s="784">
        <v>0</v>
      </c>
      <c r="D161" s="784">
        <v>0</v>
      </c>
      <c r="E161" s="784">
        <v>0</v>
      </c>
      <c r="F161" s="784">
        <v>0</v>
      </c>
      <c r="G161" s="784">
        <v>1006.3101817612385</v>
      </c>
      <c r="H161" s="784">
        <v>0</v>
      </c>
      <c r="I161" s="784">
        <v>0</v>
      </c>
      <c r="J161" s="784">
        <v>0</v>
      </c>
      <c r="K161" s="784">
        <v>0</v>
      </c>
      <c r="L161" s="784">
        <v>0</v>
      </c>
      <c r="M161" s="784">
        <v>0</v>
      </c>
      <c r="N161" s="784">
        <v>0</v>
      </c>
      <c r="O161" s="784">
        <f t="shared" si="28"/>
        <v>1006.3101817612385</v>
      </c>
    </row>
    <row r="162" spans="1:15" x14ac:dyDescent="0.2">
      <c r="A162" s="783" t="s">
        <v>728</v>
      </c>
      <c r="B162" s="784">
        <v>0</v>
      </c>
      <c r="C162" s="784">
        <v>0</v>
      </c>
      <c r="D162" s="784">
        <v>0</v>
      </c>
      <c r="E162" s="784">
        <v>0</v>
      </c>
      <c r="F162" s="784">
        <v>0</v>
      </c>
      <c r="G162" s="784">
        <v>0</v>
      </c>
      <c r="H162" s="784">
        <v>0</v>
      </c>
      <c r="I162" s="784">
        <v>53.737155501021</v>
      </c>
      <c r="J162" s="784">
        <v>0</v>
      </c>
      <c r="K162" s="784">
        <v>0</v>
      </c>
      <c r="L162" s="784">
        <v>0</v>
      </c>
      <c r="M162" s="784">
        <v>0</v>
      </c>
      <c r="N162" s="784">
        <v>0</v>
      </c>
      <c r="O162" s="784">
        <f t="shared" si="28"/>
        <v>53.737155501021</v>
      </c>
    </row>
    <row r="163" spans="1:15" x14ac:dyDescent="0.2">
      <c r="A163" s="783" t="s">
        <v>4585</v>
      </c>
      <c r="B163" s="784">
        <v>31601.31450828056</v>
      </c>
      <c r="C163" s="784">
        <v>0</v>
      </c>
      <c r="D163" s="784">
        <v>0</v>
      </c>
      <c r="E163" s="784">
        <v>0</v>
      </c>
      <c r="F163" s="784">
        <v>0</v>
      </c>
      <c r="G163" s="784">
        <v>0</v>
      </c>
      <c r="H163" s="784">
        <v>0</v>
      </c>
      <c r="I163" s="784">
        <v>0</v>
      </c>
      <c r="J163" s="784">
        <v>0</v>
      </c>
      <c r="K163" s="784">
        <v>0</v>
      </c>
      <c r="L163" s="784">
        <v>0</v>
      </c>
      <c r="M163" s="784">
        <v>0</v>
      </c>
      <c r="N163" s="784">
        <v>0</v>
      </c>
      <c r="O163" s="784">
        <f t="shared" si="28"/>
        <v>31601.31450828056</v>
      </c>
    </row>
    <row r="164" spans="1:15" x14ac:dyDescent="0.2">
      <c r="A164" s="783" t="s">
        <v>4398</v>
      </c>
      <c r="B164" s="784">
        <v>0</v>
      </c>
      <c r="C164" s="784">
        <v>39.717397588417121</v>
      </c>
      <c r="D164" s="784">
        <v>0</v>
      </c>
      <c r="E164" s="784">
        <v>74.760932563256944</v>
      </c>
      <c r="F164" s="784">
        <v>0</v>
      </c>
      <c r="G164" s="784">
        <v>0</v>
      </c>
      <c r="H164" s="784">
        <v>0</v>
      </c>
      <c r="I164" s="784">
        <v>57079.604314184682</v>
      </c>
      <c r="J164" s="784">
        <v>0</v>
      </c>
      <c r="K164" s="784">
        <v>14145.35170893342</v>
      </c>
      <c r="L164" s="784">
        <v>4392.6128805149519</v>
      </c>
      <c r="M164" s="784">
        <v>0</v>
      </c>
      <c r="N164" s="784">
        <v>0</v>
      </c>
      <c r="O164" s="784">
        <f t="shared" si="28"/>
        <v>75732.047233784731</v>
      </c>
    </row>
    <row r="165" spans="1:15" x14ac:dyDescent="0.2">
      <c r="A165" s="783" t="s">
        <v>561</v>
      </c>
      <c r="B165" s="784">
        <v>501489.19068715425</v>
      </c>
      <c r="C165" s="784">
        <v>194491.85646913925</v>
      </c>
      <c r="D165" s="784">
        <v>49665.427287343329</v>
      </c>
      <c r="E165" s="784">
        <v>0</v>
      </c>
      <c r="F165" s="784">
        <v>67276.824921956082</v>
      </c>
      <c r="G165" s="784">
        <v>30647.797757169988</v>
      </c>
      <c r="H165" s="784">
        <v>0</v>
      </c>
      <c r="I165" s="784">
        <v>0</v>
      </c>
      <c r="J165" s="784">
        <v>0</v>
      </c>
      <c r="K165" s="784">
        <v>0</v>
      </c>
      <c r="L165" s="784">
        <v>20172.699749386509</v>
      </c>
      <c r="M165" s="784">
        <v>0</v>
      </c>
      <c r="N165" s="784">
        <v>0</v>
      </c>
      <c r="O165" s="784">
        <f t="shared" si="28"/>
        <v>863743.79687214934</v>
      </c>
    </row>
    <row r="166" spans="1:15" x14ac:dyDescent="0.2">
      <c r="A166" s="783" t="s">
        <v>562</v>
      </c>
      <c r="B166" s="784">
        <v>32466.297754487732</v>
      </c>
      <c r="C166" s="784">
        <v>581.91478515216727</v>
      </c>
      <c r="D166" s="784">
        <v>1652.2032482648208</v>
      </c>
      <c r="E166" s="784">
        <v>253.01674912849344</v>
      </c>
      <c r="F166" s="784">
        <v>1174.3596457950548</v>
      </c>
      <c r="G166" s="784">
        <v>222.87107547927923</v>
      </c>
      <c r="H166" s="784">
        <v>0</v>
      </c>
      <c r="I166" s="784">
        <v>0</v>
      </c>
      <c r="J166" s="784">
        <v>0</v>
      </c>
      <c r="K166" s="784">
        <v>0</v>
      </c>
      <c r="L166" s="784">
        <v>597.03618592519172</v>
      </c>
      <c r="M166" s="784">
        <v>0</v>
      </c>
      <c r="N166" s="784">
        <v>0</v>
      </c>
      <c r="O166" s="784">
        <f t="shared" si="28"/>
        <v>36947.699444232741</v>
      </c>
    </row>
    <row r="167" spans="1:15" x14ac:dyDescent="0.2">
      <c r="A167" s="783" t="s">
        <v>563</v>
      </c>
      <c r="B167" s="784">
        <v>-4283.2175579367949</v>
      </c>
      <c r="C167" s="784">
        <v>-1649.4123359988721</v>
      </c>
      <c r="D167" s="784">
        <v>242.1145745194319</v>
      </c>
      <c r="E167" s="784">
        <v>0</v>
      </c>
      <c r="F167" s="784">
        <v>-831.81799431495222</v>
      </c>
      <c r="G167" s="784">
        <v>19.075042483182813</v>
      </c>
      <c r="H167" s="784">
        <v>0</v>
      </c>
      <c r="I167" s="784">
        <v>0</v>
      </c>
      <c r="J167" s="784">
        <v>0</v>
      </c>
      <c r="K167" s="784">
        <v>0</v>
      </c>
      <c r="L167" s="784">
        <v>95.470461540841015</v>
      </c>
      <c r="M167" s="784">
        <v>0</v>
      </c>
      <c r="N167" s="784">
        <v>0</v>
      </c>
      <c r="O167" s="784">
        <f t="shared" si="28"/>
        <v>-6407.7878097071643</v>
      </c>
    </row>
    <row r="168" spans="1:15" x14ac:dyDescent="0.2">
      <c r="A168" s="783" t="s">
        <v>4358</v>
      </c>
      <c r="B168" s="784">
        <v>-17916.531117947881</v>
      </c>
      <c r="C168" s="784">
        <v>0</v>
      </c>
      <c r="D168" s="784">
        <v>0</v>
      </c>
      <c r="E168" s="784">
        <v>0</v>
      </c>
      <c r="F168" s="784">
        <v>0</v>
      </c>
      <c r="G168" s="784">
        <v>0</v>
      </c>
      <c r="H168" s="784">
        <v>0</v>
      </c>
      <c r="I168" s="784">
        <v>0</v>
      </c>
      <c r="J168" s="784">
        <v>0</v>
      </c>
      <c r="K168" s="784">
        <v>0</v>
      </c>
      <c r="L168" s="784">
        <v>0</v>
      </c>
      <c r="M168" s="784">
        <v>0</v>
      </c>
      <c r="N168" s="784">
        <v>0</v>
      </c>
      <c r="O168" s="784">
        <f t="shared" si="28"/>
        <v>-17916.531117947881</v>
      </c>
    </row>
    <row r="169" spans="1:15" x14ac:dyDescent="0.2">
      <c r="A169" s="783" t="s">
        <v>4262</v>
      </c>
      <c r="B169" s="784">
        <v>0</v>
      </c>
      <c r="C169" s="784">
        <v>0</v>
      </c>
      <c r="D169" s="784">
        <v>0</v>
      </c>
      <c r="E169" s="784">
        <v>0</v>
      </c>
      <c r="F169" s="784">
        <v>0</v>
      </c>
      <c r="G169" s="784">
        <v>0</v>
      </c>
      <c r="H169" s="784">
        <v>0</v>
      </c>
      <c r="I169" s="784">
        <v>0</v>
      </c>
      <c r="J169" s="784">
        <v>0</v>
      </c>
      <c r="K169" s="784">
        <v>0</v>
      </c>
      <c r="L169" s="784">
        <v>185.31368486799357</v>
      </c>
      <c r="M169" s="784">
        <v>0</v>
      </c>
      <c r="N169" s="784">
        <v>0</v>
      </c>
      <c r="O169" s="784">
        <f t="shared" si="28"/>
        <v>185.31368486799357</v>
      </c>
    </row>
    <row r="170" spans="1:15" x14ac:dyDescent="0.2">
      <c r="A170" s="783" t="s">
        <v>4736</v>
      </c>
      <c r="B170" s="784">
        <v>0</v>
      </c>
      <c r="C170" s="784">
        <v>0</v>
      </c>
      <c r="D170" s="784">
        <v>0</v>
      </c>
      <c r="E170" s="784">
        <v>0</v>
      </c>
      <c r="F170" s="784">
        <v>0</v>
      </c>
      <c r="G170" s="784">
        <v>0</v>
      </c>
      <c r="H170" s="784">
        <v>0</v>
      </c>
      <c r="I170" s="784">
        <v>0</v>
      </c>
      <c r="J170" s="784">
        <v>0</v>
      </c>
      <c r="K170" s="784">
        <v>29093.022625861664</v>
      </c>
      <c r="L170" s="784">
        <v>0</v>
      </c>
      <c r="M170" s="784">
        <v>0</v>
      </c>
      <c r="N170" s="784">
        <v>0</v>
      </c>
      <c r="O170" s="784">
        <f t="shared" si="28"/>
        <v>29093.022625861664</v>
      </c>
    </row>
    <row r="171" spans="1:15" x14ac:dyDescent="0.2">
      <c r="A171" s="783" t="s">
        <v>564</v>
      </c>
      <c r="B171" s="784">
        <v>74684.747081748763</v>
      </c>
      <c r="C171" s="784">
        <v>0</v>
      </c>
      <c r="D171" s="784">
        <v>0</v>
      </c>
      <c r="E171" s="784">
        <v>0</v>
      </c>
      <c r="F171" s="784">
        <v>0</v>
      </c>
      <c r="G171" s="784">
        <v>0</v>
      </c>
      <c r="H171" s="784">
        <v>0</v>
      </c>
      <c r="I171" s="784">
        <v>0</v>
      </c>
      <c r="J171" s="784">
        <v>0</v>
      </c>
      <c r="K171" s="784">
        <v>0</v>
      </c>
      <c r="L171" s="784">
        <v>0</v>
      </c>
      <c r="M171" s="784">
        <v>0</v>
      </c>
      <c r="N171" s="784">
        <v>0</v>
      </c>
      <c r="O171" s="784">
        <f t="shared" si="28"/>
        <v>74684.747081748763</v>
      </c>
    </row>
    <row r="172" spans="1:15" x14ac:dyDescent="0.2">
      <c r="A172" s="783" t="s">
        <v>565</v>
      </c>
      <c r="B172" s="784">
        <v>19550.97109857051</v>
      </c>
      <c r="C172" s="784">
        <v>0</v>
      </c>
      <c r="D172" s="784">
        <v>0</v>
      </c>
      <c r="E172" s="784">
        <v>0</v>
      </c>
      <c r="F172" s="784">
        <v>0</v>
      </c>
      <c r="G172" s="784">
        <v>0</v>
      </c>
      <c r="H172" s="784">
        <v>0</v>
      </c>
      <c r="I172" s="784">
        <v>0</v>
      </c>
      <c r="J172" s="784">
        <v>0</v>
      </c>
      <c r="K172" s="784">
        <v>0</v>
      </c>
      <c r="L172" s="784">
        <v>0</v>
      </c>
      <c r="M172" s="784">
        <v>0</v>
      </c>
      <c r="N172" s="784">
        <v>0</v>
      </c>
      <c r="O172" s="784">
        <f t="shared" si="28"/>
        <v>19550.97109857051</v>
      </c>
    </row>
    <row r="173" spans="1:15" x14ac:dyDescent="0.2">
      <c r="A173" s="783" t="s">
        <v>566</v>
      </c>
      <c r="B173" s="784">
        <v>8665.0196212070732</v>
      </c>
      <c r="C173" s="784">
        <v>0</v>
      </c>
      <c r="D173" s="784">
        <v>0</v>
      </c>
      <c r="E173" s="784">
        <v>0</v>
      </c>
      <c r="F173" s="784">
        <v>0</v>
      </c>
      <c r="G173" s="784">
        <v>0</v>
      </c>
      <c r="H173" s="784">
        <v>0</v>
      </c>
      <c r="I173" s="784">
        <v>0</v>
      </c>
      <c r="J173" s="784">
        <v>0</v>
      </c>
      <c r="K173" s="784">
        <v>0</v>
      </c>
      <c r="L173" s="784">
        <v>0</v>
      </c>
      <c r="M173" s="784">
        <v>0</v>
      </c>
      <c r="N173" s="784">
        <v>0</v>
      </c>
      <c r="O173" s="784">
        <f t="shared" si="28"/>
        <v>8665.0196212070732</v>
      </c>
    </row>
    <row r="174" spans="1:15" x14ac:dyDescent="0.2">
      <c r="A174" s="783" t="s">
        <v>567</v>
      </c>
      <c r="B174" s="784">
        <v>7183.9744474046211</v>
      </c>
      <c r="C174" s="784">
        <v>0</v>
      </c>
      <c r="D174" s="784">
        <v>0</v>
      </c>
      <c r="E174" s="784">
        <v>0</v>
      </c>
      <c r="F174" s="784">
        <v>0</v>
      </c>
      <c r="G174" s="784">
        <v>0</v>
      </c>
      <c r="H174" s="784">
        <v>0</v>
      </c>
      <c r="I174" s="784">
        <v>0</v>
      </c>
      <c r="J174" s="784">
        <v>0</v>
      </c>
      <c r="K174" s="784">
        <v>0</v>
      </c>
      <c r="L174" s="784">
        <v>0</v>
      </c>
      <c r="M174" s="784">
        <v>0</v>
      </c>
      <c r="N174" s="784">
        <v>0</v>
      </c>
      <c r="O174" s="784">
        <f t="shared" si="28"/>
        <v>7183.9744474046211</v>
      </c>
    </row>
    <row r="175" spans="1:15" x14ac:dyDescent="0.2">
      <c r="A175" s="783" t="s">
        <v>568</v>
      </c>
      <c r="B175" s="784">
        <v>354.18638254923343</v>
      </c>
      <c r="C175" s="784">
        <v>0</v>
      </c>
      <c r="D175" s="784">
        <v>0</v>
      </c>
      <c r="E175" s="784">
        <v>0</v>
      </c>
      <c r="F175" s="784">
        <v>0</v>
      </c>
      <c r="G175" s="784">
        <v>0</v>
      </c>
      <c r="H175" s="784">
        <v>0</v>
      </c>
      <c r="I175" s="784">
        <v>0</v>
      </c>
      <c r="J175" s="784">
        <v>0</v>
      </c>
      <c r="K175" s="784">
        <v>0</v>
      </c>
      <c r="L175" s="784">
        <v>0</v>
      </c>
      <c r="M175" s="784">
        <v>0</v>
      </c>
      <c r="N175" s="784">
        <v>0</v>
      </c>
      <c r="O175" s="784">
        <f t="shared" si="28"/>
        <v>354.18638254923343</v>
      </c>
    </row>
    <row r="176" spans="1:15" x14ac:dyDescent="0.2">
      <c r="A176" s="783" t="s">
        <v>4399</v>
      </c>
      <c r="B176" s="784">
        <v>150768.32677663345</v>
      </c>
      <c r="C176" s="784">
        <v>0</v>
      </c>
      <c r="D176" s="784">
        <v>0</v>
      </c>
      <c r="E176" s="784">
        <v>0</v>
      </c>
      <c r="F176" s="784">
        <v>0</v>
      </c>
      <c r="G176" s="784">
        <v>0</v>
      </c>
      <c r="H176" s="784">
        <v>0</v>
      </c>
      <c r="I176" s="784">
        <v>0</v>
      </c>
      <c r="J176" s="784">
        <v>0</v>
      </c>
      <c r="K176" s="784">
        <v>0</v>
      </c>
      <c r="L176" s="784">
        <v>0</v>
      </c>
      <c r="M176" s="784">
        <v>0</v>
      </c>
      <c r="N176" s="784">
        <v>0</v>
      </c>
      <c r="O176" s="784">
        <f t="shared" si="28"/>
        <v>150768.32677663345</v>
      </c>
    </row>
    <row r="177" spans="1:15" x14ac:dyDescent="0.2">
      <c r="A177" s="783" t="s">
        <v>4400</v>
      </c>
      <c r="B177" s="784">
        <v>24587.679217687924</v>
      </c>
      <c r="C177" s="784">
        <v>0</v>
      </c>
      <c r="D177" s="784">
        <v>0</v>
      </c>
      <c r="E177" s="784">
        <v>0</v>
      </c>
      <c r="F177" s="784">
        <v>0</v>
      </c>
      <c r="G177" s="784">
        <v>0</v>
      </c>
      <c r="H177" s="784">
        <v>0</v>
      </c>
      <c r="I177" s="784">
        <v>0</v>
      </c>
      <c r="J177" s="784">
        <v>0</v>
      </c>
      <c r="K177" s="784">
        <v>0</v>
      </c>
      <c r="L177" s="784">
        <v>0</v>
      </c>
      <c r="M177" s="784">
        <v>0</v>
      </c>
      <c r="N177" s="784">
        <v>0</v>
      </c>
      <c r="O177" s="784">
        <f t="shared" si="28"/>
        <v>24587.679217687924</v>
      </c>
    </row>
    <row r="178" spans="1:15" x14ac:dyDescent="0.2">
      <c r="A178" s="783" t="s">
        <v>4483</v>
      </c>
      <c r="B178" s="784">
        <v>161429.94674013802</v>
      </c>
      <c r="C178" s="784">
        <v>0</v>
      </c>
      <c r="D178" s="784">
        <v>0</v>
      </c>
      <c r="E178" s="784">
        <v>0</v>
      </c>
      <c r="F178" s="784">
        <v>0</v>
      </c>
      <c r="G178" s="784">
        <v>12159.762637671807</v>
      </c>
      <c r="H178" s="784">
        <v>0</v>
      </c>
      <c r="I178" s="784">
        <v>0</v>
      </c>
      <c r="J178" s="784">
        <v>0</v>
      </c>
      <c r="K178" s="784">
        <v>0</v>
      </c>
      <c r="L178" s="784">
        <v>-5.3243257127584673</v>
      </c>
      <c r="M178" s="784">
        <v>0</v>
      </c>
      <c r="N178" s="784">
        <v>0</v>
      </c>
      <c r="O178" s="784">
        <f t="shared" si="28"/>
        <v>173584.38505209709</v>
      </c>
    </row>
    <row r="179" spans="1:15" ht="10.5" x14ac:dyDescent="0.25">
      <c r="A179" s="785" t="s">
        <v>569</v>
      </c>
      <c r="B179" s="786">
        <f t="shared" ref="B179:O179" si="29">SUM(B153:B178)</f>
        <v>2827079.8165778816</v>
      </c>
      <c r="C179" s="786">
        <f t="shared" si="29"/>
        <v>2759534.0978579</v>
      </c>
      <c r="D179" s="786">
        <f t="shared" si="29"/>
        <v>396200.76525992132</v>
      </c>
      <c r="E179" s="786">
        <f t="shared" si="29"/>
        <v>95534.733102799786</v>
      </c>
      <c r="F179" s="786">
        <f t="shared" si="29"/>
        <v>441941.88608899375</v>
      </c>
      <c r="G179" s="786">
        <f t="shared" si="29"/>
        <v>287997.76549365348</v>
      </c>
      <c r="H179" s="786">
        <f t="shared" si="29"/>
        <v>0</v>
      </c>
      <c r="I179" s="786">
        <f t="shared" si="29"/>
        <v>766958.59959871974</v>
      </c>
      <c r="J179" s="786">
        <f t="shared" si="29"/>
        <v>0</v>
      </c>
      <c r="K179" s="786">
        <f t="shared" si="29"/>
        <v>266059.96671407809</v>
      </c>
      <c r="L179" s="786">
        <f t="shared" si="29"/>
        <v>91397.459649284283</v>
      </c>
      <c r="M179" s="786">
        <f t="shared" si="29"/>
        <v>0</v>
      </c>
      <c r="N179" s="786">
        <f t="shared" si="29"/>
        <v>0</v>
      </c>
      <c r="O179" s="786">
        <f t="shared" si="29"/>
        <v>7932705.0903432313</v>
      </c>
    </row>
    <row r="180" spans="1:15" ht="10.5" x14ac:dyDescent="0.25">
      <c r="A180" s="782" t="s">
        <v>570</v>
      </c>
      <c r="B180" s="780"/>
      <c r="C180" s="780"/>
      <c r="D180" s="780"/>
      <c r="E180" s="780"/>
      <c r="F180" s="780"/>
      <c r="G180" s="780"/>
      <c r="H180" s="780"/>
      <c r="I180" s="780"/>
      <c r="J180" s="780"/>
      <c r="K180" s="780"/>
      <c r="L180" s="780"/>
      <c r="M180" s="780"/>
      <c r="N180" s="780"/>
      <c r="O180" s="780"/>
    </row>
    <row r="181" spans="1:15" x14ac:dyDescent="0.2">
      <c r="A181" s="783" t="s">
        <v>574</v>
      </c>
      <c r="B181" s="784">
        <v>16156.161055471144</v>
      </c>
      <c r="C181" s="784">
        <v>-41028.84256217911</v>
      </c>
      <c r="D181" s="784">
        <v>-5458.737182136525</v>
      </c>
      <c r="E181" s="784">
        <v>0</v>
      </c>
      <c r="F181" s="784">
        <v>0</v>
      </c>
      <c r="G181" s="784">
        <v>0</v>
      </c>
      <c r="H181" s="784">
        <v>0</v>
      </c>
      <c r="I181" s="784">
        <v>370.41170348968973</v>
      </c>
      <c r="J181" s="784">
        <v>0</v>
      </c>
      <c r="K181" s="784">
        <v>0</v>
      </c>
      <c r="L181" s="784">
        <v>1161.8717295160684</v>
      </c>
      <c r="M181" s="784">
        <v>0</v>
      </c>
      <c r="N181" s="784">
        <v>0</v>
      </c>
      <c r="O181" s="784">
        <f t="shared" ref="O181:O190" si="30">SUM(B181:N181)</f>
        <v>-28799.135255838733</v>
      </c>
    </row>
    <row r="182" spans="1:15" x14ac:dyDescent="0.2">
      <c r="A182" s="783" t="s">
        <v>575</v>
      </c>
      <c r="B182" s="784">
        <v>21545.764837752056</v>
      </c>
      <c r="C182" s="784">
        <v>-2603.746618973797</v>
      </c>
      <c r="D182" s="784">
        <v>0</v>
      </c>
      <c r="E182" s="784">
        <v>0</v>
      </c>
      <c r="F182" s="784">
        <v>0</v>
      </c>
      <c r="G182" s="784">
        <v>0</v>
      </c>
      <c r="H182" s="784">
        <v>0</v>
      </c>
      <c r="I182" s="784">
        <v>0</v>
      </c>
      <c r="J182" s="784">
        <v>0</v>
      </c>
      <c r="K182" s="784">
        <v>0</v>
      </c>
      <c r="L182" s="784">
        <v>0</v>
      </c>
      <c r="M182" s="784">
        <v>0</v>
      </c>
      <c r="N182" s="784">
        <v>0</v>
      </c>
      <c r="O182" s="784">
        <f t="shared" si="30"/>
        <v>18942.018218778259</v>
      </c>
    </row>
    <row r="183" spans="1:15" x14ac:dyDescent="0.2">
      <c r="A183" s="783" t="s">
        <v>4401</v>
      </c>
      <c r="B183" s="784">
        <v>0</v>
      </c>
      <c r="C183" s="784">
        <v>90147.252809741258</v>
      </c>
      <c r="D183" s="784">
        <v>6355.8302514244315</v>
      </c>
      <c r="E183" s="784">
        <v>0</v>
      </c>
      <c r="F183" s="784">
        <v>0</v>
      </c>
      <c r="G183" s="784">
        <v>0</v>
      </c>
      <c r="H183" s="784">
        <v>0</v>
      </c>
      <c r="I183" s="784">
        <v>0</v>
      </c>
      <c r="J183" s="784">
        <v>0</v>
      </c>
      <c r="K183" s="784">
        <v>0</v>
      </c>
      <c r="L183" s="784">
        <v>0</v>
      </c>
      <c r="M183" s="784">
        <v>0</v>
      </c>
      <c r="N183" s="784">
        <v>0</v>
      </c>
      <c r="O183" s="784">
        <f t="shared" si="30"/>
        <v>96503.083061165686</v>
      </c>
    </row>
    <row r="184" spans="1:15" x14ac:dyDescent="0.2">
      <c r="A184" s="783" t="s">
        <v>578</v>
      </c>
      <c r="B184" s="784">
        <v>0</v>
      </c>
      <c r="C184" s="784">
        <v>-4080.1498638822518</v>
      </c>
      <c r="D184" s="784">
        <v>0</v>
      </c>
      <c r="E184" s="784">
        <v>0</v>
      </c>
      <c r="F184" s="784">
        <v>0</v>
      </c>
      <c r="G184" s="784">
        <v>0</v>
      </c>
      <c r="H184" s="784">
        <v>0</v>
      </c>
      <c r="I184" s="784">
        <v>0</v>
      </c>
      <c r="J184" s="784">
        <v>0</v>
      </c>
      <c r="K184" s="784">
        <v>0</v>
      </c>
      <c r="L184" s="784">
        <v>0</v>
      </c>
      <c r="M184" s="784">
        <v>0</v>
      </c>
      <c r="N184" s="784">
        <v>0</v>
      </c>
      <c r="O184" s="784">
        <f t="shared" si="30"/>
        <v>-4080.1498638822518</v>
      </c>
    </row>
    <row r="185" spans="1:15" x14ac:dyDescent="0.2">
      <c r="A185" s="783" t="s">
        <v>580</v>
      </c>
      <c r="B185" s="784">
        <v>1367.5370628330875</v>
      </c>
      <c r="C185" s="784">
        <v>0</v>
      </c>
      <c r="D185" s="784">
        <v>0</v>
      </c>
      <c r="E185" s="784">
        <v>0</v>
      </c>
      <c r="F185" s="784">
        <v>0</v>
      </c>
      <c r="G185" s="784">
        <v>0</v>
      </c>
      <c r="H185" s="784">
        <v>0</v>
      </c>
      <c r="I185" s="784">
        <v>961.10693852092754</v>
      </c>
      <c r="J185" s="784">
        <v>0</v>
      </c>
      <c r="K185" s="784">
        <v>0</v>
      </c>
      <c r="L185" s="784">
        <v>0</v>
      </c>
      <c r="M185" s="784">
        <v>0</v>
      </c>
      <c r="N185" s="784">
        <v>0</v>
      </c>
      <c r="O185" s="784">
        <f t="shared" si="30"/>
        <v>2328.644001354015</v>
      </c>
    </row>
    <row r="186" spans="1:15" x14ac:dyDescent="0.2">
      <c r="A186" s="783" t="s">
        <v>581</v>
      </c>
      <c r="B186" s="784">
        <v>22.132599206727527</v>
      </c>
      <c r="C186" s="784">
        <v>0</v>
      </c>
      <c r="D186" s="784">
        <v>0</v>
      </c>
      <c r="E186" s="784">
        <v>0</v>
      </c>
      <c r="F186" s="784">
        <v>0</v>
      </c>
      <c r="G186" s="784">
        <v>0</v>
      </c>
      <c r="H186" s="784">
        <v>0</v>
      </c>
      <c r="I186" s="784">
        <v>34.898695040540346</v>
      </c>
      <c r="J186" s="784">
        <v>0</v>
      </c>
      <c r="K186" s="784">
        <v>170.84222703322138</v>
      </c>
      <c r="L186" s="784">
        <v>0</v>
      </c>
      <c r="M186" s="784">
        <v>0</v>
      </c>
      <c r="N186" s="784">
        <v>0</v>
      </c>
      <c r="O186" s="784">
        <f t="shared" si="30"/>
        <v>227.87352128048926</v>
      </c>
    </row>
    <row r="187" spans="1:15" x14ac:dyDescent="0.2">
      <c r="A187" s="783" t="s">
        <v>587</v>
      </c>
      <c r="B187" s="784">
        <v>5716.380867920042</v>
      </c>
      <c r="C187" s="784">
        <v>0</v>
      </c>
      <c r="D187" s="784">
        <v>0</v>
      </c>
      <c r="E187" s="784">
        <v>0</v>
      </c>
      <c r="F187" s="784">
        <v>0</v>
      </c>
      <c r="G187" s="784">
        <v>0</v>
      </c>
      <c r="H187" s="784">
        <v>0</v>
      </c>
      <c r="I187" s="784">
        <v>0</v>
      </c>
      <c r="J187" s="784">
        <v>0</v>
      </c>
      <c r="K187" s="784">
        <v>0</v>
      </c>
      <c r="L187" s="784">
        <v>0</v>
      </c>
      <c r="M187" s="784">
        <v>0</v>
      </c>
      <c r="N187" s="784">
        <v>0</v>
      </c>
      <c r="O187" s="784">
        <f t="shared" si="30"/>
        <v>5716.380867920042</v>
      </c>
    </row>
    <row r="188" spans="1:15" x14ac:dyDescent="0.2">
      <c r="A188" s="783" t="s">
        <v>589</v>
      </c>
      <c r="B188" s="784">
        <v>14269.159959708795</v>
      </c>
      <c r="C188" s="784">
        <v>0</v>
      </c>
      <c r="D188" s="784">
        <v>0</v>
      </c>
      <c r="E188" s="784">
        <v>0</v>
      </c>
      <c r="F188" s="784">
        <v>0</v>
      </c>
      <c r="G188" s="784">
        <v>0</v>
      </c>
      <c r="H188" s="784">
        <v>0</v>
      </c>
      <c r="I188" s="784">
        <v>0</v>
      </c>
      <c r="J188" s="784">
        <v>0</v>
      </c>
      <c r="K188" s="784">
        <v>0</v>
      </c>
      <c r="L188" s="784">
        <v>0</v>
      </c>
      <c r="M188" s="784">
        <v>0</v>
      </c>
      <c r="N188" s="784">
        <v>0</v>
      </c>
      <c r="O188" s="784">
        <f t="shared" si="30"/>
        <v>14269.159959708795</v>
      </c>
    </row>
    <row r="189" spans="1:15" x14ac:dyDescent="0.2">
      <c r="A189" s="783" t="s">
        <v>590</v>
      </c>
      <c r="B189" s="784">
        <v>-27434.65180361455</v>
      </c>
      <c r="C189" s="784">
        <v>0</v>
      </c>
      <c r="D189" s="784">
        <v>0</v>
      </c>
      <c r="E189" s="784">
        <v>0</v>
      </c>
      <c r="F189" s="784">
        <v>0</v>
      </c>
      <c r="G189" s="784">
        <v>0</v>
      </c>
      <c r="H189" s="784">
        <v>0</v>
      </c>
      <c r="I189" s="784">
        <v>0</v>
      </c>
      <c r="J189" s="784">
        <v>0</v>
      </c>
      <c r="K189" s="784">
        <v>0</v>
      </c>
      <c r="L189" s="784">
        <v>0</v>
      </c>
      <c r="M189" s="784">
        <v>0</v>
      </c>
      <c r="N189" s="784">
        <v>0</v>
      </c>
      <c r="O189" s="784">
        <f t="shared" si="30"/>
        <v>-27434.65180361455</v>
      </c>
    </row>
    <row r="190" spans="1:15" x14ac:dyDescent="0.2">
      <c r="A190" s="783" t="s">
        <v>591</v>
      </c>
      <c r="B190" s="784">
        <v>58.346667552559573</v>
      </c>
      <c r="C190" s="784">
        <v>0</v>
      </c>
      <c r="D190" s="784">
        <v>0</v>
      </c>
      <c r="E190" s="784">
        <v>0</v>
      </c>
      <c r="F190" s="784">
        <v>0</v>
      </c>
      <c r="G190" s="784">
        <v>0</v>
      </c>
      <c r="H190" s="784">
        <v>0</v>
      </c>
      <c r="I190" s="784">
        <v>0</v>
      </c>
      <c r="J190" s="784">
        <v>0</v>
      </c>
      <c r="K190" s="784">
        <v>0</v>
      </c>
      <c r="L190" s="784">
        <v>0</v>
      </c>
      <c r="M190" s="784">
        <v>0</v>
      </c>
      <c r="N190" s="784">
        <v>0</v>
      </c>
      <c r="O190" s="784">
        <f t="shared" si="30"/>
        <v>58.346667552559573</v>
      </c>
    </row>
    <row r="191" spans="1:15" ht="10.5" x14ac:dyDescent="0.25">
      <c r="A191" s="785" t="s">
        <v>592</v>
      </c>
      <c r="B191" s="786">
        <f t="shared" ref="B191:O191" si="31">SUM(B181:B190)</f>
        <v>31700.831246829865</v>
      </c>
      <c r="C191" s="786">
        <f t="shared" si="31"/>
        <v>42434.513764706098</v>
      </c>
      <c r="D191" s="786">
        <f t="shared" si="31"/>
        <v>897.09306928790647</v>
      </c>
      <c r="E191" s="786">
        <f t="shared" si="31"/>
        <v>0</v>
      </c>
      <c r="F191" s="786">
        <f t="shared" si="31"/>
        <v>0</v>
      </c>
      <c r="G191" s="786">
        <f t="shared" si="31"/>
        <v>0</v>
      </c>
      <c r="H191" s="786">
        <f t="shared" si="31"/>
        <v>0</v>
      </c>
      <c r="I191" s="786">
        <f t="shared" si="31"/>
        <v>1366.4173370511576</v>
      </c>
      <c r="J191" s="786">
        <f t="shared" si="31"/>
        <v>0</v>
      </c>
      <c r="K191" s="786">
        <f t="shared" si="31"/>
        <v>170.84222703322138</v>
      </c>
      <c r="L191" s="786">
        <f t="shared" si="31"/>
        <v>1161.8717295160684</v>
      </c>
      <c r="M191" s="786">
        <f t="shared" si="31"/>
        <v>0</v>
      </c>
      <c r="N191" s="786">
        <f t="shared" si="31"/>
        <v>0</v>
      </c>
      <c r="O191" s="786">
        <f t="shared" si="31"/>
        <v>77731.569374424304</v>
      </c>
    </row>
    <row r="192" spans="1:15" ht="10.5" x14ac:dyDescent="0.25">
      <c r="A192" s="782" t="s">
        <v>593</v>
      </c>
      <c r="B192" s="780"/>
      <c r="C192" s="780"/>
      <c r="D192" s="780"/>
      <c r="E192" s="780"/>
      <c r="F192" s="780"/>
      <c r="G192" s="780"/>
      <c r="H192" s="780"/>
      <c r="I192" s="780"/>
      <c r="J192" s="780"/>
      <c r="K192" s="780"/>
      <c r="L192" s="780"/>
      <c r="M192" s="780"/>
      <c r="N192" s="780"/>
      <c r="O192" s="780"/>
    </row>
    <row r="193" spans="1:15" x14ac:dyDescent="0.2">
      <c r="A193" s="783" t="s">
        <v>659</v>
      </c>
      <c r="B193" s="784">
        <v>0</v>
      </c>
      <c r="C193" s="784">
        <v>150118.95176193054</v>
      </c>
      <c r="D193" s="784">
        <v>0</v>
      </c>
      <c r="E193" s="784">
        <v>0</v>
      </c>
      <c r="F193" s="784">
        <v>0</v>
      </c>
      <c r="G193" s="784">
        <v>0</v>
      </c>
      <c r="H193" s="784">
        <v>0</v>
      </c>
      <c r="I193" s="784">
        <v>0</v>
      </c>
      <c r="J193" s="784">
        <v>0</v>
      </c>
      <c r="K193" s="784">
        <v>0</v>
      </c>
      <c r="L193" s="784">
        <v>0</v>
      </c>
      <c r="M193" s="784">
        <v>0</v>
      </c>
      <c r="N193" s="784">
        <v>0</v>
      </c>
      <c r="O193" s="784">
        <f>SUM(B193:N193)</f>
        <v>150118.95176193054</v>
      </c>
    </row>
    <row r="194" spans="1:15" x14ac:dyDescent="0.2">
      <c r="A194" s="783" t="s">
        <v>660</v>
      </c>
      <c r="B194" s="784">
        <v>0</v>
      </c>
      <c r="C194" s="784">
        <v>9973.8969771809006</v>
      </c>
      <c r="D194" s="784">
        <v>619.34690616868659</v>
      </c>
      <c r="E194" s="784">
        <v>0</v>
      </c>
      <c r="F194" s="784">
        <v>0</v>
      </c>
      <c r="G194" s="784">
        <v>0</v>
      </c>
      <c r="H194" s="784">
        <v>0</v>
      </c>
      <c r="I194" s="784">
        <v>0</v>
      </c>
      <c r="J194" s="784">
        <v>0</v>
      </c>
      <c r="K194" s="784">
        <v>0</v>
      </c>
      <c r="L194" s="784">
        <v>0</v>
      </c>
      <c r="M194" s="784">
        <v>0</v>
      </c>
      <c r="N194" s="784">
        <v>0</v>
      </c>
      <c r="O194" s="784">
        <f>SUM(B194:N194)</f>
        <v>10593.243883349587</v>
      </c>
    </row>
    <row r="195" spans="1:15" x14ac:dyDescent="0.2">
      <c r="A195" s="783" t="s">
        <v>642</v>
      </c>
      <c r="B195" s="784">
        <v>24755.407856472102</v>
      </c>
      <c r="C195" s="784">
        <v>0</v>
      </c>
      <c r="D195" s="784">
        <v>0</v>
      </c>
      <c r="E195" s="784">
        <v>0</v>
      </c>
      <c r="F195" s="784">
        <v>0</v>
      </c>
      <c r="G195" s="784">
        <v>0</v>
      </c>
      <c r="H195" s="784">
        <v>0</v>
      </c>
      <c r="I195" s="784">
        <v>0</v>
      </c>
      <c r="J195" s="784">
        <v>0</v>
      </c>
      <c r="K195" s="784">
        <v>0</v>
      </c>
      <c r="L195" s="784">
        <v>0</v>
      </c>
      <c r="M195" s="784">
        <v>0</v>
      </c>
      <c r="N195" s="784">
        <v>0</v>
      </c>
      <c r="O195" s="784">
        <f>SUM(B195:N195)</f>
        <v>24755.407856472102</v>
      </c>
    </row>
    <row r="196" spans="1:15" x14ac:dyDescent="0.2">
      <c r="A196" s="783" t="s">
        <v>661</v>
      </c>
      <c r="B196" s="784">
        <v>10844.633397853118</v>
      </c>
      <c r="C196" s="784">
        <v>0</v>
      </c>
      <c r="D196" s="784">
        <v>0</v>
      </c>
      <c r="E196" s="784">
        <v>0</v>
      </c>
      <c r="F196" s="784">
        <v>0</v>
      </c>
      <c r="G196" s="784">
        <v>0</v>
      </c>
      <c r="H196" s="784">
        <v>0</v>
      </c>
      <c r="I196" s="784">
        <v>0</v>
      </c>
      <c r="J196" s="784">
        <v>0</v>
      </c>
      <c r="K196" s="784">
        <v>0</v>
      </c>
      <c r="L196" s="784">
        <v>0</v>
      </c>
      <c r="M196" s="784">
        <v>0</v>
      </c>
      <c r="N196" s="784">
        <v>0</v>
      </c>
      <c r="O196" s="784">
        <f>SUM(B196:N196)</f>
        <v>10844.633397853118</v>
      </c>
    </row>
    <row r="197" spans="1:15" ht="10.5" x14ac:dyDescent="0.25">
      <c r="A197" s="785" t="s">
        <v>595</v>
      </c>
      <c r="B197" s="786">
        <f t="shared" ref="B197:O197" si="32">SUM(B193:B196)</f>
        <v>35600.041254325217</v>
      </c>
      <c r="C197" s="786">
        <f t="shared" si="32"/>
        <v>160092.84873911145</v>
      </c>
      <c r="D197" s="786">
        <f t="shared" si="32"/>
        <v>619.34690616868659</v>
      </c>
      <c r="E197" s="786">
        <f t="shared" si="32"/>
        <v>0</v>
      </c>
      <c r="F197" s="786">
        <f t="shared" si="32"/>
        <v>0</v>
      </c>
      <c r="G197" s="786">
        <f t="shared" si="32"/>
        <v>0</v>
      </c>
      <c r="H197" s="786">
        <f t="shared" si="32"/>
        <v>0</v>
      </c>
      <c r="I197" s="786">
        <f t="shared" si="32"/>
        <v>0</v>
      </c>
      <c r="J197" s="786">
        <f t="shared" si="32"/>
        <v>0</v>
      </c>
      <c r="K197" s="786">
        <f t="shared" si="32"/>
        <v>0</v>
      </c>
      <c r="L197" s="786">
        <f t="shared" si="32"/>
        <v>0</v>
      </c>
      <c r="M197" s="786">
        <f t="shared" si="32"/>
        <v>0</v>
      </c>
      <c r="N197" s="786">
        <f t="shared" si="32"/>
        <v>0</v>
      </c>
      <c r="O197" s="786">
        <f t="shared" si="32"/>
        <v>196312.23689960534</v>
      </c>
    </row>
    <row r="198" spans="1:15" ht="10.5" x14ac:dyDescent="0.25">
      <c r="A198" s="782" t="s">
        <v>662</v>
      </c>
      <c r="B198" s="780"/>
      <c r="C198" s="780"/>
      <c r="D198" s="780"/>
      <c r="E198" s="780"/>
      <c r="F198" s="780"/>
      <c r="G198" s="780"/>
      <c r="H198" s="780"/>
      <c r="I198" s="780"/>
      <c r="J198" s="780"/>
      <c r="K198" s="780"/>
      <c r="L198" s="780"/>
      <c r="M198" s="780"/>
      <c r="N198" s="780"/>
      <c r="O198" s="780"/>
    </row>
    <row r="199" spans="1:15" x14ac:dyDescent="0.2">
      <c r="A199" s="783" t="s">
        <v>664</v>
      </c>
      <c r="B199" s="784">
        <v>0</v>
      </c>
      <c r="C199" s="784">
        <v>1338.0655392466506</v>
      </c>
      <c r="D199" s="784">
        <v>0</v>
      </c>
      <c r="E199" s="784">
        <v>0</v>
      </c>
      <c r="F199" s="784">
        <v>0</v>
      </c>
      <c r="G199" s="784">
        <v>0</v>
      </c>
      <c r="H199" s="784">
        <v>0</v>
      </c>
      <c r="I199" s="784">
        <v>0</v>
      </c>
      <c r="J199" s="784">
        <v>0</v>
      </c>
      <c r="K199" s="784">
        <v>0</v>
      </c>
      <c r="L199" s="784">
        <v>0</v>
      </c>
      <c r="M199" s="784">
        <v>0</v>
      </c>
      <c r="N199" s="784">
        <v>0</v>
      </c>
      <c r="O199" s="784">
        <f>SUM(B199:N199)</f>
        <v>1338.0655392466506</v>
      </c>
    </row>
    <row r="200" spans="1:15" ht="10.5" x14ac:dyDescent="0.25">
      <c r="A200" s="785" t="s">
        <v>665</v>
      </c>
      <c r="B200" s="786">
        <f t="shared" ref="B200:O200" si="33">SUM(B199)</f>
        <v>0</v>
      </c>
      <c r="C200" s="786">
        <f t="shared" si="33"/>
        <v>1338.0655392466506</v>
      </c>
      <c r="D200" s="786">
        <f t="shared" si="33"/>
        <v>0</v>
      </c>
      <c r="E200" s="786">
        <f t="shared" si="33"/>
        <v>0</v>
      </c>
      <c r="F200" s="786">
        <f t="shared" si="33"/>
        <v>0</v>
      </c>
      <c r="G200" s="786">
        <f t="shared" si="33"/>
        <v>0</v>
      </c>
      <c r="H200" s="786">
        <f t="shared" si="33"/>
        <v>0</v>
      </c>
      <c r="I200" s="786">
        <f t="shared" si="33"/>
        <v>0</v>
      </c>
      <c r="J200" s="786">
        <f t="shared" si="33"/>
        <v>0</v>
      </c>
      <c r="K200" s="786">
        <f t="shared" si="33"/>
        <v>0</v>
      </c>
      <c r="L200" s="786">
        <f t="shared" si="33"/>
        <v>0</v>
      </c>
      <c r="M200" s="786">
        <f t="shared" si="33"/>
        <v>0</v>
      </c>
      <c r="N200" s="786">
        <f t="shared" si="33"/>
        <v>0</v>
      </c>
      <c r="O200" s="786">
        <f t="shared" si="33"/>
        <v>1338.0655392466506</v>
      </c>
    </row>
    <row r="201" spans="1:15" ht="10.5" x14ac:dyDescent="0.25">
      <c r="A201" s="782" t="s">
        <v>596</v>
      </c>
      <c r="B201" s="780"/>
      <c r="C201" s="780"/>
      <c r="D201" s="780"/>
      <c r="E201" s="780"/>
      <c r="F201" s="780"/>
      <c r="G201" s="780"/>
      <c r="H201" s="780"/>
      <c r="I201" s="780"/>
      <c r="J201" s="780"/>
      <c r="K201" s="780"/>
      <c r="L201" s="780"/>
      <c r="M201" s="780"/>
      <c r="N201" s="780"/>
      <c r="O201" s="780"/>
    </row>
    <row r="202" spans="1:15" x14ac:dyDescent="0.2">
      <c r="A202" s="783" t="s">
        <v>597</v>
      </c>
      <c r="B202" s="784">
        <v>17797.109493945725</v>
      </c>
      <c r="C202" s="784">
        <v>17631.283333082309</v>
      </c>
      <c r="D202" s="784">
        <v>0</v>
      </c>
      <c r="E202" s="784">
        <v>1839.1383252867211</v>
      </c>
      <c r="F202" s="784">
        <v>952.58526530300787</v>
      </c>
      <c r="G202" s="784">
        <v>1683.6179265193416</v>
      </c>
      <c r="H202" s="784">
        <v>0</v>
      </c>
      <c r="I202" s="784">
        <v>578.11963674721596</v>
      </c>
      <c r="J202" s="784">
        <v>0</v>
      </c>
      <c r="K202" s="784">
        <v>2786.6037229083768</v>
      </c>
      <c r="L202" s="784">
        <v>0</v>
      </c>
      <c r="M202" s="784">
        <v>0</v>
      </c>
      <c r="N202" s="784">
        <v>0</v>
      </c>
      <c r="O202" s="784">
        <f t="shared" ref="O202:O211" si="34">SUM(B202:N202)</f>
        <v>43268.457703792694</v>
      </c>
    </row>
    <row r="203" spans="1:15" x14ac:dyDescent="0.2">
      <c r="A203" s="783" t="s">
        <v>598</v>
      </c>
      <c r="B203" s="784">
        <v>2671.4471104786062</v>
      </c>
      <c r="C203" s="784">
        <v>0</v>
      </c>
      <c r="D203" s="784">
        <v>0</v>
      </c>
      <c r="E203" s="784">
        <v>0</v>
      </c>
      <c r="F203" s="784">
        <v>1156.445552538089</v>
      </c>
      <c r="G203" s="784">
        <v>1709.5184356107161</v>
      </c>
      <c r="H203" s="784">
        <v>0</v>
      </c>
      <c r="I203" s="784">
        <v>0</v>
      </c>
      <c r="J203" s="784">
        <v>0</v>
      </c>
      <c r="K203" s="784">
        <v>38.995952219547362</v>
      </c>
      <c r="L203" s="784">
        <v>0</v>
      </c>
      <c r="M203" s="784">
        <v>0</v>
      </c>
      <c r="N203" s="784">
        <v>0</v>
      </c>
      <c r="O203" s="784">
        <f t="shared" si="34"/>
        <v>5576.4070508469595</v>
      </c>
    </row>
    <row r="204" spans="1:15" x14ac:dyDescent="0.2">
      <c r="A204" s="783" t="s">
        <v>599</v>
      </c>
      <c r="B204" s="784">
        <v>26933.159344425458</v>
      </c>
      <c r="C204" s="784">
        <v>15604.443391496805</v>
      </c>
      <c r="D204" s="784">
        <v>0</v>
      </c>
      <c r="E204" s="784">
        <v>958.56801244781036</v>
      </c>
      <c r="F204" s="784">
        <v>4113.5363720218111</v>
      </c>
      <c r="G204" s="784">
        <v>4914.1844805377341</v>
      </c>
      <c r="H204" s="784">
        <v>0</v>
      </c>
      <c r="I204" s="784">
        <v>-1917.4526072708722</v>
      </c>
      <c r="J204" s="784">
        <v>0</v>
      </c>
      <c r="K204" s="784">
        <v>10.304865119106221</v>
      </c>
      <c r="L204" s="784">
        <v>0</v>
      </c>
      <c r="M204" s="784">
        <v>0</v>
      </c>
      <c r="N204" s="784">
        <v>0</v>
      </c>
      <c r="O204" s="784">
        <f t="shared" si="34"/>
        <v>50616.743858777845</v>
      </c>
    </row>
    <row r="205" spans="1:15" x14ac:dyDescent="0.2">
      <c r="A205" s="783" t="s">
        <v>600</v>
      </c>
      <c r="B205" s="784">
        <v>3724.7671344082619</v>
      </c>
      <c r="C205" s="784">
        <v>3405.5211655676708</v>
      </c>
      <c r="D205" s="784">
        <v>70.052866512295466</v>
      </c>
      <c r="E205" s="784">
        <v>1169.4723563294874</v>
      </c>
      <c r="F205" s="784">
        <v>775.28390976368337</v>
      </c>
      <c r="G205" s="784">
        <v>785.36336378471196</v>
      </c>
      <c r="H205" s="784">
        <v>0</v>
      </c>
      <c r="I205" s="784">
        <v>4102.8326363721799</v>
      </c>
      <c r="J205" s="784">
        <v>0</v>
      </c>
      <c r="K205" s="784">
        <v>1849.2395776905889</v>
      </c>
      <c r="L205" s="784">
        <v>0</v>
      </c>
      <c r="M205" s="784">
        <v>0</v>
      </c>
      <c r="N205" s="784">
        <v>0</v>
      </c>
      <c r="O205" s="784">
        <f t="shared" si="34"/>
        <v>15882.533010428879</v>
      </c>
    </row>
    <row r="206" spans="1:15" x14ac:dyDescent="0.2">
      <c r="A206" s="783" t="s">
        <v>601</v>
      </c>
      <c r="B206" s="784">
        <v>1474.5166001410723</v>
      </c>
      <c r="C206" s="784">
        <v>2947.721811020318</v>
      </c>
      <c r="D206" s="784">
        <v>-55.980687602157481</v>
      </c>
      <c r="E206" s="784">
        <v>146.0650341373551</v>
      </c>
      <c r="F206" s="784">
        <v>103.24466399885362</v>
      </c>
      <c r="G206" s="784">
        <v>1127.3763828545289</v>
      </c>
      <c r="H206" s="784">
        <v>0</v>
      </c>
      <c r="I206" s="784">
        <v>604.72302771795148</v>
      </c>
      <c r="J206" s="784">
        <v>0</v>
      </c>
      <c r="K206" s="784">
        <v>1812.2012861536209</v>
      </c>
      <c r="L206" s="784">
        <v>0</v>
      </c>
      <c r="M206" s="784">
        <v>0</v>
      </c>
      <c r="N206" s="784">
        <v>0</v>
      </c>
      <c r="O206" s="784">
        <f t="shared" si="34"/>
        <v>8159.868118421542</v>
      </c>
    </row>
    <row r="207" spans="1:15" x14ac:dyDescent="0.2">
      <c r="A207" s="783" t="s">
        <v>602</v>
      </c>
      <c r="B207" s="784">
        <v>63.331884768779929</v>
      </c>
      <c r="C207" s="784">
        <v>1456.0494192836566</v>
      </c>
      <c r="D207" s="784">
        <v>0</v>
      </c>
      <c r="E207" s="784">
        <v>171.31838817897241</v>
      </c>
      <c r="F207" s="784">
        <v>0</v>
      </c>
      <c r="G207" s="784">
        <v>0</v>
      </c>
      <c r="H207" s="784">
        <v>0</v>
      </c>
      <c r="I207" s="784">
        <v>1853.3154263589211</v>
      </c>
      <c r="J207" s="784">
        <v>0</v>
      </c>
      <c r="K207" s="784">
        <v>8.3972592700789317</v>
      </c>
      <c r="L207" s="784">
        <v>0</v>
      </c>
      <c r="M207" s="784">
        <v>0</v>
      </c>
      <c r="N207" s="784">
        <v>0</v>
      </c>
      <c r="O207" s="784">
        <f t="shared" si="34"/>
        <v>3552.4123778604085</v>
      </c>
    </row>
    <row r="208" spans="1:15" x14ac:dyDescent="0.2">
      <c r="A208" s="783" t="s">
        <v>603</v>
      </c>
      <c r="B208" s="784">
        <v>166.63874445897883</v>
      </c>
      <c r="C208" s="784">
        <v>0</v>
      </c>
      <c r="D208" s="784">
        <v>0</v>
      </c>
      <c r="E208" s="784">
        <v>0</v>
      </c>
      <c r="F208" s="784">
        <v>182.58587699977997</v>
      </c>
      <c r="G208" s="784">
        <v>325.50887691956177</v>
      </c>
      <c r="H208" s="784">
        <v>0</v>
      </c>
      <c r="I208" s="784">
        <v>99.539142586117052</v>
      </c>
      <c r="J208" s="784">
        <v>0</v>
      </c>
      <c r="K208" s="784">
        <v>204.38611471368552</v>
      </c>
      <c r="L208" s="784">
        <v>23.967032392572033</v>
      </c>
      <c r="M208" s="784">
        <v>0</v>
      </c>
      <c r="N208" s="784">
        <v>0</v>
      </c>
      <c r="O208" s="784">
        <f t="shared" si="34"/>
        <v>1002.6257880706951</v>
      </c>
    </row>
    <row r="209" spans="1:15" x14ac:dyDescent="0.2">
      <c r="A209" s="783" t="s">
        <v>643</v>
      </c>
      <c r="B209" s="784">
        <v>0</v>
      </c>
      <c r="C209" s="784">
        <v>0</v>
      </c>
      <c r="D209" s="784">
        <v>0</v>
      </c>
      <c r="E209" s="784">
        <v>0</v>
      </c>
      <c r="F209" s="784">
        <v>0</v>
      </c>
      <c r="G209" s="784">
        <v>0</v>
      </c>
      <c r="H209" s="784">
        <v>0</v>
      </c>
      <c r="I209" s="784">
        <v>-4079.4602172110949</v>
      </c>
      <c r="J209" s="784">
        <v>0</v>
      </c>
      <c r="K209" s="784">
        <v>0</v>
      </c>
      <c r="L209" s="784">
        <v>0</v>
      </c>
      <c r="M209" s="784">
        <v>0</v>
      </c>
      <c r="N209" s="784">
        <v>0</v>
      </c>
      <c r="O209" s="784">
        <f t="shared" si="34"/>
        <v>-4079.4602172110949</v>
      </c>
    </row>
    <row r="210" spans="1:15" x14ac:dyDescent="0.2">
      <c r="A210" s="783" t="s">
        <v>604</v>
      </c>
      <c r="B210" s="784">
        <v>291.66201747149927</v>
      </c>
      <c r="C210" s="784">
        <v>126.83846421671633</v>
      </c>
      <c r="D210" s="784">
        <v>323.65200556805445</v>
      </c>
      <c r="E210" s="784">
        <v>118.30605704136248</v>
      </c>
      <c r="F210" s="784">
        <v>1830.781663612493</v>
      </c>
      <c r="G210" s="784">
        <v>0</v>
      </c>
      <c r="H210" s="784">
        <v>0</v>
      </c>
      <c r="I210" s="784">
        <v>15.442031030545065</v>
      </c>
      <c r="J210" s="784">
        <v>0</v>
      </c>
      <c r="K210" s="784">
        <v>20.400974515860423</v>
      </c>
      <c r="L210" s="784">
        <v>0</v>
      </c>
      <c r="M210" s="784">
        <v>0</v>
      </c>
      <c r="N210" s="784">
        <v>0</v>
      </c>
      <c r="O210" s="784">
        <f t="shared" si="34"/>
        <v>2727.0832134565312</v>
      </c>
    </row>
    <row r="211" spans="1:15" x14ac:dyDescent="0.2">
      <c r="A211" s="783" t="s">
        <v>606</v>
      </c>
      <c r="B211" s="784">
        <v>316.68912778714378</v>
      </c>
      <c r="C211" s="784">
        <v>0</v>
      </c>
      <c r="D211" s="784">
        <v>0</v>
      </c>
      <c r="E211" s="784">
        <v>0</v>
      </c>
      <c r="F211" s="784">
        <v>0</v>
      </c>
      <c r="G211" s="784">
        <v>0</v>
      </c>
      <c r="H211" s="784">
        <v>0</v>
      </c>
      <c r="I211" s="784">
        <v>0</v>
      </c>
      <c r="J211" s="784">
        <v>0</v>
      </c>
      <c r="K211" s="784">
        <v>0</v>
      </c>
      <c r="L211" s="784">
        <v>0</v>
      </c>
      <c r="M211" s="784">
        <v>0</v>
      </c>
      <c r="N211" s="784">
        <v>0</v>
      </c>
      <c r="O211" s="784">
        <f t="shared" si="34"/>
        <v>316.68912778714378</v>
      </c>
    </row>
    <row r="212" spans="1:15" ht="10.5" x14ac:dyDescent="0.25">
      <c r="A212" s="792" t="s">
        <v>607</v>
      </c>
      <c r="B212" s="780"/>
      <c r="C212" s="780"/>
      <c r="D212" s="780"/>
      <c r="E212" s="780"/>
      <c r="F212" s="780"/>
      <c r="G212" s="780"/>
      <c r="H212" s="780"/>
      <c r="I212" s="780"/>
      <c r="J212" s="780"/>
      <c r="K212" s="780"/>
      <c r="L212" s="780"/>
      <c r="M212" s="780"/>
      <c r="N212" s="780"/>
      <c r="O212" s="780"/>
    </row>
    <row r="213" spans="1:15" x14ac:dyDescent="0.2">
      <c r="A213" s="793" t="s">
        <v>607</v>
      </c>
      <c r="B213" s="784">
        <v>0</v>
      </c>
      <c r="C213" s="784">
        <v>15196.827683128444</v>
      </c>
      <c r="D213" s="784">
        <v>0</v>
      </c>
      <c r="E213" s="784">
        <v>0</v>
      </c>
      <c r="F213" s="784">
        <v>0</v>
      </c>
      <c r="G213" s="784">
        <v>0</v>
      </c>
      <c r="H213" s="784">
        <v>0</v>
      </c>
      <c r="I213" s="784">
        <v>0</v>
      </c>
      <c r="J213" s="784">
        <v>0</v>
      </c>
      <c r="K213" s="784">
        <v>0</v>
      </c>
      <c r="L213" s="784">
        <v>0</v>
      </c>
      <c r="M213" s="784">
        <v>0</v>
      </c>
      <c r="N213" s="784">
        <v>0</v>
      </c>
      <c r="O213" s="784">
        <f t="shared" ref="O213:O218" si="35">SUM(B213:N213)</f>
        <v>15196.827683128444</v>
      </c>
    </row>
    <row r="214" spans="1:15" x14ac:dyDescent="0.2">
      <c r="A214" s="793" t="s">
        <v>3871</v>
      </c>
      <c r="B214" s="784">
        <v>0</v>
      </c>
      <c r="C214" s="784">
        <v>16298.808903434969</v>
      </c>
      <c r="D214" s="784">
        <v>0</v>
      </c>
      <c r="E214" s="784">
        <v>0</v>
      </c>
      <c r="F214" s="784">
        <v>0</v>
      </c>
      <c r="G214" s="784">
        <v>0</v>
      </c>
      <c r="H214" s="784">
        <v>0</v>
      </c>
      <c r="I214" s="784">
        <v>0</v>
      </c>
      <c r="J214" s="784">
        <v>0</v>
      </c>
      <c r="K214" s="784">
        <v>0</v>
      </c>
      <c r="L214" s="784">
        <v>0</v>
      </c>
      <c r="M214" s="784">
        <v>0</v>
      </c>
      <c r="N214" s="784">
        <v>0</v>
      </c>
      <c r="O214" s="784">
        <f t="shared" si="35"/>
        <v>16298.808903434969</v>
      </c>
    </row>
    <row r="215" spans="1:15" x14ac:dyDescent="0.2">
      <c r="A215" s="793" t="s">
        <v>666</v>
      </c>
      <c r="B215" s="784">
        <v>63.43807455322785</v>
      </c>
      <c r="C215" s="784">
        <v>1174.0853648578109</v>
      </c>
      <c r="D215" s="784">
        <v>0</v>
      </c>
      <c r="E215" s="784">
        <v>0</v>
      </c>
      <c r="F215" s="784">
        <v>0</v>
      </c>
      <c r="G215" s="784">
        <v>0</v>
      </c>
      <c r="H215" s="784">
        <v>0</v>
      </c>
      <c r="I215" s="784">
        <v>0</v>
      </c>
      <c r="J215" s="784">
        <v>0</v>
      </c>
      <c r="K215" s="784">
        <v>173.29444657644254</v>
      </c>
      <c r="L215" s="784">
        <v>0</v>
      </c>
      <c r="M215" s="784">
        <v>0</v>
      </c>
      <c r="N215" s="784">
        <v>0</v>
      </c>
      <c r="O215" s="784">
        <f t="shared" si="35"/>
        <v>1410.8178859874813</v>
      </c>
    </row>
    <row r="216" spans="1:15" x14ac:dyDescent="0.2">
      <c r="A216" s="793" t="s">
        <v>667</v>
      </c>
      <c r="B216" s="784">
        <v>207.21677978010513</v>
      </c>
      <c r="C216" s="784">
        <v>463.5411820083707</v>
      </c>
      <c r="D216" s="784">
        <v>0</v>
      </c>
      <c r="E216" s="784">
        <v>0</v>
      </c>
      <c r="F216" s="784">
        <v>0</v>
      </c>
      <c r="G216" s="784">
        <v>0</v>
      </c>
      <c r="H216" s="784">
        <v>0</v>
      </c>
      <c r="I216" s="784">
        <v>0</v>
      </c>
      <c r="J216" s="784">
        <v>0</v>
      </c>
      <c r="K216" s="784">
        <v>56.743858541449171</v>
      </c>
      <c r="L216" s="784">
        <v>0</v>
      </c>
      <c r="M216" s="784">
        <v>0</v>
      </c>
      <c r="N216" s="784">
        <v>0</v>
      </c>
      <c r="O216" s="784">
        <f t="shared" si="35"/>
        <v>727.50182032992495</v>
      </c>
    </row>
    <row r="217" spans="1:15" x14ac:dyDescent="0.2">
      <c r="A217" s="793" t="s">
        <v>668</v>
      </c>
      <c r="B217" s="784">
        <v>0</v>
      </c>
      <c r="C217" s="784">
        <v>54972.662226097003</v>
      </c>
      <c r="D217" s="784">
        <v>0</v>
      </c>
      <c r="E217" s="784">
        <v>0</v>
      </c>
      <c r="F217" s="784">
        <v>0</v>
      </c>
      <c r="G217" s="784">
        <v>0</v>
      </c>
      <c r="H217" s="784">
        <v>0</v>
      </c>
      <c r="I217" s="784">
        <v>0</v>
      </c>
      <c r="J217" s="784">
        <v>0</v>
      </c>
      <c r="K217" s="784">
        <v>0</v>
      </c>
      <c r="L217" s="784">
        <v>0</v>
      </c>
      <c r="M217" s="784">
        <v>0</v>
      </c>
      <c r="N217" s="784">
        <v>0</v>
      </c>
      <c r="O217" s="784">
        <f t="shared" si="35"/>
        <v>54972.662226097003</v>
      </c>
    </row>
    <row r="218" spans="1:15" x14ac:dyDescent="0.2">
      <c r="A218" s="793" t="s">
        <v>4737</v>
      </c>
      <c r="B218" s="784">
        <v>0</v>
      </c>
      <c r="C218" s="784">
        <v>0</v>
      </c>
      <c r="D218" s="784">
        <v>0</v>
      </c>
      <c r="E218" s="784">
        <v>0</v>
      </c>
      <c r="F218" s="784">
        <v>118.10393643636348</v>
      </c>
      <c r="G218" s="784">
        <v>0</v>
      </c>
      <c r="H218" s="784">
        <v>0</v>
      </c>
      <c r="I218" s="784">
        <v>0</v>
      </c>
      <c r="J218" s="784">
        <v>0</v>
      </c>
      <c r="K218" s="784">
        <v>0</v>
      </c>
      <c r="L218" s="784">
        <v>0</v>
      </c>
      <c r="M218" s="784">
        <v>0</v>
      </c>
      <c r="N218" s="784">
        <v>0</v>
      </c>
      <c r="O218" s="784">
        <f t="shared" si="35"/>
        <v>118.10393643636348</v>
      </c>
    </row>
    <row r="219" spans="1:15" ht="10.5" x14ac:dyDescent="0.25">
      <c r="A219" s="794" t="s">
        <v>669</v>
      </c>
      <c r="B219" s="786">
        <f t="shared" ref="B219:O219" si="36">SUM(B213:B218)</f>
        <v>270.65485433333299</v>
      </c>
      <c r="C219" s="786">
        <f t="shared" si="36"/>
        <v>88105.925359526591</v>
      </c>
      <c r="D219" s="786">
        <f t="shared" si="36"/>
        <v>0</v>
      </c>
      <c r="E219" s="786">
        <f t="shared" si="36"/>
        <v>0</v>
      </c>
      <c r="F219" s="786">
        <f t="shared" si="36"/>
        <v>118.10393643636348</v>
      </c>
      <c r="G219" s="786">
        <f t="shared" si="36"/>
        <v>0</v>
      </c>
      <c r="H219" s="786">
        <f t="shared" si="36"/>
        <v>0</v>
      </c>
      <c r="I219" s="786">
        <f t="shared" si="36"/>
        <v>0</v>
      </c>
      <c r="J219" s="786">
        <f t="shared" si="36"/>
        <v>0</v>
      </c>
      <c r="K219" s="786">
        <f t="shared" si="36"/>
        <v>230.0383051178917</v>
      </c>
      <c r="L219" s="786">
        <f t="shared" si="36"/>
        <v>0</v>
      </c>
      <c r="M219" s="786">
        <f t="shared" si="36"/>
        <v>0</v>
      </c>
      <c r="N219" s="786">
        <f t="shared" si="36"/>
        <v>0</v>
      </c>
      <c r="O219" s="786">
        <f t="shared" si="36"/>
        <v>88724.722455414201</v>
      </c>
    </row>
    <row r="220" spans="1:15" x14ac:dyDescent="0.2">
      <c r="A220" s="783" t="s">
        <v>4379</v>
      </c>
      <c r="B220" s="784">
        <v>0</v>
      </c>
      <c r="C220" s="784">
        <v>0</v>
      </c>
      <c r="D220" s="784">
        <v>0</v>
      </c>
      <c r="E220" s="784">
        <v>0</v>
      </c>
      <c r="F220" s="784">
        <v>0</v>
      </c>
      <c r="G220" s="784">
        <v>0</v>
      </c>
      <c r="H220" s="784">
        <v>0</v>
      </c>
      <c r="I220" s="784">
        <v>-591.01977774469276</v>
      </c>
      <c r="J220" s="784">
        <v>0</v>
      </c>
      <c r="K220" s="784">
        <v>0</v>
      </c>
      <c r="L220" s="784">
        <v>0</v>
      </c>
      <c r="M220" s="784">
        <v>0</v>
      </c>
      <c r="N220" s="784">
        <v>0</v>
      </c>
      <c r="O220" s="784">
        <f>SUM(B220:N220)</f>
        <v>-591.01977774469276</v>
      </c>
    </row>
    <row r="221" spans="1:15" ht="10.5" x14ac:dyDescent="0.25">
      <c r="A221" s="785" t="s">
        <v>609</v>
      </c>
      <c r="B221" s="786">
        <f t="shared" ref="B221:O221" si="37">SUM(B202:B211,B219:B220)</f>
        <v>53709.976312218852</v>
      </c>
      <c r="C221" s="786">
        <f t="shared" si="37"/>
        <v>129277.78294419407</v>
      </c>
      <c r="D221" s="786">
        <f t="shared" si="37"/>
        <v>337.72418447819246</v>
      </c>
      <c r="E221" s="786">
        <f t="shared" si="37"/>
        <v>4402.8681734217089</v>
      </c>
      <c r="F221" s="786">
        <f t="shared" si="37"/>
        <v>9232.5672406740832</v>
      </c>
      <c r="G221" s="786">
        <f t="shared" si="37"/>
        <v>10545.569466226596</v>
      </c>
      <c r="H221" s="786">
        <f t="shared" si="37"/>
        <v>0</v>
      </c>
      <c r="I221" s="786">
        <f t="shared" si="37"/>
        <v>666.03929858627055</v>
      </c>
      <c r="J221" s="786">
        <f t="shared" si="37"/>
        <v>0</v>
      </c>
      <c r="K221" s="786">
        <f t="shared" si="37"/>
        <v>6960.5680577087569</v>
      </c>
      <c r="L221" s="786">
        <f t="shared" si="37"/>
        <v>23.967032392572033</v>
      </c>
      <c r="M221" s="786">
        <f t="shared" si="37"/>
        <v>0</v>
      </c>
      <c r="N221" s="786">
        <f t="shared" si="37"/>
        <v>0</v>
      </c>
      <c r="O221" s="786">
        <f t="shared" si="37"/>
        <v>215157.0627099011</v>
      </c>
    </row>
    <row r="222" spans="1:15" ht="10.5" x14ac:dyDescent="0.25">
      <c r="A222" s="782" t="s">
        <v>610</v>
      </c>
      <c r="B222" s="780"/>
      <c r="C222" s="780"/>
      <c r="D222" s="780"/>
      <c r="E222" s="780"/>
      <c r="F222" s="780"/>
      <c r="G222" s="780"/>
      <c r="H222" s="780"/>
      <c r="I222" s="780"/>
      <c r="J222" s="780"/>
      <c r="K222" s="780"/>
      <c r="L222" s="780"/>
      <c r="M222" s="780"/>
      <c r="N222" s="780"/>
      <c r="O222" s="780"/>
    </row>
    <row r="223" spans="1:15" x14ac:dyDescent="0.2">
      <c r="A223" s="783" t="s">
        <v>647</v>
      </c>
      <c r="B223" s="784">
        <v>0</v>
      </c>
      <c r="C223" s="784">
        <v>0</v>
      </c>
      <c r="D223" s="784">
        <v>0</v>
      </c>
      <c r="E223" s="784">
        <v>0</v>
      </c>
      <c r="F223" s="784">
        <v>0</v>
      </c>
      <c r="G223" s="784">
        <v>0</v>
      </c>
      <c r="H223" s="784">
        <v>0</v>
      </c>
      <c r="I223" s="784">
        <v>0</v>
      </c>
      <c r="J223" s="784">
        <v>0</v>
      </c>
      <c r="K223" s="784">
        <v>131.95199583052661</v>
      </c>
      <c r="L223" s="784">
        <v>0</v>
      </c>
      <c r="M223" s="784">
        <v>0</v>
      </c>
      <c r="N223" s="784">
        <v>0</v>
      </c>
      <c r="O223" s="784">
        <f>SUM(B223:N223)</f>
        <v>131.95199583052661</v>
      </c>
    </row>
    <row r="224" spans="1:15" x14ac:dyDescent="0.2">
      <c r="A224" s="783" t="s">
        <v>648</v>
      </c>
      <c r="B224" s="784">
        <v>0</v>
      </c>
      <c r="C224" s="784">
        <v>802.43639249178318</v>
      </c>
      <c r="D224" s="784">
        <v>0</v>
      </c>
      <c r="E224" s="784">
        <v>0</v>
      </c>
      <c r="F224" s="784">
        <v>0</v>
      </c>
      <c r="G224" s="784">
        <v>0</v>
      </c>
      <c r="H224" s="784">
        <v>0</v>
      </c>
      <c r="I224" s="784">
        <v>0</v>
      </c>
      <c r="J224" s="784">
        <v>0</v>
      </c>
      <c r="K224" s="784">
        <v>0</v>
      </c>
      <c r="L224" s="784">
        <v>0</v>
      </c>
      <c r="M224" s="784">
        <v>0</v>
      </c>
      <c r="N224" s="784">
        <v>0</v>
      </c>
      <c r="O224" s="784">
        <f>SUM(B224:N224)</f>
        <v>802.43639249178318</v>
      </c>
    </row>
    <row r="225" spans="1:15" x14ac:dyDescent="0.2">
      <c r="A225" s="783" t="s">
        <v>612</v>
      </c>
      <c r="B225" s="784">
        <v>32495.264212688748</v>
      </c>
      <c r="C225" s="784">
        <v>0</v>
      </c>
      <c r="D225" s="784">
        <v>0</v>
      </c>
      <c r="E225" s="784">
        <v>0</v>
      </c>
      <c r="F225" s="784">
        <v>0</v>
      </c>
      <c r="G225" s="784">
        <v>0</v>
      </c>
      <c r="H225" s="784">
        <v>0</v>
      </c>
      <c r="I225" s="784">
        <v>0</v>
      </c>
      <c r="J225" s="784">
        <v>0</v>
      </c>
      <c r="K225" s="784">
        <v>0</v>
      </c>
      <c r="L225" s="784">
        <v>0</v>
      </c>
      <c r="M225" s="784">
        <v>0</v>
      </c>
      <c r="N225" s="784">
        <v>0</v>
      </c>
      <c r="O225" s="784">
        <f>SUM(B225:N225)</f>
        <v>32495.264212688748</v>
      </c>
    </row>
    <row r="226" spans="1:15" ht="10.5" x14ac:dyDescent="0.25">
      <c r="A226" s="785" t="s">
        <v>613</v>
      </c>
      <c r="B226" s="786">
        <f t="shared" ref="B226:O226" si="38">SUM(B223:B225)</f>
        <v>32495.264212688748</v>
      </c>
      <c r="C226" s="786">
        <f t="shared" si="38"/>
        <v>802.43639249178318</v>
      </c>
      <c r="D226" s="786">
        <f t="shared" si="38"/>
        <v>0</v>
      </c>
      <c r="E226" s="786">
        <f t="shared" si="38"/>
        <v>0</v>
      </c>
      <c r="F226" s="786">
        <f t="shared" si="38"/>
        <v>0</v>
      </c>
      <c r="G226" s="786">
        <f t="shared" si="38"/>
        <v>0</v>
      </c>
      <c r="H226" s="786">
        <f t="shared" si="38"/>
        <v>0</v>
      </c>
      <c r="I226" s="786">
        <f t="shared" si="38"/>
        <v>0</v>
      </c>
      <c r="J226" s="786">
        <f t="shared" si="38"/>
        <v>0</v>
      </c>
      <c r="K226" s="786">
        <f t="shared" si="38"/>
        <v>131.95199583052661</v>
      </c>
      <c r="L226" s="786">
        <f t="shared" si="38"/>
        <v>0</v>
      </c>
      <c r="M226" s="786">
        <f t="shared" si="38"/>
        <v>0</v>
      </c>
      <c r="N226" s="786">
        <f t="shared" si="38"/>
        <v>0</v>
      </c>
      <c r="O226" s="786">
        <f t="shared" si="38"/>
        <v>33429.652601011054</v>
      </c>
    </row>
    <row r="227" spans="1:15" ht="10.5" x14ac:dyDescent="0.25">
      <c r="A227" s="782" t="s">
        <v>614</v>
      </c>
      <c r="B227" s="780"/>
      <c r="C227" s="780"/>
      <c r="D227" s="780"/>
      <c r="E227" s="780"/>
      <c r="F227" s="780"/>
      <c r="G227" s="780"/>
      <c r="H227" s="780"/>
      <c r="I227" s="780"/>
      <c r="J227" s="780"/>
      <c r="K227" s="780"/>
      <c r="L227" s="780"/>
      <c r="M227" s="780"/>
      <c r="N227" s="780"/>
      <c r="O227" s="780"/>
    </row>
    <row r="228" spans="1:15" x14ac:dyDescent="0.2">
      <c r="A228" s="783" t="s">
        <v>615</v>
      </c>
      <c r="B228" s="784">
        <v>0</v>
      </c>
      <c r="C228" s="784">
        <v>0</v>
      </c>
      <c r="D228" s="784">
        <v>0</v>
      </c>
      <c r="E228" s="784">
        <v>0</v>
      </c>
      <c r="F228" s="784">
        <v>0</v>
      </c>
      <c r="G228" s="784">
        <v>0</v>
      </c>
      <c r="H228" s="784">
        <v>0</v>
      </c>
      <c r="I228" s="784">
        <v>-12.455918906752087</v>
      </c>
      <c r="J228" s="784">
        <v>0</v>
      </c>
      <c r="K228" s="784">
        <v>29.873631479561318</v>
      </c>
      <c r="L228" s="784">
        <v>0</v>
      </c>
      <c r="M228" s="784">
        <v>0</v>
      </c>
      <c r="N228" s="784">
        <v>0</v>
      </c>
      <c r="O228" s="784">
        <f t="shared" ref="O228:O233" si="39">SUM(B228:N228)</f>
        <v>17.417712572809229</v>
      </c>
    </row>
    <row r="229" spans="1:15" x14ac:dyDescent="0.2">
      <c r="A229" s="783" t="s">
        <v>644</v>
      </c>
      <c r="B229" s="784">
        <v>21706.327352069795</v>
      </c>
      <c r="C229" s="784">
        <v>53.678062840745739</v>
      </c>
      <c r="D229" s="784">
        <v>0</v>
      </c>
      <c r="E229" s="784">
        <v>0</v>
      </c>
      <c r="F229" s="784">
        <v>0</v>
      </c>
      <c r="G229" s="784">
        <v>0</v>
      </c>
      <c r="H229" s="784">
        <v>0</v>
      </c>
      <c r="I229" s="784">
        <v>0</v>
      </c>
      <c r="J229" s="784">
        <v>0</v>
      </c>
      <c r="K229" s="784">
        <v>0</v>
      </c>
      <c r="L229" s="784">
        <v>0</v>
      </c>
      <c r="M229" s="784">
        <v>0</v>
      </c>
      <c r="N229" s="784">
        <v>0</v>
      </c>
      <c r="O229" s="784">
        <f t="shared" si="39"/>
        <v>21760.005414910542</v>
      </c>
    </row>
    <row r="230" spans="1:15" x14ac:dyDescent="0.2">
      <c r="A230" s="783" t="s">
        <v>617</v>
      </c>
      <c r="B230" s="784">
        <v>0</v>
      </c>
      <c r="C230" s="784">
        <v>0</v>
      </c>
      <c r="D230" s="784">
        <v>0</v>
      </c>
      <c r="E230" s="784">
        <v>0</v>
      </c>
      <c r="F230" s="784">
        <v>0</v>
      </c>
      <c r="G230" s="784">
        <v>0</v>
      </c>
      <c r="H230" s="784">
        <v>0</v>
      </c>
      <c r="I230" s="784">
        <v>0</v>
      </c>
      <c r="J230" s="784">
        <v>0</v>
      </c>
      <c r="K230" s="784">
        <v>0</v>
      </c>
      <c r="L230" s="784">
        <v>10.963180578123984</v>
      </c>
      <c r="M230" s="784">
        <v>0</v>
      </c>
      <c r="N230" s="784">
        <v>0</v>
      </c>
      <c r="O230" s="784">
        <f t="shared" si="39"/>
        <v>10.963180578123984</v>
      </c>
    </row>
    <row r="231" spans="1:15" x14ac:dyDescent="0.2">
      <c r="A231" s="783" t="s">
        <v>618</v>
      </c>
      <c r="B231" s="784">
        <v>0</v>
      </c>
      <c r="C231" s="784">
        <v>-2221.0342844046622</v>
      </c>
      <c r="D231" s="784">
        <v>59.591503232690549</v>
      </c>
      <c r="E231" s="784">
        <v>0</v>
      </c>
      <c r="F231" s="784">
        <v>0</v>
      </c>
      <c r="G231" s="784">
        <v>0</v>
      </c>
      <c r="H231" s="784">
        <v>0</v>
      </c>
      <c r="I231" s="784">
        <v>0</v>
      </c>
      <c r="J231" s="784">
        <v>0</v>
      </c>
      <c r="K231" s="784">
        <v>0</v>
      </c>
      <c r="L231" s="784">
        <v>0</v>
      </c>
      <c r="M231" s="784">
        <v>0</v>
      </c>
      <c r="N231" s="784">
        <v>0</v>
      </c>
      <c r="O231" s="784">
        <f t="shared" si="39"/>
        <v>-2161.4427811719715</v>
      </c>
    </row>
    <row r="232" spans="1:15" x14ac:dyDescent="0.2">
      <c r="A232" s="783" t="s">
        <v>4261</v>
      </c>
      <c r="B232" s="784">
        <v>0</v>
      </c>
      <c r="C232" s="784">
        <v>121.64634734416117</v>
      </c>
      <c r="D232" s="784">
        <v>0</v>
      </c>
      <c r="E232" s="784">
        <v>0</v>
      </c>
      <c r="F232" s="784">
        <v>0</v>
      </c>
      <c r="G232" s="784">
        <v>0</v>
      </c>
      <c r="H232" s="784">
        <v>0</v>
      </c>
      <c r="I232" s="784">
        <v>0</v>
      </c>
      <c r="J232" s="784">
        <v>0</v>
      </c>
      <c r="K232" s="784">
        <v>0</v>
      </c>
      <c r="L232" s="784">
        <v>0</v>
      </c>
      <c r="M232" s="784">
        <v>0</v>
      </c>
      <c r="N232" s="784">
        <v>0</v>
      </c>
      <c r="O232" s="784">
        <f t="shared" si="39"/>
        <v>121.64634734416117</v>
      </c>
    </row>
    <row r="233" spans="1:15" x14ac:dyDescent="0.2">
      <c r="A233" s="783" t="s">
        <v>619</v>
      </c>
      <c r="B233" s="784">
        <v>123.31808325592907</v>
      </c>
      <c r="C233" s="784">
        <v>7.9434795176834241</v>
      </c>
      <c r="D233" s="784">
        <v>0</v>
      </c>
      <c r="E233" s="784">
        <v>0</v>
      </c>
      <c r="F233" s="784">
        <v>212.09685382107457</v>
      </c>
      <c r="G233" s="784">
        <v>0</v>
      </c>
      <c r="H233" s="784">
        <v>0</v>
      </c>
      <c r="I233" s="784">
        <v>0</v>
      </c>
      <c r="J233" s="784">
        <v>0</v>
      </c>
      <c r="K233" s="784">
        <v>55.548181683323044</v>
      </c>
      <c r="L233" s="784">
        <v>37.926092019767523</v>
      </c>
      <c r="M233" s="784">
        <v>0</v>
      </c>
      <c r="N233" s="784">
        <v>0</v>
      </c>
      <c r="O233" s="784">
        <f t="shared" si="39"/>
        <v>436.83269029777762</v>
      </c>
    </row>
    <row r="234" spans="1:15" ht="10.5" x14ac:dyDescent="0.25">
      <c r="A234" s="785" t="s">
        <v>621</v>
      </c>
      <c r="B234" s="786">
        <f t="shared" ref="B234:O234" si="40">SUM(B228:B233)</f>
        <v>21829.645435325725</v>
      </c>
      <c r="C234" s="786">
        <f t="shared" si="40"/>
        <v>-2037.7663947020717</v>
      </c>
      <c r="D234" s="786">
        <f t="shared" si="40"/>
        <v>59.591503232690549</v>
      </c>
      <c r="E234" s="786">
        <f t="shared" si="40"/>
        <v>0</v>
      </c>
      <c r="F234" s="786">
        <f t="shared" si="40"/>
        <v>212.09685382107457</v>
      </c>
      <c r="G234" s="786">
        <f t="shared" si="40"/>
        <v>0</v>
      </c>
      <c r="H234" s="786">
        <f t="shared" si="40"/>
        <v>0</v>
      </c>
      <c r="I234" s="786">
        <f t="shared" si="40"/>
        <v>-12.455918906752087</v>
      </c>
      <c r="J234" s="786">
        <f t="shared" si="40"/>
        <v>0</v>
      </c>
      <c r="K234" s="786">
        <f t="shared" si="40"/>
        <v>85.421813162884362</v>
      </c>
      <c r="L234" s="786">
        <f t="shared" si="40"/>
        <v>48.889272597891505</v>
      </c>
      <c r="M234" s="786">
        <f t="shared" si="40"/>
        <v>0</v>
      </c>
      <c r="N234" s="786">
        <f t="shared" si="40"/>
        <v>0</v>
      </c>
      <c r="O234" s="786">
        <f t="shared" si="40"/>
        <v>20185.422564531444</v>
      </c>
    </row>
    <row r="235" spans="1:15" ht="10.5" x14ac:dyDescent="0.25">
      <c r="A235" s="782" t="s">
        <v>674</v>
      </c>
      <c r="B235" s="780"/>
      <c r="C235" s="780"/>
      <c r="D235" s="780"/>
      <c r="E235" s="780"/>
      <c r="F235" s="780"/>
      <c r="G235" s="780"/>
      <c r="H235" s="780"/>
      <c r="I235" s="780"/>
      <c r="J235" s="780"/>
      <c r="K235" s="780"/>
      <c r="L235" s="780"/>
      <c r="M235" s="780"/>
      <c r="N235" s="780"/>
      <c r="O235" s="780"/>
    </row>
    <row r="236" spans="1:15" x14ac:dyDescent="0.2">
      <c r="A236" s="783" t="s">
        <v>714</v>
      </c>
      <c r="B236" s="784">
        <v>0</v>
      </c>
      <c r="C236" s="784">
        <v>13417.741677242138</v>
      </c>
      <c r="D236" s="784">
        <v>0</v>
      </c>
      <c r="E236" s="784">
        <v>0</v>
      </c>
      <c r="F236" s="784">
        <v>0</v>
      </c>
      <c r="G236" s="784">
        <v>0</v>
      </c>
      <c r="H236" s="784">
        <v>0</v>
      </c>
      <c r="I236" s="784">
        <v>0</v>
      </c>
      <c r="J236" s="784">
        <v>0</v>
      </c>
      <c r="K236" s="784">
        <v>0</v>
      </c>
      <c r="L236" s="784">
        <v>0</v>
      </c>
      <c r="M236" s="784">
        <v>0</v>
      </c>
      <c r="N236" s="784">
        <v>0</v>
      </c>
      <c r="O236" s="784">
        <f>SUM(B236:N236)</f>
        <v>13417.741677242138</v>
      </c>
    </row>
    <row r="237" spans="1:15" ht="10.5" x14ac:dyDescent="0.25">
      <c r="A237" s="785" t="s">
        <v>677</v>
      </c>
      <c r="B237" s="786">
        <f t="shared" ref="B237:O237" si="41">SUM(B236)</f>
        <v>0</v>
      </c>
      <c r="C237" s="786">
        <f t="shared" si="41"/>
        <v>13417.741677242138</v>
      </c>
      <c r="D237" s="786">
        <f t="shared" si="41"/>
        <v>0</v>
      </c>
      <c r="E237" s="786">
        <f t="shared" si="41"/>
        <v>0</v>
      </c>
      <c r="F237" s="786">
        <f t="shared" si="41"/>
        <v>0</v>
      </c>
      <c r="G237" s="786">
        <f t="shared" si="41"/>
        <v>0</v>
      </c>
      <c r="H237" s="786">
        <f t="shared" si="41"/>
        <v>0</v>
      </c>
      <c r="I237" s="786">
        <f t="shared" si="41"/>
        <v>0</v>
      </c>
      <c r="J237" s="786">
        <f t="shared" si="41"/>
        <v>0</v>
      </c>
      <c r="K237" s="786">
        <f t="shared" si="41"/>
        <v>0</v>
      </c>
      <c r="L237" s="786">
        <f t="shared" si="41"/>
        <v>0</v>
      </c>
      <c r="M237" s="786">
        <f t="shared" si="41"/>
        <v>0</v>
      </c>
      <c r="N237" s="786">
        <f t="shared" si="41"/>
        <v>0</v>
      </c>
      <c r="O237" s="786">
        <f t="shared" si="41"/>
        <v>13417.741677242138</v>
      </c>
    </row>
    <row r="238" spans="1:15" ht="10.5" x14ac:dyDescent="0.25">
      <c r="A238" s="782" t="s">
        <v>625</v>
      </c>
      <c r="B238" s="780"/>
      <c r="C238" s="780"/>
      <c r="D238" s="780"/>
      <c r="E238" s="780"/>
      <c r="F238" s="780"/>
      <c r="G238" s="780"/>
      <c r="H238" s="780"/>
      <c r="I238" s="780"/>
      <c r="J238" s="780"/>
      <c r="K238" s="780"/>
      <c r="L238" s="780"/>
      <c r="M238" s="780"/>
      <c r="N238" s="780"/>
      <c r="O238" s="780"/>
    </row>
    <row r="239" spans="1:15" ht="10.5" x14ac:dyDescent="0.25">
      <c r="A239" s="792" t="s">
        <v>678</v>
      </c>
      <c r="B239" s="780"/>
      <c r="C239" s="780"/>
      <c r="D239" s="780"/>
      <c r="E239" s="780"/>
      <c r="F239" s="780"/>
      <c r="G239" s="780"/>
      <c r="H239" s="780"/>
      <c r="I239" s="780"/>
      <c r="J239" s="780"/>
      <c r="K239" s="780"/>
      <c r="L239" s="780"/>
      <c r="M239" s="780"/>
      <c r="N239" s="780"/>
      <c r="O239" s="780"/>
    </row>
    <row r="240" spans="1:15" x14ac:dyDescent="0.2">
      <c r="A240" s="793" t="s">
        <v>684</v>
      </c>
      <c r="B240" s="784">
        <v>50892.936485654674</v>
      </c>
      <c r="C240" s="784">
        <v>34240.477252870231</v>
      </c>
      <c r="D240" s="784">
        <v>15411.037537070652</v>
      </c>
      <c r="E240" s="784">
        <v>0</v>
      </c>
      <c r="F240" s="784">
        <v>0</v>
      </c>
      <c r="G240" s="784">
        <v>0</v>
      </c>
      <c r="H240" s="784">
        <v>0</v>
      </c>
      <c r="I240" s="784">
        <v>7639.5201181413959</v>
      </c>
      <c r="J240" s="784">
        <v>0</v>
      </c>
      <c r="K240" s="784">
        <v>0</v>
      </c>
      <c r="L240" s="784">
        <v>0</v>
      </c>
      <c r="M240" s="784">
        <v>0</v>
      </c>
      <c r="N240" s="784">
        <v>0</v>
      </c>
      <c r="O240" s="784">
        <f>SUM(B240:N240)</f>
        <v>108183.97139373695</v>
      </c>
    </row>
    <row r="241" spans="1:15" x14ac:dyDescent="0.2">
      <c r="A241" s="793" t="s">
        <v>685</v>
      </c>
      <c r="B241" s="784">
        <v>601187.2500103754</v>
      </c>
      <c r="C241" s="784">
        <v>606462.7645640563</v>
      </c>
      <c r="D241" s="784">
        <v>0</v>
      </c>
      <c r="E241" s="784">
        <v>0</v>
      </c>
      <c r="F241" s="784">
        <v>0</v>
      </c>
      <c r="G241" s="784">
        <v>0</v>
      </c>
      <c r="H241" s="784">
        <v>0</v>
      </c>
      <c r="I241" s="784">
        <v>6767.8503863612359</v>
      </c>
      <c r="J241" s="784">
        <v>0</v>
      </c>
      <c r="K241" s="784">
        <v>0</v>
      </c>
      <c r="L241" s="784">
        <v>0</v>
      </c>
      <c r="M241" s="784">
        <v>0</v>
      </c>
      <c r="N241" s="784">
        <v>0</v>
      </c>
      <c r="O241" s="784">
        <f>SUM(B241:N241)</f>
        <v>1214417.8649607929</v>
      </c>
    </row>
    <row r="242" spans="1:15" x14ac:dyDescent="0.2">
      <c r="A242" s="793" t="s">
        <v>679</v>
      </c>
      <c r="B242" s="784">
        <v>1659638.0483905971</v>
      </c>
      <c r="C242" s="784">
        <v>2666505.8725880738</v>
      </c>
      <c r="D242" s="784">
        <v>310231.62250322534</v>
      </c>
      <c r="E242" s="784">
        <v>0</v>
      </c>
      <c r="F242" s="784">
        <v>440903.15637458797</v>
      </c>
      <c r="G242" s="784">
        <v>306887.43181640457</v>
      </c>
      <c r="H242" s="784">
        <v>0</v>
      </c>
      <c r="I242" s="784">
        <v>733557.24211237079</v>
      </c>
      <c r="J242" s="784">
        <v>0</v>
      </c>
      <c r="K242" s="784">
        <v>215120.39877931852</v>
      </c>
      <c r="L242" s="784">
        <v>65264.734105956166</v>
      </c>
      <c r="M242" s="784">
        <v>0</v>
      </c>
      <c r="N242" s="784">
        <v>0</v>
      </c>
      <c r="O242" s="784">
        <f>SUM(B242:N242)</f>
        <v>6398108.5066705346</v>
      </c>
    </row>
    <row r="243" spans="1:15" ht="10.5" x14ac:dyDescent="0.25">
      <c r="A243" s="794" t="s">
        <v>680</v>
      </c>
      <c r="B243" s="786">
        <f t="shared" ref="B243:O243" si="42">SUM(B240:B242)</f>
        <v>2311718.2348866272</v>
      </c>
      <c r="C243" s="786">
        <f t="shared" si="42"/>
        <v>3307209.1144050006</v>
      </c>
      <c r="D243" s="786">
        <f t="shared" si="42"/>
        <v>325642.66004029597</v>
      </c>
      <c r="E243" s="786">
        <f t="shared" si="42"/>
        <v>0</v>
      </c>
      <c r="F243" s="786">
        <f t="shared" si="42"/>
        <v>440903.15637458797</v>
      </c>
      <c r="G243" s="786">
        <f t="shared" si="42"/>
        <v>306887.43181640457</v>
      </c>
      <c r="H243" s="786">
        <f t="shared" si="42"/>
        <v>0</v>
      </c>
      <c r="I243" s="786">
        <f t="shared" si="42"/>
        <v>747964.61261687346</v>
      </c>
      <c r="J243" s="786">
        <f t="shared" si="42"/>
        <v>0</v>
      </c>
      <c r="K243" s="786">
        <f t="shared" si="42"/>
        <v>215120.39877931852</v>
      </c>
      <c r="L243" s="786">
        <f t="shared" si="42"/>
        <v>65264.734105956166</v>
      </c>
      <c r="M243" s="786">
        <f t="shared" si="42"/>
        <v>0</v>
      </c>
      <c r="N243" s="786">
        <f t="shared" si="42"/>
        <v>0</v>
      </c>
      <c r="O243" s="786">
        <f t="shared" si="42"/>
        <v>7720710.3430250641</v>
      </c>
    </row>
    <row r="244" spans="1:15" ht="10.5" x14ac:dyDescent="0.25">
      <c r="A244" s="792" t="s">
        <v>681</v>
      </c>
      <c r="B244" s="780"/>
      <c r="C244" s="780"/>
      <c r="D244" s="780"/>
      <c r="E244" s="780"/>
      <c r="F244" s="780"/>
      <c r="G244" s="780"/>
      <c r="H244" s="780"/>
      <c r="I244" s="780"/>
      <c r="J244" s="780"/>
      <c r="K244" s="780"/>
      <c r="L244" s="780"/>
      <c r="M244" s="780"/>
      <c r="N244" s="780"/>
      <c r="O244" s="780"/>
    </row>
    <row r="245" spans="1:15" x14ac:dyDescent="0.2">
      <c r="A245" s="793" t="s">
        <v>682</v>
      </c>
      <c r="B245" s="784">
        <v>-2714605.2713951417</v>
      </c>
      <c r="C245" s="784">
        <v>-3101348.5515072821</v>
      </c>
      <c r="D245" s="784">
        <v>-380798.43873082963</v>
      </c>
      <c r="E245" s="784">
        <v>0</v>
      </c>
      <c r="F245" s="784">
        <v>-482824.57050399191</v>
      </c>
      <c r="G245" s="784">
        <v>-365426.32541641325</v>
      </c>
      <c r="H245" s="784">
        <v>0</v>
      </c>
      <c r="I245" s="784">
        <v>-897646.69474286062</v>
      </c>
      <c r="J245" s="784">
        <v>0</v>
      </c>
      <c r="K245" s="784">
        <v>-293025.93562566087</v>
      </c>
      <c r="L245" s="784">
        <v>-92559.331378800358</v>
      </c>
      <c r="M245" s="784">
        <v>0</v>
      </c>
      <c r="N245" s="784">
        <v>0</v>
      </c>
      <c r="O245" s="784">
        <f>SUM(B245:N245)</f>
        <v>-8328235.1193009811</v>
      </c>
    </row>
    <row r="246" spans="1:15" ht="10.5" x14ac:dyDescent="0.25">
      <c r="A246" s="794" t="s">
        <v>683</v>
      </c>
      <c r="B246" s="786">
        <f t="shared" ref="B246:O246" si="43">SUM(B245)</f>
        <v>-2714605.2713951417</v>
      </c>
      <c r="C246" s="786">
        <f t="shared" si="43"/>
        <v>-3101348.5515072821</v>
      </c>
      <c r="D246" s="786">
        <f t="shared" si="43"/>
        <v>-380798.43873082963</v>
      </c>
      <c r="E246" s="786">
        <f t="shared" si="43"/>
        <v>0</v>
      </c>
      <c r="F246" s="786">
        <f t="shared" si="43"/>
        <v>-482824.57050399191</v>
      </c>
      <c r="G246" s="786">
        <f t="shared" si="43"/>
        <v>-365426.32541641325</v>
      </c>
      <c r="H246" s="786">
        <f t="shared" si="43"/>
        <v>0</v>
      </c>
      <c r="I246" s="786">
        <f t="shared" si="43"/>
        <v>-897646.69474286062</v>
      </c>
      <c r="J246" s="786">
        <f t="shared" si="43"/>
        <v>0</v>
      </c>
      <c r="K246" s="786">
        <f t="shared" si="43"/>
        <v>-293025.93562566087</v>
      </c>
      <c r="L246" s="786">
        <f t="shared" si="43"/>
        <v>-92559.331378800358</v>
      </c>
      <c r="M246" s="786">
        <f t="shared" si="43"/>
        <v>0</v>
      </c>
      <c r="N246" s="786">
        <f t="shared" si="43"/>
        <v>0</v>
      </c>
      <c r="O246" s="786">
        <f t="shared" si="43"/>
        <v>-8328235.1193009811</v>
      </c>
    </row>
    <row r="247" spans="1:15" ht="10.5" x14ac:dyDescent="0.25">
      <c r="A247" s="792" t="s">
        <v>632</v>
      </c>
      <c r="B247" s="780"/>
      <c r="C247" s="780"/>
      <c r="D247" s="780"/>
      <c r="E247" s="780"/>
      <c r="F247" s="780"/>
      <c r="G247" s="780"/>
      <c r="H247" s="780"/>
      <c r="I247" s="780"/>
      <c r="J247" s="780"/>
      <c r="K247" s="780"/>
      <c r="L247" s="780"/>
      <c r="M247" s="780"/>
      <c r="N247" s="780"/>
      <c r="O247" s="780"/>
    </row>
    <row r="248" spans="1:15" x14ac:dyDescent="0.2">
      <c r="A248" s="793" t="s">
        <v>633</v>
      </c>
      <c r="B248" s="784">
        <v>77218.186356754406</v>
      </c>
      <c r="C248" s="784">
        <v>296349.69686707074</v>
      </c>
      <c r="D248" s="784">
        <v>14680.211183811312</v>
      </c>
      <c r="E248" s="784">
        <v>23672.257167034426</v>
      </c>
      <c r="F248" s="784">
        <v>1864.8027147335465</v>
      </c>
      <c r="G248" s="784">
        <v>6020.93501551585</v>
      </c>
      <c r="H248" s="784">
        <v>0</v>
      </c>
      <c r="I248" s="784">
        <v>15874.097768197529</v>
      </c>
      <c r="J248" s="784">
        <v>0</v>
      </c>
      <c r="K248" s="784">
        <v>22950.91181792982</v>
      </c>
      <c r="L248" s="784">
        <v>0</v>
      </c>
      <c r="M248" s="784">
        <v>0</v>
      </c>
      <c r="N248" s="784">
        <v>0</v>
      </c>
      <c r="O248" s="784">
        <f>SUM(B248:N248)</f>
        <v>458631.09889104759</v>
      </c>
    </row>
    <row r="249" spans="1:15" ht="10.5" x14ac:dyDescent="0.25">
      <c r="A249" s="794" t="s">
        <v>634</v>
      </c>
      <c r="B249" s="786">
        <f t="shared" ref="B249:O249" si="44">SUM(B248)</f>
        <v>77218.186356754406</v>
      </c>
      <c r="C249" s="786">
        <f t="shared" si="44"/>
        <v>296349.69686707074</v>
      </c>
      <c r="D249" s="786">
        <f t="shared" si="44"/>
        <v>14680.211183811312</v>
      </c>
      <c r="E249" s="786">
        <f t="shared" si="44"/>
        <v>23672.257167034426</v>
      </c>
      <c r="F249" s="786">
        <f t="shared" si="44"/>
        <v>1864.8027147335465</v>
      </c>
      <c r="G249" s="786">
        <f t="shared" si="44"/>
        <v>6020.93501551585</v>
      </c>
      <c r="H249" s="786">
        <f t="shared" si="44"/>
        <v>0</v>
      </c>
      <c r="I249" s="786">
        <f t="shared" si="44"/>
        <v>15874.097768197529</v>
      </c>
      <c r="J249" s="786">
        <f t="shared" si="44"/>
        <v>0</v>
      </c>
      <c r="K249" s="786">
        <f t="shared" si="44"/>
        <v>22950.91181792982</v>
      </c>
      <c r="L249" s="786">
        <f t="shared" si="44"/>
        <v>0</v>
      </c>
      <c r="M249" s="786">
        <f t="shared" si="44"/>
        <v>0</v>
      </c>
      <c r="N249" s="786">
        <f t="shared" si="44"/>
        <v>0</v>
      </c>
      <c r="O249" s="786">
        <f t="shared" si="44"/>
        <v>458631.09889104759</v>
      </c>
    </row>
    <row r="250" spans="1:15" ht="10.5" x14ac:dyDescent="0.25">
      <c r="A250" s="792" t="s">
        <v>635</v>
      </c>
      <c r="B250" s="780"/>
      <c r="C250" s="780"/>
      <c r="D250" s="780"/>
      <c r="E250" s="780"/>
      <c r="F250" s="780"/>
      <c r="G250" s="780"/>
      <c r="H250" s="780"/>
      <c r="I250" s="780"/>
      <c r="J250" s="780"/>
      <c r="K250" s="780"/>
      <c r="L250" s="780"/>
      <c r="M250" s="780"/>
      <c r="N250" s="780"/>
      <c r="O250" s="780"/>
    </row>
    <row r="251" spans="1:15" x14ac:dyDescent="0.2">
      <c r="A251" s="793" t="s">
        <v>636</v>
      </c>
      <c r="B251" s="784">
        <v>66374.31448123249</v>
      </c>
      <c r="C251" s="784">
        <v>36765.55900792691</v>
      </c>
      <c r="D251" s="784">
        <v>4016.6487246194893</v>
      </c>
      <c r="E251" s="784">
        <v>0</v>
      </c>
      <c r="F251" s="784">
        <v>3596.9450991377016</v>
      </c>
      <c r="G251" s="784">
        <v>657.5286898885355</v>
      </c>
      <c r="H251" s="784">
        <v>0</v>
      </c>
      <c r="I251" s="784">
        <v>12959.352932518877</v>
      </c>
      <c r="J251" s="784">
        <v>0</v>
      </c>
      <c r="K251" s="784">
        <v>0</v>
      </c>
      <c r="L251" s="784">
        <v>0</v>
      </c>
      <c r="M251" s="784">
        <v>0</v>
      </c>
      <c r="N251" s="784">
        <v>0</v>
      </c>
      <c r="O251" s="784">
        <f>SUM(B251:N251)</f>
        <v>124370.348935324</v>
      </c>
    </row>
    <row r="252" spans="1:15" ht="10.5" x14ac:dyDescent="0.25">
      <c r="A252" s="794" t="s">
        <v>637</v>
      </c>
      <c r="B252" s="786">
        <f t="shared" ref="B252:O252" si="45">SUM(B251)</f>
        <v>66374.31448123249</v>
      </c>
      <c r="C252" s="786">
        <f t="shared" si="45"/>
        <v>36765.55900792691</v>
      </c>
      <c r="D252" s="786">
        <f t="shared" si="45"/>
        <v>4016.6487246194893</v>
      </c>
      <c r="E252" s="786">
        <f t="shared" si="45"/>
        <v>0</v>
      </c>
      <c r="F252" s="786">
        <f t="shared" si="45"/>
        <v>3596.9450991377016</v>
      </c>
      <c r="G252" s="786">
        <f t="shared" si="45"/>
        <v>657.5286898885355</v>
      </c>
      <c r="H252" s="786">
        <f t="shared" si="45"/>
        <v>0</v>
      </c>
      <c r="I252" s="786">
        <f t="shared" si="45"/>
        <v>12959.352932518877</v>
      </c>
      <c r="J252" s="786">
        <f t="shared" si="45"/>
        <v>0</v>
      </c>
      <c r="K252" s="786">
        <f t="shared" si="45"/>
        <v>0</v>
      </c>
      <c r="L252" s="786">
        <f t="shared" si="45"/>
        <v>0</v>
      </c>
      <c r="M252" s="786">
        <f t="shared" si="45"/>
        <v>0</v>
      </c>
      <c r="N252" s="786">
        <f t="shared" si="45"/>
        <v>0</v>
      </c>
      <c r="O252" s="786">
        <f t="shared" si="45"/>
        <v>124370.348935324</v>
      </c>
    </row>
    <row r="253" spans="1:15" ht="10.5" x14ac:dyDescent="0.25">
      <c r="A253" s="792" t="s">
        <v>638</v>
      </c>
      <c r="B253" s="780"/>
      <c r="C253" s="780"/>
      <c r="D253" s="780"/>
      <c r="E253" s="780"/>
      <c r="F253" s="780"/>
      <c r="G253" s="780"/>
      <c r="H253" s="780"/>
      <c r="I253" s="780"/>
      <c r="J253" s="780"/>
      <c r="K253" s="780"/>
      <c r="L253" s="780"/>
      <c r="M253" s="780"/>
      <c r="N253" s="780"/>
      <c r="O253" s="780"/>
    </row>
    <row r="254" spans="1:15" x14ac:dyDescent="0.2">
      <c r="A254" s="793" t="s">
        <v>639</v>
      </c>
      <c r="B254" s="784">
        <v>209339.54371546573</v>
      </c>
      <c r="C254" s="784">
        <v>169954.55801149434</v>
      </c>
      <c r="D254" s="784">
        <v>17909.681174429043</v>
      </c>
      <c r="E254" s="784">
        <v>8854.0229843979705</v>
      </c>
      <c r="F254" s="784">
        <v>35420.936601126887</v>
      </c>
      <c r="G254" s="784">
        <v>70750.096217355313</v>
      </c>
      <c r="H254" s="784">
        <v>0</v>
      </c>
      <c r="I254" s="784">
        <v>125021.95974645139</v>
      </c>
      <c r="J254" s="784">
        <v>0</v>
      </c>
      <c r="K254" s="784">
        <v>3844.2148666197099</v>
      </c>
      <c r="L254" s="784">
        <v>0</v>
      </c>
      <c r="M254" s="784">
        <v>0</v>
      </c>
      <c r="N254" s="784">
        <v>0</v>
      </c>
      <c r="O254" s="784">
        <f>SUM(B254:N254)</f>
        <v>641095.01331734029</v>
      </c>
    </row>
    <row r="255" spans="1:15" ht="10.5" x14ac:dyDescent="0.25">
      <c r="A255" s="794" t="s">
        <v>640</v>
      </c>
      <c r="B255" s="786">
        <f t="shared" ref="B255:O255" si="46">SUM(B254)</f>
        <v>209339.54371546573</v>
      </c>
      <c r="C255" s="786">
        <f t="shared" si="46"/>
        <v>169954.55801149434</v>
      </c>
      <c r="D255" s="786">
        <f t="shared" si="46"/>
        <v>17909.681174429043</v>
      </c>
      <c r="E255" s="786">
        <f t="shared" si="46"/>
        <v>8854.0229843979705</v>
      </c>
      <c r="F255" s="786">
        <f t="shared" si="46"/>
        <v>35420.936601126887</v>
      </c>
      <c r="G255" s="786">
        <f t="shared" si="46"/>
        <v>70750.096217355313</v>
      </c>
      <c r="H255" s="786">
        <f t="shared" si="46"/>
        <v>0</v>
      </c>
      <c r="I255" s="786">
        <f t="shared" si="46"/>
        <v>125021.95974645139</v>
      </c>
      <c r="J255" s="786">
        <f t="shared" si="46"/>
        <v>0</v>
      </c>
      <c r="K255" s="786">
        <f t="shared" si="46"/>
        <v>3844.2148666197099</v>
      </c>
      <c r="L255" s="786">
        <f t="shared" si="46"/>
        <v>0</v>
      </c>
      <c r="M255" s="786">
        <f t="shared" si="46"/>
        <v>0</v>
      </c>
      <c r="N255" s="786">
        <f t="shared" si="46"/>
        <v>0</v>
      </c>
      <c r="O255" s="786">
        <f t="shared" si="46"/>
        <v>641095.01331734029</v>
      </c>
    </row>
    <row r="256" spans="1:15" ht="10.5" x14ac:dyDescent="0.25">
      <c r="A256" s="785" t="s">
        <v>641</v>
      </c>
      <c r="B256" s="786">
        <f t="shared" ref="B256:O256" si="47">SUM(B243,B246,B249,B252,B255)</f>
        <v>-49954.991955061938</v>
      </c>
      <c r="C256" s="786">
        <f t="shared" si="47"/>
        <v>708930.37678421056</v>
      </c>
      <c r="D256" s="786">
        <f t="shared" si="47"/>
        <v>-18549.237607673811</v>
      </c>
      <c r="E256" s="786">
        <f t="shared" si="47"/>
        <v>32526.280151432395</v>
      </c>
      <c r="F256" s="786">
        <f t="shared" si="47"/>
        <v>-1038.7297144058102</v>
      </c>
      <c r="G256" s="786">
        <f t="shared" si="47"/>
        <v>18889.666322751014</v>
      </c>
      <c r="H256" s="786">
        <f t="shared" si="47"/>
        <v>0</v>
      </c>
      <c r="I256" s="786">
        <f t="shared" si="47"/>
        <v>4173.3283211806411</v>
      </c>
      <c r="J256" s="786">
        <f t="shared" si="47"/>
        <v>0</v>
      </c>
      <c r="K256" s="786">
        <f t="shared" si="47"/>
        <v>-51110.410161792817</v>
      </c>
      <c r="L256" s="786">
        <f t="shared" si="47"/>
        <v>-27294.597272844192</v>
      </c>
      <c r="M256" s="786">
        <f t="shared" si="47"/>
        <v>0</v>
      </c>
      <c r="N256" s="786">
        <f t="shared" si="47"/>
        <v>0</v>
      </c>
      <c r="O256" s="786">
        <f t="shared" si="47"/>
        <v>616571.68486779486</v>
      </c>
    </row>
    <row r="257" spans="1:15" ht="10.5" x14ac:dyDescent="0.25">
      <c r="A257" s="787" t="s">
        <v>4219</v>
      </c>
      <c r="B257" s="786">
        <f t="shared" ref="B257:O257" si="48">SUM(B151,B179,B191,B197,B200,B221,B226,B234,B237,B256)</f>
        <v>3521799.5719631417</v>
      </c>
      <c r="C257" s="786">
        <f t="shared" si="48"/>
        <v>5820357.5841384325</v>
      </c>
      <c r="D257" s="786">
        <f t="shared" si="48"/>
        <v>379565.28331541497</v>
      </c>
      <c r="E257" s="786">
        <f t="shared" si="48"/>
        <v>132463.88142765389</v>
      </c>
      <c r="F257" s="786">
        <f t="shared" si="48"/>
        <v>450347.82046908315</v>
      </c>
      <c r="G257" s="786">
        <f t="shared" si="48"/>
        <v>317433.00128263113</v>
      </c>
      <c r="H257" s="786">
        <f t="shared" si="48"/>
        <v>0</v>
      </c>
      <c r="I257" s="786">
        <f t="shared" si="48"/>
        <v>773151.92863663111</v>
      </c>
      <c r="J257" s="786">
        <f t="shared" si="48"/>
        <v>0</v>
      </c>
      <c r="K257" s="786">
        <f t="shared" si="48"/>
        <v>301096.61139517906</v>
      </c>
      <c r="L257" s="786">
        <f t="shared" si="48"/>
        <v>65337.590410946628</v>
      </c>
      <c r="M257" s="786">
        <f t="shared" si="48"/>
        <v>0</v>
      </c>
      <c r="N257" s="786">
        <f t="shared" si="48"/>
        <v>0</v>
      </c>
      <c r="O257" s="786">
        <f t="shared" si="48"/>
        <v>11761553.27303911</v>
      </c>
    </row>
    <row r="258" spans="1:15" ht="10.5" x14ac:dyDescent="0.25">
      <c r="A258" s="781" t="s">
        <v>4220</v>
      </c>
      <c r="B258" s="780">
        <v>9309404.3414571323</v>
      </c>
      <c r="C258" s="780">
        <v>15911724.472245814</v>
      </c>
      <c r="D258" s="780">
        <v>427345.21440919163</v>
      </c>
      <c r="E258" s="780">
        <v>0</v>
      </c>
      <c r="F258" s="780">
        <v>0</v>
      </c>
      <c r="G258" s="780">
        <v>0</v>
      </c>
      <c r="H258" s="780">
        <v>0</v>
      </c>
      <c r="I258" s="780">
        <v>0</v>
      </c>
      <c r="J258" s="780">
        <v>0</v>
      </c>
      <c r="K258" s="780">
        <v>270535.50854559871</v>
      </c>
      <c r="L258" s="780">
        <v>0</v>
      </c>
      <c r="M258" s="780">
        <v>0</v>
      </c>
      <c r="N258" s="780">
        <v>-25919009.525710888</v>
      </c>
      <c r="O258" s="780">
        <v>1.0946851223707199E-2</v>
      </c>
    </row>
    <row r="259" spans="1:15" ht="10.5" x14ac:dyDescent="0.25">
      <c r="A259" s="782" t="s">
        <v>686</v>
      </c>
      <c r="B259" s="780"/>
      <c r="C259" s="780"/>
      <c r="D259" s="780"/>
      <c r="E259" s="780"/>
      <c r="F259" s="780"/>
      <c r="G259" s="780"/>
      <c r="H259" s="780"/>
      <c r="I259" s="780"/>
      <c r="J259" s="780"/>
      <c r="K259" s="780"/>
      <c r="L259" s="780"/>
      <c r="M259" s="780"/>
      <c r="N259" s="780"/>
      <c r="O259" s="780"/>
    </row>
    <row r="260" spans="1:15" x14ac:dyDescent="0.2">
      <c r="A260" s="783" t="s">
        <v>687</v>
      </c>
      <c r="B260" s="784">
        <v>6549225.1261149663</v>
      </c>
      <c r="C260" s="784">
        <v>5055343.7193808947</v>
      </c>
      <c r="D260" s="784">
        <v>0</v>
      </c>
      <c r="E260" s="784">
        <v>0</v>
      </c>
      <c r="F260" s="784">
        <v>0</v>
      </c>
      <c r="G260" s="784">
        <v>0</v>
      </c>
      <c r="H260" s="784">
        <v>0</v>
      </c>
      <c r="I260" s="784">
        <v>0</v>
      </c>
      <c r="J260" s="784">
        <v>0</v>
      </c>
      <c r="K260" s="784">
        <v>0</v>
      </c>
      <c r="L260" s="784">
        <v>0</v>
      </c>
      <c r="M260" s="784">
        <v>0</v>
      </c>
      <c r="N260" s="784">
        <v>-11604568.848157138</v>
      </c>
      <c r="O260" s="784">
        <f>SUM(B260:N260)</f>
        <v>-2.6612766087055206E-3</v>
      </c>
    </row>
    <row r="261" spans="1:15" x14ac:dyDescent="0.2">
      <c r="A261" s="783" t="s">
        <v>688</v>
      </c>
      <c r="B261" s="784">
        <v>2760179.2153421659</v>
      </c>
      <c r="C261" s="784">
        <v>782907.08188983507</v>
      </c>
      <c r="D261" s="784">
        <v>0</v>
      </c>
      <c r="E261" s="784">
        <v>0</v>
      </c>
      <c r="F261" s="784">
        <v>0</v>
      </c>
      <c r="G261" s="784">
        <v>0</v>
      </c>
      <c r="H261" s="784">
        <v>0</v>
      </c>
      <c r="I261" s="784">
        <v>0</v>
      </c>
      <c r="J261" s="784">
        <v>0</v>
      </c>
      <c r="K261" s="784">
        <v>0</v>
      </c>
      <c r="L261" s="784">
        <v>0</v>
      </c>
      <c r="M261" s="784">
        <v>0</v>
      </c>
      <c r="N261" s="784">
        <v>-3543086.2906548851</v>
      </c>
      <c r="O261" s="784">
        <f>SUM(B261:N261)</f>
        <v>6.5771159715950489E-3</v>
      </c>
    </row>
    <row r="262" spans="1:15" x14ac:dyDescent="0.2">
      <c r="A262" s="783" t="s">
        <v>689</v>
      </c>
      <c r="B262" s="784">
        <v>0</v>
      </c>
      <c r="C262" s="784">
        <v>387295.59792928072</v>
      </c>
      <c r="D262" s="784">
        <v>0</v>
      </c>
      <c r="E262" s="784">
        <v>0</v>
      </c>
      <c r="F262" s="784">
        <v>0</v>
      </c>
      <c r="G262" s="784">
        <v>0</v>
      </c>
      <c r="H262" s="784">
        <v>0</v>
      </c>
      <c r="I262" s="784">
        <v>0</v>
      </c>
      <c r="J262" s="784">
        <v>0</v>
      </c>
      <c r="K262" s="784">
        <v>13.61142756178768</v>
      </c>
      <c r="L262" s="784">
        <v>0</v>
      </c>
      <c r="M262" s="784">
        <v>0</v>
      </c>
      <c r="N262" s="784">
        <v>-387309.20983016782</v>
      </c>
      <c r="O262" s="784">
        <f>SUM(B262:N262)</f>
        <v>-4.7332531539723277E-4</v>
      </c>
    </row>
    <row r="263" spans="1:15" x14ac:dyDescent="0.2">
      <c r="A263" s="783" t="s">
        <v>690</v>
      </c>
      <c r="B263" s="784">
        <v>0</v>
      </c>
      <c r="C263" s="784">
        <v>0</v>
      </c>
      <c r="D263" s="784">
        <v>427345.21440919163</v>
      </c>
      <c r="E263" s="784">
        <v>0</v>
      </c>
      <c r="F263" s="784">
        <v>0</v>
      </c>
      <c r="G263" s="784">
        <v>0</v>
      </c>
      <c r="H263" s="784">
        <v>0</v>
      </c>
      <c r="I263" s="784">
        <v>0</v>
      </c>
      <c r="J263" s="784">
        <v>0</v>
      </c>
      <c r="K263" s="784">
        <v>270521.89711803693</v>
      </c>
      <c r="L263" s="784">
        <v>0</v>
      </c>
      <c r="M263" s="784">
        <v>0</v>
      </c>
      <c r="N263" s="784">
        <v>-697867.11337831209</v>
      </c>
      <c r="O263" s="784">
        <f>SUM(B263:N263)</f>
        <v>-1.8510835943743587E-3</v>
      </c>
    </row>
    <row r="264" spans="1:15" x14ac:dyDescent="0.2">
      <c r="A264" s="783" t="s">
        <v>4395</v>
      </c>
      <c r="B264" s="784">
        <v>0</v>
      </c>
      <c r="C264" s="784">
        <v>9686178.0730458032</v>
      </c>
      <c r="D264" s="784">
        <v>0</v>
      </c>
      <c r="E264" s="784">
        <v>0</v>
      </c>
      <c r="F264" s="784">
        <v>0</v>
      </c>
      <c r="G264" s="784">
        <v>0</v>
      </c>
      <c r="H264" s="784">
        <v>0</v>
      </c>
      <c r="I264" s="784">
        <v>0</v>
      </c>
      <c r="J264" s="784">
        <v>0</v>
      </c>
      <c r="K264" s="784">
        <v>0</v>
      </c>
      <c r="L264" s="784">
        <v>0</v>
      </c>
      <c r="M264" s="784">
        <v>0</v>
      </c>
      <c r="N264" s="784">
        <v>-9686178.063690383</v>
      </c>
      <c r="O264" s="784">
        <f>SUM(B264:N264)</f>
        <v>9.355420246720314E-3</v>
      </c>
    </row>
    <row r="265" spans="1:15" ht="10.5" x14ac:dyDescent="0.25">
      <c r="A265" s="785" t="s">
        <v>691</v>
      </c>
      <c r="B265" s="786">
        <f t="shared" ref="B265:O265" si="49">SUM(B260:B264)</f>
        <v>9309404.3414571323</v>
      </c>
      <c r="C265" s="786">
        <f t="shared" si="49"/>
        <v>15911724.472245814</v>
      </c>
      <c r="D265" s="786">
        <f t="shared" si="49"/>
        <v>427345.21440919163</v>
      </c>
      <c r="E265" s="786">
        <f t="shared" si="49"/>
        <v>0</v>
      </c>
      <c r="F265" s="786">
        <f t="shared" si="49"/>
        <v>0</v>
      </c>
      <c r="G265" s="786">
        <f t="shared" si="49"/>
        <v>0</v>
      </c>
      <c r="H265" s="786">
        <f t="shared" si="49"/>
        <v>0</v>
      </c>
      <c r="I265" s="786">
        <f t="shared" si="49"/>
        <v>0</v>
      </c>
      <c r="J265" s="786">
        <f t="shared" si="49"/>
        <v>0</v>
      </c>
      <c r="K265" s="786">
        <f t="shared" si="49"/>
        <v>270535.50854559871</v>
      </c>
      <c r="L265" s="786">
        <f t="shared" si="49"/>
        <v>0</v>
      </c>
      <c r="M265" s="786">
        <f t="shared" si="49"/>
        <v>0</v>
      </c>
      <c r="N265" s="786">
        <f t="shared" si="49"/>
        <v>-25919009.525710888</v>
      </c>
      <c r="O265" s="786">
        <f t="shared" si="49"/>
        <v>1.0946850699838251E-2</v>
      </c>
    </row>
    <row r="266" spans="1:15" ht="10.5" x14ac:dyDescent="0.25">
      <c r="A266" s="787" t="s">
        <v>4221</v>
      </c>
      <c r="B266" s="786">
        <f t="shared" ref="B266:O266" si="50">SUM(B265)</f>
        <v>9309404.3414571323</v>
      </c>
      <c r="C266" s="786">
        <f t="shared" si="50"/>
        <v>15911724.472245814</v>
      </c>
      <c r="D266" s="786">
        <f t="shared" si="50"/>
        <v>427345.21440919163</v>
      </c>
      <c r="E266" s="786">
        <f t="shared" si="50"/>
        <v>0</v>
      </c>
      <c r="F266" s="786">
        <f t="shared" si="50"/>
        <v>0</v>
      </c>
      <c r="G266" s="786">
        <f t="shared" si="50"/>
        <v>0</v>
      </c>
      <c r="H266" s="786">
        <f t="shared" si="50"/>
        <v>0</v>
      </c>
      <c r="I266" s="786">
        <f t="shared" si="50"/>
        <v>0</v>
      </c>
      <c r="J266" s="786">
        <f t="shared" si="50"/>
        <v>0</v>
      </c>
      <c r="K266" s="786">
        <f t="shared" si="50"/>
        <v>270535.50854559871</v>
      </c>
      <c r="L266" s="786">
        <f t="shared" si="50"/>
        <v>0</v>
      </c>
      <c r="M266" s="786">
        <f t="shared" si="50"/>
        <v>0</v>
      </c>
      <c r="N266" s="786">
        <f t="shared" si="50"/>
        <v>-25919009.525710888</v>
      </c>
      <c r="O266" s="786">
        <f t="shared" si="50"/>
        <v>1.0946850699838251E-2</v>
      </c>
    </row>
    <row r="267" spans="1:15" ht="10.5" x14ac:dyDescent="0.25">
      <c r="A267" s="791" t="s">
        <v>4222</v>
      </c>
      <c r="B267" s="786">
        <f t="shared" ref="B267:O267" si="51">B146+B257+B266</f>
        <v>23099453.004558764</v>
      </c>
      <c r="C267" s="786">
        <f t="shared" si="51"/>
        <v>26542267.185551003</v>
      </c>
      <c r="D267" s="786">
        <f t="shared" si="51"/>
        <v>2128544.281342254</v>
      </c>
      <c r="E267" s="786">
        <f t="shared" si="51"/>
        <v>132463.88142765389</v>
      </c>
      <c r="F267" s="786">
        <f t="shared" si="51"/>
        <v>483123.40825870348</v>
      </c>
      <c r="G267" s="786">
        <f t="shared" si="51"/>
        <v>359150.36958915897</v>
      </c>
      <c r="H267" s="786">
        <f t="shared" si="51"/>
        <v>0</v>
      </c>
      <c r="I267" s="786">
        <f t="shared" si="51"/>
        <v>2123804.1109187813</v>
      </c>
      <c r="J267" s="786">
        <f t="shared" si="51"/>
        <v>0</v>
      </c>
      <c r="K267" s="786">
        <f t="shared" si="51"/>
        <v>876485.81662992586</v>
      </c>
      <c r="L267" s="786">
        <f t="shared" si="51"/>
        <v>73735.877506196688</v>
      </c>
      <c r="M267" s="786">
        <f t="shared" si="51"/>
        <v>0</v>
      </c>
      <c r="N267" s="786">
        <f t="shared" si="51"/>
        <v>-25919009.525710888</v>
      </c>
      <c r="O267" s="786">
        <f t="shared" si="51"/>
        <v>29900018.410071552</v>
      </c>
    </row>
    <row r="268" spans="1:15" ht="10.5" x14ac:dyDescent="0.25">
      <c r="A268" s="791" t="s">
        <v>692</v>
      </c>
      <c r="B268" s="786">
        <f t="shared" ref="B268:O268" si="52">B37-B267</f>
        <v>40449484.245002411</v>
      </c>
      <c r="C268" s="786">
        <f t="shared" si="52"/>
        <v>27503346.558055773</v>
      </c>
      <c r="D268" s="786">
        <f t="shared" si="52"/>
        <v>1159667.626669772</v>
      </c>
      <c r="E268" s="786">
        <f t="shared" si="52"/>
        <v>1099384.0941368861</v>
      </c>
      <c r="F268" s="786">
        <f t="shared" si="52"/>
        <v>1910536.6648350847</v>
      </c>
      <c r="G268" s="786">
        <f t="shared" si="52"/>
        <v>2420169.1890121419</v>
      </c>
      <c r="H268" s="786">
        <f t="shared" si="52"/>
        <v>397661.67925599584</v>
      </c>
      <c r="I268" s="786">
        <f t="shared" si="52"/>
        <v>1317458.610038864</v>
      </c>
      <c r="J268" s="786">
        <f t="shared" si="52"/>
        <v>791131.45715623349</v>
      </c>
      <c r="K268" s="786">
        <f t="shared" si="52"/>
        <v>506460.39475216588</v>
      </c>
      <c r="L268" s="786">
        <f t="shared" si="52"/>
        <v>506591.30220422155</v>
      </c>
      <c r="M268" s="786">
        <f t="shared" si="52"/>
        <v>0</v>
      </c>
      <c r="N268" s="786">
        <f t="shared" si="52"/>
        <v>-10549591.249405481</v>
      </c>
      <c r="O268" s="786">
        <f t="shared" si="52"/>
        <v>67512300.571714073</v>
      </c>
    </row>
    <row r="269" spans="1:15" ht="10.5" x14ac:dyDescent="0.25">
      <c r="A269" s="791" t="s">
        <v>4223</v>
      </c>
      <c r="B269" s="795">
        <f t="shared" ref="B269:O269" si="53">B268*100/B37</f>
        <v>63.650921629349085</v>
      </c>
      <c r="C269" s="795">
        <f t="shared" si="53"/>
        <v>50.889137254564396</v>
      </c>
      <c r="D269" s="795">
        <f t="shared" si="53"/>
        <v>35.267423727897125</v>
      </c>
      <c r="E269" s="795">
        <f t="shared" si="53"/>
        <v>89.246734657582451</v>
      </c>
      <c r="F269" s="795">
        <f t="shared" si="53"/>
        <v>79.816540632092753</v>
      </c>
      <c r="G269" s="795">
        <f t="shared" si="53"/>
        <v>87.077759069565133</v>
      </c>
      <c r="H269" s="795">
        <f t="shared" si="53"/>
        <v>100</v>
      </c>
      <c r="I269" s="795">
        <f t="shared" si="53"/>
        <v>38.284162438845634</v>
      </c>
      <c r="J269" s="795">
        <f t="shared" si="53"/>
        <v>100</v>
      </c>
      <c r="K269" s="795">
        <f t="shared" si="53"/>
        <v>36.621843321441865</v>
      </c>
      <c r="L269" s="795">
        <f t="shared" si="53"/>
        <v>87.294085115401515</v>
      </c>
      <c r="M269" s="795" t="e">
        <f t="shared" si="53"/>
        <v>#DIV/0!</v>
      </c>
      <c r="N269" s="795">
        <f t="shared" si="53"/>
        <v>28.927875008036466</v>
      </c>
      <c r="O269" s="795">
        <f t="shared" si="53"/>
        <v>69.305711307763531</v>
      </c>
    </row>
    <row r="270" spans="1:15" ht="10.5" x14ac:dyDescent="0.25">
      <c r="A270" s="779" t="s">
        <v>4224</v>
      </c>
      <c r="B270" s="780"/>
      <c r="C270" s="780"/>
      <c r="D270" s="780"/>
      <c r="E270" s="780"/>
      <c r="F270" s="780"/>
      <c r="G270" s="780"/>
      <c r="H270" s="780"/>
      <c r="I270" s="780"/>
      <c r="J270" s="780"/>
      <c r="K270" s="780"/>
      <c r="L270" s="780"/>
      <c r="M270" s="780"/>
      <c r="N270" s="780"/>
      <c r="O270" s="780"/>
    </row>
    <row r="271" spans="1:15" ht="10.5" x14ac:dyDescent="0.25">
      <c r="A271" s="781" t="s">
        <v>4225</v>
      </c>
      <c r="B271" s="780">
        <v>12013500.464736847</v>
      </c>
      <c r="C271" s="780">
        <v>1694315.9750955284</v>
      </c>
      <c r="D271" s="780">
        <v>215205.13163552331</v>
      </c>
      <c r="E271" s="780">
        <v>0</v>
      </c>
      <c r="F271" s="780">
        <v>9145.8263397835799</v>
      </c>
      <c r="G271" s="780">
        <v>16821.525293480823</v>
      </c>
      <c r="H271" s="780">
        <v>0</v>
      </c>
      <c r="I271" s="780">
        <v>129552.35367038465</v>
      </c>
      <c r="J271" s="780">
        <v>0</v>
      </c>
      <c r="K271" s="780">
        <v>12829.174326497989</v>
      </c>
      <c r="L271" s="780">
        <v>18896.310177594129</v>
      </c>
      <c r="M271" s="780">
        <v>0</v>
      </c>
      <c r="N271" s="780">
        <v>-2075189.67446424</v>
      </c>
      <c r="O271" s="780">
        <v>12035077.086811399</v>
      </c>
    </row>
    <row r="272" spans="1:15" x14ac:dyDescent="0.2">
      <c r="A272" s="796" t="s">
        <v>688</v>
      </c>
      <c r="B272" s="784">
        <v>1474158.1548234897</v>
      </c>
      <c r="C272" s="784">
        <v>0</v>
      </c>
      <c r="D272" s="784">
        <v>0</v>
      </c>
      <c r="E272" s="784">
        <v>0</v>
      </c>
      <c r="F272" s="784">
        <v>0</v>
      </c>
      <c r="G272" s="784">
        <v>0</v>
      </c>
      <c r="H272" s="784">
        <v>0</v>
      </c>
      <c r="I272" s="784">
        <v>0</v>
      </c>
      <c r="J272" s="784">
        <v>0</v>
      </c>
      <c r="K272" s="784">
        <v>0</v>
      </c>
      <c r="L272" s="784">
        <v>0</v>
      </c>
      <c r="M272" s="784">
        <v>0</v>
      </c>
      <c r="N272" s="784">
        <v>-1474158.1548234897</v>
      </c>
      <c r="O272" s="784">
        <f t="shared" ref="O272:O335" si="54">SUM(B272:N272)</f>
        <v>0</v>
      </c>
    </row>
    <row r="273" spans="1:15" x14ac:dyDescent="0.2">
      <c r="A273" s="796" t="s">
        <v>689</v>
      </c>
      <c r="B273" s="784">
        <v>601031.51964075025</v>
      </c>
      <c r="C273" s="784">
        <v>0</v>
      </c>
      <c r="D273" s="784">
        <v>0</v>
      </c>
      <c r="E273" s="784">
        <v>0</v>
      </c>
      <c r="F273" s="784">
        <v>0</v>
      </c>
      <c r="G273" s="784">
        <v>0</v>
      </c>
      <c r="H273" s="784">
        <v>0</v>
      </c>
      <c r="I273" s="784">
        <v>0</v>
      </c>
      <c r="J273" s="784">
        <v>0</v>
      </c>
      <c r="K273" s="784">
        <v>0</v>
      </c>
      <c r="L273" s="784">
        <v>0</v>
      </c>
      <c r="M273" s="784">
        <v>0</v>
      </c>
      <c r="N273" s="784">
        <v>-601031.51964075025</v>
      </c>
      <c r="O273" s="784">
        <f t="shared" si="54"/>
        <v>0</v>
      </c>
    </row>
    <row r="274" spans="1:15" x14ac:dyDescent="0.2">
      <c r="A274" s="796" t="s">
        <v>4375</v>
      </c>
      <c r="B274" s="784">
        <v>4157.3126710125862</v>
      </c>
      <c r="C274" s="784">
        <v>0</v>
      </c>
      <c r="D274" s="784">
        <v>0</v>
      </c>
      <c r="E274" s="784">
        <v>0</v>
      </c>
      <c r="F274" s="784">
        <v>0</v>
      </c>
      <c r="G274" s="784">
        <v>0</v>
      </c>
      <c r="H274" s="784">
        <v>0</v>
      </c>
      <c r="I274" s="784">
        <v>0</v>
      </c>
      <c r="J274" s="784">
        <v>0</v>
      </c>
      <c r="K274" s="784">
        <v>0</v>
      </c>
      <c r="L274" s="784">
        <v>0</v>
      </c>
      <c r="M274" s="784">
        <v>0</v>
      </c>
      <c r="N274" s="784">
        <v>0</v>
      </c>
      <c r="O274" s="784">
        <f t="shared" si="54"/>
        <v>4157.3126710125862</v>
      </c>
    </row>
    <row r="275" spans="1:15" x14ac:dyDescent="0.2">
      <c r="A275" s="796" t="s">
        <v>558</v>
      </c>
      <c r="B275" s="784">
        <v>3956432.0266717793</v>
      </c>
      <c r="C275" s="784">
        <v>961403.90332709369</v>
      </c>
      <c r="D275" s="784">
        <v>137481.80599275758</v>
      </c>
      <c r="E275" s="784">
        <v>0</v>
      </c>
      <c r="F275" s="784">
        <v>0</v>
      </c>
      <c r="G275" s="784">
        <v>0</v>
      </c>
      <c r="H275" s="784">
        <v>0</v>
      </c>
      <c r="I275" s="784">
        <v>58591.21687830364</v>
      </c>
      <c r="J275" s="784">
        <v>0</v>
      </c>
      <c r="K275" s="784">
        <v>0</v>
      </c>
      <c r="L275" s="784">
        <v>0</v>
      </c>
      <c r="M275" s="784">
        <v>0</v>
      </c>
      <c r="N275" s="784">
        <v>0</v>
      </c>
      <c r="O275" s="784">
        <f t="shared" si="54"/>
        <v>5113908.952869934</v>
      </c>
    </row>
    <row r="276" spans="1:15" x14ac:dyDescent="0.2">
      <c r="A276" s="796" t="s">
        <v>4376</v>
      </c>
      <c r="B276" s="784">
        <v>261737.54266020743</v>
      </c>
      <c r="C276" s="784">
        <v>-1487.8720593942037</v>
      </c>
      <c r="D276" s="784">
        <v>5545.7385284245274</v>
      </c>
      <c r="E276" s="784">
        <v>0</v>
      </c>
      <c r="F276" s="784">
        <v>0</v>
      </c>
      <c r="G276" s="784">
        <v>0</v>
      </c>
      <c r="H276" s="784">
        <v>0</v>
      </c>
      <c r="I276" s="784">
        <v>1652.0004684552953</v>
      </c>
      <c r="J276" s="784">
        <v>0</v>
      </c>
      <c r="K276" s="784">
        <v>0</v>
      </c>
      <c r="L276" s="784">
        <v>0</v>
      </c>
      <c r="M276" s="784">
        <v>0</v>
      </c>
      <c r="N276" s="784">
        <v>0</v>
      </c>
      <c r="O276" s="784">
        <f t="shared" si="54"/>
        <v>267447.40959769307</v>
      </c>
    </row>
    <row r="277" spans="1:15" x14ac:dyDescent="0.2">
      <c r="A277" s="796" t="s">
        <v>4735</v>
      </c>
      <c r="B277" s="784">
        <v>105134.7619787228</v>
      </c>
      <c r="C277" s="784">
        <v>0</v>
      </c>
      <c r="D277" s="784">
        <v>0</v>
      </c>
      <c r="E277" s="784">
        <v>0</v>
      </c>
      <c r="F277" s="784">
        <v>0</v>
      </c>
      <c r="G277" s="784">
        <v>0</v>
      </c>
      <c r="H277" s="784">
        <v>0</v>
      </c>
      <c r="I277" s="784">
        <v>0</v>
      </c>
      <c r="J277" s="784">
        <v>0</v>
      </c>
      <c r="K277" s="784">
        <v>0</v>
      </c>
      <c r="L277" s="784">
        <v>0</v>
      </c>
      <c r="M277" s="784">
        <v>0</v>
      </c>
      <c r="N277" s="784">
        <v>0</v>
      </c>
      <c r="O277" s="784">
        <f t="shared" si="54"/>
        <v>105134.7619787228</v>
      </c>
    </row>
    <row r="278" spans="1:15" x14ac:dyDescent="0.2">
      <c r="A278" s="796" t="s">
        <v>4377</v>
      </c>
      <c r="B278" s="784">
        <v>310671.46119751676</v>
      </c>
      <c r="C278" s="784">
        <v>0</v>
      </c>
      <c r="D278" s="784">
        <v>0</v>
      </c>
      <c r="E278" s="784">
        <v>0</v>
      </c>
      <c r="F278" s="784">
        <v>0</v>
      </c>
      <c r="G278" s="784">
        <v>0</v>
      </c>
      <c r="H278" s="784">
        <v>0</v>
      </c>
      <c r="I278" s="784">
        <v>0</v>
      </c>
      <c r="J278" s="784">
        <v>0</v>
      </c>
      <c r="K278" s="784">
        <v>0</v>
      </c>
      <c r="L278" s="784">
        <v>0</v>
      </c>
      <c r="M278" s="784">
        <v>0</v>
      </c>
      <c r="N278" s="784">
        <v>0</v>
      </c>
      <c r="O278" s="784">
        <f t="shared" si="54"/>
        <v>310671.46119751676</v>
      </c>
    </row>
    <row r="279" spans="1:15" x14ac:dyDescent="0.2">
      <c r="A279" s="796" t="s">
        <v>4378</v>
      </c>
      <c r="B279" s="784">
        <v>-22434.883647840361</v>
      </c>
      <c r="C279" s="784">
        <v>0</v>
      </c>
      <c r="D279" s="784">
        <v>0</v>
      </c>
      <c r="E279" s="784">
        <v>0</v>
      </c>
      <c r="F279" s="784">
        <v>0</v>
      </c>
      <c r="G279" s="784">
        <v>0</v>
      </c>
      <c r="H279" s="784">
        <v>0</v>
      </c>
      <c r="I279" s="784">
        <v>0</v>
      </c>
      <c r="J279" s="784">
        <v>0</v>
      </c>
      <c r="K279" s="784">
        <v>0</v>
      </c>
      <c r="L279" s="784">
        <v>0</v>
      </c>
      <c r="M279" s="784">
        <v>0</v>
      </c>
      <c r="N279" s="784">
        <v>0</v>
      </c>
      <c r="O279" s="784">
        <f t="shared" si="54"/>
        <v>-22434.883647840361</v>
      </c>
    </row>
    <row r="280" spans="1:15" x14ac:dyDescent="0.2">
      <c r="A280" s="796" t="s">
        <v>559</v>
      </c>
      <c r="B280" s="784">
        <v>414390.02281004225</v>
      </c>
      <c r="C280" s="784">
        <v>107394.79013756121</v>
      </c>
      <c r="D280" s="784">
        <v>21945.141442513494</v>
      </c>
      <c r="E280" s="784">
        <v>0</v>
      </c>
      <c r="F280" s="784">
        <v>0</v>
      </c>
      <c r="G280" s="784">
        <v>0</v>
      </c>
      <c r="H280" s="784">
        <v>0</v>
      </c>
      <c r="I280" s="784">
        <v>3991.7128606844708</v>
      </c>
      <c r="J280" s="784">
        <v>0</v>
      </c>
      <c r="K280" s="784">
        <v>0</v>
      </c>
      <c r="L280" s="784">
        <v>0</v>
      </c>
      <c r="M280" s="784">
        <v>0</v>
      </c>
      <c r="N280" s="784">
        <v>0</v>
      </c>
      <c r="O280" s="784">
        <f t="shared" si="54"/>
        <v>547721.66725080146</v>
      </c>
    </row>
    <row r="281" spans="1:15" x14ac:dyDescent="0.2">
      <c r="A281" s="796" t="s">
        <v>560</v>
      </c>
      <c r="B281" s="784">
        <v>-12326.76894533544</v>
      </c>
      <c r="C281" s="784">
        <v>-8272.8206438984835</v>
      </c>
      <c r="D281" s="784">
        <v>0</v>
      </c>
      <c r="E281" s="784">
        <v>0</v>
      </c>
      <c r="F281" s="784">
        <v>0</v>
      </c>
      <c r="G281" s="784">
        <v>0</v>
      </c>
      <c r="H281" s="784">
        <v>0</v>
      </c>
      <c r="I281" s="784">
        <v>0</v>
      </c>
      <c r="J281" s="784">
        <v>0</v>
      </c>
      <c r="K281" s="784">
        <v>0</v>
      </c>
      <c r="L281" s="784">
        <v>0</v>
      </c>
      <c r="M281" s="784">
        <v>0</v>
      </c>
      <c r="N281" s="784">
        <v>0</v>
      </c>
      <c r="O281" s="784">
        <f t="shared" si="54"/>
        <v>-20599.589589233925</v>
      </c>
    </row>
    <row r="282" spans="1:15" x14ac:dyDescent="0.2">
      <c r="A282" s="796" t="s">
        <v>728</v>
      </c>
      <c r="B282" s="784">
        <v>0</v>
      </c>
      <c r="C282" s="784">
        <v>0</v>
      </c>
      <c r="D282" s="784">
        <v>0</v>
      </c>
      <c r="E282" s="784">
        <v>0</v>
      </c>
      <c r="F282" s="784">
        <v>0</v>
      </c>
      <c r="G282" s="784">
        <v>0</v>
      </c>
      <c r="H282" s="784">
        <v>0</v>
      </c>
      <c r="I282" s="784">
        <v>6.2693348084524496</v>
      </c>
      <c r="J282" s="784">
        <v>0</v>
      </c>
      <c r="K282" s="784">
        <v>0</v>
      </c>
      <c r="L282" s="784">
        <v>0</v>
      </c>
      <c r="M282" s="784">
        <v>0</v>
      </c>
      <c r="N282" s="784">
        <v>0</v>
      </c>
      <c r="O282" s="784">
        <f t="shared" si="54"/>
        <v>6.2693348084524496</v>
      </c>
    </row>
    <row r="283" spans="1:15" x14ac:dyDescent="0.2">
      <c r="A283" s="796" t="s">
        <v>4585</v>
      </c>
      <c r="B283" s="784">
        <v>91442.099253699882</v>
      </c>
      <c r="C283" s="784">
        <v>0</v>
      </c>
      <c r="D283" s="784">
        <v>0</v>
      </c>
      <c r="E283" s="784">
        <v>0</v>
      </c>
      <c r="F283" s="784">
        <v>0</v>
      </c>
      <c r="G283" s="784">
        <v>0</v>
      </c>
      <c r="H283" s="784">
        <v>0</v>
      </c>
      <c r="I283" s="784">
        <v>0</v>
      </c>
      <c r="J283" s="784">
        <v>0</v>
      </c>
      <c r="K283" s="784">
        <v>0</v>
      </c>
      <c r="L283" s="784">
        <v>0</v>
      </c>
      <c r="M283" s="784">
        <v>0</v>
      </c>
      <c r="N283" s="784">
        <v>0</v>
      </c>
      <c r="O283" s="784">
        <f t="shared" si="54"/>
        <v>91442.099253699882</v>
      </c>
    </row>
    <row r="284" spans="1:15" x14ac:dyDescent="0.2">
      <c r="A284" s="796" t="s">
        <v>4398</v>
      </c>
      <c r="B284" s="784">
        <v>0</v>
      </c>
      <c r="C284" s="784">
        <v>0</v>
      </c>
      <c r="D284" s="784">
        <v>0</v>
      </c>
      <c r="E284" s="784">
        <v>0</v>
      </c>
      <c r="F284" s="784">
        <v>0</v>
      </c>
      <c r="G284" s="784">
        <v>0</v>
      </c>
      <c r="H284" s="784">
        <v>0</v>
      </c>
      <c r="I284" s="784">
        <v>3940.401474417803</v>
      </c>
      <c r="J284" s="784">
        <v>0</v>
      </c>
      <c r="K284" s="784">
        <v>0</v>
      </c>
      <c r="L284" s="784">
        <v>0</v>
      </c>
      <c r="M284" s="784">
        <v>0</v>
      </c>
      <c r="N284" s="784">
        <v>0</v>
      </c>
      <c r="O284" s="784">
        <f t="shared" si="54"/>
        <v>3940.401474417803</v>
      </c>
    </row>
    <row r="285" spans="1:15" x14ac:dyDescent="0.2">
      <c r="A285" s="796" t="s">
        <v>561</v>
      </c>
      <c r="B285" s="784">
        <v>1293304.6236430788</v>
      </c>
      <c r="C285" s="784">
        <v>82360.730716693768</v>
      </c>
      <c r="D285" s="784">
        <v>21325.668682985066</v>
      </c>
      <c r="E285" s="784">
        <v>0</v>
      </c>
      <c r="F285" s="784">
        <v>0</v>
      </c>
      <c r="G285" s="784">
        <v>0</v>
      </c>
      <c r="H285" s="784">
        <v>0</v>
      </c>
      <c r="I285" s="784">
        <v>0</v>
      </c>
      <c r="J285" s="784">
        <v>0</v>
      </c>
      <c r="K285" s="784">
        <v>0</v>
      </c>
      <c r="L285" s="784">
        <v>0</v>
      </c>
      <c r="M285" s="784">
        <v>0</v>
      </c>
      <c r="N285" s="784">
        <v>0</v>
      </c>
      <c r="O285" s="784">
        <f t="shared" si="54"/>
        <v>1396991.0230427575</v>
      </c>
    </row>
    <row r="286" spans="1:15" x14ac:dyDescent="0.2">
      <c r="A286" s="796" t="s">
        <v>562</v>
      </c>
      <c r="B286" s="784">
        <v>142639.03560916346</v>
      </c>
      <c r="C286" s="784">
        <v>-119.03056468812694</v>
      </c>
      <c r="D286" s="784">
        <v>667.7092562487361</v>
      </c>
      <c r="E286" s="784">
        <v>0</v>
      </c>
      <c r="F286" s="784">
        <v>0</v>
      </c>
      <c r="G286" s="784">
        <v>0</v>
      </c>
      <c r="H286" s="784">
        <v>0</v>
      </c>
      <c r="I286" s="784">
        <v>0</v>
      </c>
      <c r="J286" s="784">
        <v>0</v>
      </c>
      <c r="K286" s="784">
        <v>0</v>
      </c>
      <c r="L286" s="784">
        <v>0</v>
      </c>
      <c r="M286" s="784">
        <v>0</v>
      </c>
      <c r="N286" s="784">
        <v>0</v>
      </c>
      <c r="O286" s="784">
        <f t="shared" si="54"/>
        <v>143187.71430072407</v>
      </c>
    </row>
    <row r="287" spans="1:15" x14ac:dyDescent="0.2">
      <c r="A287" s="796" t="s">
        <v>563</v>
      </c>
      <c r="B287" s="784">
        <v>-4636.5746268631892</v>
      </c>
      <c r="C287" s="784">
        <v>-1384.9974921511671</v>
      </c>
      <c r="D287" s="784">
        <v>-99.625106714696159</v>
      </c>
      <c r="E287" s="784">
        <v>0</v>
      </c>
      <c r="F287" s="784">
        <v>0</v>
      </c>
      <c r="G287" s="784">
        <v>0</v>
      </c>
      <c r="H287" s="784">
        <v>0</v>
      </c>
      <c r="I287" s="784">
        <v>0</v>
      </c>
      <c r="J287" s="784">
        <v>0</v>
      </c>
      <c r="K287" s="784">
        <v>0</v>
      </c>
      <c r="L287" s="784">
        <v>0</v>
      </c>
      <c r="M287" s="784">
        <v>0</v>
      </c>
      <c r="N287" s="784">
        <v>0</v>
      </c>
      <c r="O287" s="784">
        <f t="shared" si="54"/>
        <v>-6121.1972257290518</v>
      </c>
    </row>
    <row r="288" spans="1:15" x14ac:dyDescent="0.2">
      <c r="A288" s="796" t="s">
        <v>4358</v>
      </c>
      <c r="B288" s="784">
        <v>-49853.748947788925</v>
      </c>
      <c r="C288" s="784">
        <v>0</v>
      </c>
      <c r="D288" s="784">
        <v>0</v>
      </c>
      <c r="E288" s="784">
        <v>0</v>
      </c>
      <c r="F288" s="784">
        <v>0</v>
      </c>
      <c r="G288" s="784">
        <v>0</v>
      </c>
      <c r="H288" s="784">
        <v>0</v>
      </c>
      <c r="I288" s="784">
        <v>0</v>
      </c>
      <c r="J288" s="784">
        <v>0</v>
      </c>
      <c r="K288" s="784">
        <v>0</v>
      </c>
      <c r="L288" s="784">
        <v>0</v>
      </c>
      <c r="M288" s="784">
        <v>0</v>
      </c>
      <c r="N288" s="784">
        <v>0</v>
      </c>
      <c r="O288" s="784">
        <f t="shared" si="54"/>
        <v>-49853.748947788925</v>
      </c>
    </row>
    <row r="289" spans="1:15" x14ac:dyDescent="0.2">
      <c r="A289" s="796" t="s">
        <v>693</v>
      </c>
      <c r="B289" s="784">
        <v>-337752.3733433396</v>
      </c>
      <c r="C289" s="784">
        <v>0</v>
      </c>
      <c r="D289" s="784">
        <v>0</v>
      </c>
      <c r="E289" s="784">
        <v>0</v>
      </c>
      <c r="F289" s="784">
        <v>0</v>
      </c>
      <c r="G289" s="784">
        <v>0</v>
      </c>
      <c r="H289" s="784">
        <v>0</v>
      </c>
      <c r="I289" s="784">
        <v>0</v>
      </c>
      <c r="J289" s="784">
        <v>0</v>
      </c>
      <c r="K289" s="784">
        <v>0</v>
      </c>
      <c r="L289" s="784">
        <v>0</v>
      </c>
      <c r="M289" s="784">
        <v>0</v>
      </c>
      <c r="N289" s="784">
        <v>0</v>
      </c>
      <c r="O289" s="784">
        <f t="shared" si="54"/>
        <v>-337752.3733433396</v>
      </c>
    </row>
    <row r="290" spans="1:15" x14ac:dyDescent="0.2">
      <c r="A290" s="796" t="s">
        <v>574</v>
      </c>
      <c r="B290" s="784">
        <v>43271.726506797357</v>
      </c>
      <c r="C290" s="784">
        <v>-10417.866791640485</v>
      </c>
      <c r="D290" s="784">
        <v>-2265.8076700843076</v>
      </c>
      <c r="E290" s="784">
        <v>0</v>
      </c>
      <c r="F290" s="784">
        <v>0</v>
      </c>
      <c r="G290" s="784">
        <v>0</v>
      </c>
      <c r="H290" s="784">
        <v>0</v>
      </c>
      <c r="I290" s="784">
        <v>101.4047465644438</v>
      </c>
      <c r="J290" s="784">
        <v>0</v>
      </c>
      <c r="K290" s="784">
        <v>0</v>
      </c>
      <c r="L290" s="784">
        <v>0</v>
      </c>
      <c r="M290" s="784">
        <v>0</v>
      </c>
      <c r="N290" s="784">
        <v>0</v>
      </c>
      <c r="O290" s="784">
        <f t="shared" si="54"/>
        <v>30689.456791637003</v>
      </c>
    </row>
    <row r="291" spans="1:15" x14ac:dyDescent="0.2">
      <c r="A291" s="796" t="s">
        <v>575</v>
      </c>
      <c r="B291" s="784">
        <v>57652.682963553634</v>
      </c>
      <c r="C291" s="784">
        <v>-727.49800156359561</v>
      </c>
      <c r="D291" s="784">
        <v>0</v>
      </c>
      <c r="E291" s="784">
        <v>0</v>
      </c>
      <c r="F291" s="784">
        <v>0</v>
      </c>
      <c r="G291" s="784">
        <v>0</v>
      </c>
      <c r="H291" s="784">
        <v>0</v>
      </c>
      <c r="I291" s="784">
        <v>0</v>
      </c>
      <c r="J291" s="784">
        <v>0</v>
      </c>
      <c r="K291" s="784">
        <v>0</v>
      </c>
      <c r="L291" s="784">
        <v>0</v>
      </c>
      <c r="M291" s="784">
        <v>0</v>
      </c>
      <c r="N291" s="784">
        <v>0</v>
      </c>
      <c r="O291" s="784">
        <f t="shared" si="54"/>
        <v>56925.184961990039</v>
      </c>
    </row>
    <row r="292" spans="1:15" x14ac:dyDescent="0.2">
      <c r="A292" s="796" t="s">
        <v>4401</v>
      </c>
      <c r="B292" s="784">
        <v>0</v>
      </c>
      <c r="C292" s="784">
        <v>38903.840172832788</v>
      </c>
      <c r="D292" s="784">
        <v>4290.342563526191</v>
      </c>
      <c r="E292" s="784">
        <v>0</v>
      </c>
      <c r="F292" s="784">
        <v>0</v>
      </c>
      <c r="G292" s="784">
        <v>0</v>
      </c>
      <c r="H292" s="784">
        <v>0</v>
      </c>
      <c r="I292" s="784">
        <v>0</v>
      </c>
      <c r="J292" s="784">
        <v>0</v>
      </c>
      <c r="K292" s="784">
        <v>0</v>
      </c>
      <c r="L292" s="784">
        <v>0</v>
      </c>
      <c r="M292" s="784">
        <v>0</v>
      </c>
      <c r="N292" s="784">
        <v>0</v>
      </c>
      <c r="O292" s="784">
        <f t="shared" si="54"/>
        <v>43194.182736358976</v>
      </c>
    </row>
    <row r="293" spans="1:15" x14ac:dyDescent="0.2">
      <c r="A293" s="796" t="s">
        <v>564</v>
      </c>
      <c r="B293" s="784">
        <v>199503.99323781015</v>
      </c>
      <c r="C293" s="784">
        <v>0</v>
      </c>
      <c r="D293" s="784">
        <v>0</v>
      </c>
      <c r="E293" s="784">
        <v>0</v>
      </c>
      <c r="F293" s="784">
        <v>0</v>
      </c>
      <c r="G293" s="784">
        <v>0</v>
      </c>
      <c r="H293" s="784">
        <v>0</v>
      </c>
      <c r="I293" s="784">
        <v>0</v>
      </c>
      <c r="J293" s="784">
        <v>0</v>
      </c>
      <c r="K293" s="784">
        <v>0</v>
      </c>
      <c r="L293" s="784">
        <v>0</v>
      </c>
      <c r="M293" s="784">
        <v>0</v>
      </c>
      <c r="N293" s="784">
        <v>0</v>
      </c>
      <c r="O293" s="784">
        <f t="shared" si="54"/>
        <v>199503.99323781015</v>
      </c>
    </row>
    <row r="294" spans="1:15" x14ac:dyDescent="0.2">
      <c r="A294" s="796" t="s">
        <v>565</v>
      </c>
      <c r="B294" s="784">
        <v>52021.114024703515</v>
      </c>
      <c r="C294" s="784">
        <v>0</v>
      </c>
      <c r="D294" s="784">
        <v>0</v>
      </c>
      <c r="E294" s="784">
        <v>0</v>
      </c>
      <c r="F294" s="784">
        <v>0</v>
      </c>
      <c r="G294" s="784">
        <v>0</v>
      </c>
      <c r="H294" s="784">
        <v>0</v>
      </c>
      <c r="I294" s="784">
        <v>0</v>
      </c>
      <c r="J294" s="784">
        <v>0</v>
      </c>
      <c r="K294" s="784">
        <v>0</v>
      </c>
      <c r="L294" s="784">
        <v>0</v>
      </c>
      <c r="M294" s="784">
        <v>0</v>
      </c>
      <c r="N294" s="784">
        <v>0</v>
      </c>
      <c r="O294" s="784">
        <f t="shared" si="54"/>
        <v>52021.114024703515</v>
      </c>
    </row>
    <row r="295" spans="1:15" x14ac:dyDescent="0.2">
      <c r="A295" s="796" t="s">
        <v>566</v>
      </c>
      <c r="B295" s="784">
        <v>23001.907926929103</v>
      </c>
      <c r="C295" s="784">
        <v>0</v>
      </c>
      <c r="D295" s="784">
        <v>0</v>
      </c>
      <c r="E295" s="784">
        <v>0</v>
      </c>
      <c r="F295" s="784">
        <v>0</v>
      </c>
      <c r="G295" s="784">
        <v>0</v>
      </c>
      <c r="H295" s="784">
        <v>0</v>
      </c>
      <c r="I295" s="784">
        <v>0</v>
      </c>
      <c r="J295" s="784">
        <v>0</v>
      </c>
      <c r="K295" s="784">
        <v>0</v>
      </c>
      <c r="L295" s="784">
        <v>0</v>
      </c>
      <c r="M295" s="784">
        <v>0</v>
      </c>
      <c r="N295" s="784">
        <v>0</v>
      </c>
      <c r="O295" s="784">
        <f t="shared" si="54"/>
        <v>23001.907926929103</v>
      </c>
    </row>
    <row r="296" spans="1:15" x14ac:dyDescent="0.2">
      <c r="A296" s="796" t="s">
        <v>567</v>
      </c>
      <c r="B296" s="784">
        <v>20465.015522362417</v>
      </c>
      <c r="C296" s="784">
        <v>0</v>
      </c>
      <c r="D296" s="784">
        <v>0</v>
      </c>
      <c r="E296" s="784">
        <v>0</v>
      </c>
      <c r="F296" s="784">
        <v>0</v>
      </c>
      <c r="G296" s="784">
        <v>0</v>
      </c>
      <c r="H296" s="784">
        <v>0</v>
      </c>
      <c r="I296" s="784">
        <v>0</v>
      </c>
      <c r="J296" s="784">
        <v>0</v>
      </c>
      <c r="K296" s="784">
        <v>0</v>
      </c>
      <c r="L296" s="784">
        <v>0</v>
      </c>
      <c r="M296" s="784">
        <v>0</v>
      </c>
      <c r="N296" s="784">
        <v>0</v>
      </c>
      <c r="O296" s="784">
        <f t="shared" si="54"/>
        <v>20465.015522362417</v>
      </c>
    </row>
    <row r="297" spans="1:15" x14ac:dyDescent="0.2">
      <c r="A297" s="796" t="s">
        <v>568</v>
      </c>
      <c r="B297" s="784">
        <v>945.89481540066549</v>
      </c>
      <c r="C297" s="784">
        <v>0</v>
      </c>
      <c r="D297" s="784">
        <v>0</v>
      </c>
      <c r="E297" s="784">
        <v>0</v>
      </c>
      <c r="F297" s="784">
        <v>0</v>
      </c>
      <c r="G297" s="784">
        <v>0</v>
      </c>
      <c r="H297" s="784">
        <v>0</v>
      </c>
      <c r="I297" s="784">
        <v>0</v>
      </c>
      <c r="J297" s="784">
        <v>0</v>
      </c>
      <c r="K297" s="784">
        <v>0</v>
      </c>
      <c r="L297" s="784">
        <v>0</v>
      </c>
      <c r="M297" s="784">
        <v>0</v>
      </c>
      <c r="N297" s="784">
        <v>0</v>
      </c>
      <c r="O297" s="784">
        <f t="shared" si="54"/>
        <v>945.89481540066549</v>
      </c>
    </row>
    <row r="298" spans="1:15" x14ac:dyDescent="0.2">
      <c r="A298" s="796" t="s">
        <v>4399</v>
      </c>
      <c r="B298" s="784">
        <v>434917.4182086548</v>
      </c>
      <c r="C298" s="784">
        <v>0</v>
      </c>
      <c r="D298" s="784">
        <v>0</v>
      </c>
      <c r="E298" s="784">
        <v>0</v>
      </c>
      <c r="F298" s="784">
        <v>0</v>
      </c>
      <c r="G298" s="784">
        <v>0</v>
      </c>
      <c r="H298" s="784">
        <v>0</v>
      </c>
      <c r="I298" s="784">
        <v>0</v>
      </c>
      <c r="J298" s="784">
        <v>0</v>
      </c>
      <c r="K298" s="784">
        <v>0</v>
      </c>
      <c r="L298" s="784">
        <v>0</v>
      </c>
      <c r="M298" s="784">
        <v>0</v>
      </c>
      <c r="N298" s="784">
        <v>0</v>
      </c>
      <c r="O298" s="784">
        <f t="shared" si="54"/>
        <v>434917.4182086548</v>
      </c>
    </row>
    <row r="299" spans="1:15" x14ac:dyDescent="0.2">
      <c r="A299" s="796" t="s">
        <v>4400</v>
      </c>
      <c r="B299" s="784">
        <v>71712.943940273995</v>
      </c>
      <c r="C299" s="784">
        <v>0</v>
      </c>
      <c r="D299" s="784">
        <v>0</v>
      </c>
      <c r="E299" s="784">
        <v>0</v>
      </c>
      <c r="F299" s="784">
        <v>0</v>
      </c>
      <c r="G299" s="784">
        <v>0</v>
      </c>
      <c r="H299" s="784">
        <v>0</v>
      </c>
      <c r="I299" s="784">
        <v>0</v>
      </c>
      <c r="J299" s="784">
        <v>0</v>
      </c>
      <c r="K299" s="784">
        <v>0</v>
      </c>
      <c r="L299" s="784">
        <v>0</v>
      </c>
      <c r="M299" s="784">
        <v>0</v>
      </c>
      <c r="N299" s="784">
        <v>0</v>
      </c>
      <c r="O299" s="784">
        <f t="shared" si="54"/>
        <v>71712.943940273995</v>
      </c>
    </row>
    <row r="300" spans="1:15" x14ac:dyDescent="0.2">
      <c r="A300" s="796" t="s">
        <v>4483</v>
      </c>
      <c r="B300" s="784">
        <v>418737.77127409156</v>
      </c>
      <c r="C300" s="784">
        <v>0</v>
      </c>
      <c r="D300" s="784">
        <v>0</v>
      </c>
      <c r="E300" s="784">
        <v>0</v>
      </c>
      <c r="F300" s="784">
        <v>0</v>
      </c>
      <c r="G300" s="784">
        <v>0</v>
      </c>
      <c r="H300" s="784">
        <v>0</v>
      </c>
      <c r="I300" s="784">
        <v>0</v>
      </c>
      <c r="J300" s="784">
        <v>0</v>
      </c>
      <c r="K300" s="784">
        <v>0</v>
      </c>
      <c r="L300" s="784">
        <v>0</v>
      </c>
      <c r="M300" s="784">
        <v>0</v>
      </c>
      <c r="N300" s="784">
        <v>0</v>
      </c>
      <c r="O300" s="784">
        <f t="shared" si="54"/>
        <v>418737.77127409156</v>
      </c>
    </row>
    <row r="301" spans="1:15" x14ac:dyDescent="0.2">
      <c r="A301" s="796" t="s">
        <v>581</v>
      </c>
      <c r="B301" s="784">
        <v>98.828406656807502</v>
      </c>
      <c r="C301" s="784">
        <v>0</v>
      </c>
      <c r="D301" s="784">
        <v>0</v>
      </c>
      <c r="E301" s="784">
        <v>0</v>
      </c>
      <c r="F301" s="784">
        <v>0</v>
      </c>
      <c r="G301" s="784">
        <v>0</v>
      </c>
      <c r="H301" s="784">
        <v>0</v>
      </c>
      <c r="I301" s="784">
        <v>0</v>
      </c>
      <c r="J301" s="784">
        <v>0</v>
      </c>
      <c r="K301" s="784">
        <v>0</v>
      </c>
      <c r="L301" s="784">
        <v>0</v>
      </c>
      <c r="M301" s="784">
        <v>0</v>
      </c>
      <c r="N301" s="784">
        <v>0</v>
      </c>
      <c r="O301" s="784">
        <f t="shared" si="54"/>
        <v>98.828406656807502</v>
      </c>
    </row>
    <row r="302" spans="1:15" x14ac:dyDescent="0.2">
      <c r="A302" s="796" t="s">
        <v>582</v>
      </c>
      <c r="B302" s="784">
        <v>4206.6739188278998</v>
      </c>
      <c r="C302" s="784">
        <v>0</v>
      </c>
      <c r="D302" s="784">
        <v>0</v>
      </c>
      <c r="E302" s="784">
        <v>0</v>
      </c>
      <c r="F302" s="784">
        <v>0</v>
      </c>
      <c r="G302" s="784">
        <v>0</v>
      </c>
      <c r="H302" s="784">
        <v>0</v>
      </c>
      <c r="I302" s="784">
        <v>0</v>
      </c>
      <c r="J302" s="784">
        <v>0</v>
      </c>
      <c r="K302" s="784">
        <v>0</v>
      </c>
      <c r="L302" s="784">
        <v>0</v>
      </c>
      <c r="M302" s="784">
        <v>0</v>
      </c>
      <c r="N302" s="784">
        <v>0</v>
      </c>
      <c r="O302" s="784">
        <f t="shared" si="54"/>
        <v>4206.6739188278998</v>
      </c>
    </row>
    <row r="303" spans="1:15" x14ac:dyDescent="0.2">
      <c r="A303" s="796" t="s">
        <v>583</v>
      </c>
      <c r="B303" s="784">
        <v>487.05766927284219</v>
      </c>
      <c r="C303" s="784">
        <v>0</v>
      </c>
      <c r="D303" s="784">
        <v>0</v>
      </c>
      <c r="E303" s="784">
        <v>0</v>
      </c>
      <c r="F303" s="784">
        <v>0</v>
      </c>
      <c r="G303" s="784">
        <v>0</v>
      </c>
      <c r="H303" s="784">
        <v>0</v>
      </c>
      <c r="I303" s="784">
        <v>0</v>
      </c>
      <c r="J303" s="784">
        <v>0</v>
      </c>
      <c r="K303" s="784">
        <v>0</v>
      </c>
      <c r="L303" s="784">
        <v>0</v>
      </c>
      <c r="M303" s="784">
        <v>0</v>
      </c>
      <c r="N303" s="784">
        <v>0</v>
      </c>
      <c r="O303" s="784">
        <f t="shared" si="54"/>
        <v>487.05766927284219</v>
      </c>
    </row>
    <row r="304" spans="1:15" x14ac:dyDescent="0.2">
      <c r="A304" s="796" t="s">
        <v>587</v>
      </c>
      <c r="B304" s="784">
        <v>14307.808516204155</v>
      </c>
      <c r="C304" s="784">
        <v>0</v>
      </c>
      <c r="D304" s="784">
        <v>0</v>
      </c>
      <c r="E304" s="784">
        <v>0</v>
      </c>
      <c r="F304" s="784">
        <v>0</v>
      </c>
      <c r="G304" s="784">
        <v>0</v>
      </c>
      <c r="H304" s="784">
        <v>0</v>
      </c>
      <c r="I304" s="784">
        <v>0</v>
      </c>
      <c r="J304" s="784">
        <v>0</v>
      </c>
      <c r="K304" s="784">
        <v>0</v>
      </c>
      <c r="L304" s="784">
        <v>0</v>
      </c>
      <c r="M304" s="784">
        <v>0</v>
      </c>
      <c r="N304" s="784">
        <v>0</v>
      </c>
      <c r="O304" s="784">
        <f t="shared" si="54"/>
        <v>14307.808516204155</v>
      </c>
    </row>
    <row r="305" spans="1:15" x14ac:dyDescent="0.2">
      <c r="A305" s="796" t="s">
        <v>589</v>
      </c>
      <c r="B305" s="784">
        <v>33357.221891045818</v>
      </c>
      <c r="C305" s="784">
        <v>0</v>
      </c>
      <c r="D305" s="784">
        <v>0</v>
      </c>
      <c r="E305" s="784">
        <v>0</v>
      </c>
      <c r="F305" s="784">
        <v>0</v>
      </c>
      <c r="G305" s="784">
        <v>0</v>
      </c>
      <c r="H305" s="784">
        <v>0</v>
      </c>
      <c r="I305" s="784">
        <v>0</v>
      </c>
      <c r="J305" s="784">
        <v>0</v>
      </c>
      <c r="K305" s="784">
        <v>0</v>
      </c>
      <c r="L305" s="784">
        <v>0</v>
      </c>
      <c r="M305" s="784">
        <v>0</v>
      </c>
      <c r="N305" s="784">
        <v>0</v>
      </c>
      <c r="O305" s="784">
        <f t="shared" si="54"/>
        <v>33357.221891045818</v>
      </c>
    </row>
    <row r="306" spans="1:15" x14ac:dyDescent="0.2">
      <c r="A306" s="796" t="s">
        <v>590</v>
      </c>
      <c r="B306" s="784">
        <v>-76065.574357713034</v>
      </c>
      <c r="C306" s="784">
        <v>0</v>
      </c>
      <c r="D306" s="784">
        <v>0</v>
      </c>
      <c r="E306" s="784">
        <v>0</v>
      </c>
      <c r="F306" s="784">
        <v>0</v>
      </c>
      <c r="G306" s="784">
        <v>0</v>
      </c>
      <c r="H306" s="784">
        <v>0</v>
      </c>
      <c r="I306" s="784">
        <v>0</v>
      </c>
      <c r="J306" s="784">
        <v>0</v>
      </c>
      <c r="K306" s="784">
        <v>0</v>
      </c>
      <c r="L306" s="784">
        <v>0</v>
      </c>
      <c r="M306" s="784">
        <v>0</v>
      </c>
      <c r="N306" s="784">
        <v>0</v>
      </c>
      <c r="O306" s="784">
        <f t="shared" si="54"/>
        <v>-76065.574357713034</v>
      </c>
    </row>
    <row r="307" spans="1:15" x14ac:dyDescent="0.2">
      <c r="A307" s="796" t="s">
        <v>591</v>
      </c>
      <c r="B307" s="784">
        <v>371.93404874804884</v>
      </c>
      <c r="C307" s="784">
        <v>0</v>
      </c>
      <c r="D307" s="784">
        <v>0</v>
      </c>
      <c r="E307" s="784">
        <v>0</v>
      </c>
      <c r="F307" s="784">
        <v>0</v>
      </c>
      <c r="G307" s="784">
        <v>0</v>
      </c>
      <c r="H307" s="784">
        <v>0</v>
      </c>
      <c r="I307" s="784">
        <v>0</v>
      </c>
      <c r="J307" s="784">
        <v>0</v>
      </c>
      <c r="K307" s="784">
        <v>0</v>
      </c>
      <c r="L307" s="784">
        <v>0</v>
      </c>
      <c r="M307" s="784">
        <v>0</v>
      </c>
      <c r="N307" s="784">
        <v>0</v>
      </c>
      <c r="O307" s="784">
        <f t="shared" si="54"/>
        <v>371.93404874804884</v>
      </c>
    </row>
    <row r="308" spans="1:15" x14ac:dyDescent="0.2">
      <c r="A308" s="796" t="s">
        <v>594</v>
      </c>
      <c r="B308" s="784">
        <v>1097.7847969456195</v>
      </c>
      <c r="C308" s="784">
        <v>0</v>
      </c>
      <c r="D308" s="784">
        <v>0</v>
      </c>
      <c r="E308" s="784">
        <v>0</v>
      </c>
      <c r="F308" s="784">
        <v>0</v>
      </c>
      <c r="G308" s="784">
        <v>0</v>
      </c>
      <c r="H308" s="784">
        <v>0</v>
      </c>
      <c r="I308" s="784">
        <v>1115.2431019366982</v>
      </c>
      <c r="J308" s="784">
        <v>0</v>
      </c>
      <c r="K308" s="784">
        <v>0</v>
      </c>
      <c r="L308" s="784">
        <v>0</v>
      </c>
      <c r="M308" s="784">
        <v>0</v>
      </c>
      <c r="N308" s="784">
        <v>0</v>
      </c>
      <c r="O308" s="784">
        <f t="shared" si="54"/>
        <v>2213.0278988823175</v>
      </c>
    </row>
    <row r="309" spans="1:15" x14ac:dyDescent="0.2">
      <c r="A309" s="796" t="s">
        <v>660</v>
      </c>
      <c r="B309" s="784">
        <v>7856.1638101888175</v>
      </c>
      <c r="C309" s="784">
        <v>0</v>
      </c>
      <c r="D309" s="784">
        <v>0</v>
      </c>
      <c r="E309" s="784">
        <v>0</v>
      </c>
      <c r="F309" s="784">
        <v>0</v>
      </c>
      <c r="G309" s="784">
        <v>0</v>
      </c>
      <c r="H309" s="784">
        <v>0</v>
      </c>
      <c r="I309" s="784">
        <v>0</v>
      </c>
      <c r="J309" s="784">
        <v>0</v>
      </c>
      <c r="K309" s="784">
        <v>0</v>
      </c>
      <c r="L309" s="784">
        <v>0</v>
      </c>
      <c r="M309" s="784">
        <v>0</v>
      </c>
      <c r="N309" s="784">
        <v>0</v>
      </c>
      <c r="O309" s="784">
        <f t="shared" si="54"/>
        <v>7856.1638101888175</v>
      </c>
    </row>
    <row r="310" spans="1:15" x14ac:dyDescent="0.2">
      <c r="A310" s="796" t="s">
        <v>642</v>
      </c>
      <c r="B310" s="784">
        <v>249553.55265712683</v>
      </c>
      <c r="C310" s="784">
        <v>0</v>
      </c>
      <c r="D310" s="784">
        <v>0</v>
      </c>
      <c r="E310" s="784">
        <v>0</v>
      </c>
      <c r="F310" s="784">
        <v>0</v>
      </c>
      <c r="G310" s="784">
        <v>0</v>
      </c>
      <c r="H310" s="784">
        <v>0</v>
      </c>
      <c r="I310" s="784">
        <v>0</v>
      </c>
      <c r="J310" s="784">
        <v>0</v>
      </c>
      <c r="K310" s="784">
        <v>0</v>
      </c>
      <c r="L310" s="784">
        <v>0</v>
      </c>
      <c r="M310" s="784">
        <v>0</v>
      </c>
      <c r="N310" s="784">
        <v>0</v>
      </c>
      <c r="O310" s="784">
        <f t="shared" si="54"/>
        <v>249553.55265712683</v>
      </c>
    </row>
    <row r="311" spans="1:15" x14ac:dyDescent="0.2">
      <c r="A311" s="796" t="s">
        <v>661</v>
      </c>
      <c r="B311" s="784">
        <v>-7775.7172033798097</v>
      </c>
      <c r="C311" s="784">
        <v>0</v>
      </c>
      <c r="D311" s="784">
        <v>0</v>
      </c>
      <c r="E311" s="784">
        <v>0</v>
      </c>
      <c r="F311" s="784">
        <v>0</v>
      </c>
      <c r="G311" s="784">
        <v>0</v>
      </c>
      <c r="H311" s="784">
        <v>0</v>
      </c>
      <c r="I311" s="784">
        <v>0</v>
      </c>
      <c r="J311" s="784">
        <v>0</v>
      </c>
      <c r="K311" s="784">
        <v>0</v>
      </c>
      <c r="L311" s="784">
        <v>0</v>
      </c>
      <c r="M311" s="784">
        <v>0</v>
      </c>
      <c r="N311" s="784">
        <v>0</v>
      </c>
      <c r="O311" s="784">
        <f t="shared" si="54"/>
        <v>-7775.7172033798097</v>
      </c>
    </row>
    <row r="312" spans="1:15" x14ac:dyDescent="0.2">
      <c r="A312" s="796" t="s">
        <v>4404</v>
      </c>
      <c r="B312" s="784">
        <v>11978.806829158017</v>
      </c>
      <c r="C312" s="784">
        <v>0</v>
      </c>
      <c r="D312" s="784">
        <v>0</v>
      </c>
      <c r="E312" s="784">
        <v>0</v>
      </c>
      <c r="F312" s="784">
        <v>0</v>
      </c>
      <c r="G312" s="784">
        <v>0</v>
      </c>
      <c r="H312" s="784">
        <v>0</v>
      </c>
      <c r="I312" s="784">
        <v>0</v>
      </c>
      <c r="J312" s="784">
        <v>0</v>
      </c>
      <c r="K312" s="784">
        <v>0</v>
      </c>
      <c r="L312" s="784">
        <v>0</v>
      </c>
      <c r="M312" s="784">
        <v>0</v>
      </c>
      <c r="N312" s="784">
        <v>0</v>
      </c>
      <c r="O312" s="784">
        <f t="shared" si="54"/>
        <v>11978.806829158017</v>
      </c>
    </row>
    <row r="313" spans="1:15" x14ac:dyDescent="0.2">
      <c r="A313" s="796" t="s">
        <v>3876</v>
      </c>
      <c r="B313" s="784">
        <v>1609.5509464551581</v>
      </c>
      <c r="C313" s="784">
        <v>0</v>
      </c>
      <c r="D313" s="784">
        <v>0</v>
      </c>
      <c r="E313" s="784">
        <v>0</v>
      </c>
      <c r="F313" s="784">
        <v>0</v>
      </c>
      <c r="G313" s="784">
        <v>0</v>
      </c>
      <c r="H313" s="784">
        <v>0</v>
      </c>
      <c r="I313" s="784">
        <v>0</v>
      </c>
      <c r="J313" s="784">
        <v>0</v>
      </c>
      <c r="K313" s="784">
        <v>0</v>
      </c>
      <c r="L313" s="784">
        <v>0</v>
      </c>
      <c r="M313" s="784">
        <v>0</v>
      </c>
      <c r="N313" s="784">
        <v>0</v>
      </c>
      <c r="O313" s="784">
        <f t="shared" si="54"/>
        <v>1609.5509464551581</v>
      </c>
    </row>
    <row r="314" spans="1:15" x14ac:dyDescent="0.2">
      <c r="A314" s="796" t="s">
        <v>663</v>
      </c>
      <c r="B314" s="784">
        <v>651.26631991869135</v>
      </c>
      <c r="C314" s="784">
        <v>4360.1947244184103</v>
      </c>
      <c r="D314" s="784">
        <v>0</v>
      </c>
      <c r="E314" s="784">
        <v>0</v>
      </c>
      <c r="F314" s="784">
        <v>0</v>
      </c>
      <c r="G314" s="784">
        <v>0</v>
      </c>
      <c r="H314" s="784">
        <v>0</v>
      </c>
      <c r="I314" s="784">
        <v>0</v>
      </c>
      <c r="J314" s="784">
        <v>0</v>
      </c>
      <c r="K314" s="784">
        <v>0</v>
      </c>
      <c r="L314" s="784">
        <v>0</v>
      </c>
      <c r="M314" s="784">
        <v>0</v>
      </c>
      <c r="N314" s="784">
        <v>0</v>
      </c>
      <c r="O314" s="784">
        <f t="shared" si="54"/>
        <v>5011.4610443371021</v>
      </c>
    </row>
    <row r="315" spans="1:15" x14ac:dyDescent="0.2">
      <c r="A315" s="796" t="s">
        <v>726</v>
      </c>
      <c r="B315" s="784">
        <v>454.60415142616415</v>
      </c>
      <c r="C315" s="784">
        <v>0</v>
      </c>
      <c r="D315" s="784">
        <v>0</v>
      </c>
      <c r="E315" s="784">
        <v>0</v>
      </c>
      <c r="F315" s="784">
        <v>0</v>
      </c>
      <c r="G315" s="784">
        <v>0</v>
      </c>
      <c r="H315" s="784">
        <v>0</v>
      </c>
      <c r="I315" s="784">
        <v>0</v>
      </c>
      <c r="J315" s="784">
        <v>0</v>
      </c>
      <c r="K315" s="784">
        <v>0</v>
      </c>
      <c r="L315" s="784">
        <v>0</v>
      </c>
      <c r="M315" s="784">
        <v>0</v>
      </c>
      <c r="N315" s="784">
        <v>0</v>
      </c>
      <c r="O315" s="784">
        <f t="shared" si="54"/>
        <v>454.60415142616415</v>
      </c>
    </row>
    <row r="316" spans="1:15" x14ac:dyDescent="0.2">
      <c r="A316" s="796" t="s">
        <v>664</v>
      </c>
      <c r="B316" s="784">
        <v>0</v>
      </c>
      <c r="C316" s="784">
        <v>2261.3028226606743</v>
      </c>
      <c r="D316" s="784">
        <v>0</v>
      </c>
      <c r="E316" s="784">
        <v>0</v>
      </c>
      <c r="F316" s="784">
        <v>0</v>
      </c>
      <c r="G316" s="784">
        <v>0</v>
      </c>
      <c r="H316" s="784">
        <v>0</v>
      </c>
      <c r="I316" s="784">
        <v>0</v>
      </c>
      <c r="J316" s="784">
        <v>0</v>
      </c>
      <c r="K316" s="784">
        <v>0</v>
      </c>
      <c r="L316" s="784">
        <v>0</v>
      </c>
      <c r="M316" s="784">
        <v>0</v>
      </c>
      <c r="N316" s="784">
        <v>0</v>
      </c>
      <c r="O316" s="784">
        <f t="shared" si="54"/>
        <v>2261.3028226606743</v>
      </c>
    </row>
    <row r="317" spans="1:15" x14ac:dyDescent="0.2">
      <c r="A317" s="796" t="s">
        <v>597</v>
      </c>
      <c r="B317" s="784">
        <v>22417.620294120879</v>
      </c>
      <c r="C317" s="784">
        <v>14095.052790939057</v>
      </c>
      <c r="D317" s="784">
        <v>2486.1115929572466</v>
      </c>
      <c r="E317" s="784">
        <v>0</v>
      </c>
      <c r="F317" s="784">
        <v>0</v>
      </c>
      <c r="G317" s="784">
        <v>0</v>
      </c>
      <c r="H317" s="784">
        <v>0</v>
      </c>
      <c r="I317" s="784">
        <v>0</v>
      </c>
      <c r="J317" s="784">
        <v>0</v>
      </c>
      <c r="K317" s="784">
        <v>0</v>
      </c>
      <c r="L317" s="784">
        <v>0</v>
      </c>
      <c r="M317" s="784">
        <v>0</v>
      </c>
      <c r="N317" s="784">
        <v>0</v>
      </c>
      <c r="O317" s="784">
        <f t="shared" si="54"/>
        <v>38998.784678017182</v>
      </c>
    </row>
    <row r="318" spans="1:15" x14ac:dyDescent="0.2">
      <c r="A318" s="796" t="s">
        <v>598</v>
      </c>
      <c r="B318" s="784">
        <v>11275.070054465088</v>
      </c>
      <c r="C318" s="784">
        <v>0</v>
      </c>
      <c r="D318" s="784">
        <v>0</v>
      </c>
      <c r="E318" s="784">
        <v>0</v>
      </c>
      <c r="F318" s="784">
        <v>0</v>
      </c>
      <c r="G318" s="784">
        <v>0</v>
      </c>
      <c r="H318" s="784">
        <v>0</v>
      </c>
      <c r="I318" s="784">
        <v>0</v>
      </c>
      <c r="J318" s="784">
        <v>0</v>
      </c>
      <c r="K318" s="784">
        <v>0</v>
      </c>
      <c r="L318" s="784">
        <v>0</v>
      </c>
      <c r="M318" s="784">
        <v>0</v>
      </c>
      <c r="N318" s="784">
        <v>0</v>
      </c>
      <c r="O318" s="784">
        <f t="shared" si="54"/>
        <v>11275.070054465088</v>
      </c>
    </row>
    <row r="319" spans="1:15" x14ac:dyDescent="0.2">
      <c r="A319" s="796" t="s">
        <v>599</v>
      </c>
      <c r="B319" s="784">
        <v>20774.68587112004</v>
      </c>
      <c r="C319" s="784">
        <v>8378.1949861481771</v>
      </c>
      <c r="D319" s="784">
        <v>2424.9494578402305</v>
      </c>
      <c r="E319" s="784">
        <v>0</v>
      </c>
      <c r="F319" s="784">
        <v>0</v>
      </c>
      <c r="G319" s="784">
        <v>0</v>
      </c>
      <c r="H319" s="784">
        <v>0</v>
      </c>
      <c r="I319" s="784">
        <v>0</v>
      </c>
      <c r="J319" s="784">
        <v>0</v>
      </c>
      <c r="K319" s="784">
        <v>0</v>
      </c>
      <c r="L319" s="784">
        <v>0</v>
      </c>
      <c r="M319" s="784">
        <v>0</v>
      </c>
      <c r="N319" s="784">
        <v>0</v>
      </c>
      <c r="O319" s="784">
        <f t="shared" si="54"/>
        <v>31577.830315108447</v>
      </c>
    </row>
    <row r="320" spans="1:15" x14ac:dyDescent="0.2">
      <c r="A320" s="796" t="s">
        <v>600</v>
      </c>
      <c r="B320" s="784">
        <v>8822.0902638300231</v>
      </c>
      <c r="C320" s="784">
        <v>2004.994909257782</v>
      </c>
      <c r="D320" s="784">
        <v>0</v>
      </c>
      <c r="E320" s="784">
        <v>0</v>
      </c>
      <c r="F320" s="784">
        <v>0</v>
      </c>
      <c r="G320" s="784">
        <v>0</v>
      </c>
      <c r="H320" s="784">
        <v>0</v>
      </c>
      <c r="I320" s="784">
        <v>13.246189785014375</v>
      </c>
      <c r="J320" s="784">
        <v>0</v>
      </c>
      <c r="K320" s="784">
        <v>0</v>
      </c>
      <c r="L320" s="784">
        <v>0</v>
      </c>
      <c r="M320" s="784">
        <v>0</v>
      </c>
      <c r="N320" s="784">
        <v>0</v>
      </c>
      <c r="O320" s="784">
        <f t="shared" si="54"/>
        <v>10840.331362872819</v>
      </c>
    </row>
    <row r="321" spans="1:15" x14ac:dyDescent="0.2">
      <c r="A321" s="796" t="s">
        <v>601</v>
      </c>
      <c r="B321" s="784">
        <v>1082.9559809327718</v>
      </c>
      <c r="C321" s="784">
        <v>1878.8864441649289</v>
      </c>
      <c r="D321" s="784">
        <v>0</v>
      </c>
      <c r="E321" s="784">
        <v>0</v>
      </c>
      <c r="F321" s="784">
        <v>0</v>
      </c>
      <c r="G321" s="784">
        <v>0</v>
      </c>
      <c r="H321" s="784">
        <v>0</v>
      </c>
      <c r="I321" s="784">
        <v>5.893707808969828</v>
      </c>
      <c r="J321" s="784">
        <v>0</v>
      </c>
      <c r="K321" s="784">
        <v>0</v>
      </c>
      <c r="L321" s="784">
        <v>0</v>
      </c>
      <c r="M321" s="784">
        <v>0</v>
      </c>
      <c r="N321" s="784">
        <v>0</v>
      </c>
      <c r="O321" s="784">
        <f t="shared" si="54"/>
        <v>2967.7361329066703</v>
      </c>
    </row>
    <row r="322" spans="1:15" x14ac:dyDescent="0.2">
      <c r="A322" s="796" t="s">
        <v>602</v>
      </c>
      <c r="B322" s="784">
        <v>71.207279700674221</v>
      </c>
      <c r="C322" s="784">
        <v>3642.1301643905767</v>
      </c>
      <c r="D322" s="784">
        <v>0</v>
      </c>
      <c r="E322" s="784">
        <v>0</v>
      </c>
      <c r="F322" s="784">
        <v>0</v>
      </c>
      <c r="G322" s="784">
        <v>0</v>
      </c>
      <c r="H322" s="784">
        <v>0</v>
      </c>
      <c r="I322" s="784">
        <v>-1.734617502891622</v>
      </c>
      <c r="J322" s="784">
        <v>0</v>
      </c>
      <c r="K322" s="784">
        <v>0</v>
      </c>
      <c r="L322" s="784">
        <v>0</v>
      </c>
      <c r="M322" s="784">
        <v>0</v>
      </c>
      <c r="N322" s="784">
        <v>0</v>
      </c>
      <c r="O322" s="784">
        <f t="shared" si="54"/>
        <v>3711.6028265883592</v>
      </c>
    </row>
    <row r="323" spans="1:15" x14ac:dyDescent="0.2">
      <c r="A323" s="796" t="s">
        <v>603</v>
      </c>
      <c r="B323" s="784">
        <v>0</v>
      </c>
      <c r="C323" s="784">
        <v>321.80172578931069</v>
      </c>
      <c r="D323" s="784">
        <v>0</v>
      </c>
      <c r="E323" s="784">
        <v>0</v>
      </c>
      <c r="F323" s="784">
        <v>0</v>
      </c>
      <c r="G323" s="784">
        <v>0</v>
      </c>
      <c r="H323" s="784">
        <v>0</v>
      </c>
      <c r="I323" s="784">
        <v>0</v>
      </c>
      <c r="J323" s="784">
        <v>0</v>
      </c>
      <c r="K323" s="784">
        <v>0</v>
      </c>
      <c r="L323" s="784">
        <v>0</v>
      </c>
      <c r="M323" s="784">
        <v>0</v>
      </c>
      <c r="N323" s="784">
        <v>0</v>
      </c>
      <c r="O323" s="784">
        <f t="shared" si="54"/>
        <v>321.80172578931069</v>
      </c>
    </row>
    <row r="324" spans="1:15" x14ac:dyDescent="0.2">
      <c r="A324" s="796" t="s">
        <v>604</v>
      </c>
      <c r="B324" s="784">
        <v>2462.8061745670639</v>
      </c>
      <c r="C324" s="784">
        <v>150.80972639897738</v>
      </c>
      <c r="D324" s="784">
        <v>420.05939906643215</v>
      </c>
      <c r="E324" s="784">
        <v>0</v>
      </c>
      <c r="F324" s="784">
        <v>0</v>
      </c>
      <c r="G324" s="784">
        <v>0</v>
      </c>
      <c r="H324" s="784">
        <v>0</v>
      </c>
      <c r="I324" s="784">
        <v>0</v>
      </c>
      <c r="J324" s="784">
        <v>0</v>
      </c>
      <c r="K324" s="784">
        <v>0</v>
      </c>
      <c r="L324" s="784">
        <v>0</v>
      </c>
      <c r="M324" s="784">
        <v>0</v>
      </c>
      <c r="N324" s="784">
        <v>0</v>
      </c>
      <c r="O324" s="784">
        <f t="shared" si="54"/>
        <v>3033.6753000324734</v>
      </c>
    </row>
    <row r="325" spans="1:15" x14ac:dyDescent="0.2">
      <c r="A325" s="796" t="s">
        <v>605</v>
      </c>
      <c r="B325" s="784">
        <v>0</v>
      </c>
      <c r="C325" s="784">
        <v>135.89229124059023</v>
      </c>
      <c r="D325" s="784">
        <v>0</v>
      </c>
      <c r="E325" s="784">
        <v>0</v>
      </c>
      <c r="F325" s="784">
        <v>0</v>
      </c>
      <c r="G325" s="784">
        <v>0</v>
      </c>
      <c r="H325" s="784">
        <v>0</v>
      </c>
      <c r="I325" s="784">
        <v>0</v>
      </c>
      <c r="J325" s="784">
        <v>0</v>
      </c>
      <c r="K325" s="784">
        <v>0</v>
      </c>
      <c r="L325" s="784">
        <v>0</v>
      </c>
      <c r="M325" s="784">
        <v>0</v>
      </c>
      <c r="N325" s="784">
        <v>0</v>
      </c>
      <c r="O325" s="784">
        <f t="shared" si="54"/>
        <v>135.89229124059023</v>
      </c>
    </row>
    <row r="326" spans="1:15" x14ac:dyDescent="0.2">
      <c r="A326" s="796" t="s">
        <v>606</v>
      </c>
      <c r="B326" s="784">
        <v>1242.8149886663434</v>
      </c>
      <c r="C326" s="784">
        <v>0</v>
      </c>
      <c r="D326" s="784">
        <v>0</v>
      </c>
      <c r="E326" s="784">
        <v>0</v>
      </c>
      <c r="F326" s="784">
        <v>0</v>
      </c>
      <c r="G326" s="784">
        <v>0</v>
      </c>
      <c r="H326" s="784">
        <v>0</v>
      </c>
      <c r="I326" s="784">
        <v>220.77507975357551</v>
      </c>
      <c r="J326" s="784">
        <v>0</v>
      </c>
      <c r="K326" s="784">
        <v>0</v>
      </c>
      <c r="L326" s="784">
        <v>0</v>
      </c>
      <c r="M326" s="784">
        <v>0</v>
      </c>
      <c r="N326" s="784">
        <v>0</v>
      </c>
      <c r="O326" s="784">
        <f t="shared" si="54"/>
        <v>1463.5900684199189</v>
      </c>
    </row>
    <row r="327" spans="1:15" x14ac:dyDescent="0.2">
      <c r="A327" s="796" t="s">
        <v>646</v>
      </c>
      <c r="B327" s="784">
        <v>0</v>
      </c>
      <c r="C327" s="784">
        <v>-3971.739758841712</v>
      </c>
      <c r="D327" s="784">
        <v>0</v>
      </c>
      <c r="E327" s="784">
        <v>0</v>
      </c>
      <c r="F327" s="784">
        <v>0</v>
      </c>
      <c r="G327" s="784">
        <v>0</v>
      </c>
      <c r="H327" s="784">
        <v>0</v>
      </c>
      <c r="I327" s="784">
        <v>0</v>
      </c>
      <c r="J327" s="784">
        <v>0</v>
      </c>
      <c r="K327" s="784">
        <v>0</v>
      </c>
      <c r="L327" s="784">
        <v>0</v>
      </c>
      <c r="M327" s="784">
        <v>0</v>
      </c>
      <c r="N327" s="784">
        <v>0</v>
      </c>
      <c r="O327" s="784">
        <f t="shared" si="54"/>
        <v>-3971.739758841712</v>
      </c>
    </row>
    <row r="328" spans="1:15" x14ac:dyDescent="0.2">
      <c r="A328" s="796" t="s">
        <v>647</v>
      </c>
      <c r="B328" s="784">
        <v>6.2472316127378305</v>
      </c>
      <c r="C328" s="784">
        <v>0</v>
      </c>
      <c r="D328" s="784">
        <v>0</v>
      </c>
      <c r="E328" s="784">
        <v>0</v>
      </c>
      <c r="F328" s="784">
        <v>0</v>
      </c>
      <c r="G328" s="784">
        <v>0</v>
      </c>
      <c r="H328" s="784">
        <v>0</v>
      </c>
      <c r="I328" s="784">
        <v>0</v>
      </c>
      <c r="J328" s="784">
        <v>0</v>
      </c>
      <c r="K328" s="784">
        <v>0</v>
      </c>
      <c r="L328" s="784">
        <v>0</v>
      </c>
      <c r="M328" s="784">
        <v>0</v>
      </c>
      <c r="N328" s="784">
        <v>0</v>
      </c>
      <c r="O328" s="784">
        <f t="shared" si="54"/>
        <v>6.2472316127378305</v>
      </c>
    </row>
    <row r="329" spans="1:15" x14ac:dyDescent="0.2">
      <c r="A329" s="796" t="s">
        <v>611</v>
      </c>
      <c r="B329" s="784">
        <v>7991.0955800211186</v>
      </c>
      <c r="C329" s="784">
        <v>0</v>
      </c>
      <c r="D329" s="784">
        <v>0</v>
      </c>
      <c r="E329" s="784">
        <v>0</v>
      </c>
      <c r="F329" s="784">
        <v>0</v>
      </c>
      <c r="G329" s="784">
        <v>0</v>
      </c>
      <c r="H329" s="784">
        <v>0</v>
      </c>
      <c r="I329" s="784">
        <v>0</v>
      </c>
      <c r="J329" s="784">
        <v>0</v>
      </c>
      <c r="K329" s="784">
        <v>0</v>
      </c>
      <c r="L329" s="784">
        <v>0</v>
      </c>
      <c r="M329" s="784">
        <v>0</v>
      </c>
      <c r="N329" s="784">
        <v>0</v>
      </c>
      <c r="O329" s="784">
        <f t="shared" si="54"/>
        <v>7991.0955800211186</v>
      </c>
    </row>
    <row r="330" spans="1:15" x14ac:dyDescent="0.2">
      <c r="A330" s="796" t="s">
        <v>612</v>
      </c>
      <c r="B330" s="784">
        <v>132849.07169181094</v>
      </c>
      <c r="C330" s="784">
        <v>7853.1092277709949</v>
      </c>
      <c r="D330" s="784">
        <v>0</v>
      </c>
      <c r="E330" s="784">
        <v>0</v>
      </c>
      <c r="F330" s="784">
        <v>0</v>
      </c>
      <c r="G330" s="784">
        <v>0</v>
      </c>
      <c r="H330" s="784">
        <v>0</v>
      </c>
      <c r="I330" s="784">
        <v>0</v>
      </c>
      <c r="J330" s="784">
        <v>0</v>
      </c>
      <c r="K330" s="784">
        <v>0</v>
      </c>
      <c r="L330" s="784">
        <v>0</v>
      </c>
      <c r="M330" s="784">
        <v>0</v>
      </c>
      <c r="N330" s="784">
        <v>0</v>
      </c>
      <c r="O330" s="784">
        <f t="shared" si="54"/>
        <v>140702.18091958194</v>
      </c>
    </row>
    <row r="331" spans="1:15" x14ac:dyDescent="0.2">
      <c r="A331" s="796" t="s">
        <v>644</v>
      </c>
      <c r="B331" s="784">
        <v>3460.27601215197</v>
      </c>
      <c r="C331" s="784">
        <v>0</v>
      </c>
      <c r="D331" s="784">
        <v>0</v>
      </c>
      <c r="E331" s="784">
        <v>0</v>
      </c>
      <c r="F331" s="784">
        <v>0</v>
      </c>
      <c r="G331" s="784">
        <v>0</v>
      </c>
      <c r="H331" s="784">
        <v>0</v>
      </c>
      <c r="I331" s="784">
        <v>0</v>
      </c>
      <c r="J331" s="784">
        <v>0</v>
      </c>
      <c r="K331" s="784">
        <v>0</v>
      </c>
      <c r="L331" s="784">
        <v>0</v>
      </c>
      <c r="M331" s="784">
        <v>0</v>
      </c>
      <c r="N331" s="784">
        <v>0</v>
      </c>
      <c r="O331" s="784">
        <f t="shared" si="54"/>
        <v>3460.27601215197</v>
      </c>
    </row>
    <row r="332" spans="1:15" x14ac:dyDescent="0.2">
      <c r="A332" s="796" t="s">
        <v>645</v>
      </c>
      <c r="B332" s="784">
        <v>0</v>
      </c>
      <c r="C332" s="784">
        <v>69.783467562848884</v>
      </c>
      <c r="D332" s="784">
        <v>0</v>
      </c>
      <c r="E332" s="784">
        <v>0</v>
      </c>
      <c r="F332" s="784">
        <v>0</v>
      </c>
      <c r="G332" s="784">
        <v>0</v>
      </c>
      <c r="H332" s="784">
        <v>0</v>
      </c>
      <c r="I332" s="784">
        <v>0</v>
      </c>
      <c r="J332" s="784">
        <v>0</v>
      </c>
      <c r="K332" s="784">
        <v>0</v>
      </c>
      <c r="L332" s="784">
        <v>0</v>
      </c>
      <c r="M332" s="784">
        <v>0</v>
      </c>
      <c r="N332" s="784">
        <v>0</v>
      </c>
      <c r="O332" s="784">
        <f t="shared" si="54"/>
        <v>69.783467562848884</v>
      </c>
    </row>
    <row r="333" spans="1:15" x14ac:dyDescent="0.2">
      <c r="A333" s="796" t="s">
        <v>618</v>
      </c>
      <c r="B333" s="784">
        <v>4993.9024274832464</v>
      </c>
      <c r="C333" s="784">
        <v>0</v>
      </c>
      <c r="D333" s="784">
        <v>29.79940171454647</v>
      </c>
      <c r="E333" s="784">
        <v>0</v>
      </c>
      <c r="F333" s="784">
        <v>0</v>
      </c>
      <c r="G333" s="784">
        <v>0</v>
      </c>
      <c r="H333" s="784">
        <v>0</v>
      </c>
      <c r="I333" s="784">
        <v>4105.6986466131111</v>
      </c>
      <c r="J333" s="784">
        <v>0</v>
      </c>
      <c r="K333" s="784">
        <v>0</v>
      </c>
      <c r="L333" s="784">
        <v>0</v>
      </c>
      <c r="M333" s="784">
        <v>0</v>
      </c>
      <c r="N333" s="784">
        <v>0</v>
      </c>
      <c r="O333" s="784">
        <f t="shared" si="54"/>
        <v>9129.400475810904</v>
      </c>
    </row>
    <row r="334" spans="1:15" x14ac:dyDescent="0.2">
      <c r="A334" s="796" t="s">
        <v>4261</v>
      </c>
      <c r="B334" s="784">
        <v>0</v>
      </c>
      <c r="C334" s="784">
        <v>0</v>
      </c>
      <c r="D334" s="784">
        <v>0</v>
      </c>
      <c r="E334" s="784">
        <v>0</v>
      </c>
      <c r="F334" s="784">
        <v>0</v>
      </c>
      <c r="G334" s="784">
        <v>0</v>
      </c>
      <c r="H334" s="784">
        <v>0</v>
      </c>
      <c r="I334" s="784">
        <v>-1048.6547414720037</v>
      </c>
      <c r="J334" s="784">
        <v>0</v>
      </c>
      <c r="K334" s="784">
        <v>0</v>
      </c>
      <c r="L334" s="784">
        <v>0</v>
      </c>
      <c r="M334" s="784">
        <v>0</v>
      </c>
      <c r="N334" s="784">
        <v>0</v>
      </c>
      <c r="O334" s="784">
        <f t="shared" si="54"/>
        <v>-1048.6547414720037</v>
      </c>
    </row>
    <row r="335" spans="1:15" x14ac:dyDescent="0.2">
      <c r="A335" s="796" t="s">
        <v>670</v>
      </c>
      <c r="B335" s="784">
        <v>0</v>
      </c>
      <c r="C335" s="784">
        <v>0</v>
      </c>
      <c r="D335" s="784">
        <v>0</v>
      </c>
      <c r="E335" s="784">
        <v>0</v>
      </c>
      <c r="F335" s="784">
        <v>0</v>
      </c>
      <c r="G335" s="784">
        <v>0</v>
      </c>
      <c r="H335" s="784">
        <v>0</v>
      </c>
      <c r="I335" s="784">
        <v>107.03107562099456</v>
      </c>
      <c r="J335" s="784">
        <v>0</v>
      </c>
      <c r="K335" s="784">
        <v>0</v>
      </c>
      <c r="L335" s="784">
        <v>0</v>
      </c>
      <c r="M335" s="784">
        <v>0</v>
      </c>
      <c r="N335" s="784">
        <v>0</v>
      </c>
      <c r="O335" s="784">
        <f t="shared" si="54"/>
        <v>107.03107562099456</v>
      </c>
    </row>
    <row r="336" spans="1:15" x14ac:dyDescent="0.2">
      <c r="A336" s="796" t="s">
        <v>671</v>
      </c>
      <c r="B336" s="784">
        <v>0</v>
      </c>
      <c r="C336" s="784">
        <v>29.788048191312839</v>
      </c>
      <c r="D336" s="784">
        <v>0</v>
      </c>
      <c r="E336" s="784">
        <v>0</v>
      </c>
      <c r="F336" s="784">
        <v>0</v>
      </c>
      <c r="G336" s="784">
        <v>0</v>
      </c>
      <c r="H336" s="784">
        <v>0</v>
      </c>
      <c r="I336" s="784">
        <v>0</v>
      </c>
      <c r="J336" s="784">
        <v>0</v>
      </c>
      <c r="K336" s="784">
        <v>0</v>
      </c>
      <c r="L336" s="784">
        <v>0</v>
      </c>
      <c r="M336" s="784">
        <v>0</v>
      </c>
      <c r="N336" s="784">
        <v>0</v>
      </c>
      <c r="O336" s="784">
        <f t="shared" ref="O336:O343" si="55">SUM(B336:N336)</f>
        <v>29.788048191312839</v>
      </c>
    </row>
    <row r="337" spans="1:15" x14ac:dyDescent="0.2">
      <c r="A337" s="796" t="s">
        <v>651</v>
      </c>
      <c r="B337" s="784">
        <v>28985.711072742815</v>
      </c>
      <c r="C337" s="784">
        <v>0</v>
      </c>
      <c r="D337" s="784">
        <v>0</v>
      </c>
      <c r="E337" s="784">
        <v>0</v>
      </c>
      <c r="F337" s="784">
        <v>0</v>
      </c>
      <c r="G337" s="784">
        <v>0</v>
      </c>
      <c r="H337" s="784">
        <v>0</v>
      </c>
      <c r="I337" s="784">
        <v>0</v>
      </c>
      <c r="J337" s="784">
        <v>0</v>
      </c>
      <c r="K337" s="784">
        <v>0</v>
      </c>
      <c r="L337" s="784">
        <v>0</v>
      </c>
      <c r="M337" s="784">
        <v>0</v>
      </c>
      <c r="N337" s="784">
        <v>0</v>
      </c>
      <c r="O337" s="784">
        <f t="shared" si="55"/>
        <v>28985.711072742815</v>
      </c>
    </row>
    <row r="338" spans="1:15" x14ac:dyDescent="0.2">
      <c r="A338" s="796" t="s">
        <v>695</v>
      </c>
      <c r="B338" s="784">
        <v>4773.9443820695478</v>
      </c>
      <c r="C338" s="784">
        <v>7190.4359262287935</v>
      </c>
      <c r="D338" s="784">
        <v>866.21283441092487</v>
      </c>
      <c r="E338" s="784">
        <v>0</v>
      </c>
      <c r="F338" s="784">
        <v>0</v>
      </c>
      <c r="G338" s="784">
        <v>0</v>
      </c>
      <c r="H338" s="784">
        <v>0</v>
      </c>
      <c r="I338" s="784">
        <v>865.21493312632856</v>
      </c>
      <c r="J338" s="784">
        <v>0</v>
      </c>
      <c r="K338" s="784">
        <v>0</v>
      </c>
      <c r="L338" s="784">
        <v>0</v>
      </c>
      <c r="M338" s="784">
        <v>0</v>
      </c>
      <c r="N338" s="784">
        <v>0</v>
      </c>
      <c r="O338" s="784">
        <f t="shared" si="55"/>
        <v>13695.808075835594</v>
      </c>
    </row>
    <row r="339" spans="1:15" x14ac:dyDescent="0.2">
      <c r="A339" s="796" t="s">
        <v>696</v>
      </c>
      <c r="B339" s="784">
        <v>488699.960101531</v>
      </c>
      <c r="C339" s="784">
        <v>208457.67468143025</v>
      </c>
      <c r="D339" s="784">
        <v>1788.8264796151116</v>
      </c>
      <c r="E339" s="784">
        <v>0</v>
      </c>
      <c r="F339" s="784">
        <v>9145.8263397835799</v>
      </c>
      <c r="G339" s="784">
        <v>16821.525293480823</v>
      </c>
      <c r="H339" s="784">
        <v>0</v>
      </c>
      <c r="I339" s="784">
        <v>38015.937500402564</v>
      </c>
      <c r="J339" s="784">
        <v>0</v>
      </c>
      <c r="K339" s="784">
        <v>12829.174326497989</v>
      </c>
      <c r="L339" s="784">
        <v>18896.310177594129</v>
      </c>
      <c r="M339" s="784">
        <v>0</v>
      </c>
      <c r="N339" s="784">
        <v>0</v>
      </c>
      <c r="O339" s="784">
        <f t="shared" si="55"/>
        <v>794655.23490033532</v>
      </c>
    </row>
    <row r="340" spans="1:15" x14ac:dyDescent="0.2">
      <c r="A340" s="796" t="s">
        <v>697</v>
      </c>
      <c r="B340" s="784">
        <v>462973.39211797866</v>
      </c>
      <c r="C340" s="784">
        <v>21053.348923963342</v>
      </c>
      <c r="D340" s="784">
        <v>0</v>
      </c>
      <c r="E340" s="784">
        <v>0</v>
      </c>
      <c r="F340" s="784">
        <v>0</v>
      </c>
      <c r="G340" s="784">
        <v>0</v>
      </c>
      <c r="H340" s="784">
        <v>0</v>
      </c>
      <c r="I340" s="784">
        <v>0</v>
      </c>
      <c r="J340" s="784">
        <v>0</v>
      </c>
      <c r="K340" s="784">
        <v>0</v>
      </c>
      <c r="L340" s="784">
        <v>0</v>
      </c>
      <c r="M340" s="784">
        <v>0</v>
      </c>
      <c r="N340" s="784">
        <v>0</v>
      </c>
      <c r="O340" s="784">
        <f t="shared" si="55"/>
        <v>484026.74104194198</v>
      </c>
    </row>
    <row r="341" spans="1:15" x14ac:dyDescent="0.2">
      <c r="A341" s="796" t="s">
        <v>639</v>
      </c>
      <c r="B341" s="784">
        <v>598669.2039636405</v>
      </c>
      <c r="C341" s="784">
        <v>127565.03718648946</v>
      </c>
      <c r="D341" s="784">
        <v>8955.3396180590353</v>
      </c>
      <c r="E341" s="784">
        <v>0</v>
      </c>
      <c r="F341" s="784">
        <v>0</v>
      </c>
      <c r="G341" s="784">
        <v>0</v>
      </c>
      <c r="H341" s="784">
        <v>0</v>
      </c>
      <c r="I341" s="784">
        <v>14570.892770345044</v>
      </c>
      <c r="J341" s="784">
        <v>0</v>
      </c>
      <c r="K341" s="784">
        <v>0</v>
      </c>
      <c r="L341" s="784">
        <v>0</v>
      </c>
      <c r="M341" s="784">
        <v>0</v>
      </c>
      <c r="N341" s="784">
        <v>0</v>
      </c>
      <c r="O341" s="784">
        <f t="shared" si="55"/>
        <v>749760.47353853402</v>
      </c>
    </row>
    <row r="342" spans="1:15" x14ac:dyDescent="0.2">
      <c r="A342" s="796" t="s">
        <v>636</v>
      </c>
      <c r="B342" s="784">
        <v>193125.31404700861</v>
      </c>
      <c r="C342" s="784">
        <v>13244.962764559012</v>
      </c>
      <c r="D342" s="784">
        <v>2006.9871562467824</v>
      </c>
      <c r="E342" s="784">
        <v>0</v>
      </c>
      <c r="F342" s="784">
        <v>0</v>
      </c>
      <c r="G342" s="784">
        <v>0</v>
      </c>
      <c r="H342" s="784">
        <v>0</v>
      </c>
      <c r="I342" s="784">
        <v>1510.2689078010328</v>
      </c>
      <c r="J342" s="784">
        <v>0</v>
      </c>
      <c r="K342" s="784">
        <v>0</v>
      </c>
      <c r="L342" s="784">
        <v>0</v>
      </c>
      <c r="M342" s="784">
        <v>0</v>
      </c>
      <c r="N342" s="784">
        <v>0</v>
      </c>
      <c r="O342" s="784">
        <f t="shared" si="55"/>
        <v>209887.53287561546</v>
      </c>
    </row>
    <row r="343" spans="1:15" x14ac:dyDescent="0.2">
      <c r="A343" s="796" t="s">
        <v>633</v>
      </c>
      <c r="B343" s="784">
        <v>226308.45293163054</v>
      </c>
      <c r="C343" s="784">
        <v>107941.1352419204</v>
      </c>
      <c r="D343" s="784">
        <v>7335.8720059564057</v>
      </c>
      <c r="E343" s="784">
        <v>0</v>
      </c>
      <c r="F343" s="784">
        <v>0</v>
      </c>
      <c r="G343" s="784">
        <v>0</v>
      </c>
      <c r="H343" s="784">
        <v>0</v>
      </c>
      <c r="I343" s="784">
        <v>1789.5353529321139</v>
      </c>
      <c r="J343" s="784">
        <v>0</v>
      </c>
      <c r="K343" s="784">
        <v>0</v>
      </c>
      <c r="L343" s="784">
        <v>0</v>
      </c>
      <c r="M343" s="784">
        <v>0</v>
      </c>
      <c r="N343" s="784">
        <v>0</v>
      </c>
      <c r="O343" s="784">
        <f t="shared" si="55"/>
        <v>343374.9955324395</v>
      </c>
    </row>
    <row r="344" spans="1:15" ht="10.5" x14ac:dyDescent="0.25">
      <c r="A344" s="787" t="s">
        <v>4226</v>
      </c>
      <c r="B344" s="786">
        <f t="shared" ref="B344:O344" si="56">SUM(B272:B343)</f>
        <v>12013500.464736847</v>
      </c>
      <c r="C344" s="786">
        <f t="shared" si="56"/>
        <v>1694315.9750955284</v>
      </c>
      <c r="D344" s="786">
        <f t="shared" si="56"/>
        <v>215205.13163552331</v>
      </c>
      <c r="E344" s="786">
        <f t="shared" si="56"/>
        <v>0</v>
      </c>
      <c r="F344" s="786">
        <f t="shared" si="56"/>
        <v>9145.8263397835799</v>
      </c>
      <c r="G344" s="786">
        <f t="shared" si="56"/>
        <v>16821.525293480823</v>
      </c>
      <c r="H344" s="786">
        <f t="shared" si="56"/>
        <v>0</v>
      </c>
      <c r="I344" s="786">
        <f t="shared" si="56"/>
        <v>129552.35367038465</v>
      </c>
      <c r="J344" s="786">
        <f t="shared" si="56"/>
        <v>0</v>
      </c>
      <c r="K344" s="786">
        <f t="shared" si="56"/>
        <v>12829.174326497989</v>
      </c>
      <c r="L344" s="786">
        <f t="shared" si="56"/>
        <v>18896.310177594129</v>
      </c>
      <c r="M344" s="786">
        <f t="shared" si="56"/>
        <v>0</v>
      </c>
      <c r="N344" s="786">
        <f t="shared" si="56"/>
        <v>-2075189.67446424</v>
      </c>
      <c r="O344" s="786">
        <f t="shared" si="56"/>
        <v>12035077.086811395</v>
      </c>
    </row>
    <row r="345" spans="1:15" ht="10.5" x14ac:dyDescent="0.25">
      <c r="A345" s="781" t="s">
        <v>4227</v>
      </c>
      <c r="B345" s="780">
        <v>13179199.759790227</v>
      </c>
      <c r="C345" s="780">
        <v>14879793.697881889</v>
      </c>
      <c r="D345" s="780">
        <v>661867.2815690292</v>
      </c>
      <c r="E345" s="780">
        <v>980916.82297131978</v>
      </c>
      <c r="F345" s="780">
        <v>1599817.1706229022</v>
      </c>
      <c r="G345" s="780">
        <v>1877009.9770279133</v>
      </c>
      <c r="H345" s="780">
        <v>353409.48549729266</v>
      </c>
      <c r="I345" s="780">
        <v>413127.88368629158</v>
      </c>
      <c r="J345" s="780">
        <v>704341.504302638</v>
      </c>
      <c r="K345" s="780">
        <v>420077.66688606708</v>
      </c>
      <c r="L345" s="780">
        <v>420008.9199453707</v>
      </c>
      <c r="M345" s="780">
        <v>0</v>
      </c>
      <c r="N345" s="780">
        <v>-3638068.0192444664</v>
      </c>
      <c r="O345" s="780">
        <v>31851502.150936481</v>
      </c>
    </row>
    <row r="346" spans="1:15" x14ac:dyDescent="0.2">
      <c r="A346" s="796" t="s">
        <v>688</v>
      </c>
      <c r="B346" s="784">
        <v>1918079.6485998051</v>
      </c>
      <c r="C346" s="784">
        <v>829875.24054092274</v>
      </c>
      <c r="D346" s="784">
        <v>0</v>
      </c>
      <c r="E346" s="784">
        <v>0</v>
      </c>
      <c r="F346" s="784">
        <v>0</v>
      </c>
      <c r="G346" s="784">
        <v>0</v>
      </c>
      <c r="H346" s="784">
        <v>0</v>
      </c>
      <c r="I346" s="784">
        <v>0</v>
      </c>
      <c r="J346" s="784">
        <v>0</v>
      </c>
      <c r="K346" s="784">
        <v>0</v>
      </c>
      <c r="L346" s="784">
        <v>0</v>
      </c>
      <c r="M346" s="784">
        <v>0</v>
      </c>
      <c r="N346" s="784">
        <v>-2747954.890277857</v>
      </c>
      <c r="O346" s="784">
        <f t="shared" ref="O346:O409" si="57">SUM(B346:N346)</f>
        <v>-1.1371290311217308E-3</v>
      </c>
    </row>
    <row r="347" spans="1:15" x14ac:dyDescent="0.2">
      <c r="A347" s="796" t="s">
        <v>689</v>
      </c>
      <c r="B347" s="784">
        <v>859429.54240836692</v>
      </c>
      <c r="C347" s="784">
        <v>30683.602208965101</v>
      </c>
      <c r="D347" s="784">
        <v>0</v>
      </c>
      <c r="E347" s="784">
        <v>0</v>
      </c>
      <c r="F347" s="784">
        <v>0</v>
      </c>
      <c r="G347" s="784">
        <v>0</v>
      </c>
      <c r="H347" s="784">
        <v>0</v>
      </c>
      <c r="I347" s="784">
        <v>0</v>
      </c>
      <c r="J347" s="784">
        <v>0</v>
      </c>
      <c r="K347" s="784">
        <v>0</v>
      </c>
      <c r="L347" s="784">
        <v>0</v>
      </c>
      <c r="M347" s="784">
        <v>0</v>
      </c>
      <c r="N347" s="784">
        <v>-890113.12896660937</v>
      </c>
      <c r="O347" s="784">
        <f t="shared" si="57"/>
        <v>1.5650722663849592E-2</v>
      </c>
    </row>
    <row r="348" spans="1:15" x14ac:dyDescent="0.2">
      <c r="A348" s="796" t="s">
        <v>4375</v>
      </c>
      <c r="B348" s="784">
        <v>0</v>
      </c>
      <c r="C348" s="784">
        <v>81195.830155961055</v>
      </c>
      <c r="D348" s="784">
        <v>0</v>
      </c>
      <c r="E348" s="784">
        <v>0</v>
      </c>
      <c r="F348" s="784">
        <v>0</v>
      </c>
      <c r="G348" s="784">
        <v>0</v>
      </c>
      <c r="H348" s="784">
        <v>0</v>
      </c>
      <c r="I348" s="784">
        <v>0</v>
      </c>
      <c r="J348" s="784">
        <v>24459.902918268665</v>
      </c>
      <c r="K348" s="784">
        <v>0</v>
      </c>
      <c r="L348" s="784">
        <v>0</v>
      </c>
      <c r="M348" s="784">
        <v>0</v>
      </c>
      <c r="N348" s="784">
        <v>0</v>
      </c>
      <c r="O348" s="784">
        <f t="shared" si="57"/>
        <v>105655.73307422972</v>
      </c>
    </row>
    <row r="349" spans="1:15" x14ac:dyDescent="0.2">
      <c r="A349" s="796" t="s">
        <v>558</v>
      </c>
      <c r="B349" s="784">
        <v>2648198.672212889</v>
      </c>
      <c r="C349" s="784">
        <v>6007631.2476291293</v>
      </c>
      <c r="D349" s="784">
        <v>405558.95056967397</v>
      </c>
      <c r="E349" s="784">
        <v>588902.33227270341</v>
      </c>
      <c r="F349" s="784">
        <v>839184.61023984407</v>
      </c>
      <c r="G349" s="784">
        <v>793462.21443194896</v>
      </c>
      <c r="H349" s="784">
        <v>159643.32432709818</v>
      </c>
      <c r="I349" s="784">
        <v>275329.66905955732</v>
      </c>
      <c r="J349" s="784">
        <v>308772.49118854845</v>
      </c>
      <c r="K349" s="784">
        <v>193137.79516544362</v>
      </c>
      <c r="L349" s="784">
        <v>183497.92406387633</v>
      </c>
      <c r="M349" s="784">
        <v>0</v>
      </c>
      <c r="N349" s="784">
        <v>0</v>
      </c>
      <c r="O349" s="784">
        <f t="shared" si="57"/>
        <v>12403319.231160713</v>
      </c>
    </row>
    <row r="350" spans="1:15" x14ac:dyDescent="0.2">
      <c r="A350" s="796" t="s">
        <v>4376</v>
      </c>
      <c r="B350" s="784">
        <v>232587.15162220603</v>
      </c>
      <c r="C350" s="784">
        <v>1534.0407705267357</v>
      </c>
      <c r="D350" s="784">
        <v>25755.290790694304</v>
      </c>
      <c r="E350" s="784">
        <v>-9432.079698314863</v>
      </c>
      <c r="F350" s="784">
        <v>0</v>
      </c>
      <c r="G350" s="784">
        <v>387.60994327525799</v>
      </c>
      <c r="H350" s="784">
        <v>14115.746072317545</v>
      </c>
      <c r="I350" s="784">
        <v>9114.5206507200346</v>
      </c>
      <c r="J350" s="784">
        <v>35767.833214922415</v>
      </c>
      <c r="K350" s="784">
        <v>0</v>
      </c>
      <c r="L350" s="784">
        <v>0</v>
      </c>
      <c r="M350" s="784">
        <v>0</v>
      </c>
      <c r="N350" s="784">
        <v>0</v>
      </c>
      <c r="O350" s="784">
        <f t="shared" si="57"/>
        <v>309830.11336634745</v>
      </c>
    </row>
    <row r="351" spans="1:15" x14ac:dyDescent="0.2">
      <c r="A351" s="796" t="s">
        <v>4735</v>
      </c>
      <c r="B351" s="784">
        <v>45057.755133738348</v>
      </c>
      <c r="C351" s="784">
        <v>0</v>
      </c>
      <c r="D351" s="784">
        <v>0</v>
      </c>
      <c r="E351" s="784">
        <v>0</v>
      </c>
      <c r="F351" s="784">
        <v>0</v>
      </c>
      <c r="G351" s="784">
        <v>0</v>
      </c>
      <c r="H351" s="784">
        <v>0</v>
      </c>
      <c r="I351" s="784">
        <v>0</v>
      </c>
      <c r="J351" s="784">
        <v>0</v>
      </c>
      <c r="K351" s="784">
        <v>0</v>
      </c>
      <c r="L351" s="784">
        <v>0</v>
      </c>
      <c r="M351" s="784">
        <v>0</v>
      </c>
      <c r="N351" s="784">
        <v>0</v>
      </c>
      <c r="O351" s="784">
        <f t="shared" si="57"/>
        <v>45057.755133738348</v>
      </c>
    </row>
    <row r="352" spans="1:15" x14ac:dyDescent="0.2">
      <c r="A352" s="796" t="s">
        <v>4377</v>
      </c>
      <c r="B352" s="784">
        <v>231984.36015616581</v>
      </c>
      <c r="C352" s="784">
        <v>0</v>
      </c>
      <c r="D352" s="784">
        <v>0</v>
      </c>
      <c r="E352" s="784">
        <v>0</v>
      </c>
      <c r="F352" s="784">
        <v>39532.49076187882</v>
      </c>
      <c r="G352" s="784">
        <v>47241.363099328075</v>
      </c>
      <c r="H352" s="784">
        <v>0</v>
      </c>
      <c r="I352" s="784">
        <v>0</v>
      </c>
      <c r="J352" s="784">
        <v>-6054.0943946813504</v>
      </c>
      <c r="K352" s="784">
        <v>2046.3166706901764</v>
      </c>
      <c r="L352" s="784">
        <v>7707.5141657956037</v>
      </c>
      <c r="M352" s="784">
        <v>0</v>
      </c>
      <c r="N352" s="784">
        <v>0</v>
      </c>
      <c r="O352" s="784">
        <f t="shared" si="57"/>
        <v>322457.95045917714</v>
      </c>
    </row>
    <row r="353" spans="1:15" x14ac:dyDescent="0.2">
      <c r="A353" s="796" t="s">
        <v>4378</v>
      </c>
      <c r="B353" s="784">
        <v>-9466.0061554542663</v>
      </c>
      <c r="C353" s="784">
        <v>0</v>
      </c>
      <c r="D353" s="784">
        <v>0</v>
      </c>
      <c r="E353" s="784">
        <v>0</v>
      </c>
      <c r="F353" s="784">
        <v>0</v>
      </c>
      <c r="G353" s="784">
        <v>0</v>
      </c>
      <c r="H353" s="784">
        <v>0</v>
      </c>
      <c r="I353" s="784">
        <v>0</v>
      </c>
      <c r="J353" s="784">
        <v>0</v>
      </c>
      <c r="K353" s="784">
        <v>0</v>
      </c>
      <c r="L353" s="784">
        <v>0</v>
      </c>
      <c r="M353" s="784">
        <v>0</v>
      </c>
      <c r="N353" s="784">
        <v>0</v>
      </c>
      <c r="O353" s="784">
        <f t="shared" si="57"/>
        <v>-9466.0061554542663</v>
      </c>
    </row>
    <row r="354" spans="1:15" x14ac:dyDescent="0.2">
      <c r="A354" s="796" t="s">
        <v>559</v>
      </c>
      <c r="B354" s="784">
        <v>543179.80528598442</v>
      </c>
      <c r="C354" s="784">
        <v>917780.00956134242</v>
      </c>
      <c r="D354" s="784">
        <v>41729.445798772031</v>
      </c>
      <c r="E354" s="784">
        <v>80742.328981966071</v>
      </c>
      <c r="F354" s="784">
        <v>115945.65061769317</v>
      </c>
      <c r="G354" s="784">
        <v>112413.96708928225</v>
      </c>
      <c r="H354" s="784">
        <v>6182.7570931711243</v>
      </c>
      <c r="I354" s="784">
        <v>14483.792445943322</v>
      </c>
      <c r="J354" s="784">
        <v>17441.206821353604</v>
      </c>
      <c r="K354" s="784">
        <v>4229.5750443622492</v>
      </c>
      <c r="L354" s="784">
        <v>16160.589566417224</v>
      </c>
      <c r="M354" s="784">
        <v>0</v>
      </c>
      <c r="N354" s="784">
        <v>0</v>
      </c>
      <c r="O354" s="784">
        <f t="shared" si="57"/>
        <v>1870289.1283062878</v>
      </c>
    </row>
    <row r="355" spans="1:15" x14ac:dyDescent="0.2">
      <c r="A355" s="796" t="s">
        <v>3872</v>
      </c>
      <c r="B355" s="784">
        <v>5804.8443463165195</v>
      </c>
      <c r="C355" s="784">
        <v>0</v>
      </c>
      <c r="D355" s="784">
        <v>0</v>
      </c>
      <c r="E355" s="784">
        <v>0</v>
      </c>
      <c r="F355" s="784">
        <v>0</v>
      </c>
      <c r="G355" s="784">
        <v>0</v>
      </c>
      <c r="H355" s="784">
        <v>0</v>
      </c>
      <c r="I355" s="784">
        <v>0</v>
      </c>
      <c r="J355" s="784">
        <v>0</v>
      </c>
      <c r="K355" s="784">
        <v>0</v>
      </c>
      <c r="L355" s="784">
        <v>0</v>
      </c>
      <c r="M355" s="784">
        <v>0</v>
      </c>
      <c r="N355" s="784">
        <v>0</v>
      </c>
      <c r="O355" s="784">
        <f t="shared" si="57"/>
        <v>5804.8443463165195</v>
      </c>
    </row>
    <row r="356" spans="1:15" x14ac:dyDescent="0.2">
      <c r="A356" s="796" t="s">
        <v>3873</v>
      </c>
      <c r="B356" s="784">
        <v>20866.923613500621</v>
      </c>
      <c r="C356" s="784">
        <v>0</v>
      </c>
      <c r="D356" s="784">
        <v>0</v>
      </c>
      <c r="E356" s="784">
        <v>0</v>
      </c>
      <c r="F356" s="784">
        <v>0</v>
      </c>
      <c r="G356" s="784">
        <v>0</v>
      </c>
      <c r="H356" s="784">
        <v>0</v>
      </c>
      <c r="I356" s="784">
        <v>0</v>
      </c>
      <c r="J356" s="784">
        <v>0</v>
      </c>
      <c r="K356" s="784">
        <v>0</v>
      </c>
      <c r="L356" s="784">
        <v>0</v>
      </c>
      <c r="M356" s="784">
        <v>0</v>
      </c>
      <c r="N356" s="784">
        <v>0</v>
      </c>
      <c r="O356" s="784">
        <f t="shared" si="57"/>
        <v>20866.923613500621</v>
      </c>
    </row>
    <row r="357" spans="1:15" x14ac:dyDescent="0.2">
      <c r="A357" s="796" t="s">
        <v>560</v>
      </c>
      <c r="B357" s="784">
        <v>-145154.04690694471</v>
      </c>
      <c r="C357" s="784">
        <v>-112271.22313192957</v>
      </c>
      <c r="D357" s="784">
        <v>0</v>
      </c>
      <c r="E357" s="784">
        <v>0</v>
      </c>
      <c r="F357" s="784">
        <v>0</v>
      </c>
      <c r="G357" s="784">
        <v>0</v>
      </c>
      <c r="H357" s="784">
        <v>0</v>
      </c>
      <c r="I357" s="784">
        <v>0</v>
      </c>
      <c r="J357" s="784">
        <v>0</v>
      </c>
      <c r="K357" s="784">
        <v>0</v>
      </c>
      <c r="L357" s="784">
        <v>0</v>
      </c>
      <c r="M357" s="784">
        <v>0</v>
      </c>
      <c r="N357" s="784">
        <v>0</v>
      </c>
      <c r="O357" s="784">
        <f t="shared" si="57"/>
        <v>-257425.2700388743</v>
      </c>
    </row>
    <row r="358" spans="1:15" x14ac:dyDescent="0.2">
      <c r="A358" s="796" t="s">
        <v>720</v>
      </c>
      <c r="B358" s="784">
        <v>232711.78166748551</v>
      </c>
      <c r="C358" s="784">
        <v>178600.50115749042</v>
      </c>
      <c r="D358" s="784">
        <v>0</v>
      </c>
      <c r="E358" s="784">
        <v>0</v>
      </c>
      <c r="F358" s="784">
        <v>0</v>
      </c>
      <c r="G358" s="784">
        <v>0</v>
      </c>
      <c r="H358" s="784">
        <v>0</v>
      </c>
      <c r="I358" s="784">
        <v>0</v>
      </c>
      <c r="J358" s="784">
        <v>0</v>
      </c>
      <c r="K358" s="784">
        <v>0</v>
      </c>
      <c r="L358" s="784">
        <v>0</v>
      </c>
      <c r="M358" s="784">
        <v>0</v>
      </c>
      <c r="N358" s="784">
        <v>0</v>
      </c>
      <c r="O358" s="784">
        <f t="shared" si="57"/>
        <v>411312.2828249759</v>
      </c>
    </row>
    <row r="359" spans="1:15" x14ac:dyDescent="0.2">
      <c r="A359" s="796" t="s">
        <v>700</v>
      </c>
      <c r="B359" s="784">
        <v>285758.93991027685</v>
      </c>
      <c r="C359" s="784">
        <v>802686.09259598691</v>
      </c>
      <c r="D359" s="784">
        <v>28026.832733716285</v>
      </c>
      <c r="E359" s="784">
        <v>-44442.362014775361</v>
      </c>
      <c r="F359" s="784">
        <v>170001.54899733976</v>
      </c>
      <c r="G359" s="784">
        <v>90164.511592780691</v>
      </c>
      <c r="H359" s="784">
        <v>40051.693089249828</v>
      </c>
      <c r="I359" s="784">
        <v>1536.2338279255696</v>
      </c>
      <c r="J359" s="784">
        <v>54279.116151778202</v>
      </c>
      <c r="K359" s="784">
        <v>7749.1614664229237</v>
      </c>
      <c r="L359" s="784">
        <v>51860.222462886035</v>
      </c>
      <c r="M359" s="784">
        <v>0</v>
      </c>
      <c r="N359" s="784">
        <v>0</v>
      </c>
      <c r="O359" s="784">
        <f t="shared" si="57"/>
        <v>1487671.9908135878</v>
      </c>
    </row>
    <row r="360" spans="1:15" x14ac:dyDescent="0.2">
      <c r="A360" s="796" t="s">
        <v>3874</v>
      </c>
      <c r="B360" s="784">
        <v>847.38596694162311</v>
      </c>
      <c r="C360" s="784">
        <v>0</v>
      </c>
      <c r="D360" s="784">
        <v>0</v>
      </c>
      <c r="E360" s="784">
        <v>0</v>
      </c>
      <c r="F360" s="784">
        <v>0</v>
      </c>
      <c r="G360" s="784">
        <v>0</v>
      </c>
      <c r="H360" s="784">
        <v>0</v>
      </c>
      <c r="I360" s="784">
        <v>0</v>
      </c>
      <c r="J360" s="784">
        <v>0</v>
      </c>
      <c r="K360" s="784">
        <v>0</v>
      </c>
      <c r="L360" s="784">
        <v>0</v>
      </c>
      <c r="M360" s="784">
        <v>0</v>
      </c>
      <c r="N360" s="784">
        <v>0</v>
      </c>
      <c r="O360" s="784">
        <f t="shared" si="57"/>
        <v>847.38596694162311</v>
      </c>
    </row>
    <row r="361" spans="1:15" x14ac:dyDescent="0.2">
      <c r="A361" s="796" t="s">
        <v>3875</v>
      </c>
      <c r="B361" s="784">
        <v>20189.322952993425</v>
      </c>
      <c r="C361" s="784">
        <v>0</v>
      </c>
      <c r="D361" s="784">
        <v>0</v>
      </c>
      <c r="E361" s="784">
        <v>0</v>
      </c>
      <c r="F361" s="784">
        <v>0</v>
      </c>
      <c r="G361" s="784">
        <v>0</v>
      </c>
      <c r="H361" s="784">
        <v>0</v>
      </c>
      <c r="I361" s="784">
        <v>0</v>
      </c>
      <c r="J361" s="784">
        <v>0</v>
      </c>
      <c r="K361" s="784">
        <v>0</v>
      </c>
      <c r="L361" s="784">
        <v>0</v>
      </c>
      <c r="M361" s="784">
        <v>0</v>
      </c>
      <c r="N361" s="784">
        <v>0</v>
      </c>
      <c r="O361" s="784">
        <f t="shared" si="57"/>
        <v>20189.322952993425</v>
      </c>
    </row>
    <row r="362" spans="1:15" x14ac:dyDescent="0.2">
      <c r="A362" s="796" t="s">
        <v>701</v>
      </c>
      <c r="B362" s="784">
        <v>-670640.05209709122</v>
      </c>
      <c r="C362" s="784">
        <v>-861699.12647450063</v>
      </c>
      <c r="D362" s="784">
        <v>-59761.844706664779</v>
      </c>
      <c r="E362" s="784">
        <v>0</v>
      </c>
      <c r="F362" s="784">
        <v>0</v>
      </c>
      <c r="G362" s="784">
        <v>0</v>
      </c>
      <c r="H362" s="784">
        <v>0</v>
      </c>
      <c r="I362" s="784">
        <v>0</v>
      </c>
      <c r="J362" s="784">
        <v>0</v>
      </c>
      <c r="K362" s="784">
        <v>0</v>
      </c>
      <c r="L362" s="784">
        <v>0</v>
      </c>
      <c r="M362" s="784">
        <v>0</v>
      </c>
      <c r="N362" s="784">
        <v>0</v>
      </c>
      <c r="O362" s="784">
        <f t="shared" si="57"/>
        <v>-1592101.0232782566</v>
      </c>
    </row>
    <row r="363" spans="1:15" x14ac:dyDescent="0.2">
      <c r="A363" s="796" t="s">
        <v>4484</v>
      </c>
      <c r="B363" s="784">
        <v>-134856.13045734068</v>
      </c>
      <c r="C363" s="784">
        <v>0</v>
      </c>
      <c r="D363" s="784">
        <v>0</v>
      </c>
      <c r="E363" s="784">
        <v>0</v>
      </c>
      <c r="F363" s="784">
        <v>0</v>
      </c>
      <c r="G363" s="784">
        <v>0</v>
      </c>
      <c r="H363" s="784">
        <v>0</v>
      </c>
      <c r="I363" s="784">
        <v>0</v>
      </c>
      <c r="J363" s="784">
        <v>0</v>
      </c>
      <c r="K363" s="784">
        <v>0</v>
      </c>
      <c r="L363" s="784">
        <v>0</v>
      </c>
      <c r="M363" s="784">
        <v>0</v>
      </c>
      <c r="N363" s="784">
        <v>0</v>
      </c>
      <c r="O363" s="784">
        <f t="shared" si="57"/>
        <v>-134856.13045734068</v>
      </c>
    </row>
    <row r="364" spans="1:15" x14ac:dyDescent="0.2">
      <c r="A364" s="796" t="s">
        <v>702</v>
      </c>
      <c r="B364" s="784">
        <v>1020706.4772982912</v>
      </c>
      <c r="C364" s="784">
        <v>708529.38968386443</v>
      </c>
      <c r="D364" s="784">
        <v>44426.099953217177</v>
      </c>
      <c r="E364" s="784">
        <v>0</v>
      </c>
      <c r="F364" s="784">
        <v>0</v>
      </c>
      <c r="G364" s="784">
        <v>0</v>
      </c>
      <c r="H364" s="784">
        <v>0</v>
      </c>
      <c r="I364" s="784">
        <v>0</v>
      </c>
      <c r="J364" s="784">
        <v>0</v>
      </c>
      <c r="K364" s="784">
        <v>0</v>
      </c>
      <c r="L364" s="784">
        <v>0</v>
      </c>
      <c r="M364" s="784">
        <v>0</v>
      </c>
      <c r="N364" s="784">
        <v>0</v>
      </c>
      <c r="O364" s="784">
        <f t="shared" si="57"/>
        <v>1773661.9669353727</v>
      </c>
    </row>
    <row r="365" spans="1:15" x14ac:dyDescent="0.2">
      <c r="A365" s="796" t="s">
        <v>728</v>
      </c>
      <c r="B365" s="784">
        <v>0</v>
      </c>
      <c r="C365" s="784">
        <v>0</v>
      </c>
      <c r="D365" s="784">
        <v>235.82778162476774</v>
      </c>
      <c r="E365" s="784">
        <v>0</v>
      </c>
      <c r="F365" s="784">
        <v>0</v>
      </c>
      <c r="G365" s="784">
        <v>0</v>
      </c>
      <c r="H365" s="784">
        <v>0</v>
      </c>
      <c r="I365" s="784">
        <v>13.43428887525525</v>
      </c>
      <c r="J365" s="784">
        <v>0</v>
      </c>
      <c r="K365" s="784">
        <v>0</v>
      </c>
      <c r="L365" s="784">
        <v>0</v>
      </c>
      <c r="M365" s="784">
        <v>0</v>
      </c>
      <c r="N365" s="784">
        <v>0</v>
      </c>
      <c r="O365" s="784">
        <f t="shared" si="57"/>
        <v>249.26207050002299</v>
      </c>
    </row>
    <row r="366" spans="1:15" x14ac:dyDescent="0.2">
      <c r="A366" s="796" t="s">
        <v>4585</v>
      </c>
      <c r="B366" s="784">
        <v>39669.762399473213</v>
      </c>
      <c r="C366" s="784">
        <v>0</v>
      </c>
      <c r="D366" s="784">
        <v>0</v>
      </c>
      <c r="E366" s="784">
        <v>0</v>
      </c>
      <c r="F366" s="784">
        <v>0</v>
      </c>
      <c r="G366" s="784">
        <v>0</v>
      </c>
      <c r="H366" s="784">
        <v>0</v>
      </c>
      <c r="I366" s="784">
        <v>0</v>
      </c>
      <c r="J366" s="784">
        <v>0</v>
      </c>
      <c r="K366" s="784">
        <v>0</v>
      </c>
      <c r="L366" s="784">
        <v>0</v>
      </c>
      <c r="M366" s="784">
        <v>0</v>
      </c>
      <c r="N366" s="784">
        <v>0</v>
      </c>
      <c r="O366" s="784">
        <f t="shared" si="57"/>
        <v>39669.762399473213</v>
      </c>
    </row>
    <row r="367" spans="1:15" x14ac:dyDescent="0.2">
      <c r="A367" s="796" t="s">
        <v>4398</v>
      </c>
      <c r="B367" s="784">
        <v>46.486876032654045</v>
      </c>
      <c r="C367" s="784">
        <v>0</v>
      </c>
      <c r="D367" s="784">
        <v>0</v>
      </c>
      <c r="E367" s="784">
        <v>41724.342426381052</v>
      </c>
      <c r="F367" s="784">
        <v>0</v>
      </c>
      <c r="G367" s="784">
        <v>0</v>
      </c>
      <c r="H367" s="784">
        <v>18272.182820268117</v>
      </c>
      <c r="I367" s="784">
        <v>22065.619815613009</v>
      </c>
      <c r="J367" s="784">
        <v>0</v>
      </c>
      <c r="K367" s="784">
        <v>13835.345673841792</v>
      </c>
      <c r="L367" s="784">
        <v>18790.815036834316</v>
      </c>
      <c r="M367" s="784">
        <v>0</v>
      </c>
      <c r="N367" s="784">
        <v>0</v>
      </c>
      <c r="O367" s="784">
        <f t="shared" si="57"/>
        <v>114734.79264897095</v>
      </c>
    </row>
    <row r="368" spans="1:15" x14ac:dyDescent="0.2">
      <c r="A368" s="796" t="s">
        <v>561</v>
      </c>
      <c r="B368" s="784">
        <v>1113526.4323426131</v>
      </c>
      <c r="C368" s="784">
        <v>612895.65807741869</v>
      </c>
      <c r="D368" s="784">
        <v>65601.596610360153</v>
      </c>
      <c r="E368" s="784">
        <v>0</v>
      </c>
      <c r="F368" s="784">
        <v>158745.62421015944</v>
      </c>
      <c r="G368" s="784">
        <v>127583.92488864389</v>
      </c>
      <c r="H368" s="784">
        <v>0</v>
      </c>
      <c r="I368" s="784">
        <v>0</v>
      </c>
      <c r="J368" s="784">
        <v>140446.01432796201</v>
      </c>
      <c r="K368" s="784">
        <v>0</v>
      </c>
      <c r="L368" s="784">
        <v>87438.981111338726</v>
      </c>
      <c r="M368" s="784">
        <v>0</v>
      </c>
      <c r="N368" s="784">
        <v>0</v>
      </c>
      <c r="O368" s="784">
        <f t="shared" si="57"/>
        <v>2306238.2315684962</v>
      </c>
    </row>
    <row r="369" spans="1:15" x14ac:dyDescent="0.2">
      <c r="A369" s="796" t="s">
        <v>562</v>
      </c>
      <c r="B369" s="784">
        <v>112550.67472752903</v>
      </c>
      <c r="C369" s="784">
        <v>-1544.9975311737121</v>
      </c>
      <c r="D369" s="784">
        <v>3090.629518292209</v>
      </c>
      <c r="E369" s="784">
        <v>-726.91419121558999</v>
      </c>
      <c r="F369" s="784">
        <v>4071.8393317186096</v>
      </c>
      <c r="G369" s="784">
        <v>6519.2967128187393</v>
      </c>
      <c r="H369" s="784">
        <v>0</v>
      </c>
      <c r="I369" s="784">
        <v>0</v>
      </c>
      <c r="J369" s="784">
        <v>-1902.2057916030253</v>
      </c>
      <c r="K369" s="784">
        <v>0</v>
      </c>
      <c r="L369" s="784">
        <v>1450.8096779713492</v>
      </c>
      <c r="M369" s="784">
        <v>0</v>
      </c>
      <c r="N369" s="784">
        <v>0</v>
      </c>
      <c r="O369" s="784">
        <f t="shared" si="57"/>
        <v>123509.13245433761</v>
      </c>
    </row>
    <row r="370" spans="1:15" x14ac:dyDescent="0.2">
      <c r="A370" s="796" t="s">
        <v>563</v>
      </c>
      <c r="B370" s="784">
        <v>-182450.9873730315</v>
      </c>
      <c r="C370" s="784">
        <v>-21474.466962450679</v>
      </c>
      <c r="D370" s="784">
        <v>26584.728660152225</v>
      </c>
      <c r="E370" s="784">
        <v>0</v>
      </c>
      <c r="F370" s="784">
        <v>-51524.402950686359</v>
      </c>
      <c r="G370" s="784">
        <v>-880.49897811928702</v>
      </c>
      <c r="H370" s="784">
        <v>0</v>
      </c>
      <c r="I370" s="784">
        <v>0</v>
      </c>
      <c r="J370" s="784">
        <v>-2653.5191786610726</v>
      </c>
      <c r="K370" s="784">
        <v>0</v>
      </c>
      <c r="L370" s="784">
        <v>-1810.0725208953077</v>
      </c>
      <c r="M370" s="784">
        <v>0</v>
      </c>
      <c r="N370" s="784">
        <v>0</v>
      </c>
      <c r="O370" s="784">
        <f t="shared" si="57"/>
        <v>-234209.21930369199</v>
      </c>
    </row>
    <row r="371" spans="1:15" x14ac:dyDescent="0.2">
      <c r="A371" s="796" t="s">
        <v>4358</v>
      </c>
      <c r="B371" s="784">
        <v>-21034.925210565991</v>
      </c>
      <c r="C371" s="784">
        <v>0</v>
      </c>
      <c r="D371" s="784">
        <v>0</v>
      </c>
      <c r="E371" s="784">
        <v>0</v>
      </c>
      <c r="F371" s="784">
        <v>0</v>
      </c>
      <c r="G371" s="784">
        <v>0</v>
      </c>
      <c r="H371" s="784">
        <v>0</v>
      </c>
      <c r="I371" s="784">
        <v>0</v>
      </c>
      <c r="J371" s="784">
        <v>0</v>
      </c>
      <c r="K371" s="784">
        <v>0</v>
      </c>
      <c r="L371" s="784">
        <v>0</v>
      </c>
      <c r="M371" s="784">
        <v>0</v>
      </c>
      <c r="N371" s="784">
        <v>0</v>
      </c>
      <c r="O371" s="784">
        <f t="shared" si="57"/>
        <v>-21034.925210565991</v>
      </c>
    </row>
    <row r="372" spans="1:15" x14ac:dyDescent="0.2">
      <c r="A372" s="796" t="s">
        <v>4262</v>
      </c>
      <c r="B372" s="784">
        <v>0</v>
      </c>
      <c r="C372" s="784">
        <v>0</v>
      </c>
      <c r="D372" s="784">
        <v>0</v>
      </c>
      <c r="E372" s="784">
        <v>0</v>
      </c>
      <c r="F372" s="784">
        <v>0</v>
      </c>
      <c r="G372" s="784">
        <v>0</v>
      </c>
      <c r="H372" s="784">
        <v>0</v>
      </c>
      <c r="I372" s="784">
        <v>0</v>
      </c>
      <c r="J372" s="784">
        <v>0</v>
      </c>
      <c r="K372" s="784">
        <v>0</v>
      </c>
      <c r="L372" s="784">
        <v>2197.9971338725563</v>
      </c>
      <c r="M372" s="784">
        <v>0</v>
      </c>
      <c r="N372" s="784">
        <v>0</v>
      </c>
      <c r="O372" s="784">
        <f t="shared" si="57"/>
        <v>2197.9971338725563</v>
      </c>
    </row>
    <row r="373" spans="1:15" x14ac:dyDescent="0.2">
      <c r="A373" s="796" t="s">
        <v>4736</v>
      </c>
      <c r="B373" s="784">
        <v>0</v>
      </c>
      <c r="C373" s="784">
        <v>0</v>
      </c>
      <c r="D373" s="784">
        <v>0</v>
      </c>
      <c r="E373" s="784">
        <v>0</v>
      </c>
      <c r="F373" s="784">
        <v>53706.331023797633</v>
      </c>
      <c r="G373" s="784">
        <v>8880.3463039028029</v>
      </c>
      <c r="H373" s="784">
        <v>0</v>
      </c>
      <c r="I373" s="784">
        <v>0</v>
      </c>
      <c r="J373" s="784">
        <v>7055.8449163084815</v>
      </c>
      <c r="K373" s="784">
        <v>72009.207315146778</v>
      </c>
      <c r="L373" s="784">
        <v>0</v>
      </c>
      <c r="M373" s="784">
        <v>0</v>
      </c>
      <c r="N373" s="784">
        <v>0</v>
      </c>
      <c r="O373" s="784">
        <f t="shared" si="57"/>
        <v>141651.7295591557</v>
      </c>
    </row>
    <row r="374" spans="1:15" x14ac:dyDescent="0.2">
      <c r="A374" s="796" t="s">
        <v>574</v>
      </c>
      <c r="B374" s="784">
        <v>19655.613394118882</v>
      </c>
      <c r="C374" s="784">
        <v>-109650.650587714</v>
      </c>
      <c r="D374" s="784">
        <v>-6518.0544628923772</v>
      </c>
      <c r="E374" s="784">
        <v>0</v>
      </c>
      <c r="F374" s="784">
        <v>0</v>
      </c>
      <c r="G374" s="784">
        <v>0</v>
      </c>
      <c r="H374" s="784">
        <v>4074.8860398322995</v>
      </c>
      <c r="I374" s="784">
        <v>31.357491400713339</v>
      </c>
      <c r="J374" s="784">
        <v>0</v>
      </c>
      <c r="K374" s="784">
        <v>0</v>
      </c>
      <c r="L374" s="784">
        <v>3263.2043789089244</v>
      </c>
      <c r="M374" s="784">
        <v>0</v>
      </c>
      <c r="N374" s="784">
        <v>0</v>
      </c>
      <c r="O374" s="784">
        <f t="shared" si="57"/>
        <v>-89143.643746345551</v>
      </c>
    </row>
    <row r="375" spans="1:15" x14ac:dyDescent="0.2">
      <c r="A375" s="796" t="s">
        <v>575</v>
      </c>
      <c r="B375" s="784">
        <v>38866.175782843755</v>
      </c>
      <c r="C375" s="784">
        <v>-4097.0653859282693</v>
      </c>
      <c r="D375" s="784">
        <v>0</v>
      </c>
      <c r="E375" s="784">
        <v>0</v>
      </c>
      <c r="F375" s="784">
        <v>0</v>
      </c>
      <c r="G375" s="784">
        <v>0</v>
      </c>
      <c r="H375" s="784">
        <v>325.99995667031459</v>
      </c>
      <c r="I375" s="784">
        <v>0</v>
      </c>
      <c r="J375" s="784">
        <v>0</v>
      </c>
      <c r="K375" s="784">
        <v>0</v>
      </c>
      <c r="L375" s="784">
        <v>0</v>
      </c>
      <c r="M375" s="784">
        <v>0</v>
      </c>
      <c r="N375" s="784">
        <v>0</v>
      </c>
      <c r="O375" s="784">
        <f t="shared" si="57"/>
        <v>35095.110353585798</v>
      </c>
    </row>
    <row r="376" spans="1:15" x14ac:dyDescent="0.2">
      <c r="A376" s="796" t="s">
        <v>4401</v>
      </c>
      <c r="B376" s="784">
        <v>0</v>
      </c>
      <c r="C376" s="784">
        <v>267415.33466704574</v>
      </c>
      <c r="D376" s="784">
        <v>16312.171835354273</v>
      </c>
      <c r="E376" s="784">
        <v>0</v>
      </c>
      <c r="F376" s="784">
        <v>0</v>
      </c>
      <c r="G376" s="784">
        <v>0</v>
      </c>
      <c r="H376" s="784">
        <v>0</v>
      </c>
      <c r="I376" s="784">
        <v>0</v>
      </c>
      <c r="J376" s="784">
        <v>2.6053834539771676</v>
      </c>
      <c r="K376" s="784">
        <v>0</v>
      </c>
      <c r="L376" s="784">
        <v>0</v>
      </c>
      <c r="M376" s="784">
        <v>0</v>
      </c>
      <c r="N376" s="784">
        <v>0</v>
      </c>
      <c r="O376" s="784">
        <f t="shared" si="57"/>
        <v>283730.11188585398</v>
      </c>
    </row>
    <row r="377" spans="1:15" x14ac:dyDescent="0.2">
      <c r="A377" s="796" t="s">
        <v>578</v>
      </c>
      <c r="B377" s="784">
        <v>0</v>
      </c>
      <c r="C377" s="784">
        <v>-4493.921257772814</v>
      </c>
      <c r="D377" s="784">
        <v>0</v>
      </c>
      <c r="E377" s="784">
        <v>0</v>
      </c>
      <c r="F377" s="784">
        <v>0</v>
      </c>
      <c r="G377" s="784">
        <v>0</v>
      </c>
      <c r="H377" s="784">
        <v>0</v>
      </c>
      <c r="I377" s="784">
        <v>0</v>
      </c>
      <c r="J377" s="784">
        <v>0</v>
      </c>
      <c r="K377" s="784">
        <v>0</v>
      </c>
      <c r="L377" s="784">
        <v>0</v>
      </c>
      <c r="M377" s="784">
        <v>0</v>
      </c>
      <c r="N377" s="784">
        <v>0</v>
      </c>
      <c r="O377" s="784">
        <f t="shared" si="57"/>
        <v>-4493.921257772814</v>
      </c>
    </row>
    <row r="378" spans="1:15" x14ac:dyDescent="0.2">
      <c r="A378" s="796" t="s">
        <v>703</v>
      </c>
      <c r="B378" s="784">
        <v>260968.00829313672</v>
      </c>
      <c r="C378" s="784">
        <v>0</v>
      </c>
      <c r="D378" s="784">
        <v>0</v>
      </c>
      <c r="E378" s="784">
        <v>0</v>
      </c>
      <c r="F378" s="784">
        <v>0</v>
      </c>
      <c r="G378" s="784">
        <v>0</v>
      </c>
      <c r="H378" s="784">
        <v>0</v>
      </c>
      <c r="I378" s="784">
        <v>0</v>
      </c>
      <c r="J378" s="784">
        <v>0</v>
      </c>
      <c r="K378" s="784">
        <v>0</v>
      </c>
      <c r="L378" s="784">
        <v>0</v>
      </c>
      <c r="M378" s="784">
        <v>0</v>
      </c>
      <c r="N378" s="784">
        <v>0</v>
      </c>
      <c r="O378" s="784">
        <f t="shared" si="57"/>
        <v>260968.00829313672</v>
      </c>
    </row>
    <row r="379" spans="1:15" x14ac:dyDescent="0.2">
      <c r="A379" s="796" t="s">
        <v>704</v>
      </c>
      <c r="B379" s="784">
        <v>183862.03057043295</v>
      </c>
      <c r="C379" s="784">
        <v>0</v>
      </c>
      <c r="D379" s="784">
        <v>0</v>
      </c>
      <c r="E379" s="784">
        <v>0</v>
      </c>
      <c r="F379" s="784">
        <v>0</v>
      </c>
      <c r="G379" s="784">
        <v>0</v>
      </c>
      <c r="H379" s="784">
        <v>0</v>
      </c>
      <c r="I379" s="784">
        <v>0</v>
      </c>
      <c r="J379" s="784">
        <v>0</v>
      </c>
      <c r="K379" s="784">
        <v>0</v>
      </c>
      <c r="L379" s="784">
        <v>0</v>
      </c>
      <c r="M379" s="784">
        <v>0</v>
      </c>
      <c r="N379" s="784">
        <v>0</v>
      </c>
      <c r="O379" s="784">
        <f t="shared" si="57"/>
        <v>183862.03057043295</v>
      </c>
    </row>
    <row r="380" spans="1:15" x14ac:dyDescent="0.2">
      <c r="A380" s="796" t="s">
        <v>705</v>
      </c>
      <c r="B380" s="784">
        <v>25301.9655470814</v>
      </c>
      <c r="C380" s="784">
        <v>0</v>
      </c>
      <c r="D380" s="784">
        <v>0</v>
      </c>
      <c r="E380" s="784">
        <v>0</v>
      </c>
      <c r="F380" s="784">
        <v>0</v>
      </c>
      <c r="G380" s="784">
        <v>0</v>
      </c>
      <c r="H380" s="784">
        <v>0</v>
      </c>
      <c r="I380" s="784">
        <v>0</v>
      </c>
      <c r="J380" s="784">
        <v>0</v>
      </c>
      <c r="K380" s="784">
        <v>0</v>
      </c>
      <c r="L380" s="784">
        <v>0</v>
      </c>
      <c r="M380" s="784">
        <v>0</v>
      </c>
      <c r="N380" s="784">
        <v>0</v>
      </c>
      <c r="O380" s="784">
        <f t="shared" si="57"/>
        <v>25301.9655470814</v>
      </c>
    </row>
    <row r="381" spans="1:15" x14ac:dyDescent="0.2">
      <c r="A381" s="796" t="s">
        <v>706</v>
      </c>
      <c r="B381" s="784">
        <v>11706.152727557523</v>
      </c>
      <c r="C381" s="784">
        <v>0</v>
      </c>
      <c r="D381" s="784">
        <v>0</v>
      </c>
      <c r="E381" s="784">
        <v>0</v>
      </c>
      <c r="F381" s="784">
        <v>0</v>
      </c>
      <c r="G381" s="784">
        <v>0</v>
      </c>
      <c r="H381" s="784">
        <v>0</v>
      </c>
      <c r="I381" s="784">
        <v>0</v>
      </c>
      <c r="J381" s="784">
        <v>0</v>
      </c>
      <c r="K381" s="784">
        <v>0</v>
      </c>
      <c r="L381" s="784">
        <v>0</v>
      </c>
      <c r="M381" s="784">
        <v>0</v>
      </c>
      <c r="N381" s="784">
        <v>0</v>
      </c>
      <c r="O381" s="784">
        <f t="shared" si="57"/>
        <v>11706.152727557523</v>
      </c>
    </row>
    <row r="382" spans="1:15" x14ac:dyDescent="0.2">
      <c r="A382" s="796" t="s">
        <v>564</v>
      </c>
      <c r="B382" s="784">
        <v>152399.60322268619</v>
      </c>
      <c r="C382" s="784">
        <v>0</v>
      </c>
      <c r="D382" s="784">
        <v>0</v>
      </c>
      <c r="E382" s="784">
        <v>0</v>
      </c>
      <c r="F382" s="784">
        <v>0</v>
      </c>
      <c r="G382" s="784">
        <v>0</v>
      </c>
      <c r="H382" s="784">
        <v>0</v>
      </c>
      <c r="I382" s="784">
        <v>0</v>
      </c>
      <c r="J382" s="784">
        <v>0</v>
      </c>
      <c r="K382" s="784">
        <v>0</v>
      </c>
      <c r="L382" s="784">
        <v>0</v>
      </c>
      <c r="M382" s="784">
        <v>0</v>
      </c>
      <c r="N382" s="784">
        <v>0</v>
      </c>
      <c r="O382" s="784">
        <f t="shared" si="57"/>
        <v>152399.60322268619</v>
      </c>
    </row>
    <row r="383" spans="1:15" x14ac:dyDescent="0.2">
      <c r="A383" s="796" t="s">
        <v>565</v>
      </c>
      <c r="B383" s="784">
        <v>46944.405592170297</v>
      </c>
      <c r="C383" s="784">
        <v>0</v>
      </c>
      <c r="D383" s="784">
        <v>0</v>
      </c>
      <c r="E383" s="784">
        <v>0</v>
      </c>
      <c r="F383" s="784">
        <v>0</v>
      </c>
      <c r="G383" s="784">
        <v>0</v>
      </c>
      <c r="H383" s="784">
        <v>0</v>
      </c>
      <c r="I383" s="784">
        <v>0</v>
      </c>
      <c r="J383" s="784">
        <v>0</v>
      </c>
      <c r="K383" s="784">
        <v>0</v>
      </c>
      <c r="L383" s="784">
        <v>0</v>
      </c>
      <c r="M383" s="784">
        <v>0</v>
      </c>
      <c r="N383" s="784">
        <v>0</v>
      </c>
      <c r="O383" s="784">
        <f t="shared" si="57"/>
        <v>46944.405592170297</v>
      </c>
    </row>
    <row r="384" spans="1:15" x14ac:dyDescent="0.2">
      <c r="A384" s="796" t="s">
        <v>566</v>
      </c>
      <c r="B384" s="784">
        <v>21403.571773539774</v>
      </c>
      <c r="C384" s="784">
        <v>0</v>
      </c>
      <c r="D384" s="784">
        <v>0</v>
      </c>
      <c r="E384" s="784">
        <v>0</v>
      </c>
      <c r="F384" s="784">
        <v>0</v>
      </c>
      <c r="G384" s="784">
        <v>0</v>
      </c>
      <c r="H384" s="784">
        <v>0</v>
      </c>
      <c r="I384" s="784">
        <v>0</v>
      </c>
      <c r="J384" s="784">
        <v>0</v>
      </c>
      <c r="K384" s="784">
        <v>0</v>
      </c>
      <c r="L384" s="784">
        <v>0</v>
      </c>
      <c r="M384" s="784">
        <v>0</v>
      </c>
      <c r="N384" s="784">
        <v>0</v>
      </c>
      <c r="O384" s="784">
        <f t="shared" si="57"/>
        <v>21403.571773539774</v>
      </c>
    </row>
    <row r="385" spans="1:15" x14ac:dyDescent="0.2">
      <c r="A385" s="796" t="s">
        <v>567</v>
      </c>
      <c r="B385" s="784">
        <v>17234.196690876302</v>
      </c>
      <c r="C385" s="784">
        <v>0</v>
      </c>
      <c r="D385" s="784">
        <v>0</v>
      </c>
      <c r="E385" s="784">
        <v>0</v>
      </c>
      <c r="F385" s="784">
        <v>0</v>
      </c>
      <c r="G385" s="784">
        <v>0</v>
      </c>
      <c r="H385" s="784">
        <v>0</v>
      </c>
      <c r="I385" s="784">
        <v>0</v>
      </c>
      <c r="J385" s="784">
        <v>0</v>
      </c>
      <c r="K385" s="784">
        <v>0</v>
      </c>
      <c r="L385" s="784">
        <v>0</v>
      </c>
      <c r="M385" s="784">
        <v>0</v>
      </c>
      <c r="N385" s="784">
        <v>0</v>
      </c>
      <c r="O385" s="784">
        <f t="shared" si="57"/>
        <v>17234.196690876302</v>
      </c>
    </row>
    <row r="386" spans="1:15" x14ac:dyDescent="0.2">
      <c r="A386" s="796" t="s">
        <v>568</v>
      </c>
      <c r="B386" s="784">
        <v>832.55102712691121</v>
      </c>
      <c r="C386" s="784">
        <v>0</v>
      </c>
      <c r="D386" s="784">
        <v>0</v>
      </c>
      <c r="E386" s="784">
        <v>0</v>
      </c>
      <c r="F386" s="784">
        <v>0</v>
      </c>
      <c r="G386" s="784">
        <v>0</v>
      </c>
      <c r="H386" s="784">
        <v>0</v>
      </c>
      <c r="I386" s="784">
        <v>0</v>
      </c>
      <c r="J386" s="784">
        <v>0</v>
      </c>
      <c r="K386" s="784">
        <v>0</v>
      </c>
      <c r="L386" s="784">
        <v>0</v>
      </c>
      <c r="M386" s="784">
        <v>0</v>
      </c>
      <c r="N386" s="784">
        <v>0</v>
      </c>
      <c r="O386" s="784">
        <f t="shared" si="57"/>
        <v>832.55102712691121</v>
      </c>
    </row>
    <row r="387" spans="1:15" x14ac:dyDescent="0.2">
      <c r="A387" s="796" t="s">
        <v>4399</v>
      </c>
      <c r="B387" s="784">
        <v>251007.56395505866</v>
      </c>
      <c r="C387" s="784">
        <v>0</v>
      </c>
      <c r="D387" s="784">
        <v>0</v>
      </c>
      <c r="E387" s="784">
        <v>0</v>
      </c>
      <c r="F387" s="784">
        <v>0</v>
      </c>
      <c r="G387" s="784">
        <v>0</v>
      </c>
      <c r="H387" s="784">
        <v>0</v>
      </c>
      <c r="I387" s="784">
        <v>0</v>
      </c>
      <c r="J387" s="784">
        <v>0</v>
      </c>
      <c r="K387" s="784">
        <v>0</v>
      </c>
      <c r="L387" s="784">
        <v>0</v>
      </c>
      <c r="M387" s="784">
        <v>0</v>
      </c>
      <c r="N387" s="784">
        <v>0</v>
      </c>
      <c r="O387" s="784">
        <f t="shared" si="57"/>
        <v>251007.56395505866</v>
      </c>
    </row>
    <row r="388" spans="1:15" x14ac:dyDescent="0.2">
      <c r="A388" s="796" t="s">
        <v>4400</v>
      </c>
      <c r="B388" s="784">
        <v>40822.056132379075</v>
      </c>
      <c r="C388" s="784">
        <v>0</v>
      </c>
      <c r="D388" s="784">
        <v>0</v>
      </c>
      <c r="E388" s="784">
        <v>0</v>
      </c>
      <c r="F388" s="784">
        <v>0</v>
      </c>
      <c r="G388" s="784">
        <v>0</v>
      </c>
      <c r="H388" s="784">
        <v>0</v>
      </c>
      <c r="I388" s="784">
        <v>0</v>
      </c>
      <c r="J388" s="784">
        <v>0</v>
      </c>
      <c r="K388" s="784">
        <v>0</v>
      </c>
      <c r="L388" s="784">
        <v>0</v>
      </c>
      <c r="M388" s="784">
        <v>0</v>
      </c>
      <c r="N388" s="784">
        <v>0</v>
      </c>
      <c r="O388" s="784">
        <f t="shared" si="57"/>
        <v>40822.056132379075</v>
      </c>
    </row>
    <row r="389" spans="1:15" x14ac:dyDescent="0.2">
      <c r="A389" s="796" t="s">
        <v>4483</v>
      </c>
      <c r="B389" s="784">
        <v>471154.02655504853</v>
      </c>
      <c r="C389" s="784">
        <v>0</v>
      </c>
      <c r="D389" s="784">
        <v>0</v>
      </c>
      <c r="E389" s="784">
        <v>0</v>
      </c>
      <c r="F389" s="784">
        <v>0</v>
      </c>
      <c r="G389" s="784">
        <v>50294.641254814356</v>
      </c>
      <c r="H389" s="784">
        <v>0</v>
      </c>
      <c r="I389" s="784">
        <v>0</v>
      </c>
      <c r="J389" s="784">
        <v>104153.70664063978</v>
      </c>
      <c r="K389" s="784">
        <v>0</v>
      </c>
      <c r="L389" s="784">
        <v>-27.726034254359828</v>
      </c>
      <c r="M389" s="784">
        <v>0</v>
      </c>
      <c r="N389" s="784">
        <v>0</v>
      </c>
      <c r="O389" s="784">
        <f t="shared" si="57"/>
        <v>625574.64841624827</v>
      </c>
    </row>
    <row r="390" spans="1:15" x14ac:dyDescent="0.2">
      <c r="A390" s="796" t="s">
        <v>581</v>
      </c>
      <c r="B390" s="784">
        <v>924.80589226291647</v>
      </c>
      <c r="C390" s="784">
        <v>0</v>
      </c>
      <c r="D390" s="784">
        <v>34.7201236744474</v>
      </c>
      <c r="E390" s="784">
        <v>0</v>
      </c>
      <c r="F390" s="784">
        <v>0</v>
      </c>
      <c r="G390" s="784">
        <v>0</v>
      </c>
      <c r="H390" s="784">
        <v>0</v>
      </c>
      <c r="I390" s="784">
        <v>0</v>
      </c>
      <c r="J390" s="784">
        <v>0</v>
      </c>
      <c r="K390" s="784">
        <v>-562.6143377915439</v>
      </c>
      <c r="L390" s="784">
        <v>186.14207373122505</v>
      </c>
      <c r="M390" s="784">
        <v>0</v>
      </c>
      <c r="N390" s="784">
        <v>0</v>
      </c>
      <c r="O390" s="784">
        <f t="shared" si="57"/>
        <v>583.0537518770451</v>
      </c>
    </row>
    <row r="391" spans="1:15" x14ac:dyDescent="0.2">
      <c r="A391" s="796" t="s">
        <v>582</v>
      </c>
      <c r="B391" s="784">
        <v>24649.272420611065</v>
      </c>
      <c r="C391" s="784">
        <v>0</v>
      </c>
      <c r="D391" s="784">
        <v>0</v>
      </c>
      <c r="E391" s="784">
        <v>0</v>
      </c>
      <c r="F391" s="784">
        <v>0</v>
      </c>
      <c r="G391" s="784">
        <v>0</v>
      </c>
      <c r="H391" s="784">
        <v>0</v>
      </c>
      <c r="I391" s="784">
        <v>0</v>
      </c>
      <c r="J391" s="784">
        <v>0</v>
      </c>
      <c r="K391" s="784">
        <v>0</v>
      </c>
      <c r="L391" s="784">
        <v>0</v>
      </c>
      <c r="M391" s="784">
        <v>0</v>
      </c>
      <c r="N391" s="784">
        <v>0</v>
      </c>
      <c r="O391" s="784">
        <f t="shared" si="57"/>
        <v>24649.272420611065</v>
      </c>
    </row>
    <row r="392" spans="1:15" x14ac:dyDescent="0.2">
      <c r="A392" s="796" t="s">
        <v>583</v>
      </c>
      <c r="B392" s="784">
        <v>2727.522947927916</v>
      </c>
      <c r="C392" s="784">
        <v>0</v>
      </c>
      <c r="D392" s="784">
        <v>0</v>
      </c>
      <c r="E392" s="784">
        <v>0</v>
      </c>
      <c r="F392" s="784">
        <v>0</v>
      </c>
      <c r="G392" s="784">
        <v>0</v>
      </c>
      <c r="H392" s="784">
        <v>0</v>
      </c>
      <c r="I392" s="784">
        <v>0</v>
      </c>
      <c r="J392" s="784">
        <v>0</v>
      </c>
      <c r="K392" s="784">
        <v>0</v>
      </c>
      <c r="L392" s="784">
        <v>0</v>
      </c>
      <c r="M392" s="784">
        <v>0</v>
      </c>
      <c r="N392" s="784">
        <v>0</v>
      </c>
      <c r="O392" s="784">
        <f t="shared" si="57"/>
        <v>2727.522947927916</v>
      </c>
    </row>
    <row r="393" spans="1:15" x14ac:dyDescent="0.2">
      <c r="A393" s="796" t="s">
        <v>584</v>
      </c>
      <c r="B393" s="784">
        <v>1770.426060817751</v>
      </c>
      <c r="C393" s="784">
        <v>0</v>
      </c>
      <c r="D393" s="784">
        <v>0</v>
      </c>
      <c r="E393" s="784">
        <v>0</v>
      </c>
      <c r="F393" s="784">
        <v>0</v>
      </c>
      <c r="G393" s="784">
        <v>0</v>
      </c>
      <c r="H393" s="784">
        <v>0</v>
      </c>
      <c r="I393" s="784">
        <v>0</v>
      </c>
      <c r="J393" s="784">
        <v>0</v>
      </c>
      <c r="K393" s="784">
        <v>0</v>
      </c>
      <c r="L393" s="784">
        <v>0</v>
      </c>
      <c r="M393" s="784">
        <v>0</v>
      </c>
      <c r="N393" s="784">
        <v>0</v>
      </c>
      <c r="O393" s="784">
        <f t="shared" si="57"/>
        <v>1770.426060817751</v>
      </c>
    </row>
    <row r="394" spans="1:15" x14ac:dyDescent="0.2">
      <c r="A394" s="796" t="s">
        <v>585</v>
      </c>
      <c r="B394" s="784">
        <v>11459.524836292132</v>
      </c>
      <c r="C394" s="784">
        <v>0</v>
      </c>
      <c r="D394" s="784">
        <v>0</v>
      </c>
      <c r="E394" s="784">
        <v>0</v>
      </c>
      <c r="F394" s="784">
        <v>0</v>
      </c>
      <c r="G394" s="784">
        <v>0</v>
      </c>
      <c r="H394" s="784">
        <v>0</v>
      </c>
      <c r="I394" s="784">
        <v>0</v>
      </c>
      <c r="J394" s="784">
        <v>0</v>
      </c>
      <c r="K394" s="784">
        <v>0</v>
      </c>
      <c r="L394" s="784">
        <v>0</v>
      </c>
      <c r="M394" s="784">
        <v>0</v>
      </c>
      <c r="N394" s="784">
        <v>0</v>
      </c>
      <c r="O394" s="784">
        <f t="shared" si="57"/>
        <v>11459.524836292132</v>
      </c>
    </row>
    <row r="395" spans="1:15" x14ac:dyDescent="0.2">
      <c r="A395" s="796" t="s">
        <v>586</v>
      </c>
      <c r="B395" s="784">
        <v>-11459.524836292132</v>
      </c>
      <c r="C395" s="784">
        <v>0</v>
      </c>
      <c r="D395" s="784">
        <v>0</v>
      </c>
      <c r="E395" s="784">
        <v>0</v>
      </c>
      <c r="F395" s="784">
        <v>0</v>
      </c>
      <c r="G395" s="784">
        <v>0</v>
      </c>
      <c r="H395" s="784">
        <v>0</v>
      </c>
      <c r="I395" s="784">
        <v>0</v>
      </c>
      <c r="J395" s="784">
        <v>0</v>
      </c>
      <c r="K395" s="784">
        <v>0</v>
      </c>
      <c r="L395" s="784">
        <v>0</v>
      </c>
      <c r="M395" s="784">
        <v>0</v>
      </c>
      <c r="N395" s="784">
        <v>0</v>
      </c>
      <c r="O395" s="784">
        <f t="shared" si="57"/>
        <v>-11459.524836292132</v>
      </c>
    </row>
    <row r="396" spans="1:15" x14ac:dyDescent="0.2">
      <c r="A396" s="796" t="s">
        <v>587</v>
      </c>
      <c r="B396" s="784">
        <v>7547.2525660079127</v>
      </c>
      <c r="C396" s="784">
        <v>0</v>
      </c>
      <c r="D396" s="784">
        <v>0</v>
      </c>
      <c r="E396" s="784">
        <v>0</v>
      </c>
      <c r="F396" s="784">
        <v>0</v>
      </c>
      <c r="G396" s="784">
        <v>0</v>
      </c>
      <c r="H396" s="784">
        <v>0</v>
      </c>
      <c r="I396" s="784">
        <v>0</v>
      </c>
      <c r="J396" s="784">
        <v>0</v>
      </c>
      <c r="K396" s="784">
        <v>0</v>
      </c>
      <c r="L396" s="784">
        <v>0</v>
      </c>
      <c r="M396" s="784">
        <v>0</v>
      </c>
      <c r="N396" s="784">
        <v>0</v>
      </c>
      <c r="O396" s="784">
        <f t="shared" si="57"/>
        <v>7547.2525660079127</v>
      </c>
    </row>
    <row r="397" spans="1:15" x14ac:dyDescent="0.2">
      <c r="A397" s="796" t="s">
        <v>589</v>
      </c>
      <c r="B397" s="784">
        <v>12266.503999084067</v>
      </c>
      <c r="C397" s="784">
        <v>0</v>
      </c>
      <c r="D397" s="784">
        <v>0</v>
      </c>
      <c r="E397" s="784">
        <v>0</v>
      </c>
      <c r="F397" s="784">
        <v>0</v>
      </c>
      <c r="G397" s="784">
        <v>0</v>
      </c>
      <c r="H397" s="784">
        <v>0</v>
      </c>
      <c r="I397" s="784">
        <v>0</v>
      </c>
      <c r="J397" s="784">
        <v>0</v>
      </c>
      <c r="K397" s="784">
        <v>0</v>
      </c>
      <c r="L397" s="784">
        <v>0</v>
      </c>
      <c r="M397" s="784">
        <v>0</v>
      </c>
      <c r="N397" s="784">
        <v>0</v>
      </c>
      <c r="O397" s="784">
        <f t="shared" si="57"/>
        <v>12266.503999084067</v>
      </c>
    </row>
    <row r="398" spans="1:15" x14ac:dyDescent="0.2">
      <c r="A398" s="796" t="s">
        <v>590</v>
      </c>
      <c r="B398" s="784">
        <v>-33895.794568724217</v>
      </c>
      <c r="C398" s="784">
        <v>0</v>
      </c>
      <c r="D398" s="784">
        <v>0</v>
      </c>
      <c r="E398" s="784">
        <v>0</v>
      </c>
      <c r="F398" s="784">
        <v>0</v>
      </c>
      <c r="G398" s="784">
        <v>0</v>
      </c>
      <c r="H398" s="784">
        <v>0</v>
      </c>
      <c r="I398" s="784">
        <v>0</v>
      </c>
      <c r="J398" s="784">
        <v>0</v>
      </c>
      <c r="K398" s="784">
        <v>0</v>
      </c>
      <c r="L398" s="784">
        <v>0</v>
      </c>
      <c r="M398" s="784">
        <v>0</v>
      </c>
      <c r="N398" s="784">
        <v>0</v>
      </c>
      <c r="O398" s="784">
        <f t="shared" si="57"/>
        <v>-33895.794568724217</v>
      </c>
    </row>
    <row r="399" spans="1:15" x14ac:dyDescent="0.2">
      <c r="A399" s="796" t="s">
        <v>594</v>
      </c>
      <c r="B399" s="784">
        <v>0</v>
      </c>
      <c r="C399" s="784">
        <v>-2999.762214922554</v>
      </c>
      <c r="D399" s="784">
        <v>0</v>
      </c>
      <c r="E399" s="784">
        <v>0</v>
      </c>
      <c r="F399" s="784">
        <v>0</v>
      </c>
      <c r="G399" s="784">
        <v>0</v>
      </c>
      <c r="H399" s="784">
        <v>0</v>
      </c>
      <c r="I399" s="784">
        <v>0</v>
      </c>
      <c r="J399" s="784">
        <v>0</v>
      </c>
      <c r="K399" s="784">
        <v>0</v>
      </c>
      <c r="L399" s="784">
        <v>0</v>
      </c>
      <c r="M399" s="784">
        <v>0</v>
      </c>
      <c r="N399" s="784">
        <v>0</v>
      </c>
      <c r="O399" s="784">
        <f t="shared" si="57"/>
        <v>-2999.762214922554</v>
      </c>
    </row>
    <row r="400" spans="1:15" x14ac:dyDescent="0.2">
      <c r="A400" s="796" t="s">
        <v>729</v>
      </c>
      <c r="B400" s="784">
        <v>0</v>
      </c>
      <c r="C400" s="784">
        <v>5718.0351370178096</v>
      </c>
      <c r="D400" s="784">
        <v>0</v>
      </c>
      <c r="E400" s="784">
        <v>0</v>
      </c>
      <c r="F400" s="784">
        <v>0</v>
      </c>
      <c r="G400" s="784">
        <v>0</v>
      </c>
      <c r="H400" s="784">
        <v>0</v>
      </c>
      <c r="I400" s="784">
        <v>0</v>
      </c>
      <c r="J400" s="784">
        <v>0</v>
      </c>
      <c r="K400" s="784">
        <v>0</v>
      </c>
      <c r="L400" s="784">
        <v>0</v>
      </c>
      <c r="M400" s="784">
        <v>0</v>
      </c>
      <c r="N400" s="784">
        <v>0</v>
      </c>
      <c r="O400" s="784">
        <f t="shared" si="57"/>
        <v>5718.0351370178096</v>
      </c>
    </row>
    <row r="401" spans="1:15" x14ac:dyDescent="0.2">
      <c r="A401" s="796" t="s">
        <v>660</v>
      </c>
      <c r="B401" s="784">
        <v>1999.7121410261404</v>
      </c>
      <c r="C401" s="784">
        <v>38107.461110823599</v>
      </c>
      <c r="D401" s="784">
        <v>0</v>
      </c>
      <c r="E401" s="784">
        <v>0</v>
      </c>
      <c r="F401" s="784">
        <v>0</v>
      </c>
      <c r="G401" s="784">
        <v>0</v>
      </c>
      <c r="H401" s="784">
        <v>0</v>
      </c>
      <c r="I401" s="784">
        <v>0</v>
      </c>
      <c r="J401" s="784">
        <v>0</v>
      </c>
      <c r="K401" s="784">
        <v>0</v>
      </c>
      <c r="L401" s="784">
        <v>0</v>
      </c>
      <c r="M401" s="784">
        <v>0</v>
      </c>
      <c r="N401" s="784">
        <v>0</v>
      </c>
      <c r="O401" s="784">
        <f t="shared" si="57"/>
        <v>40107.173251849737</v>
      </c>
    </row>
    <row r="402" spans="1:15" x14ac:dyDescent="0.2">
      <c r="A402" s="796" t="s">
        <v>642</v>
      </c>
      <c r="B402" s="784">
        <v>23334.517636033775</v>
      </c>
      <c r="C402" s="784">
        <v>2803.1397191612641</v>
      </c>
      <c r="D402" s="784">
        <v>0</v>
      </c>
      <c r="E402" s="784">
        <v>0</v>
      </c>
      <c r="F402" s="784">
        <v>0</v>
      </c>
      <c r="G402" s="784">
        <v>0</v>
      </c>
      <c r="H402" s="784">
        <v>0</v>
      </c>
      <c r="I402" s="784">
        <v>0</v>
      </c>
      <c r="J402" s="784">
        <v>0</v>
      </c>
      <c r="K402" s="784">
        <v>0</v>
      </c>
      <c r="L402" s="784">
        <v>0</v>
      </c>
      <c r="M402" s="784">
        <v>0</v>
      </c>
      <c r="N402" s="784">
        <v>0</v>
      </c>
      <c r="O402" s="784">
        <f t="shared" si="57"/>
        <v>26137.657355195039</v>
      </c>
    </row>
    <row r="403" spans="1:15" x14ac:dyDescent="0.2">
      <c r="A403" s="796" t="s">
        <v>708</v>
      </c>
      <c r="B403" s="784">
        <v>0</v>
      </c>
      <c r="C403" s="784">
        <v>147918.53237495053</v>
      </c>
      <c r="D403" s="784">
        <v>0</v>
      </c>
      <c r="E403" s="784">
        <v>0</v>
      </c>
      <c r="F403" s="784">
        <v>0</v>
      </c>
      <c r="G403" s="784">
        <v>0</v>
      </c>
      <c r="H403" s="784">
        <v>0</v>
      </c>
      <c r="I403" s="784">
        <v>0</v>
      </c>
      <c r="J403" s="784">
        <v>0</v>
      </c>
      <c r="K403" s="784">
        <v>0</v>
      </c>
      <c r="L403" s="784">
        <v>0</v>
      </c>
      <c r="M403" s="784">
        <v>0</v>
      </c>
      <c r="N403" s="784">
        <v>0</v>
      </c>
      <c r="O403" s="784">
        <f t="shared" si="57"/>
        <v>147918.53237495053</v>
      </c>
    </row>
    <row r="404" spans="1:15" x14ac:dyDescent="0.2">
      <c r="A404" s="796" t="s">
        <v>4404</v>
      </c>
      <c r="B404" s="784">
        <v>0</v>
      </c>
      <c r="C404" s="784">
        <v>3902.2742858630149</v>
      </c>
      <c r="D404" s="784">
        <v>0</v>
      </c>
      <c r="E404" s="784">
        <v>0</v>
      </c>
      <c r="F404" s="784">
        <v>0</v>
      </c>
      <c r="G404" s="784">
        <v>0</v>
      </c>
      <c r="H404" s="784">
        <v>0</v>
      </c>
      <c r="I404" s="784">
        <v>0</v>
      </c>
      <c r="J404" s="784">
        <v>0</v>
      </c>
      <c r="K404" s="784">
        <v>0</v>
      </c>
      <c r="L404" s="784">
        <v>0</v>
      </c>
      <c r="M404" s="784">
        <v>0</v>
      </c>
      <c r="N404" s="784">
        <v>0</v>
      </c>
      <c r="O404" s="784">
        <f t="shared" si="57"/>
        <v>3902.2742858630149</v>
      </c>
    </row>
    <row r="405" spans="1:15" x14ac:dyDescent="0.2">
      <c r="A405" s="796" t="s">
        <v>3876</v>
      </c>
      <c r="B405" s="784">
        <v>0</v>
      </c>
      <c r="C405" s="784">
        <v>0</v>
      </c>
      <c r="D405" s="784">
        <v>0</v>
      </c>
      <c r="E405" s="784">
        <v>0</v>
      </c>
      <c r="F405" s="784">
        <v>944.60380162589638</v>
      </c>
      <c r="G405" s="784">
        <v>0</v>
      </c>
      <c r="H405" s="784">
        <v>0</v>
      </c>
      <c r="I405" s="784">
        <v>0</v>
      </c>
      <c r="J405" s="784">
        <v>0</v>
      </c>
      <c r="K405" s="784">
        <v>0</v>
      </c>
      <c r="L405" s="784">
        <v>0</v>
      </c>
      <c r="M405" s="784">
        <v>0</v>
      </c>
      <c r="N405" s="784">
        <v>0</v>
      </c>
      <c r="O405" s="784">
        <f t="shared" si="57"/>
        <v>944.60380162589638</v>
      </c>
    </row>
    <row r="406" spans="1:15" x14ac:dyDescent="0.2">
      <c r="A406" s="796" t="s">
        <v>663</v>
      </c>
      <c r="B406" s="784">
        <v>1789163.9923507387</v>
      </c>
      <c r="C406" s="784">
        <v>2252750.2299603694</v>
      </c>
      <c r="D406" s="784">
        <v>0</v>
      </c>
      <c r="E406" s="784">
        <v>22041.635809392086</v>
      </c>
      <c r="F406" s="784">
        <v>59415.753858526034</v>
      </c>
      <c r="G406" s="784">
        <v>81415.667121332619</v>
      </c>
      <c r="H406" s="784">
        <v>30071.791669594684</v>
      </c>
      <c r="I406" s="784">
        <v>14832.625480450935</v>
      </c>
      <c r="J406" s="784">
        <v>0</v>
      </c>
      <c r="K406" s="784">
        <v>99450.864564461546</v>
      </c>
      <c r="L406" s="784">
        <v>44265.893842676393</v>
      </c>
      <c r="M406" s="784">
        <v>0</v>
      </c>
      <c r="N406" s="784">
        <v>0</v>
      </c>
      <c r="O406" s="784">
        <f t="shared" si="57"/>
        <v>4393408.4546575435</v>
      </c>
    </row>
    <row r="407" spans="1:15" x14ac:dyDescent="0.2">
      <c r="A407" s="796" t="s">
        <v>722</v>
      </c>
      <c r="B407" s="784">
        <v>122904.42288636279</v>
      </c>
      <c r="C407" s="784">
        <v>102564.73826220099</v>
      </c>
      <c r="D407" s="784">
        <v>0</v>
      </c>
      <c r="E407" s="784">
        <v>0</v>
      </c>
      <c r="F407" s="784">
        <v>0</v>
      </c>
      <c r="G407" s="784">
        <v>14735.822468267568</v>
      </c>
      <c r="H407" s="784">
        <v>57692.439335218842</v>
      </c>
      <c r="I407" s="784">
        <v>0</v>
      </c>
      <c r="J407" s="784">
        <v>0</v>
      </c>
      <c r="K407" s="784">
        <v>0</v>
      </c>
      <c r="L407" s="784">
        <v>0</v>
      </c>
      <c r="M407" s="784">
        <v>0</v>
      </c>
      <c r="N407" s="784">
        <v>0</v>
      </c>
      <c r="O407" s="784">
        <f t="shared" si="57"/>
        <v>297897.42295205023</v>
      </c>
    </row>
    <row r="408" spans="1:15" x14ac:dyDescent="0.2">
      <c r="A408" s="796" t="s">
        <v>709</v>
      </c>
      <c r="B408" s="784">
        <v>0</v>
      </c>
      <c r="C408" s="784">
        <v>188730.00939643494</v>
      </c>
      <c r="D408" s="784">
        <v>0</v>
      </c>
      <c r="E408" s="784">
        <v>24843.013259904448</v>
      </c>
      <c r="F408" s="784">
        <v>0</v>
      </c>
      <c r="G408" s="784">
        <v>0</v>
      </c>
      <c r="H408" s="784">
        <v>0</v>
      </c>
      <c r="I408" s="784">
        <v>0</v>
      </c>
      <c r="J408" s="784">
        <v>0</v>
      </c>
      <c r="K408" s="784">
        <v>0</v>
      </c>
      <c r="L408" s="784">
        <v>0</v>
      </c>
      <c r="M408" s="784">
        <v>0</v>
      </c>
      <c r="N408" s="784">
        <v>0</v>
      </c>
      <c r="O408" s="784">
        <f t="shared" si="57"/>
        <v>213573.0226563394</v>
      </c>
    </row>
    <row r="409" spans="1:15" x14ac:dyDescent="0.2">
      <c r="A409" s="796" t="s">
        <v>723</v>
      </c>
      <c r="B409" s="784">
        <v>83442.868354956532</v>
      </c>
      <c r="C409" s="784">
        <v>73995.18707147376</v>
      </c>
      <c r="D409" s="784">
        <v>2518.6708227219856</v>
      </c>
      <c r="E409" s="784">
        <v>0</v>
      </c>
      <c r="F409" s="784">
        <v>0</v>
      </c>
      <c r="G409" s="784">
        <v>11671.297224827171</v>
      </c>
      <c r="H409" s="784">
        <v>0</v>
      </c>
      <c r="I409" s="784">
        <v>0</v>
      </c>
      <c r="J409" s="784">
        <v>0</v>
      </c>
      <c r="K409" s="784">
        <v>0</v>
      </c>
      <c r="L409" s="784">
        <v>0</v>
      </c>
      <c r="M409" s="784">
        <v>0</v>
      </c>
      <c r="N409" s="784">
        <v>0</v>
      </c>
      <c r="O409" s="784">
        <f t="shared" si="57"/>
        <v>171628.02347397947</v>
      </c>
    </row>
    <row r="410" spans="1:15" x14ac:dyDescent="0.2">
      <c r="A410" s="796" t="s">
        <v>724</v>
      </c>
      <c r="B410" s="784">
        <v>0</v>
      </c>
      <c r="C410" s="784">
        <v>25813.355211737875</v>
      </c>
      <c r="D410" s="784">
        <v>0</v>
      </c>
      <c r="E410" s="784">
        <v>0</v>
      </c>
      <c r="F410" s="784">
        <v>0</v>
      </c>
      <c r="G410" s="784">
        <v>0</v>
      </c>
      <c r="H410" s="784">
        <v>0</v>
      </c>
      <c r="I410" s="784">
        <v>0</v>
      </c>
      <c r="J410" s="784">
        <v>0</v>
      </c>
      <c r="K410" s="784">
        <v>0</v>
      </c>
      <c r="L410" s="784">
        <v>0</v>
      </c>
      <c r="M410" s="784">
        <v>0</v>
      </c>
      <c r="N410" s="784">
        <v>0</v>
      </c>
      <c r="O410" s="784">
        <f t="shared" ref="O410:O451" si="58">SUM(B410:N410)</f>
        <v>25813.355211737875</v>
      </c>
    </row>
    <row r="411" spans="1:15" x14ac:dyDescent="0.2">
      <c r="A411" s="796" t="s">
        <v>725</v>
      </c>
      <c r="B411" s="784">
        <v>91288.93465324874</v>
      </c>
      <c r="C411" s="784">
        <v>505780.93722610699</v>
      </c>
      <c r="D411" s="784">
        <v>0</v>
      </c>
      <c r="E411" s="784">
        <v>0</v>
      </c>
      <c r="F411" s="784">
        <v>-7962.9596753581727</v>
      </c>
      <c r="G411" s="784">
        <v>32114.024393487591</v>
      </c>
      <c r="H411" s="784">
        <v>0</v>
      </c>
      <c r="I411" s="784">
        <v>0</v>
      </c>
      <c r="J411" s="784">
        <v>0</v>
      </c>
      <c r="K411" s="784">
        <v>-173.87895401664406</v>
      </c>
      <c r="L411" s="784">
        <v>259.94144490331325</v>
      </c>
      <c r="M411" s="784">
        <v>0</v>
      </c>
      <c r="N411" s="784">
        <v>0</v>
      </c>
      <c r="O411" s="784">
        <f t="shared" si="58"/>
        <v>621306.99908837187</v>
      </c>
    </row>
    <row r="412" spans="1:15" x14ac:dyDescent="0.2">
      <c r="A412" s="796" t="s">
        <v>726</v>
      </c>
      <c r="B412" s="784">
        <v>0</v>
      </c>
      <c r="C412" s="784">
        <v>10160.126065851857</v>
      </c>
      <c r="D412" s="784">
        <v>0</v>
      </c>
      <c r="E412" s="784">
        <v>0</v>
      </c>
      <c r="F412" s="784">
        <v>0</v>
      </c>
      <c r="G412" s="784">
        <v>0</v>
      </c>
      <c r="H412" s="784">
        <v>0</v>
      </c>
      <c r="I412" s="784">
        <v>0</v>
      </c>
      <c r="J412" s="784">
        <v>0</v>
      </c>
      <c r="K412" s="784">
        <v>0</v>
      </c>
      <c r="L412" s="784">
        <v>0</v>
      </c>
      <c r="M412" s="784">
        <v>0</v>
      </c>
      <c r="N412" s="784">
        <v>0</v>
      </c>
      <c r="O412" s="784">
        <f t="shared" si="58"/>
        <v>10160.126065851857</v>
      </c>
    </row>
    <row r="413" spans="1:15" x14ac:dyDescent="0.2">
      <c r="A413" s="796" t="s">
        <v>727</v>
      </c>
      <c r="B413" s="784">
        <v>34620.9746168239</v>
      </c>
      <c r="C413" s="784">
        <v>11492.717473337523</v>
      </c>
      <c r="D413" s="784">
        <v>0</v>
      </c>
      <c r="E413" s="784">
        <v>0</v>
      </c>
      <c r="F413" s="784">
        <v>44601.954026437634</v>
      </c>
      <c r="G413" s="784">
        <v>66082.66985327554</v>
      </c>
      <c r="H413" s="784">
        <v>0</v>
      </c>
      <c r="I413" s="784">
        <v>0</v>
      </c>
      <c r="J413" s="784">
        <v>0</v>
      </c>
      <c r="K413" s="784">
        <v>0</v>
      </c>
      <c r="L413" s="784">
        <v>0</v>
      </c>
      <c r="M413" s="784">
        <v>0</v>
      </c>
      <c r="N413" s="784">
        <v>0</v>
      </c>
      <c r="O413" s="784">
        <f t="shared" si="58"/>
        <v>156798.31596987462</v>
      </c>
    </row>
    <row r="414" spans="1:15" x14ac:dyDescent="0.2">
      <c r="A414" s="796" t="s">
        <v>664</v>
      </c>
      <c r="B414" s="784">
        <v>50553.002970127316</v>
      </c>
      <c r="C414" s="784">
        <v>29133.095297921518</v>
      </c>
      <c r="D414" s="784">
        <v>0</v>
      </c>
      <c r="E414" s="784">
        <v>1854.2934259124468</v>
      </c>
      <c r="F414" s="784">
        <v>-1903.0115459186843</v>
      </c>
      <c r="G414" s="784">
        <v>430.69996268847041</v>
      </c>
      <c r="H414" s="784">
        <v>0</v>
      </c>
      <c r="I414" s="784">
        <v>0</v>
      </c>
      <c r="J414" s="784">
        <v>0</v>
      </c>
      <c r="K414" s="784">
        <v>0</v>
      </c>
      <c r="L414" s="784">
        <v>0</v>
      </c>
      <c r="M414" s="784">
        <v>0</v>
      </c>
      <c r="N414" s="784">
        <v>0</v>
      </c>
      <c r="O414" s="784">
        <f t="shared" si="58"/>
        <v>80068.080110731069</v>
      </c>
    </row>
    <row r="415" spans="1:15" x14ac:dyDescent="0.2">
      <c r="A415" s="796" t="s">
        <v>710</v>
      </c>
      <c r="B415" s="784">
        <v>165780.27970419542</v>
      </c>
      <c r="C415" s="784">
        <v>126795.22926040574</v>
      </c>
      <c r="D415" s="784">
        <v>0</v>
      </c>
      <c r="E415" s="784">
        <v>584.44978987232912</v>
      </c>
      <c r="F415" s="784">
        <v>1072.2730484008255</v>
      </c>
      <c r="G415" s="784">
        <v>28948.935362704917</v>
      </c>
      <c r="H415" s="784">
        <v>0</v>
      </c>
      <c r="I415" s="784">
        <v>0</v>
      </c>
      <c r="J415" s="784">
        <v>0</v>
      </c>
      <c r="K415" s="784">
        <v>1112.4401200345499</v>
      </c>
      <c r="L415" s="784">
        <v>13.6008566974152</v>
      </c>
      <c r="M415" s="784">
        <v>0</v>
      </c>
      <c r="N415" s="784">
        <v>0</v>
      </c>
      <c r="O415" s="784">
        <f t="shared" si="58"/>
        <v>324307.2081423112</v>
      </c>
    </row>
    <row r="416" spans="1:15" x14ac:dyDescent="0.2">
      <c r="A416" s="796" t="s">
        <v>597</v>
      </c>
      <c r="B416" s="784">
        <v>122398.46208386979</v>
      </c>
      <c r="C416" s="784">
        <v>318545.42938364163</v>
      </c>
      <c r="D416" s="784">
        <v>9399.9259636116622</v>
      </c>
      <c r="E416" s="784">
        <v>40418.629183621779</v>
      </c>
      <c r="F416" s="784">
        <v>27687.548708641156</v>
      </c>
      <c r="G416" s="784">
        <v>12331.791127222028</v>
      </c>
      <c r="H416" s="784">
        <v>4674.7270880551005</v>
      </c>
      <c r="I416" s="784">
        <v>16571.669576751341</v>
      </c>
      <c r="J416" s="784">
        <v>0</v>
      </c>
      <c r="K416" s="784">
        <v>2266.3602755448323</v>
      </c>
      <c r="L416" s="784">
        <v>190.33296296303701</v>
      </c>
      <c r="M416" s="784">
        <v>0</v>
      </c>
      <c r="N416" s="784">
        <v>0</v>
      </c>
      <c r="O416" s="784">
        <f t="shared" si="58"/>
        <v>554484.8763539223</v>
      </c>
    </row>
    <row r="417" spans="1:15" x14ac:dyDescent="0.2">
      <c r="A417" s="796" t="s">
        <v>598</v>
      </c>
      <c r="B417" s="784">
        <v>25219.168292694871</v>
      </c>
      <c r="C417" s="784">
        <v>617.71953372065116</v>
      </c>
      <c r="D417" s="784">
        <v>125.90479451675255</v>
      </c>
      <c r="E417" s="784">
        <v>25.059141649763848</v>
      </c>
      <c r="F417" s="784">
        <v>14582.436377217638</v>
      </c>
      <c r="G417" s="784">
        <v>20356.324579936292</v>
      </c>
      <c r="H417" s="784">
        <v>0</v>
      </c>
      <c r="I417" s="784">
        <v>76.517445861873327</v>
      </c>
      <c r="J417" s="784">
        <v>149.52170324445103</v>
      </c>
      <c r="K417" s="784">
        <v>0</v>
      </c>
      <c r="L417" s="784">
        <v>594.52576825738481</v>
      </c>
      <c r="M417" s="784">
        <v>0</v>
      </c>
      <c r="N417" s="784">
        <v>0</v>
      </c>
      <c r="O417" s="784">
        <f t="shared" si="58"/>
        <v>61747.177637099674</v>
      </c>
    </row>
    <row r="418" spans="1:15" x14ac:dyDescent="0.2">
      <c r="A418" s="796" t="s">
        <v>599</v>
      </c>
      <c r="B418" s="784">
        <v>88266.14805819605</v>
      </c>
      <c r="C418" s="784">
        <v>153532.50915561107</v>
      </c>
      <c r="D418" s="784">
        <v>4810.351889031539</v>
      </c>
      <c r="E418" s="784">
        <v>17761.613291684847</v>
      </c>
      <c r="F418" s="784">
        <v>26047.143767677895</v>
      </c>
      <c r="G418" s="784">
        <v>27959.122618406047</v>
      </c>
      <c r="H418" s="784">
        <v>350.26398959593229</v>
      </c>
      <c r="I418" s="784">
        <v>16308.873567649725</v>
      </c>
      <c r="J418" s="784">
        <v>3704.4872332789719</v>
      </c>
      <c r="K418" s="784">
        <v>135.48892951626715</v>
      </c>
      <c r="L418" s="784">
        <v>618.18131611632657</v>
      </c>
      <c r="M418" s="784">
        <v>0</v>
      </c>
      <c r="N418" s="784">
        <v>0</v>
      </c>
      <c r="O418" s="784">
        <f t="shared" si="58"/>
        <v>339494.18381676462</v>
      </c>
    </row>
    <row r="419" spans="1:15" x14ac:dyDescent="0.2">
      <c r="A419" s="796" t="s">
        <v>600</v>
      </c>
      <c r="B419" s="784">
        <v>39251.423470262329</v>
      </c>
      <c r="C419" s="784">
        <v>90359.213896724134</v>
      </c>
      <c r="D419" s="784">
        <v>5379.5730182015486</v>
      </c>
      <c r="E419" s="784">
        <v>11215.938843290653</v>
      </c>
      <c r="F419" s="784">
        <v>7012.7739736156173</v>
      </c>
      <c r="G419" s="784">
        <v>8341.5333969729199</v>
      </c>
      <c r="H419" s="784">
        <v>1530.9228914428088</v>
      </c>
      <c r="I419" s="784">
        <v>4018.0448603020409</v>
      </c>
      <c r="J419" s="784">
        <v>4994.0088253752874</v>
      </c>
      <c r="K419" s="784">
        <v>940.88696931279742</v>
      </c>
      <c r="L419" s="784">
        <v>681.15026943643784</v>
      </c>
      <c r="M419" s="784">
        <v>0</v>
      </c>
      <c r="N419" s="784">
        <v>0</v>
      </c>
      <c r="O419" s="784">
        <f t="shared" si="58"/>
        <v>173725.47041493654</v>
      </c>
    </row>
    <row r="420" spans="1:15" x14ac:dyDescent="0.2">
      <c r="A420" s="796" t="s">
        <v>601</v>
      </c>
      <c r="B420" s="784">
        <v>19557.911924918342</v>
      </c>
      <c r="C420" s="784">
        <v>48216.296301941744</v>
      </c>
      <c r="D420" s="784">
        <v>2055.9362373798253</v>
      </c>
      <c r="E420" s="784">
        <v>7362.2768002051153</v>
      </c>
      <c r="F420" s="784">
        <v>4231.3297946316388</v>
      </c>
      <c r="G420" s="784">
        <v>8233.1053544421793</v>
      </c>
      <c r="H420" s="784">
        <v>1896.7343346880218</v>
      </c>
      <c r="I420" s="784">
        <v>2524.8223993554607</v>
      </c>
      <c r="J420" s="784">
        <v>4659.6556405199381</v>
      </c>
      <c r="K420" s="784">
        <v>2207.1805132995983</v>
      </c>
      <c r="L420" s="784">
        <v>853.46906893906953</v>
      </c>
      <c r="M420" s="784">
        <v>0</v>
      </c>
      <c r="N420" s="784">
        <v>0</v>
      </c>
      <c r="O420" s="784">
        <f t="shared" si="58"/>
        <v>101798.71837032093</v>
      </c>
    </row>
    <row r="421" spans="1:15" x14ac:dyDescent="0.2">
      <c r="A421" s="796" t="s">
        <v>602</v>
      </c>
      <c r="B421" s="784">
        <v>9907.1337855443235</v>
      </c>
      <c r="C421" s="784">
        <v>24551.342091977258</v>
      </c>
      <c r="D421" s="784">
        <v>299.17471035586851</v>
      </c>
      <c r="E421" s="784">
        <v>4443.9400771972123</v>
      </c>
      <c r="F421" s="784">
        <v>65.722398235799417</v>
      </c>
      <c r="G421" s="784">
        <v>78.904522545864893</v>
      </c>
      <c r="H421" s="784">
        <v>550.49300188668178</v>
      </c>
      <c r="I421" s="784">
        <v>857.02663854835748</v>
      </c>
      <c r="J421" s="784">
        <v>-217.96618052611521</v>
      </c>
      <c r="K421" s="784">
        <v>9.1312150436428308</v>
      </c>
      <c r="L421" s="784">
        <v>9.1252407409617806</v>
      </c>
      <c r="M421" s="784">
        <v>0</v>
      </c>
      <c r="N421" s="784">
        <v>0</v>
      </c>
      <c r="O421" s="784">
        <f t="shared" si="58"/>
        <v>40554.027501549856</v>
      </c>
    </row>
    <row r="422" spans="1:15" x14ac:dyDescent="0.2">
      <c r="A422" s="796" t="s">
        <v>603</v>
      </c>
      <c r="B422" s="784">
        <v>6993.7088852088227</v>
      </c>
      <c r="C422" s="784">
        <v>10075.172727414334</v>
      </c>
      <c r="D422" s="784">
        <v>780.73136061014111</v>
      </c>
      <c r="E422" s="784">
        <v>364.3486870220101</v>
      </c>
      <c r="F422" s="784">
        <v>1389.6841367945224</v>
      </c>
      <c r="G422" s="784">
        <v>890.99629046988423</v>
      </c>
      <c r="H422" s="784">
        <v>82.101290551927889</v>
      </c>
      <c r="I422" s="784">
        <v>125.93025606133284</v>
      </c>
      <c r="J422" s="784">
        <v>1452.2915609825989</v>
      </c>
      <c r="K422" s="784">
        <v>1151.700703736434</v>
      </c>
      <c r="L422" s="784">
        <v>52.530074999502169</v>
      </c>
      <c r="M422" s="784">
        <v>0</v>
      </c>
      <c r="N422" s="784">
        <v>0</v>
      </c>
      <c r="O422" s="784">
        <f t="shared" si="58"/>
        <v>23359.195973851511</v>
      </c>
    </row>
    <row r="423" spans="1:15" x14ac:dyDescent="0.2">
      <c r="A423" s="796" t="s">
        <v>643</v>
      </c>
      <c r="B423" s="784">
        <v>6060.0319684645738</v>
      </c>
      <c r="C423" s="784">
        <v>0</v>
      </c>
      <c r="D423" s="784">
        <v>0</v>
      </c>
      <c r="E423" s="784">
        <v>0</v>
      </c>
      <c r="F423" s="784">
        <v>0</v>
      </c>
      <c r="G423" s="784">
        <v>0</v>
      </c>
      <c r="H423" s="784">
        <v>0</v>
      </c>
      <c r="I423" s="784">
        <v>0</v>
      </c>
      <c r="J423" s="784">
        <v>0</v>
      </c>
      <c r="K423" s="784">
        <v>0</v>
      </c>
      <c r="L423" s="784">
        <v>0</v>
      </c>
      <c r="M423" s="784">
        <v>0</v>
      </c>
      <c r="N423" s="784">
        <v>0</v>
      </c>
      <c r="O423" s="784">
        <f t="shared" si="58"/>
        <v>6060.0319684645738</v>
      </c>
    </row>
    <row r="424" spans="1:15" x14ac:dyDescent="0.2">
      <c r="A424" s="796" t="s">
        <v>604</v>
      </c>
      <c r="B424" s="784">
        <v>9699.1304494381129</v>
      </c>
      <c r="C424" s="784">
        <v>12295.370020012077</v>
      </c>
      <c r="D424" s="784">
        <v>407.05600262617071</v>
      </c>
      <c r="E424" s="784">
        <v>588.41648066450364</v>
      </c>
      <c r="F424" s="784">
        <v>9776.1164226864876</v>
      </c>
      <c r="G424" s="784">
        <v>2939.0212630663441</v>
      </c>
      <c r="H424" s="784">
        <v>0</v>
      </c>
      <c r="I424" s="784">
        <v>41.929827096543015</v>
      </c>
      <c r="J424" s="784">
        <v>4628.8759559195869</v>
      </c>
      <c r="K424" s="784">
        <v>312.07926264402113</v>
      </c>
      <c r="L424" s="784">
        <v>1070.9308566136219</v>
      </c>
      <c r="M424" s="784">
        <v>0</v>
      </c>
      <c r="N424" s="784">
        <v>0</v>
      </c>
      <c r="O424" s="784">
        <f t="shared" si="58"/>
        <v>41758.926540767476</v>
      </c>
    </row>
    <row r="425" spans="1:15" x14ac:dyDescent="0.2">
      <c r="A425" s="796" t="s">
        <v>605</v>
      </c>
      <c r="B425" s="784">
        <v>5139.318178994823</v>
      </c>
      <c r="C425" s="784">
        <v>10878.649220898844</v>
      </c>
      <c r="D425" s="784">
        <v>0</v>
      </c>
      <c r="E425" s="784">
        <v>0</v>
      </c>
      <c r="F425" s="784">
        <v>742.25611736293911</v>
      </c>
      <c r="G425" s="784">
        <v>432.34619928828783</v>
      </c>
      <c r="H425" s="784">
        <v>0</v>
      </c>
      <c r="I425" s="784">
        <v>237.41314769909599</v>
      </c>
      <c r="J425" s="784">
        <v>249.37572094437209</v>
      </c>
      <c r="K425" s="784">
        <v>0</v>
      </c>
      <c r="L425" s="784">
        <v>0</v>
      </c>
      <c r="M425" s="784">
        <v>0</v>
      </c>
      <c r="N425" s="784">
        <v>0</v>
      </c>
      <c r="O425" s="784">
        <f t="shared" si="58"/>
        <v>17679.358585188362</v>
      </c>
    </row>
    <row r="426" spans="1:15" x14ac:dyDescent="0.2">
      <c r="A426" s="796" t="s">
        <v>606</v>
      </c>
      <c r="B426" s="784">
        <v>108019.01745503127</v>
      </c>
      <c r="C426" s="784">
        <v>0</v>
      </c>
      <c r="D426" s="784">
        <v>0</v>
      </c>
      <c r="E426" s="784">
        <v>0</v>
      </c>
      <c r="F426" s="784">
        <v>0</v>
      </c>
      <c r="G426" s="784">
        <v>0</v>
      </c>
      <c r="H426" s="784">
        <v>0</v>
      </c>
      <c r="I426" s="784">
        <v>0</v>
      </c>
      <c r="J426" s="784">
        <v>253.77769918263144</v>
      </c>
      <c r="K426" s="784">
        <v>0</v>
      </c>
      <c r="L426" s="784">
        <v>186.63417346637655</v>
      </c>
      <c r="M426" s="784">
        <v>0</v>
      </c>
      <c r="N426" s="784">
        <v>0</v>
      </c>
      <c r="O426" s="784">
        <f t="shared" si="58"/>
        <v>108459.42932768026</v>
      </c>
    </row>
    <row r="427" spans="1:15" x14ac:dyDescent="0.2">
      <c r="A427" s="796" t="s">
        <v>3871</v>
      </c>
      <c r="B427" s="784">
        <v>0</v>
      </c>
      <c r="C427" s="784">
        <v>5.2550556251599296</v>
      </c>
      <c r="D427" s="784">
        <v>0</v>
      </c>
      <c r="E427" s="784">
        <v>0</v>
      </c>
      <c r="F427" s="784">
        <v>0</v>
      </c>
      <c r="G427" s="784">
        <v>0</v>
      </c>
      <c r="H427" s="784">
        <v>0</v>
      </c>
      <c r="I427" s="784">
        <v>0</v>
      </c>
      <c r="J427" s="784">
        <v>0</v>
      </c>
      <c r="K427" s="784">
        <v>0</v>
      </c>
      <c r="L427" s="784">
        <v>0</v>
      </c>
      <c r="M427" s="784">
        <v>0</v>
      </c>
      <c r="N427" s="784">
        <v>0</v>
      </c>
      <c r="O427" s="784">
        <f t="shared" si="58"/>
        <v>5.2550556251599296</v>
      </c>
    </row>
    <row r="428" spans="1:15" x14ac:dyDescent="0.2">
      <c r="A428" s="796" t="s">
        <v>667</v>
      </c>
      <c r="B428" s="784">
        <v>0</v>
      </c>
      <c r="C428" s="784">
        <v>0</v>
      </c>
      <c r="D428" s="784">
        <v>0</v>
      </c>
      <c r="E428" s="784">
        <v>0</v>
      </c>
      <c r="F428" s="784">
        <v>0</v>
      </c>
      <c r="G428" s="784">
        <v>50.670583845702403</v>
      </c>
      <c r="H428" s="784">
        <v>0</v>
      </c>
      <c r="I428" s="784">
        <v>0</v>
      </c>
      <c r="J428" s="784">
        <v>0</v>
      </c>
      <c r="K428" s="784">
        <v>0</v>
      </c>
      <c r="L428" s="784">
        <v>0</v>
      </c>
      <c r="M428" s="784">
        <v>0</v>
      </c>
      <c r="N428" s="784">
        <v>0</v>
      </c>
      <c r="O428" s="784">
        <f t="shared" si="58"/>
        <v>50.670583845702403</v>
      </c>
    </row>
    <row r="429" spans="1:15" x14ac:dyDescent="0.2">
      <c r="A429" s="796" t="s">
        <v>608</v>
      </c>
      <c r="B429" s="784">
        <v>1061.6844499268529</v>
      </c>
      <c r="C429" s="784">
        <v>0</v>
      </c>
      <c r="D429" s="784">
        <v>0</v>
      </c>
      <c r="E429" s="784">
        <v>0</v>
      </c>
      <c r="F429" s="784">
        <v>0</v>
      </c>
      <c r="G429" s="784">
        <v>0</v>
      </c>
      <c r="H429" s="784">
        <v>0</v>
      </c>
      <c r="I429" s="784">
        <v>0</v>
      </c>
      <c r="J429" s="784">
        <v>0</v>
      </c>
      <c r="K429" s="784">
        <v>0</v>
      </c>
      <c r="L429" s="784">
        <v>0</v>
      </c>
      <c r="M429" s="784">
        <v>0</v>
      </c>
      <c r="N429" s="784">
        <v>0</v>
      </c>
      <c r="O429" s="784">
        <f t="shared" si="58"/>
        <v>1061.6844499268529</v>
      </c>
    </row>
    <row r="430" spans="1:15" x14ac:dyDescent="0.2">
      <c r="A430" s="796" t="s">
        <v>4379</v>
      </c>
      <c r="B430" s="784">
        <v>0</v>
      </c>
      <c r="C430" s="784">
        <v>0</v>
      </c>
      <c r="D430" s="784">
        <v>0</v>
      </c>
      <c r="E430" s="784">
        <v>-2.9174687425993193</v>
      </c>
      <c r="F430" s="784">
        <v>-8.0233652470355619</v>
      </c>
      <c r="G430" s="784">
        <v>0</v>
      </c>
      <c r="H430" s="784">
        <v>0</v>
      </c>
      <c r="I430" s="784">
        <v>-141.8404750618954</v>
      </c>
      <c r="J430" s="784">
        <v>-27.963397860810971</v>
      </c>
      <c r="K430" s="784">
        <v>0</v>
      </c>
      <c r="L430" s="784">
        <v>17.81817150949988</v>
      </c>
      <c r="M430" s="784">
        <v>0</v>
      </c>
      <c r="N430" s="784">
        <v>0</v>
      </c>
      <c r="O430" s="784">
        <f t="shared" si="58"/>
        <v>-162.92653540284138</v>
      </c>
    </row>
    <row r="431" spans="1:15" x14ac:dyDescent="0.2">
      <c r="A431" s="796" t="s">
        <v>646</v>
      </c>
      <c r="B431" s="784">
        <v>0</v>
      </c>
      <c r="C431" s="784">
        <v>84547.867950078886</v>
      </c>
      <c r="D431" s="784">
        <v>0</v>
      </c>
      <c r="E431" s="784">
        <v>0</v>
      </c>
      <c r="F431" s="784">
        <v>0</v>
      </c>
      <c r="G431" s="784">
        <v>0</v>
      </c>
      <c r="H431" s="784">
        <v>0</v>
      </c>
      <c r="I431" s="784">
        <v>0</v>
      </c>
      <c r="J431" s="784">
        <v>0</v>
      </c>
      <c r="K431" s="784">
        <v>0</v>
      </c>
      <c r="L431" s="784">
        <v>0</v>
      </c>
      <c r="M431" s="784">
        <v>0</v>
      </c>
      <c r="N431" s="784">
        <v>0</v>
      </c>
      <c r="O431" s="784">
        <f t="shared" si="58"/>
        <v>84547.867950078886</v>
      </c>
    </row>
    <row r="432" spans="1:15" x14ac:dyDescent="0.2">
      <c r="A432" s="796" t="s">
        <v>647</v>
      </c>
      <c r="B432" s="784">
        <v>5.0693345093613456</v>
      </c>
      <c r="C432" s="784">
        <v>-1280.5341709426307</v>
      </c>
      <c r="D432" s="784">
        <v>0</v>
      </c>
      <c r="E432" s="784">
        <v>40.715733018359465</v>
      </c>
      <c r="F432" s="784">
        <v>0</v>
      </c>
      <c r="G432" s="784">
        <v>0</v>
      </c>
      <c r="H432" s="784">
        <v>0</v>
      </c>
      <c r="I432" s="784">
        <v>0</v>
      </c>
      <c r="J432" s="784">
        <v>0</v>
      </c>
      <c r="K432" s="784">
        <v>0</v>
      </c>
      <c r="L432" s="784">
        <v>13.629023099631075</v>
      </c>
      <c r="M432" s="784">
        <v>0</v>
      </c>
      <c r="N432" s="784">
        <v>0</v>
      </c>
      <c r="O432" s="784">
        <f t="shared" si="58"/>
        <v>-1221.1200803152788</v>
      </c>
    </row>
    <row r="433" spans="1:15" x14ac:dyDescent="0.2">
      <c r="A433" s="796" t="s">
        <v>648</v>
      </c>
      <c r="B433" s="784">
        <v>0</v>
      </c>
      <c r="C433" s="784">
        <v>0</v>
      </c>
      <c r="D433" s="784">
        <v>0</v>
      </c>
      <c r="E433" s="784">
        <v>0</v>
      </c>
      <c r="F433" s="784">
        <v>0</v>
      </c>
      <c r="G433" s="784">
        <v>0</v>
      </c>
      <c r="H433" s="784">
        <v>0</v>
      </c>
      <c r="I433" s="784">
        <v>0</v>
      </c>
      <c r="J433" s="784">
        <v>0</v>
      </c>
      <c r="K433" s="784">
        <v>121.93873213020939</v>
      </c>
      <c r="L433" s="784">
        <v>0</v>
      </c>
      <c r="M433" s="784">
        <v>0</v>
      </c>
      <c r="N433" s="784">
        <v>0</v>
      </c>
      <c r="O433" s="784">
        <f t="shared" si="58"/>
        <v>121.93873213020939</v>
      </c>
    </row>
    <row r="434" spans="1:15" x14ac:dyDescent="0.2">
      <c r="A434" s="796" t="s">
        <v>612</v>
      </c>
      <c r="B434" s="784">
        <v>64321.314856603574</v>
      </c>
      <c r="C434" s="784">
        <v>93698.013269439369</v>
      </c>
      <c r="D434" s="784">
        <v>0</v>
      </c>
      <c r="E434" s="784">
        <v>0</v>
      </c>
      <c r="F434" s="784">
        <v>0</v>
      </c>
      <c r="G434" s="784">
        <v>2058.7791572097472</v>
      </c>
      <c r="H434" s="784">
        <v>0</v>
      </c>
      <c r="I434" s="784">
        <v>0</v>
      </c>
      <c r="J434" s="784">
        <v>0</v>
      </c>
      <c r="K434" s="784">
        <v>0</v>
      </c>
      <c r="L434" s="784">
        <v>0</v>
      </c>
      <c r="M434" s="784">
        <v>0</v>
      </c>
      <c r="N434" s="784">
        <v>0</v>
      </c>
      <c r="O434" s="784">
        <f t="shared" si="58"/>
        <v>160078.10728325267</v>
      </c>
    </row>
    <row r="435" spans="1:15" x14ac:dyDescent="0.2">
      <c r="A435" s="796" t="s">
        <v>615</v>
      </c>
      <c r="B435" s="784">
        <v>0</v>
      </c>
      <c r="C435" s="784">
        <v>0</v>
      </c>
      <c r="D435" s="784">
        <v>0</v>
      </c>
      <c r="E435" s="784">
        <v>0</v>
      </c>
      <c r="F435" s="784">
        <v>99.008219988161684</v>
      </c>
      <c r="G435" s="784">
        <v>0</v>
      </c>
      <c r="H435" s="784">
        <v>0</v>
      </c>
      <c r="I435" s="784">
        <v>0</v>
      </c>
      <c r="J435" s="784">
        <v>0</v>
      </c>
      <c r="K435" s="784">
        <v>0</v>
      </c>
      <c r="L435" s="784">
        <v>0</v>
      </c>
      <c r="M435" s="784">
        <v>0</v>
      </c>
      <c r="N435" s="784">
        <v>0</v>
      </c>
      <c r="O435" s="784">
        <f t="shared" si="58"/>
        <v>99.008219988161684</v>
      </c>
    </row>
    <row r="436" spans="1:15" x14ac:dyDescent="0.2">
      <c r="A436" s="796" t="s">
        <v>644</v>
      </c>
      <c r="B436" s="784">
        <v>108106.59955506089</v>
      </c>
      <c r="C436" s="784">
        <v>31414.985313163052</v>
      </c>
      <c r="D436" s="784">
        <v>0</v>
      </c>
      <c r="E436" s="784">
        <v>0</v>
      </c>
      <c r="F436" s="784">
        <v>1308.3753547192007</v>
      </c>
      <c r="G436" s="784">
        <v>0</v>
      </c>
      <c r="H436" s="784">
        <v>0</v>
      </c>
      <c r="I436" s="784">
        <v>0</v>
      </c>
      <c r="J436" s="784">
        <v>0</v>
      </c>
      <c r="K436" s="784">
        <v>0</v>
      </c>
      <c r="L436" s="784">
        <v>0</v>
      </c>
      <c r="M436" s="784">
        <v>0</v>
      </c>
      <c r="N436" s="784">
        <v>0</v>
      </c>
      <c r="O436" s="784">
        <f t="shared" si="58"/>
        <v>140829.96022294313</v>
      </c>
    </row>
    <row r="437" spans="1:15" x14ac:dyDescent="0.2">
      <c r="A437" s="796" t="s">
        <v>645</v>
      </c>
      <c r="B437" s="784">
        <v>450.24205533005204</v>
      </c>
      <c r="C437" s="784">
        <v>94.513696632585635</v>
      </c>
      <c r="D437" s="784">
        <v>27.931385730934288</v>
      </c>
      <c r="E437" s="784">
        <v>-47.326051075737482</v>
      </c>
      <c r="F437" s="784">
        <v>32.993345556076257</v>
      </c>
      <c r="G437" s="784">
        <v>3.80029378842768</v>
      </c>
      <c r="H437" s="784">
        <v>0</v>
      </c>
      <c r="I437" s="784">
        <v>0</v>
      </c>
      <c r="J437" s="784">
        <v>119.28887091999316</v>
      </c>
      <c r="K437" s="784">
        <v>0</v>
      </c>
      <c r="L437" s="784">
        <v>22.358444488405766</v>
      </c>
      <c r="M437" s="784">
        <v>0</v>
      </c>
      <c r="N437" s="784">
        <v>0</v>
      </c>
      <c r="O437" s="784">
        <f t="shared" si="58"/>
        <v>703.80204137073736</v>
      </c>
    </row>
    <row r="438" spans="1:15" x14ac:dyDescent="0.2">
      <c r="A438" s="796" t="s">
        <v>616</v>
      </c>
      <c r="B438" s="784">
        <v>0</v>
      </c>
      <c r="C438" s="784">
        <v>242.91310824197743</v>
      </c>
      <c r="D438" s="784">
        <v>0</v>
      </c>
      <c r="E438" s="784">
        <v>0</v>
      </c>
      <c r="F438" s="784">
        <v>0</v>
      </c>
      <c r="G438" s="784">
        <v>0</v>
      </c>
      <c r="H438" s="784">
        <v>0</v>
      </c>
      <c r="I438" s="784">
        <v>0</v>
      </c>
      <c r="J438" s="784">
        <v>0</v>
      </c>
      <c r="K438" s="784">
        <v>0</v>
      </c>
      <c r="L438" s="784">
        <v>0</v>
      </c>
      <c r="M438" s="784">
        <v>0</v>
      </c>
      <c r="N438" s="784">
        <v>0</v>
      </c>
      <c r="O438" s="784">
        <f t="shared" si="58"/>
        <v>242.91310824197743</v>
      </c>
    </row>
    <row r="439" spans="1:15" x14ac:dyDescent="0.2">
      <c r="A439" s="796" t="s">
        <v>617</v>
      </c>
      <c r="B439" s="784">
        <v>0</v>
      </c>
      <c r="C439" s="784">
        <v>3843.4466691400635</v>
      </c>
      <c r="D439" s="784">
        <v>0</v>
      </c>
      <c r="E439" s="784">
        <v>6.5645762367867497E-2</v>
      </c>
      <c r="F439" s="784">
        <v>11.322656726093086</v>
      </c>
      <c r="G439" s="784">
        <v>38.315966626109386</v>
      </c>
      <c r="H439" s="784">
        <v>0</v>
      </c>
      <c r="I439" s="784">
        <v>0</v>
      </c>
      <c r="J439" s="784">
        <v>197.86462633618999</v>
      </c>
      <c r="K439" s="784">
        <v>0</v>
      </c>
      <c r="L439" s="784">
        <v>38.131202026233858</v>
      </c>
      <c r="M439" s="784">
        <v>0</v>
      </c>
      <c r="N439" s="784">
        <v>0</v>
      </c>
      <c r="O439" s="784">
        <f t="shared" si="58"/>
        <v>4129.1467666170574</v>
      </c>
    </row>
    <row r="440" spans="1:15" x14ac:dyDescent="0.2">
      <c r="A440" s="796" t="s">
        <v>618</v>
      </c>
      <c r="B440" s="784">
        <v>93.885874269298313</v>
      </c>
      <c r="C440" s="784">
        <v>649.89057139928082</v>
      </c>
      <c r="D440" s="784">
        <v>52.138002705852742</v>
      </c>
      <c r="E440" s="784">
        <v>0</v>
      </c>
      <c r="F440" s="784">
        <v>39.581935218708772</v>
      </c>
      <c r="G440" s="784">
        <v>0</v>
      </c>
      <c r="H440" s="784">
        <v>0</v>
      </c>
      <c r="I440" s="784">
        <v>0</v>
      </c>
      <c r="J440" s="784">
        <v>0</v>
      </c>
      <c r="K440" s="784">
        <v>0</v>
      </c>
      <c r="L440" s="784">
        <v>0</v>
      </c>
      <c r="M440" s="784">
        <v>0</v>
      </c>
      <c r="N440" s="784">
        <v>0</v>
      </c>
      <c r="O440" s="784">
        <f t="shared" si="58"/>
        <v>835.49638359314054</v>
      </c>
    </row>
    <row r="441" spans="1:15" x14ac:dyDescent="0.2">
      <c r="A441" s="796" t="s">
        <v>619</v>
      </c>
      <c r="B441" s="784">
        <v>1687.7887643436391</v>
      </c>
      <c r="C441" s="784">
        <v>3524.2274021848762</v>
      </c>
      <c r="D441" s="784">
        <v>1225.8348900922035</v>
      </c>
      <c r="E441" s="784">
        <v>21.285204096244176</v>
      </c>
      <c r="F441" s="784">
        <v>714.79792234445699</v>
      </c>
      <c r="G441" s="784">
        <v>84.392156514802963</v>
      </c>
      <c r="H441" s="784">
        <v>38.598494494381654</v>
      </c>
      <c r="I441" s="784">
        <v>85.266506581108729</v>
      </c>
      <c r="J441" s="784">
        <v>788.17198925113496</v>
      </c>
      <c r="K441" s="784">
        <v>0</v>
      </c>
      <c r="L441" s="784">
        <v>240.2959210103335</v>
      </c>
      <c r="M441" s="784">
        <v>0</v>
      </c>
      <c r="N441" s="784">
        <v>0</v>
      </c>
      <c r="O441" s="784">
        <f t="shared" si="58"/>
        <v>8410.6592509131824</v>
      </c>
    </row>
    <row r="442" spans="1:15" x14ac:dyDescent="0.2">
      <c r="A442" s="796" t="s">
        <v>670</v>
      </c>
      <c r="B442" s="784">
        <v>2.0493054399545865</v>
      </c>
      <c r="C442" s="784">
        <v>149.4437723497862</v>
      </c>
      <c r="D442" s="784">
        <v>0</v>
      </c>
      <c r="E442" s="784">
        <v>0</v>
      </c>
      <c r="F442" s="784">
        <v>0</v>
      </c>
      <c r="G442" s="784">
        <v>146.20814105171101</v>
      </c>
      <c r="H442" s="784">
        <v>0</v>
      </c>
      <c r="I442" s="784">
        <v>0</v>
      </c>
      <c r="J442" s="784">
        <v>0</v>
      </c>
      <c r="K442" s="784">
        <v>0</v>
      </c>
      <c r="L442" s="784">
        <v>163.97019094430215</v>
      </c>
      <c r="M442" s="784">
        <v>0</v>
      </c>
      <c r="N442" s="784">
        <v>0</v>
      </c>
      <c r="O442" s="784">
        <f t="shared" si="58"/>
        <v>461.67140978575395</v>
      </c>
    </row>
    <row r="443" spans="1:15" x14ac:dyDescent="0.2">
      <c r="A443" s="796" t="s">
        <v>620</v>
      </c>
      <c r="B443" s="784">
        <v>1207.3400615562459</v>
      </c>
      <c r="C443" s="784">
        <v>0</v>
      </c>
      <c r="D443" s="784">
        <v>0</v>
      </c>
      <c r="E443" s="784">
        <v>0</v>
      </c>
      <c r="F443" s="784">
        <v>0</v>
      </c>
      <c r="G443" s="784">
        <v>0</v>
      </c>
      <c r="H443" s="784">
        <v>0</v>
      </c>
      <c r="I443" s="784">
        <v>0</v>
      </c>
      <c r="J443" s="784">
        <v>0</v>
      </c>
      <c r="K443" s="784">
        <v>0</v>
      </c>
      <c r="L443" s="784">
        <v>0</v>
      </c>
      <c r="M443" s="784">
        <v>0</v>
      </c>
      <c r="N443" s="784">
        <v>0</v>
      </c>
      <c r="O443" s="784">
        <f t="shared" si="58"/>
        <v>1207.3400615562459</v>
      </c>
    </row>
    <row r="444" spans="1:15" x14ac:dyDescent="0.2">
      <c r="A444" s="796" t="s">
        <v>671</v>
      </c>
      <c r="B444" s="784">
        <v>0</v>
      </c>
      <c r="C444" s="784">
        <v>1337.8662624371786</v>
      </c>
      <c r="D444" s="784">
        <v>0</v>
      </c>
      <c r="E444" s="784">
        <v>0</v>
      </c>
      <c r="F444" s="784">
        <v>0</v>
      </c>
      <c r="G444" s="784">
        <v>0</v>
      </c>
      <c r="H444" s="784">
        <v>0</v>
      </c>
      <c r="I444" s="784">
        <v>0</v>
      </c>
      <c r="J444" s="784">
        <v>0</v>
      </c>
      <c r="K444" s="784">
        <v>0</v>
      </c>
      <c r="L444" s="784">
        <v>0</v>
      </c>
      <c r="M444" s="784">
        <v>0</v>
      </c>
      <c r="N444" s="784">
        <v>0</v>
      </c>
      <c r="O444" s="784">
        <f t="shared" si="58"/>
        <v>1337.8662624371786</v>
      </c>
    </row>
    <row r="445" spans="1:15" x14ac:dyDescent="0.2">
      <c r="A445" s="796" t="s">
        <v>717</v>
      </c>
      <c r="B445" s="784">
        <v>5313.2637939616116</v>
      </c>
      <c r="C445" s="784">
        <v>0</v>
      </c>
      <c r="D445" s="784">
        <v>0</v>
      </c>
      <c r="E445" s="784">
        <v>0</v>
      </c>
      <c r="F445" s="784">
        <v>0</v>
      </c>
      <c r="G445" s="784">
        <v>0</v>
      </c>
      <c r="H445" s="784">
        <v>0</v>
      </c>
      <c r="I445" s="784">
        <v>0</v>
      </c>
      <c r="J445" s="784">
        <v>0</v>
      </c>
      <c r="K445" s="784">
        <v>0</v>
      </c>
      <c r="L445" s="784">
        <v>0</v>
      </c>
      <c r="M445" s="784">
        <v>0</v>
      </c>
      <c r="N445" s="784">
        <v>0</v>
      </c>
      <c r="O445" s="784">
        <f t="shared" si="58"/>
        <v>5313.2637939616116</v>
      </c>
    </row>
    <row r="446" spans="1:15" x14ac:dyDescent="0.2">
      <c r="A446" s="796" t="s">
        <v>675</v>
      </c>
      <c r="B446" s="784">
        <v>0</v>
      </c>
      <c r="C446" s="784">
        <v>84.871650753773423</v>
      </c>
      <c r="D446" s="784">
        <v>0</v>
      </c>
      <c r="E446" s="784">
        <v>0</v>
      </c>
      <c r="F446" s="784">
        <v>24.117089282833977</v>
      </c>
      <c r="G446" s="784">
        <v>0</v>
      </c>
      <c r="H446" s="784">
        <v>0</v>
      </c>
      <c r="I446" s="784">
        <v>0</v>
      </c>
      <c r="J446" s="784">
        <v>0</v>
      </c>
      <c r="K446" s="784">
        <v>0</v>
      </c>
      <c r="L446" s="784">
        <v>0</v>
      </c>
      <c r="M446" s="784">
        <v>0</v>
      </c>
      <c r="N446" s="784">
        <v>0</v>
      </c>
      <c r="O446" s="784">
        <f t="shared" si="58"/>
        <v>108.9887400366074</v>
      </c>
    </row>
    <row r="447" spans="1:15" x14ac:dyDescent="0.2">
      <c r="A447" s="796" t="s">
        <v>650</v>
      </c>
      <c r="B447" s="784">
        <v>0</v>
      </c>
      <c r="C447" s="784">
        <v>907.51856814489338</v>
      </c>
      <c r="D447" s="784">
        <v>0</v>
      </c>
      <c r="E447" s="784">
        <v>0</v>
      </c>
      <c r="F447" s="784">
        <v>0</v>
      </c>
      <c r="G447" s="784">
        <v>0</v>
      </c>
      <c r="H447" s="784">
        <v>0</v>
      </c>
      <c r="I447" s="784">
        <v>0</v>
      </c>
      <c r="J447" s="784">
        <v>0</v>
      </c>
      <c r="K447" s="784">
        <v>0</v>
      </c>
      <c r="L447" s="784">
        <v>0</v>
      </c>
      <c r="M447" s="784">
        <v>0</v>
      </c>
      <c r="N447" s="784">
        <v>0</v>
      </c>
      <c r="O447" s="784">
        <f t="shared" si="58"/>
        <v>907.51856814489338</v>
      </c>
    </row>
    <row r="448" spans="1:15" x14ac:dyDescent="0.2">
      <c r="A448" s="796" t="s">
        <v>4312</v>
      </c>
      <c r="B448" s="784">
        <v>0</v>
      </c>
      <c r="C448" s="784">
        <v>67494.64983575746</v>
      </c>
      <c r="D448" s="784">
        <v>0</v>
      </c>
      <c r="E448" s="784">
        <v>0</v>
      </c>
      <c r="F448" s="784">
        <v>0</v>
      </c>
      <c r="G448" s="784">
        <v>0</v>
      </c>
      <c r="H448" s="784">
        <v>0</v>
      </c>
      <c r="I448" s="784">
        <v>0</v>
      </c>
      <c r="J448" s="784">
        <v>0</v>
      </c>
      <c r="K448" s="784">
        <v>0</v>
      </c>
      <c r="L448" s="784">
        <v>0</v>
      </c>
      <c r="M448" s="784">
        <v>0</v>
      </c>
      <c r="N448" s="784">
        <v>0</v>
      </c>
      <c r="O448" s="784">
        <f t="shared" si="58"/>
        <v>67494.64983575746</v>
      </c>
    </row>
    <row r="449" spans="1:15" x14ac:dyDescent="0.2">
      <c r="A449" s="796" t="s">
        <v>639</v>
      </c>
      <c r="B449" s="784">
        <v>271502.63471546554</v>
      </c>
      <c r="C449" s="784">
        <v>271927.30866500724</v>
      </c>
      <c r="D449" s="784">
        <v>15670.773850973301</v>
      </c>
      <c r="E449" s="784">
        <v>71606.534101798752</v>
      </c>
      <c r="F449" s="784">
        <v>66620.571785251421</v>
      </c>
      <c r="G449" s="784">
        <v>285543.86257703434</v>
      </c>
      <c r="H449" s="784">
        <v>13854.824003156869</v>
      </c>
      <c r="I449" s="784">
        <v>27389.923831771754</v>
      </c>
      <c r="J449" s="784">
        <v>0</v>
      </c>
      <c r="K449" s="784">
        <v>2883.4925318506612</v>
      </c>
      <c r="L449" s="784">
        <v>0</v>
      </c>
      <c r="M449" s="784">
        <v>0</v>
      </c>
      <c r="N449" s="784">
        <v>0</v>
      </c>
      <c r="O449" s="784">
        <f t="shared" si="58"/>
        <v>1026999.9260623099</v>
      </c>
    </row>
    <row r="450" spans="1:15" x14ac:dyDescent="0.2">
      <c r="A450" s="796" t="s">
        <v>636</v>
      </c>
      <c r="B450" s="784">
        <v>90399.565876426466</v>
      </c>
      <c r="C450" s="784">
        <v>88123.343896780745</v>
      </c>
      <c r="D450" s="784">
        <v>6023.2807121391088</v>
      </c>
      <c r="E450" s="784">
        <v>0</v>
      </c>
      <c r="F450" s="784">
        <v>8811.3903367655075</v>
      </c>
      <c r="G450" s="784">
        <v>3654.5794479602305</v>
      </c>
      <c r="H450" s="784">
        <v>0</v>
      </c>
      <c r="I450" s="784">
        <v>3448.1133203207573</v>
      </c>
      <c r="J450" s="784">
        <v>1357.1893701521501</v>
      </c>
      <c r="K450" s="784">
        <v>0</v>
      </c>
      <c r="L450" s="784">
        <v>0</v>
      </c>
      <c r="M450" s="784">
        <v>0</v>
      </c>
      <c r="N450" s="784">
        <v>0</v>
      </c>
      <c r="O450" s="784">
        <f t="shared" si="58"/>
        <v>201817.46296054494</v>
      </c>
    </row>
    <row r="451" spans="1:15" x14ac:dyDescent="0.2">
      <c r="A451" s="796" t="s">
        <v>633</v>
      </c>
      <c r="B451" s="784">
        <v>105706.43137896835</v>
      </c>
      <c r="C451" s="784">
        <v>717695.61267783935</v>
      </c>
      <c r="D451" s="784">
        <v>22013.602722357329</v>
      </c>
      <c r="E451" s="784">
        <v>121027.20323930038</v>
      </c>
      <c r="F451" s="784">
        <v>4795.7178999751486</v>
      </c>
      <c r="G451" s="784">
        <v>32399.730626272933</v>
      </c>
      <c r="H451" s="784">
        <v>0</v>
      </c>
      <c r="I451" s="784">
        <v>4176.9397228678608</v>
      </c>
      <c r="J451" s="784">
        <v>264.02248662762548</v>
      </c>
      <c r="K451" s="784">
        <v>17215.195024393259</v>
      </c>
      <c r="L451" s="784">
        <v>0</v>
      </c>
      <c r="M451" s="784">
        <v>0</v>
      </c>
      <c r="N451" s="784">
        <v>0</v>
      </c>
      <c r="O451" s="784">
        <f t="shared" si="58"/>
        <v>1025294.4557786023</v>
      </c>
    </row>
    <row r="452" spans="1:15" ht="10.5" x14ac:dyDescent="0.25">
      <c r="A452" s="787" t="s">
        <v>4228</v>
      </c>
      <c r="B452" s="786">
        <f t="shared" ref="B452:O452" si="59">SUM(B346:B451)</f>
        <v>13179199.759790227</v>
      </c>
      <c r="C452" s="786">
        <f t="shared" si="59"/>
        <v>14879793.697881889</v>
      </c>
      <c r="D452" s="786">
        <f t="shared" si="59"/>
        <v>661867.2815690292</v>
      </c>
      <c r="E452" s="786">
        <f t="shared" si="59"/>
        <v>980916.82297131978</v>
      </c>
      <c r="F452" s="786">
        <f t="shared" si="59"/>
        <v>1599817.1706229022</v>
      </c>
      <c r="G452" s="786">
        <f t="shared" si="59"/>
        <v>1877009.9770279133</v>
      </c>
      <c r="H452" s="786">
        <f t="shared" si="59"/>
        <v>353409.48549729266</v>
      </c>
      <c r="I452" s="786">
        <f t="shared" si="59"/>
        <v>413127.88368629158</v>
      </c>
      <c r="J452" s="786">
        <f t="shared" si="59"/>
        <v>704341.504302638</v>
      </c>
      <c r="K452" s="786">
        <f t="shared" si="59"/>
        <v>420077.66688606708</v>
      </c>
      <c r="L452" s="786">
        <f t="shared" si="59"/>
        <v>420008.9199453707</v>
      </c>
      <c r="M452" s="786">
        <f t="shared" si="59"/>
        <v>0</v>
      </c>
      <c r="N452" s="786">
        <f t="shared" si="59"/>
        <v>-3638068.0192444664</v>
      </c>
      <c r="O452" s="786">
        <f t="shared" si="59"/>
        <v>31851502.150936477</v>
      </c>
    </row>
    <row r="453" spans="1:15" ht="10.5" x14ac:dyDescent="0.25">
      <c r="A453" s="781" t="s">
        <v>4229</v>
      </c>
      <c r="B453" s="780">
        <v>7484169.063564836</v>
      </c>
      <c r="C453" s="780">
        <v>8997224.9186094925</v>
      </c>
      <c r="D453" s="780">
        <v>157051.38735527461</v>
      </c>
      <c r="E453" s="780">
        <v>22653.040753163601</v>
      </c>
      <c r="F453" s="780">
        <v>115117.45798017243</v>
      </c>
      <c r="G453" s="780">
        <v>307084.67497367651</v>
      </c>
      <c r="H453" s="780">
        <v>26309.003516239678</v>
      </c>
      <c r="I453" s="780">
        <v>286105.91640987986</v>
      </c>
      <c r="J453" s="780">
        <v>23181.026516379017</v>
      </c>
      <c r="K453" s="780">
        <v>39189.816614748743</v>
      </c>
      <c r="L453" s="780">
        <v>23941.389842990477</v>
      </c>
      <c r="M453" s="780">
        <v>0</v>
      </c>
      <c r="N453" s="780">
        <v>-4794341.2423422616</v>
      </c>
      <c r="O453" s="780">
        <v>12687686.453794589</v>
      </c>
    </row>
    <row r="454" spans="1:15" x14ac:dyDescent="0.2">
      <c r="A454" s="796" t="s">
        <v>688</v>
      </c>
      <c r="B454" s="784">
        <v>2295440.5490268995</v>
      </c>
      <c r="C454" s="784">
        <v>1050828.4767254086</v>
      </c>
      <c r="D454" s="784">
        <v>0</v>
      </c>
      <c r="E454" s="784">
        <v>0</v>
      </c>
      <c r="F454" s="784">
        <v>0</v>
      </c>
      <c r="G454" s="784">
        <v>0</v>
      </c>
      <c r="H454" s="784">
        <v>0</v>
      </c>
      <c r="I454" s="784">
        <v>0</v>
      </c>
      <c r="J454" s="784">
        <v>0</v>
      </c>
      <c r="K454" s="784">
        <v>0</v>
      </c>
      <c r="L454" s="784">
        <v>0</v>
      </c>
      <c r="M454" s="784">
        <v>0</v>
      </c>
      <c r="N454" s="784">
        <v>-3346269.0193992746</v>
      </c>
      <c r="O454" s="784">
        <f t="shared" ref="O454:O517" si="60">SUM(B454:N454)</f>
        <v>6.3530332408845425E-3</v>
      </c>
    </row>
    <row r="455" spans="1:15" x14ac:dyDescent="0.2">
      <c r="A455" s="796" t="s">
        <v>689</v>
      </c>
      <c r="B455" s="784">
        <v>537039.81569829548</v>
      </c>
      <c r="C455" s="784">
        <v>911032.41260320006</v>
      </c>
      <c r="D455" s="784">
        <v>0</v>
      </c>
      <c r="E455" s="784">
        <v>0</v>
      </c>
      <c r="F455" s="784">
        <v>0</v>
      </c>
      <c r="G455" s="784">
        <v>0</v>
      </c>
      <c r="H455" s="784">
        <v>0</v>
      </c>
      <c r="I455" s="784">
        <v>0</v>
      </c>
      <c r="J455" s="784">
        <v>0</v>
      </c>
      <c r="K455" s="784">
        <v>0</v>
      </c>
      <c r="L455" s="784">
        <v>0</v>
      </c>
      <c r="M455" s="784">
        <v>0</v>
      </c>
      <c r="N455" s="784">
        <v>-1448072.222942987</v>
      </c>
      <c r="O455" s="784">
        <f t="shared" si="60"/>
        <v>5.3585085552185774E-3</v>
      </c>
    </row>
    <row r="456" spans="1:15" x14ac:dyDescent="0.2">
      <c r="A456" s="796" t="s">
        <v>4375</v>
      </c>
      <c r="B456" s="784">
        <v>1551.1839477602086</v>
      </c>
      <c r="C456" s="784">
        <v>0</v>
      </c>
      <c r="D456" s="784">
        <v>0</v>
      </c>
      <c r="E456" s="784">
        <v>0</v>
      </c>
      <c r="F456" s="784">
        <v>0</v>
      </c>
      <c r="G456" s="784">
        <v>0</v>
      </c>
      <c r="H456" s="784">
        <v>0</v>
      </c>
      <c r="I456" s="784">
        <v>0</v>
      </c>
      <c r="J456" s="784">
        <v>0</v>
      </c>
      <c r="K456" s="784">
        <v>0</v>
      </c>
      <c r="L456" s="784">
        <v>0</v>
      </c>
      <c r="M456" s="784">
        <v>0</v>
      </c>
      <c r="N456" s="784">
        <v>0</v>
      </c>
      <c r="O456" s="784">
        <f t="shared" si="60"/>
        <v>1551.1839477602086</v>
      </c>
    </row>
    <row r="457" spans="1:15" x14ac:dyDescent="0.2">
      <c r="A457" s="796" t="s">
        <v>558</v>
      </c>
      <c r="B457" s="784">
        <v>2348570.1288468814</v>
      </c>
      <c r="C457" s="784">
        <v>4452212.5231807195</v>
      </c>
      <c r="D457" s="784">
        <v>86516.607010538137</v>
      </c>
      <c r="E457" s="784">
        <v>0</v>
      </c>
      <c r="F457" s="784">
        <v>64460.459002696422</v>
      </c>
      <c r="G457" s="784">
        <v>96239.355983752423</v>
      </c>
      <c r="H457" s="784">
        <v>10048.607437545739</v>
      </c>
      <c r="I457" s="784">
        <v>151181.57409899987</v>
      </c>
      <c r="J457" s="784">
        <v>0</v>
      </c>
      <c r="K457" s="784">
        <v>0</v>
      </c>
      <c r="L457" s="784">
        <v>0</v>
      </c>
      <c r="M457" s="784">
        <v>0</v>
      </c>
      <c r="N457" s="784">
        <v>0</v>
      </c>
      <c r="O457" s="784">
        <f t="shared" si="60"/>
        <v>7209229.2555611329</v>
      </c>
    </row>
    <row r="458" spans="1:15" x14ac:dyDescent="0.2">
      <c r="A458" s="796" t="s">
        <v>4376</v>
      </c>
      <c r="B458" s="784">
        <v>159059.98601246582</v>
      </c>
      <c r="C458" s="784">
        <v>3564.5674439555555</v>
      </c>
      <c r="D458" s="784">
        <v>1552.1643226868698</v>
      </c>
      <c r="E458" s="784">
        <v>0</v>
      </c>
      <c r="F458" s="784">
        <v>0</v>
      </c>
      <c r="G458" s="784">
        <v>0</v>
      </c>
      <c r="H458" s="784">
        <v>838.15513912332085</v>
      </c>
      <c r="I458" s="784">
        <v>5588.1915835868622</v>
      </c>
      <c r="J458" s="784">
        <v>0</v>
      </c>
      <c r="K458" s="784">
        <v>0</v>
      </c>
      <c r="L458" s="784">
        <v>0</v>
      </c>
      <c r="M458" s="784">
        <v>0</v>
      </c>
      <c r="N458" s="784">
        <v>0</v>
      </c>
      <c r="O458" s="784">
        <f t="shared" si="60"/>
        <v>170603.06450181842</v>
      </c>
    </row>
    <row r="459" spans="1:15" x14ac:dyDescent="0.2">
      <c r="A459" s="796" t="s">
        <v>4735</v>
      </c>
      <c r="B459" s="784">
        <v>48812.568061549871</v>
      </c>
      <c r="C459" s="784">
        <v>0</v>
      </c>
      <c r="D459" s="784">
        <v>0</v>
      </c>
      <c r="E459" s="784">
        <v>0</v>
      </c>
      <c r="F459" s="784">
        <v>0</v>
      </c>
      <c r="G459" s="784">
        <v>0</v>
      </c>
      <c r="H459" s="784">
        <v>0</v>
      </c>
      <c r="I459" s="784">
        <v>0</v>
      </c>
      <c r="J459" s="784">
        <v>0</v>
      </c>
      <c r="K459" s="784">
        <v>0</v>
      </c>
      <c r="L459" s="784">
        <v>0</v>
      </c>
      <c r="M459" s="784">
        <v>0</v>
      </c>
      <c r="N459" s="784">
        <v>0</v>
      </c>
      <c r="O459" s="784">
        <f t="shared" si="60"/>
        <v>48812.568061549871</v>
      </c>
    </row>
    <row r="460" spans="1:15" x14ac:dyDescent="0.2">
      <c r="A460" s="796" t="s">
        <v>4377</v>
      </c>
      <c r="B460" s="784">
        <v>173290.67490919831</v>
      </c>
      <c r="C460" s="784">
        <v>0</v>
      </c>
      <c r="D460" s="784">
        <v>0</v>
      </c>
      <c r="E460" s="784">
        <v>0</v>
      </c>
      <c r="F460" s="784">
        <v>3711.2105111817923</v>
      </c>
      <c r="G460" s="784">
        <v>9188.3336962379799</v>
      </c>
      <c r="H460" s="784">
        <v>0</v>
      </c>
      <c r="I460" s="784">
        <v>0</v>
      </c>
      <c r="J460" s="784">
        <v>0</v>
      </c>
      <c r="K460" s="784">
        <v>0</v>
      </c>
      <c r="L460" s="784">
        <v>0</v>
      </c>
      <c r="M460" s="784">
        <v>0</v>
      </c>
      <c r="N460" s="784">
        <v>0</v>
      </c>
      <c r="O460" s="784">
        <f t="shared" si="60"/>
        <v>186190.21911661807</v>
      </c>
    </row>
    <row r="461" spans="1:15" x14ac:dyDescent="0.2">
      <c r="A461" s="796" t="s">
        <v>4378</v>
      </c>
      <c r="B461" s="784">
        <v>-9681.6088200051945</v>
      </c>
      <c r="C461" s="784">
        <v>0</v>
      </c>
      <c r="D461" s="784">
        <v>0</v>
      </c>
      <c r="E461" s="784">
        <v>0</v>
      </c>
      <c r="F461" s="784">
        <v>0</v>
      </c>
      <c r="G461" s="784">
        <v>0</v>
      </c>
      <c r="H461" s="784">
        <v>0</v>
      </c>
      <c r="I461" s="784">
        <v>0</v>
      </c>
      <c r="J461" s="784">
        <v>0</v>
      </c>
      <c r="K461" s="784">
        <v>0</v>
      </c>
      <c r="L461" s="784">
        <v>0</v>
      </c>
      <c r="M461" s="784">
        <v>0</v>
      </c>
      <c r="N461" s="784">
        <v>0</v>
      </c>
      <c r="O461" s="784">
        <f t="shared" si="60"/>
        <v>-9681.6088200051945</v>
      </c>
    </row>
    <row r="462" spans="1:15" x14ac:dyDescent="0.2">
      <c r="A462" s="796" t="s">
        <v>559</v>
      </c>
      <c r="B462" s="784">
        <v>396352.36130849412</v>
      </c>
      <c r="C462" s="784">
        <v>643627.4313572672</v>
      </c>
      <c r="D462" s="784">
        <v>6993.0913999059048</v>
      </c>
      <c r="E462" s="784">
        <v>0</v>
      </c>
      <c r="F462" s="784">
        <v>8548.2940399317158</v>
      </c>
      <c r="G462" s="784">
        <v>22047.391139708958</v>
      </c>
      <c r="H462" s="784">
        <v>1005.7883241116061</v>
      </c>
      <c r="I462" s="784">
        <v>11825.649251507157</v>
      </c>
      <c r="J462" s="784">
        <v>0</v>
      </c>
      <c r="K462" s="784">
        <v>0</v>
      </c>
      <c r="L462" s="784">
        <v>0</v>
      </c>
      <c r="M462" s="784">
        <v>0</v>
      </c>
      <c r="N462" s="784">
        <v>0</v>
      </c>
      <c r="O462" s="784">
        <f t="shared" si="60"/>
        <v>1090400.0068209264</v>
      </c>
    </row>
    <row r="463" spans="1:15" x14ac:dyDescent="0.2">
      <c r="A463" s="796" t="s">
        <v>560</v>
      </c>
      <c r="B463" s="784">
        <v>-61927.602811609395</v>
      </c>
      <c r="C463" s="784">
        <v>-100496.78900609439</v>
      </c>
      <c r="D463" s="784">
        <v>0</v>
      </c>
      <c r="E463" s="784">
        <v>0</v>
      </c>
      <c r="F463" s="784">
        <v>0</v>
      </c>
      <c r="G463" s="784">
        <v>0</v>
      </c>
      <c r="H463" s="784">
        <v>0</v>
      </c>
      <c r="I463" s="784">
        <v>0</v>
      </c>
      <c r="J463" s="784">
        <v>0</v>
      </c>
      <c r="K463" s="784">
        <v>0</v>
      </c>
      <c r="L463" s="784">
        <v>0</v>
      </c>
      <c r="M463" s="784">
        <v>0</v>
      </c>
      <c r="N463" s="784">
        <v>0</v>
      </c>
      <c r="O463" s="784">
        <f t="shared" si="60"/>
        <v>-162424.39181770378</v>
      </c>
    </row>
    <row r="464" spans="1:15" x14ac:dyDescent="0.2">
      <c r="A464" s="796" t="s">
        <v>728</v>
      </c>
      <c r="B464" s="784">
        <v>0</v>
      </c>
      <c r="C464" s="784">
        <v>6346.8768929613943</v>
      </c>
      <c r="D464" s="784">
        <v>3037.9067162215911</v>
      </c>
      <c r="E464" s="784">
        <v>0</v>
      </c>
      <c r="F464" s="784">
        <v>0</v>
      </c>
      <c r="G464" s="784">
        <v>0</v>
      </c>
      <c r="H464" s="784">
        <v>0</v>
      </c>
      <c r="I464" s="784">
        <v>290.34921216183255</v>
      </c>
      <c r="J464" s="784">
        <v>0</v>
      </c>
      <c r="K464" s="784">
        <v>0</v>
      </c>
      <c r="L464" s="784">
        <v>0</v>
      </c>
      <c r="M464" s="784">
        <v>0</v>
      </c>
      <c r="N464" s="784">
        <v>0</v>
      </c>
      <c r="O464" s="784">
        <f t="shared" si="60"/>
        <v>9675.1328213448178</v>
      </c>
    </row>
    <row r="465" spans="1:15" x14ac:dyDescent="0.2">
      <c r="A465" s="796" t="s">
        <v>4585</v>
      </c>
      <c r="B465" s="784">
        <v>43031.585030162671</v>
      </c>
      <c r="C465" s="784">
        <v>0</v>
      </c>
      <c r="D465" s="784">
        <v>0</v>
      </c>
      <c r="E465" s="784">
        <v>0</v>
      </c>
      <c r="F465" s="784">
        <v>0</v>
      </c>
      <c r="G465" s="784">
        <v>0</v>
      </c>
      <c r="H465" s="784">
        <v>0</v>
      </c>
      <c r="I465" s="784">
        <v>0</v>
      </c>
      <c r="J465" s="784">
        <v>0</v>
      </c>
      <c r="K465" s="784">
        <v>0</v>
      </c>
      <c r="L465" s="784">
        <v>0</v>
      </c>
      <c r="M465" s="784">
        <v>0</v>
      </c>
      <c r="N465" s="784">
        <v>0</v>
      </c>
      <c r="O465" s="784">
        <f t="shared" si="60"/>
        <v>43031.585030162671</v>
      </c>
    </row>
    <row r="466" spans="1:15" x14ac:dyDescent="0.2">
      <c r="A466" s="796" t="s">
        <v>4398</v>
      </c>
      <c r="B466" s="784">
        <v>17493.280762673392</v>
      </c>
      <c r="C466" s="784">
        <v>9291.3466425511542</v>
      </c>
      <c r="D466" s="784">
        <v>0</v>
      </c>
      <c r="E466" s="784">
        <v>0</v>
      </c>
      <c r="F466" s="784">
        <v>0</v>
      </c>
      <c r="G466" s="784">
        <v>0</v>
      </c>
      <c r="H466" s="784">
        <v>1105.3522110390838</v>
      </c>
      <c r="I466" s="784">
        <v>17388.768191950334</v>
      </c>
      <c r="J466" s="784">
        <v>0</v>
      </c>
      <c r="K466" s="784">
        <v>0</v>
      </c>
      <c r="L466" s="784">
        <v>0</v>
      </c>
      <c r="M466" s="784">
        <v>0</v>
      </c>
      <c r="N466" s="784">
        <v>0</v>
      </c>
      <c r="O466" s="784">
        <f t="shared" si="60"/>
        <v>45278.747808213964</v>
      </c>
    </row>
    <row r="467" spans="1:15" x14ac:dyDescent="0.2">
      <c r="A467" s="796" t="s">
        <v>561</v>
      </c>
      <c r="B467" s="784">
        <v>796092.00129779056</v>
      </c>
      <c r="C467" s="784">
        <v>342125.64474202483</v>
      </c>
      <c r="D467" s="784">
        <v>15802.071346182838</v>
      </c>
      <c r="E467" s="784">
        <v>0</v>
      </c>
      <c r="F467" s="784">
        <v>26606.080108829035</v>
      </c>
      <c r="G467" s="784">
        <v>14601.760790066179</v>
      </c>
      <c r="H467" s="784">
        <v>0</v>
      </c>
      <c r="I467" s="784">
        <v>0</v>
      </c>
      <c r="J467" s="784">
        <v>264.02248662762548</v>
      </c>
      <c r="K467" s="784">
        <v>0</v>
      </c>
      <c r="L467" s="784">
        <v>0</v>
      </c>
      <c r="M467" s="784">
        <v>0</v>
      </c>
      <c r="N467" s="784">
        <v>0</v>
      </c>
      <c r="O467" s="784">
        <f t="shared" si="60"/>
        <v>1195491.580771521</v>
      </c>
    </row>
    <row r="468" spans="1:15" x14ac:dyDescent="0.2">
      <c r="A468" s="796" t="s">
        <v>562</v>
      </c>
      <c r="B468" s="784">
        <v>80365.604176402237</v>
      </c>
      <c r="C468" s="784">
        <v>285.16739535792107</v>
      </c>
      <c r="D468" s="784">
        <v>186.26179228143874</v>
      </c>
      <c r="E468" s="784">
        <v>0</v>
      </c>
      <c r="F468" s="784">
        <v>382.25491657788871</v>
      </c>
      <c r="G468" s="784">
        <v>1267.9826331077797</v>
      </c>
      <c r="H468" s="784">
        <v>0</v>
      </c>
      <c r="I468" s="784">
        <v>0</v>
      </c>
      <c r="J468" s="784">
        <v>0</v>
      </c>
      <c r="K468" s="784">
        <v>0</v>
      </c>
      <c r="L468" s="784">
        <v>0</v>
      </c>
      <c r="M468" s="784">
        <v>0</v>
      </c>
      <c r="N468" s="784">
        <v>0</v>
      </c>
      <c r="O468" s="784">
        <f t="shared" si="60"/>
        <v>82487.270913727261</v>
      </c>
    </row>
    <row r="469" spans="1:15" x14ac:dyDescent="0.2">
      <c r="A469" s="796" t="s">
        <v>563</v>
      </c>
      <c r="B469" s="784">
        <v>5996.8031466343382</v>
      </c>
      <c r="C469" s="784">
        <v>-19218.375207983048</v>
      </c>
      <c r="D469" s="784">
        <v>42.222991490754303</v>
      </c>
      <c r="E469" s="784">
        <v>0</v>
      </c>
      <c r="F469" s="784">
        <v>-255.37058647035695</v>
      </c>
      <c r="G469" s="784">
        <v>-204.10643470040083</v>
      </c>
      <c r="H469" s="784">
        <v>0</v>
      </c>
      <c r="I469" s="784">
        <v>0</v>
      </c>
      <c r="J469" s="784">
        <v>0</v>
      </c>
      <c r="K469" s="784">
        <v>0</v>
      </c>
      <c r="L469" s="784">
        <v>0</v>
      </c>
      <c r="M469" s="784">
        <v>0</v>
      </c>
      <c r="N469" s="784">
        <v>0</v>
      </c>
      <c r="O469" s="784">
        <f t="shared" si="60"/>
        <v>-13638.826091028714</v>
      </c>
    </row>
    <row r="470" spans="1:15" x14ac:dyDescent="0.2">
      <c r="A470" s="796" t="s">
        <v>4358</v>
      </c>
      <c r="B470" s="784">
        <v>-21514.000808789442</v>
      </c>
      <c r="C470" s="784">
        <v>0</v>
      </c>
      <c r="D470" s="784">
        <v>0</v>
      </c>
      <c r="E470" s="784">
        <v>0</v>
      </c>
      <c r="F470" s="784">
        <v>0</v>
      </c>
      <c r="G470" s="784">
        <v>0</v>
      </c>
      <c r="H470" s="784">
        <v>0</v>
      </c>
      <c r="I470" s="784">
        <v>0</v>
      </c>
      <c r="J470" s="784">
        <v>0</v>
      </c>
      <c r="K470" s="784">
        <v>0</v>
      </c>
      <c r="L470" s="784">
        <v>0</v>
      </c>
      <c r="M470" s="784">
        <v>0</v>
      </c>
      <c r="N470" s="784">
        <v>0</v>
      </c>
      <c r="O470" s="784">
        <f t="shared" si="60"/>
        <v>-21514.000808789442</v>
      </c>
    </row>
    <row r="471" spans="1:15" x14ac:dyDescent="0.2">
      <c r="A471" s="796" t="s">
        <v>4736</v>
      </c>
      <c r="B471" s="784">
        <v>0</v>
      </c>
      <c r="C471" s="784">
        <v>0</v>
      </c>
      <c r="D471" s="784">
        <v>0</v>
      </c>
      <c r="E471" s="784">
        <v>0</v>
      </c>
      <c r="F471" s="784">
        <v>0</v>
      </c>
      <c r="G471" s="784">
        <v>456.70221933723178</v>
      </c>
      <c r="H471" s="784">
        <v>0</v>
      </c>
      <c r="I471" s="784">
        <v>0</v>
      </c>
      <c r="J471" s="784">
        <v>0</v>
      </c>
      <c r="K471" s="784">
        <v>0</v>
      </c>
      <c r="L471" s="784">
        <v>0</v>
      </c>
      <c r="M471" s="784">
        <v>0</v>
      </c>
      <c r="N471" s="784">
        <v>0</v>
      </c>
      <c r="O471" s="784">
        <f t="shared" si="60"/>
        <v>456.70221933723178</v>
      </c>
    </row>
    <row r="472" spans="1:15" x14ac:dyDescent="0.2">
      <c r="A472" s="796" t="s">
        <v>574</v>
      </c>
      <c r="B472" s="784">
        <v>24353.668292350336</v>
      </c>
      <c r="C472" s="784">
        <v>1755486.1589886092</v>
      </c>
      <c r="D472" s="784">
        <v>63709.908700886735</v>
      </c>
      <c r="E472" s="784">
        <v>143560.68189154309</v>
      </c>
      <c r="F472" s="784">
        <v>0</v>
      </c>
      <c r="G472" s="784">
        <v>28158.389509356446</v>
      </c>
      <c r="H472" s="784">
        <v>226.63161002276723</v>
      </c>
      <c r="I472" s="784">
        <v>38502.379112970048</v>
      </c>
      <c r="J472" s="784">
        <v>0</v>
      </c>
      <c r="K472" s="784">
        <v>0</v>
      </c>
      <c r="L472" s="784">
        <v>0</v>
      </c>
      <c r="M472" s="784">
        <v>0</v>
      </c>
      <c r="N472" s="784">
        <v>0</v>
      </c>
      <c r="O472" s="784">
        <f t="shared" si="60"/>
        <v>2053997.8181057386</v>
      </c>
    </row>
    <row r="473" spans="1:15" x14ac:dyDescent="0.2">
      <c r="A473" s="796" t="s">
        <v>575</v>
      </c>
      <c r="B473" s="784">
        <v>31522.715223666393</v>
      </c>
      <c r="C473" s="784">
        <v>45070.9103454293</v>
      </c>
      <c r="D473" s="784">
        <v>11157.870547171262</v>
      </c>
      <c r="E473" s="784">
        <v>1138.778514791687</v>
      </c>
      <c r="F473" s="784">
        <v>0</v>
      </c>
      <c r="G473" s="784">
        <v>16283.934333045063</v>
      </c>
      <c r="H473" s="784">
        <v>0</v>
      </c>
      <c r="I473" s="784">
        <v>6534.8676944317349</v>
      </c>
      <c r="J473" s="784">
        <v>0</v>
      </c>
      <c r="K473" s="784">
        <v>40166.106842323083</v>
      </c>
      <c r="L473" s="784">
        <v>0</v>
      </c>
      <c r="M473" s="784">
        <v>0</v>
      </c>
      <c r="N473" s="784">
        <v>0</v>
      </c>
      <c r="O473" s="784">
        <f t="shared" si="60"/>
        <v>151875.18350085852</v>
      </c>
    </row>
    <row r="474" spans="1:15" x14ac:dyDescent="0.2">
      <c r="A474" s="796" t="s">
        <v>4401</v>
      </c>
      <c r="B474" s="784">
        <v>0</v>
      </c>
      <c r="C474" s="784">
        <v>198675.02188816364</v>
      </c>
      <c r="D474" s="784">
        <v>1228.4634370817944</v>
      </c>
      <c r="E474" s="784">
        <v>0</v>
      </c>
      <c r="F474" s="784">
        <v>0</v>
      </c>
      <c r="G474" s="784">
        <v>0</v>
      </c>
      <c r="H474" s="784">
        <v>0</v>
      </c>
      <c r="I474" s="784">
        <v>0</v>
      </c>
      <c r="J474" s="784">
        <v>0</v>
      </c>
      <c r="K474" s="784">
        <v>0</v>
      </c>
      <c r="L474" s="784">
        <v>0</v>
      </c>
      <c r="M474" s="784">
        <v>0</v>
      </c>
      <c r="N474" s="784">
        <v>0</v>
      </c>
      <c r="O474" s="784">
        <f t="shared" si="60"/>
        <v>199903.48532524542</v>
      </c>
    </row>
    <row r="475" spans="1:15" x14ac:dyDescent="0.2">
      <c r="A475" s="796" t="s">
        <v>578</v>
      </c>
      <c r="B475" s="784">
        <v>134122.17021175349</v>
      </c>
      <c r="C475" s="784">
        <v>82700.356824298404</v>
      </c>
      <c r="D475" s="784">
        <v>24339.13091186569</v>
      </c>
      <c r="E475" s="784">
        <v>0</v>
      </c>
      <c r="F475" s="784">
        <v>0</v>
      </c>
      <c r="G475" s="784">
        <v>0</v>
      </c>
      <c r="H475" s="784">
        <v>0</v>
      </c>
      <c r="I475" s="784">
        <v>0</v>
      </c>
      <c r="J475" s="784">
        <v>0</v>
      </c>
      <c r="K475" s="784">
        <v>0</v>
      </c>
      <c r="L475" s="784">
        <v>0</v>
      </c>
      <c r="M475" s="784">
        <v>0</v>
      </c>
      <c r="N475" s="784">
        <v>0</v>
      </c>
      <c r="O475" s="784">
        <f t="shared" si="60"/>
        <v>241161.65794791759</v>
      </c>
    </row>
    <row r="476" spans="1:15" x14ac:dyDescent="0.2">
      <c r="A476" s="796" t="s">
        <v>705</v>
      </c>
      <c r="B476" s="784">
        <v>8789.1518182322834</v>
      </c>
      <c r="C476" s="784">
        <v>0</v>
      </c>
      <c r="D476" s="784">
        <v>0</v>
      </c>
      <c r="E476" s="784">
        <v>0</v>
      </c>
      <c r="F476" s="784">
        <v>0</v>
      </c>
      <c r="G476" s="784">
        <v>0</v>
      </c>
      <c r="H476" s="784">
        <v>0</v>
      </c>
      <c r="I476" s="784">
        <v>0</v>
      </c>
      <c r="J476" s="784">
        <v>0</v>
      </c>
      <c r="K476" s="784">
        <v>0</v>
      </c>
      <c r="L476" s="784">
        <v>0</v>
      </c>
      <c r="M476" s="784">
        <v>0</v>
      </c>
      <c r="N476" s="784">
        <v>0</v>
      </c>
      <c r="O476" s="784">
        <f t="shared" si="60"/>
        <v>8789.1518182322834</v>
      </c>
    </row>
    <row r="477" spans="1:15" x14ac:dyDescent="0.2">
      <c r="A477" s="796" t="s">
        <v>706</v>
      </c>
      <c r="B477" s="784">
        <v>-354.45677927448543</v>
      </c>
      <c r="C477" s="784">
        <v>0</v>
      </c>
      <c r="D477" s="784">
        <v>0</v>
      </c>
      <c r="E477" s="784">
        <v>0</v>
      </c>
      <c r="F477" s="784">
        <v>0</v>
      </c>
      <c r="G477" s="784">
        <v>0</v>
      </c>
      <c r="H477" s="784">
        <v>0</v>
      </c>
      <c r="I477" s="784">
        <v>0</v>
      </c>
      <c r="J477" s="784">
        <v>0</v>
      </c>
      <c r="K477" s="784">
        <v>0</v>
      </c>
      <c r="L477" s="784">
        <v>0</v>
      </c>
      <c r="M477" s="784">
        <v>0</v>
      </c>
      <c r="N477" s="784">
        <v>0</v>
      </c>
      <c r="O477" s="784">
        <f t="shared" si="60"/>
        <v>-354.45677927448543</v>
      </c>
    </row>
    <row r="478" spans="1:15" x14ac:dyDescent="0.2">
      <c r="A478" s="796" t="s">
        <v>564</v>
      </c>
      <c r="B478" s="784">
        <v>109878.86270438107</v>
      </c>
      <c r="C478" s="784">
        <v>0</v>
      </c>
      <c r="D478" s="784">
        <v>0</v>
      </c>
      <c r="E478" s="784">
        <v>0</v>
      </c>
      <c r="F478" s="784">
        <v>0</v>
      </c>
      <c r="G478" s="784">
        <v>0</v>
      </c>
      <c r="H478" s="784">
        <v>0</v>
      </c>
      <c r="I478" s="784">
        <v>0</v>
      </c>
      <c r="J478" s="784">
        <v>0</v>
      </c>
      <c r="K478" s="784">
        <v>0</v>
      </c>
      <c r="L478" s="784">
        <v>0</v>
      </c>
      <c r="M478" s="784">
        <v>0</v>
      </c>
      <c r="N478" s="784">
        <v>0</v>
      </c>
      <c r="O478" s="784">
        <f t="shared" si="60"/>
        <v>109878.86270438107</v>
      </c>
    </row>
    <row r="479" spans="1:15" x14ac:dyDescent="0.2">
      <c r="A479" s="796" t="s">
        <v>565</v>
      </c>
      <c r="B479" s="784">
        <v>31011.453014398085</v>
      </c>
      <c r="C479" s="784">
        <v>0</v>
      </c>
      <c r="D479" s="784">
        <v>0</v>
      </c>
      <c r="E479" s="784">
        <v>0</v>
      </c>
      <c r="F479" s="784">
        <v>0</v>
      </c>
      <c r="G479" s="784">
        <v>0</v>
      </c>
      <c r="H479" s="784">
        <v>0</v>
      </c>
      <c r="I479" s="784">
        <v>0</v>
      </c>
      <c r="J479" s="784">
        <v>0</v>
      </c>
      <c r="K479" s="784">
        <v>0</v>
      </c>
      <c r="L479" s="784">
        <v>0</v>
      </c>
      <c r="M479" s="784">
        <v>0</v>
      </c>
      <c r="N479" s="784">
        <v>0</v>
      </c>
      <c r="O479" s="784">
        <f t="shared" si="60"/>
        <v>31011.453014398085</v>
      </c>
    </row>
    <row r="480" spans="1:15" x14ac:dyDescent="0.2">
      <c r="A480" s="796" t="s">
        <v>566</v>
      </c>
      <c r="B480" s="784">
        <v>23010.859542337152</v>
      </c>
      <c r="C480" s="784">
        <v>0</v>
      </c>
      <c r="D480" s="784">
        <v>0</v>
      </c>
      <c r="E480" s="784">
        <v>0</v>
      </c>
      <c r="F480" s="784">
        <v>0</v>
      </c>
      <c r="G480" s="784">
        <v>0</v>
      </c>
      <c r="H480" s="784">
        <v>0</v>
      </c>
      <c r="I480" s="784">
        <v>0</v>
      </c>
      <c r="J480" s="784">
        <v>0</v>
      </c>
      <c r="K480" s="784">
        <v>0</v>
      </c>
      <c r="L480" s="784">
        <v>0</v>
      </c>
      <c r="M480" s="784">
        <v>0</v>
      </c>
      <c r="N480" s="784">
        <v>0</v>
      </c>
      <c r="O480" s="784">
        <f t="shared" si="60"/>
        <v>23010.859542337152</v>
      </c>
    </row>
    <row r="481" spans="1:15" x14ac:dyDescent="0.2">
      <c r="A481" s="796" t="s">
        <v>738</v>
      </c>
      <c r="B481" s="784">
        <v>55392.814338160009</v>
      </c>
      <c r="C481" s="784">
        <v>0</v>
      </c>
      <c r="D481" s="784">
        <v>0</v>
      </c>
      <c r="E481" s="784">
        <v>0</v>
      </c>
      <c r="F481" s="784">
        <v>0</v>
      </c>
      <c r="G481" s="784">
        <v>0</v>
      </c>
      <c r="H481" s="784">
        <v>0</v>
      </c>
      <c r="I481" s="784">
        <v>0</v>
      </c>
      <c r="J481" s="784">
        <v>0</v>
      </c>
      <c r="K481" s="784">
        <v>0</v>
      </c>
      <c r="L481" s="784">
        <v>0</v>
      </c>
      <c r="M481" s="784">
        <v>0</v>
      </c>
      <c r="N481" s="784">
        <v>0</v>
      </c>
      <c r="O481" s="784">
        <f t="shared" si="60"/>
        <v>55392.814338160009</v>
      </c>
    </row>
    <row r="482" spans="1:15" x14ac:dyDescent="0.2">
      <c r="A482" s="796" t="s">
        <v>567</v>
      </c>
      <c r="B482" s="784">
        <v>10019.37822169301</v>
      </c>
      <c r="C482" s="784">
        <v>0</v>
      </c>
      <c r="D482" s="784">
        <v>0</v>
      </c>
      <c r="E482" s="784">
        <v>0</v>
      </c>
      <c r="F482" s="784">
        <v>0</v>
      </c>
      <c r="G482" s="784">
        <v>0</v>
      </c>
      <c r="H482" s="784">
        <v>0</v>
      </c>
      <c r="I482" s="784">
        <v>0</v>
      </c>
      <c r="J482" s="784">
        <v>0</v>
      </c>
      <c r="K482" s="784">
        <v>0</v>
      </c>
      <c r="L482" s="784">
        <v>0</v>
      </c>
      <c r="M482" s="784">
        <v>0</v>
      </c>
      <c r="N482" s="784">
        <v>0</v>
      </c>
      <c r="O482" s="784">
        <f t="shared" si="60"/>
        <v>10019.37822169301</v>
      </c>
    </row>
    <row r="483" spans="1:15" x14ac:dyDescent="0.2">
      <c r="A483" s="796" t="s">
        <v>568</v>
      </c>
      <c r="B483" s="784">
        <v>590.03852453578997</v>
      </c>
      <c r="C483" s="784">
        <v>0</v>
      </c>
      <c r="D483" s="784">
        <v>0</v>
      </c>
      <c r="E483" s="784">
        <v>0</v>
      </c>
      <c r="F483" s="784">
        <v>0</v>
      </c>
      <c r="G483" s="784">
        <v>0</v>
      </c>
      <c r="H483" s="784">
        <v>0</v>
      </c>
      <c r="I483" s="784">
        <v>0</v>
      </c>
      <c r="J483" s="784">
        <v>0</v>
      </c>
      <c r="K483" s="784">
        <v>0</v>
      </c>
      <c r="L483" s="784">
        <v>0</v>
      </c>
      <c r="M483" s="784">
        <v>0</v>
      </c>
      <c r="N483" s="784">
        <v>0</v>
      </c>
      <c r="O483" s="784">
        <f t="shared" si="60"/>
        <v>590.03852453578997</v>
      </c>
    </row>
    <row r="484" spans="1:15" x14ac:dyDescent="0.2">
      <c r="A484" s="796" t="s">
        <v>4399</v>
      </c>
      <c r="B484" s="784">
        <v>213199.67896286951</v>
      </c>
      <c r="C484" s="784">
        <v>0</v>
      </c>
      <c r="D484" s="784">
        <v>0</v>
      </c>
      <c r="E484" s="784">
        <v>0</v>
      </c>
      <c r="F484" s="784">
        <v>0</v>
      </c>
      <c r="G484" s="784">
        <v>0</v>
      </c>
      <c r="H484" s="784">
        <v>0</v>
      </c>
      <c r="I484" s="784">
        <v>0</v>
      </c>
      <c r="J484" s="784">
        <v>0</v>
      </c>
      <c r="K484" s="784">
        <v>0</v>
      </c>
      <c r="L484" s="784">
        <v>0</v>
      </c>
      <c r="M484" s="784">
        <v>0</v>
      </c>
      <c r="N484" s="784">
        <v>0</v>
      </c>
      <c r="O484" s="784">
        <f t="shared" si="60"/>
        <v>213199.67896286951</v>
      </c>
    </row>
    <row r="485" spans="1:15" x14ac:dyDescent="0.2">
      <c r="A485" s="796" t="s">
        <v>4400</v>
      </c>
      <c r="B485" s="784">
        <v>35120.762330764279</v>
      </c>
      <c r="C485" s="784">
        <v>0</v>
      </c>
      <c r="D485" s="784">
        <v>0</v>
      </c>
      <c r="E485" s="784">
        <v>0</v>
      </c>
      <c r="F485" s="784">
        <v>0</v>
      </c>
      <c r="G485" s="784">
        <v>0</v>
      </c>
      <c r="H485" s="784">
        <v>0</v>
      </c>
      <c r="I485" s="784">
        <v>0</v>
      </c>
      <c r="J485" s="784">
        <v>0</v>
      </c>
      <c r="K485" s="784">
        <v>0</v>
      </c>
      <c r="L485" s="784">
        <v>0</v>
      </c>
      <c r="M485" s="784">
        <v>0</v>
      </c>
      <c r="N485" s="784">
        <v>0</v>
      </c>
      <c r="O485" s="784">
        <f t="shared" si="60"/>
        <v>35120.762330764279</v>
      </c>
    </row>
    <row r="486" spans="1:15" x14ac:dyDescent="0.2">
      <c r="A486" s="796" t="s">
        <v>4483</v>
      </c>
      <c r="B486" s="784">
        <v>291759.43643682578</v>
      </c>
      <c r="C486" s="784">
        <v>0</v>
      </c>
      <c r="D486" s="784">
        <v>0</v>
      </c>
      <c r="E486" s="784">
        <v>0</v>
      </c>
      <c r="F486" s="784">
        <v>0</v>
      </c>
      <c r="G486" s="784">
        <v>5095.9580352274788</v>
      </c>
      <c r="H486" s="784">
        <v>0</v>
      </c>
      <c r="I486" s="784">
        <v>0</v>
      </c>
      <c r="J486" s="784">
        <v>696.66127988571816</v>
      </c>
      <c r="K486" s="784">
        <v>0</v>
      </c>
      <c r="L486" s="784">
        <v>0</v>
      </c>
      <c r="M486" s="784">
        <v>0</v>
      </c>
      <c r="N486" s="784">
        <v>0</v>
      </c>
      <c r="O486" s="784">
        <f t="shared" si="60"/>
        <v>297552.05575193901</v>
      </c>
    </row>
    <row r="487" spans="1:15" x14ac:dyDescent="0.2">
      <c r="A487" s="796" t="s">
        <v>581</v>
      </c>
      <c r="B487" s="784">
        <v>5538.7446874027564</v>
      </c>
      <c r="C487" s="784">
        <v>0</v>
      </c>
      <c r="D487" s="784">
        <v>0</v>
      </c>
      <c r="E487" s="784">
        <v>0</v>
      </c>
      <c r="F487" s="784">
        <v>0</v>
      </c>
      <c r="G487" s="784">
        <v>20364.282669173215</v>
      </c>
      <c r="H487" s="784">
        <v>0</v>
      </c>
      <c r="I487" s="784">
        <v>0</v>
      </c>
      <c r="J487" s="784">
        <v>0</v>
      </c>
      <c r="K487" s="784">
        <v>0</v>
      </c>
      <c r="L487" s="784">
        <v>0</v>
      </c>
      <c r="M487" s="784">
        <v>0</v>
      </c>
      <c r="N487" s="784">
        <v>0</v>
      </c>
      <c r="O487" s="784">
        <f t="shared" si="60"/>
        <v>25903.027356575971</v>
      </c>
    </row>
    <row r="488" spans="1:15" x14ac:dyDescent="0.2">
      <c r="A488" s="796" t="s">
        <v>658</v>
      </c>
      <c r="B488" s="784">
        <v>37259.043965332683</v>
      </c>
      <c r="C488" s="784">
        <v>0</v>
      </c>
      <c r="D488" s="784">
        <v>0</v>
      </c>
      <c r="E488" s="784">
        <v>0</v>
      </c>
      <c r="F488" s="784">
        <v>0</v>
      </c>
      <c r="G488" s="784">
        <v>0</v>
      </c>
      <c r="H488" s="784">
        <v>0</v>
      </c>
      <c r="I488" s="784">
        <v>0</v>
      </c>
      <c r="J488" s="784">
        <v>0</v>
      </c>
      <c r="K488" s="784">
        <v>0</v>
      </c>
      <c r="L488" s="784">
        <v>0</v>
      </c>
      <c r="M488" s="784">
        <v>0</v>
      </c>
      <c r="N488" s="784">
        <v>0</v>
      </c>
      <c r="O488" s="784">
        <f t="shared" si="60"/>
        <v>37259.043965332683</v>
      </c>
    </row>
    <row r="489" spans="1:15" x14ac:dyDescent="0.2">
      <c r="A489" s="796" t="s">
        <v>582</v>
      </c>
      <c r="B489" s="784">
        <v>7344.6997705893209</v>
      </c>
      <c r="C489" s="784">
        <v>0</v>
      </c>
      <c r="D489" s="784">
        <v>0</v>
      </c>
      <c r="E489" s="784">
        <v>0</v>
      </c>
      <c r="F489" s="784">
        <v>0</v>
      </c>
      <c r="G489" s="784">
        <v>0</v>
      </c>
      <c r="H489" s="784">
        <v>0</v>
      </c>
      <c r="I489" s="784">
        <v>0</v>
      </c>
      <c r="J489" s="784">
        <v>0</v>
      </c>
      <c r="K489" s="784">
        <v>0</v>
      </c>
      <c r="L489" s="784">
        <v>0</v>
      </c>
      <c r="M489" s="784">
        <v>0</v>
      </c>
      <c r="N489" s="784">
        <v>0</v>
      </c>
      <c r="O489" s="784">
        <f t="shared" si="60"/>
        <v>7344.6997705893209</v>
      </c>
    </row>
    <row r="490" spans="1:15" x14ac:dyDescent="0.2">
      <c r="A490" s="796" t="s">
        <v>583</v>
      </c>
      <c r="B490" s="784">
        <v>1006.5858498305405</v>
      </c>
      <c r="C490" s="784">
        <v>0</v>
      </c>
      <c r="D490" s="784">
        <v>0</v>
      </c>
      <c r="E490" s="784">
        <v>0</v>
      </c>
      <c r="F490" s="784">
        <v>0</v>
      </c>
      <c r="G490" s="784">
        <v>0</v>
      </c>
      <c r="H490" s="784">
        <v>0</v>
      </c>
      <c r="I490" s="784">
        <v>0</v>
      </c>
      <c r="J490" s="784">
        <v>0</v>
      </c>
      <c r="K490" s="784">
        <v>0</v>
      </c>
      <c r="L490" s="784">
        <v>0</v>
      </c>
      <c r="M490" s="784">
        <v>0</v>
      </c>
      <c r="N490" s="784">
        <v>0</v>
      </c>
      <c r="O490" s="784">
        <f t="shared" si="60"/>
        <v>1006.5858498305405</v>
      </c>
    </row>
    <row r="491" spans="1:15" x14ac:dyDescent="0.2">
      <c r="A491" s="796" t="s">
        <v>585</v>
      </c>
      <c r="B491" s="784">
        <v>10425.436940273901</v>
      </c>
      <c r="C491" s="784">
        <v>0</v>
      </c>
      <c r="D491" s="784">
        <v>0</v>
      </c>
      <c r="E491" s="784">
        <v>0</v>
      </c>
      <c r="F491" s="784">
        <v>0</v>
      </c>
      <c r="G491" s="784">
        <v>0</v>
      </c>
      <c r="H491" s="784">
        <v>0</v>
      </c>
      <c r="I491" s="784">
        <v>0</v>
      </c>
      <c r="J491" s="784">
        <v>0</v>
      </c>
      <c r="K491" s="784">
        <v>0</v>
      </c>
      <c r="L491" s="784">
        <v>0</v>
      </c>
      <c r="M491" s="784">
        <v>0</v>
      </c>
      <c r="N491" s="784">
        <v>0</v>
      </c>
      <c r="O491" s="784">
        <f t="shared" si="60"/>
        <v>10425.436940273901</v>
      </c>
    </row>
    <row r="492" spans="1:15" x14ac:dyDescent="0.2">
      <c r="A492" s="796" t="s">
        <v>586</v>
      </c>
      <c r="B492" s="784">
        <v>-10425.436940273901</v>
      </c>
      <c r="C492" s="784">
        <v>0</v>
      </c>
      <c r="D492" s="784">
        <v>0</v>
      </c>
      <c r="E492" s="784">
        <v>0</v>
      </c>
      <c r="F492" s="784">
        <v>0</v>
      </c>
      <c r="G492" s="784">
        <v>0</v>
      </c>
      <c r="H492" s="784">
        <v>0</v>
      </c>
      <c r="I492" s="784">
        <v>0</v>
      </c>
      <c r="J492" s="784">
        <v>0</v>
      </c>
      <c r="K492" s="784">
        <v>0</v>
      </c>
      <c r="L492" s="784">
        <v>0</v>
      </c>
      <c r="M492" s="784">
        <v>0</v>
      </c>
      <c r="N492" s="784">
        <v>0</v>
      </c>
      <c r="O492" s="784">
        <f t="shared" si="60"/>
        <v>-10425.436940273901</v>
      </c>
    </row>
    <row r="493" spans="1:15" x14ac:dyDescent="0.2">
      <c r="A493" s="796" t="s">
        <v>587</v>
      </c>
      <c r="B493" s="784">
        <v>5228.241481194731</v>
      </c>
      <c r="C493" s="784">
        <v>0</v>
      </c>
      <c r="D493" s="784">
        <v>0</v>
      </c>
      <c r="E493" s="784">
        <v>0</v>
      </c>
      <c r="F493" s="784">
        <v>0</v>
      </c>
      <c r="G493" s="784">
        <v>0</v>
      </c>
      <c r="H493" s="784">
        <v>0</v>
      </c>
      <c r="I493" s="784">
        <v>0</v>
      </c>
      <c r="J493" s="784">
        <v>0</v>
      </c>
      <c r="K493" s="784">
        <v>0</v>
      </c>
      <c r="L493" s="784">
        <v>0</v>
      </c>
      <c r="M493" s="784">
        <v>0</v>
      </c>
      <c r="N493" s="784">
        <v>0</v>
      </c>
      <c r="O493" s="784">
        <f t="shared" si="60"/>
        <v>5228.241481194731</v>
      </c>
    </row>
    <row r="494" spans="1:15" x14ac:dyDescent="0.2">
      <c r="A494" s="796" t="s">
        <v>589</v>
      </c>
      <c r="B494" s="784">
        <v>22052.394424719147</v>
      </c>
      <c r="C494" s="784">
        <v>0</v>
      </c>
      <c r="D494" s="784">
        <v>0</v>
      </c>
      <c r="E494" s="784">
        <v>0</v>
      </c>
      <c r="F494" s="784">
        <v>0</v>
      </c>
      <c r="G494" s="784">
        <v>0</v>
      </c>
      <c r="H494" s="784">
        <v>0</v>
      </c>
      <c r="I494" s="784">
        <v>0</v>
      </c>
      <c r="J494" s="784">
        <v>0</v>
      </c>
      <c r="K494" s="784">
        <v>0</v>
      </c>
      <c r="L494" s="784">
        <v>0</v>
      </c>
      <c r="M494" s="784">
        <v>0</v>
      </c>
      <c r="N494" s="784">
        <v>0</v>
      </c>
      <c r="O494" s="784">
        <f t="shared" si="60"/>
        <v>22052.394424719147</v>
      </c>
    </row>
    <row r="495" spans="1:15" x14ac:dyDescent="0.2">
      <c r="A495" s="796" t="s">
        <v>590</v>
      </c>
      <c r="B495" s="784">
        <v>447218.41595185339</v>
      </c>
      <c r="C495" s="784">
        <v>0</v>
      </c>
      <c r="D495" s="784">
        <v>0</v>
      </c>
      <c r="E495" s="784">
        <v>0</v>
      </c>
      <c r="F495" s="784">
        <v>0</v>
      </c>
      <c r="G495" s="784">
        <v>0</v>
      </c>
      <c r="H495" s="784">
        <v>0</v>
      </c>
      <c r="I495" s="784">
        <v>0</v>
      </c>
      <c r="J495" s="784">
        <v>0</v>
      </c>
      <c r="K495" s="784">
        <v>0</v>
      </c>
      <c r="L495" s="784">
        <v>0</v>
      </c>
      <c r="M495" s="784">
        <v>0</v>
      </c>
      <c r="N495" s="784">
        <v>0</v>
      </c>
      <c r="O495" s="784">
        <f t="shared" si="60"/>
        <v>447218.41595185339</v>
      </c>
    </row>
    <row r="496" spans="1:15" x14ac:dyDescent="0.2">
      <c r="A496" s="796" t="s">
        <v>591</v>
      </c>
      <c r="B496" s="784">
        <v>718.28044326333816</v>
      </c>
      <c r="C496" s="784">
        <v>0</v>
      </c>
      <c r="D496" s="784">
        <v>0</v>
      </c>
      <c r="E496" s="784">
        <v>0</v>
      </c>
      <c r="F496" s="784">
        <v>0</v>
      </c>
      <c r="G496" s="784">
        <v>0</v>
      </c>
      <c r="H496" s="784">
        <v>0</v>
      </c>
      <c r="I496" s="784">
        <v>0</v>
      </c>
      <c r="J496" s="784">
        <v>0</v>
      </c>
      <c r="K496" s="784">
        <v>0</v>
      </c>
      <c r="L496" s="784">
        <v>0</v>
      </c>
      <c r="M496" s="784">
        <v>0</v>
      </c>
      <c r="N496" s="784">
        <v>0</v>
      </c>
      <c r="O496" s="784">
        <f t="shared" si="60"/>
        <v>718.28044326333816</v>
      </c>
    </row>
    <row r="497" spans="1:15" x14ac:dyDescent="0.2">
      <c r="A497" s="796" t="s">
        <v>594</v>
      </c>
      <c r="B497" s="784">
        <v>-13.989405662518276</v>
      </c>
      <c r="C497" s="784">
        <v>49822.083730583923</v>
      </c>
      <c r="D497" s="784">
        <v>0</v>
      </c>
      <c r="E497" s="784">
        <v>0</v>
      </c>
      <c r="F497" s="784">
        <v>1570.7433047982038</v>
      </c>
      <c r="G497" s="784">
        <v>0</v>
      </c>
      <c r="H497" s="784">
        <v>0</v>
      </c>
      <c r="I497" s="784">
        <v>0</v>
      </c>
      <c r="J497" s="784">
        <v>0</v>
      </c>
      <c r="K497" s="784">
        <v>3133.2955732977052</v>
      </c>
      <c r="L497" s="784">
        <v>0</v>
      </c>
      <c r="M497" s="784">
        <v>0</v>
      </c>
      <c r="N497" s="784">
        <v>0</v>
      </c>
      <c r="O497" s="784">
        <f t="shared" si="60"/>
        <v>54512.133203017314</v>
      </c>
    </row>
    <row r="498" spans="1:15" x14ac:dyDescent="0.2">
      <c r="A498" s="796" t="s">
        <v>4295</v>
      </c>
      <c r="B498" s="784">
        <v>64168.512980626459</v>
      </c>
      <c r="C498" s="784">
        <v>313752.13458428363</v>
      </c>
      <c r="D498" s="784">
        <v>0</v>
      </c>
      <c r="E498" s="784">
        <v>0</v>
      </c>
      <c r="F498" s="784">
        <v>0</v>
      </c>
      <c r="G498" s="784">
        <v>0</v>
      </c>
      <c r="H498" s="784">
        <v>0</v>
      </c>
      <c r="I498" s="784">
        <v>0</v>
      </c>
      <c r="J498" s="784">
        <v>0</v>
      </c>
      <c r="K498" s="784">
        <v>0</v>
      </c>
      <c r="L498" s="784">
        <v>0</v>
      </c>
      <c r="M498" s="784">
        <v>0</v>
      </c>
      <c r="N498" s="784">
        <v>0</v>
      </c>
      <c r="O498" s="784">
        <f t="shared" si="60"/>
        <v>377920.64756491012</v>
      </c>
    </row>
    <row r="499" spans="1:15" x14ac:dyDescent="0.2">
      <c r="A499" s="796" t="s">
        <v>729</v>
      </c>
      <c r="B499" s="784">
        <v>201241.33658002477</v>
      </c>
      <c r="C499" s="784">
        <v>95875.713149032032</v>
      </c>
      <c r="D499" s="784">
        <v>15219.739366320067</v>
      </c>
      <c r="E499" s="784">
        <v>2927.7121244162968</v>
      </c>
      <c r="F499" s="784">
        <v>0</v>
      </c>
      <c r="G499" s="784">
        <v>38808.757948678031</v>
      </c>
      <c r="H499" s="784">
        <v>4670.784211177619</v>
      </c>
      <c r="I499" s="784">
        <v>3708.3886835757376</v>
      </c>
      <c r="J499" s="784">
        <v>3447.3789643861514</v>
      </c>
      <c r="K499" s="784">
        <v>0</v>
      </c>
      <c r="L499" s="784">
        <v>2472.1699140788205</v>
      </c>
      <c r="M499" s="784">
        <v>0</v>
      </c>
      <c r="N499" s="784">
        <v>0</v>
      </c>
      <c r="O499" s="784">
        <f t="shared" si="60"/>
        <v>368371.98094168952</v>
      </c>
    </row>
    <row r="500" spans="1:15" x14ac:dyDescent="0.2">
      <c r="A500" s="796" t="s">
        <v>739</v>
      </c>
      <c r="B500" s="784">
        <v>0</v>
      </c>
      <c r="C500" s="784">
        <v>169547.14579548364</v>
      </c>
      <c r="D500" s="784">
        <v>0</v>
      </c>
      <c r="E500" s="784">
        <v>0</v>
      </c>
      <c r="F500" s="784">
        <v>0</v>
      </c>
      <c r="G500" s="784">
        <v>0</v>
      </c>
      <c r="H500" s="784">
        <v>0</v>
      </c>
      <c r="I500" s="784">
        <v>0</v>
      </c>
      <c r="J500" s="784">
        <v>0</v>
      </c>
      <c r="K500" s="784">
        <v>0</v>
      </c>
      <c r="L500" s="784">
        <v>0</v>
      </c>
      <c r="M500" s="784">
        <v>0</v>
      </c>
      <c r="N500" s="784">
        <v>0</v>
      </c>
      <c r="O500" s="784">
        <f t="shared" si="60"/>
        <v>169547.14579548364</v>
      </c>
    </row>
    <row r="501" spans="1:15" x14ac:dyDescent="0.2">
      <c r="A501" s="796" t="s">
        <v>730</v>
      </c>
      <c r="B501" s="784">
        <v>436017.43694250291</v>
      </c>
      <c r="C501" s="784">
        <v>49422.181707053132</v>
      </c>
      <c r="D501" s="784">
        <v>0</v>
      </c>
      <c r="E501" s="784">
        <v>5934.0016389517104</v>
      </c>
      <c r="F501" s="784">
        <v>0</v>
      </c>
      <c r="G501" s="784">
        <v>18911.163674598298</v>
      </c>
      <c r="H501" s="784">
        <v>0</v>
      </c>
      <c r="I501" s="784">
        <v>2612.7600699309087</v>
      </c>
      <c r="J501" s="784">
        <v>1843.1535623056141</v>
      </c>
      <c r="K501" s="784">
        <v>2176.3304946176413</v>
      </c>
      <c r="L501" s="784">
        <v>0</v>
      </c>
      <c r="M501" s="784">
        <v>0</v>
      </c>
      <c r="N501" s="784">
        <v>0</v>
      </c>
      <c r="O501" s="784">
        <f t="shared" si="60"/>
        <v>516917.02808996028</v>
      </c>
    </row>
    <row r="502" spans="1:15" x14ac:dyDescent="0.2">
      <c r="A502" s="796" t="s">
        <v>707</v>
      </c>
      <c r="B502" s="784">
        <v>73861.607346803488</v>
      </c>
      <c r="C502" s="784">
        <v>271058.04769428348</v>
      </c>
      <c r="D502" s="784">
        <v>0</v>
      </c>
      <c r="E502" s="784">
        <v>4575.5221957389031</v>
      </c>
      <c r="F502" s="784">
        <v>6280.4847417904784</v>
      </c>
      <c r="G502" s="784">
        <v>10127.844466897246</v>
      </c>
      <c r="H502" s="784">
        <v>956.6679898444396</v>
      </c>
      <c r="I502" s="784">
        <v>5488.0057801061175</v>
      </c>
      <c r="J502" s="784">
        <v>7775.4846655829106</v>
      </c>
      <c r="K502" s="784">
        <v>-634.18032442350625</v>
      </c>
      <c r="L502" s="784">
        <v>16489.782987794024</v>
      </c>
      <c r="M502" s="784">
        <v>0</v>
      </c>
      <c r="N502" s="784">
        <v>0</v>
      </c>
      <c r="O502" s="784">
        <f t="shared" si="60"/>
        <v>395979.26754441753</v>
      </c>
    </row>
    <row r="503" spans="1:15" x14ac:dyDescent="0.2">
      <c r="A503" s="796" t="s">
        <v>731</v>
      </c>
      <c r="B503" s="784">
        <v>28256.718328913088</v>
      </c>
      <c r="C503" s="784">
        <v>37920.879162195466</v>
      </c>
      <c r="D503" s="784">
        <v>11147.567844132196</v>
      </c>
      <c r="E503" s="784">
        <v>6023.5534240381385</v>
      </c>
      <c r="F503" s="784">
        <v>5151.8355329155202</v>
      </c>
      <c r="G503" s="784">
        <v>7896.2497104459198</v>
      </c>
      <c r="H503" s="784">
        <v>1750.675111472955</v>
      </c>
      <c r="I503" s="784">
        <v>19002.108347157278</v>
      </c>
      <c r="J503" s="784">
        <v>8673.593174482814</v>
      </c>
      <c r="K503" s="784">
        <v>8397.7221553474465</v>
      </c>
      <c r="L503" s="784">
        <v>1577.9284985836607</v>
      </c>
      <c r="M503" s="784">
        <v>0</v>
      </c>
      <c r="N503" s="784">
        <v>0</v>
      </c>
      <c r="O503" s="784">
        <f t="shared" si="60"/>
        <v>135798.83128968449</v>
      </c>
    </row>
    <row r="504" spans="1:15" x14ac:dyDescent="0.2">
      <c r="A504" s="796" t="s">
        <v>719</v>
      </c>
      <c r="B504" s="784">
        <v>8771.5468379612103</v>
      </c>
      <c r="C504" s="784">
        <v>-1933.7713218359088</v>
      </c>
      <c r="D504" s="784">
        <v>0</v>
      </c>
      <c r="E504" s="784">
        <v>-66.302814914353448</v>
      </c>
      <c r="F504" s="784">
        <v>0</v>
      </c>
      <c r="G504" s="784">
        <v>0</v>
      </c>
      <c r="H504" s="784">
        <v>0</v>
      </c>
      <c r="I504" s="784">
        <v>7316.5080914912069</v>
      </c>
      <c r="J504" s="784">
        <v>0</v>
      </c>
      <c r="K504" s="784">
        <v>0</v>
      </c>
      <c r="L504" s="784">
        <v>0</v>
      </c>
      <c r="M504" s="784">
        <v>0</v>
      </c>
      <c r="N504" s="784">
        <v>0</v>
      </c>
      <c r="O504" s="784">
        <f t="shared" si="60"/>
        <v>14087.980792702154</v>
      </c>
    </row>
    <row r="505" spans="1:15" x14ac:dyDescent="0.2">
      <c r="A505" s="796" t="s">
        <v>660</v>
      </c>
      <c r="B505" s="784">
        <v>-2456.1696024302191</v>
      </c>
      <c r="C505" s="784">
        <v>0</v>
      </c>
      <c r="D505" s="784">
        <v>0</v>
      </c>
      <c r="E505" s="784">
        <v>0</v>
      </c>
      <c r="F505" s="784">
        <v>0</v>
      </c>
      <c r="G505" s="784">
        <v>0</v>
      </c>
      <c r="H505" s="784">
        <v>0</v>
      </c>
      <c r="I505" s="784">
        <v>0</v>
      </c>
      <c r="J505" s="784">
        <v>0</v>
      </c>
      <c r="K505" s="784">
        <v>0</v>
      </c>
      <c r="L505" s="784">
        <v>1601.0585497755321</v>
      </c>
      <c r="M505" s="784">
        <v>0</v>
      </c>
      <c r="N505" s="784">
        <v>0</v>
      </c>
      <c r="O505" s="784">
        <f t="shared" si="60"/>
        <v>-855.111052654687</v>
      </c>
    </row>
    <row r="506" spans="1:15" x14ac:dyDescent="0.2">
      <c r="A506" s="796" t="s">
        <v>642</v>
      </c>
      <c r="B506" s="784">
        <v>65244.435018033655</v>
      </c>
      <c r="C506" s="784">
        <v>203199.54811955281</v>
      </c>
      <c r="D506" s="784">
        <v>167.86801627290447</v>
      </c>
      <c r="E506" s="784">
        <v>88.529995006038135</v>
      </c>
      <c r="F506" s="784">
        <v>444.18763989555345</v>
      </c>
      <c r="G506" s="784">
        <v>32278.665209106137</v>
      </c>
      <c r="H506" s="784">
        <v>0</v>
      </c>
      <c r="I506" s="784">
        <v>3504.99318306845</v>
      </c>
      <c r="J506" s="784">
        <v>3506.4728627817253</v>
      </c>
      <c r="K506" s="784">
        <v>22897.758148769972</v>
      </c>
      <c r="L506" s="784">
        <v>0</v>
      </c>
      <c r="M506" s="784">
        <v>0</v>
      </c>
      <c r="N506" s="784">
        <v>0</v>
      </c>
      <c r="O506" s="784">
        <f t="shared" si="60"/>
        <v>331332.45819248719</v>
      </c>
    </row>
    <row r="507" spans="1:15" x14ac:dyDescent="0.2">
      <c r="A507" s="796" t="s">
        <v>661</v>
      </c>
      <c r="B507" s="784">
        <v>107916.17293521354</v>
      </c>
      <c r="C507" s="784">
        <v>0</v>
      </c>
      <c r="D507" s="784">
        <v>0</v>
      </c>
      <c r="E507" s="784">
        <v>0</v>
      </c>
      <c r="F507" s="784">
        <v>0</v>
      </c>
      <c r="G507" s="784">
        <v>0</v>
      </c>
      <c r="H507" s="784">
        <v>0</v>
      </c>
      <c r="I507" s="784">
        <v>0</v>
      </c>
      <c r="J507" s="784">
        <v>0</v>
      </c>
      <c r="K507" s="784">
        <v>0</v>
      </c>
      <c r="L507" s="784">
        <v>0</v>
      </c>
      <c r="M507" s="784">
        <v>0</v>
      </c>
      <c r="N507" s="784">
        <v>0</v>
      </c>
      <c r="O507" s="784">
        <f t="shared" si="60"/>
        <v>107916.17293521354</v>
      </c>
    </row>
    <row r="508" spans="1:15" x14ac:dyDescent="0.2">
      <c r="A508" s="796" t="s">
        <v>4404</v>
      </c>
      <c r="B508" s="784">
        <v>66969.906983346489</v>
      </c>
      <c r="C508" s="784">
        <v>52345.841370036083</v>
      </c>
      <c r="D508" s="784">
        <v>0</v>
      </c>
      <c r="E508" s="784">
        <v>0</v>
      </c>
      <c r="F508" s="784">
        <v>0</v>
      </c>
      <c r="G508" s="784">
        <v>0</v>
      </c>
      <c r="H508" s="784">
        <v>0</v>
      </c>
      <c r="I508" s="784">
        <v>5755.9226160858198</v>
      </c>
      <c r="J508" s="784">
        <v>0</v>
      </c>
      <c r="K508" s="784">
        <v>0</v>
      </c>
      <c r="L508" s="784">
        <v>0</v>
      </c>
      <c r="M508" s="784">
        <v>0</v>
      </c>
      <c r="N508" s="784">
        <v>0</v>
      </c>
      <c r="O508" s="784">
        <f t="shared" si="60"/>
        <v>125071.6709694684</v>
      </c>
    </row>
    <row r="509" spans="1:15" x14ac:dyDescent="0.2">
      <c r="A509" s="796" t="s">
        <v>3876</v>
      </c>
      <c r="B509" s="784">
        <v>11570.377495005974</v>
      </c>
      <c r="C509" s="784">
        <v>0</v>
      </c>
      <c r="D509" s="784">
        <v>0</v>
      </c>
      <c r="E509" s="784">
        <v>0</v>
      </c>
      <c r="F509" s="784">
        <v>0</v>
      </c>
      <c r="G509" s="784">
        <v>0</v>
      </c>
      <c r="H509" s="784">
        <v>0</v>
      </c>
      <c r="I509" s="784">
        <v>0</v>
      </c>
      <c r="J509" s="784">
        <v>0</v>
      </c>
      <c r="K509" s="784">
        <v>0</v>
      </c>
      <c r="L509" s="784">
        <v>0</v>
      </c>
      <c r="M509" s="784">
        <v>0</v>
      </c>
      <c r="N509" s="784">
        <v>0</v>
      </c>
      <c r="O509" s="784">
        <f t="shared" si="60"/>
        <v>11570.377495005974</v>
      </c>
    </row>
    <row r="510" spans="1:15" x14ac:dyDescent="0.2">
      <c r="A510" s="796" t="s">
        <v>663</v>
      </c>
      <c r="B510" s="784">
        <v>0</v>
      </c>
      <c r="C510" s="784">
        <v>7729.4361023780912</v>
      </c>
      <c r="D510" s="784">
        <v>0</v>
      </c>
      <c r="E510" s="784">
        <v>0</v>
      </c>
      <c r="F510" s="784">
        <v>0</v>
      </c>
      <c r="G510" s="784">
        <v>0</v>
      </c>
      <c r="H510" s="784">
        <v>0</v>
      </c>
      <c r="I510" s="784">
        <v>0</v>
      </c>
      <c r="J510" s="784">
        <v>0</v>
      </c>
      <c r="K510" s="784">
        <v>0</v>
      </c>
      <c r="L510" s="784">
        <v>0</v>
      </c>
      <c r="M510" s="784">
        <v>0</v>
      </c>
      <c r="N510" s="784">
        <v>0</v>
      </c>
      <c r="O510" s="784">
        <f t="shared" si="60"/>
        <v>7729.4361023780912</v>
      </c>
    </row>
    <row r="511" spans="1:15" x14ac:dyDescent="0.2">
      <c r="A511" s="796" t="s">
        <v>726</v>
      </c>
      <c r="B511" s="784">
        <v>0</v>
      </c>
      <c r="C511" s="784">
        <v>78.247643017730141</v>
      </c>
      <c r="D511" s="784">
        <v>0</v>
      </c>
      <c r="E511" s="784">
        <v>0</v>
      </c>
      <c r="F511" s="784">
        <v>0</v>
      </c>
      <c r="G511" s="784">
        <v>0</v>
      </c>
      <c r="H511" s="784">
        <v>0</v>
      </c>
      <c r="I511" s="784">
        <v>0</v>
      </c>
      <c r="J511" s="784">
        <v>0</v>
      </c>
      <c r="K511" s="784">
        <v>0</v>
      </c>
      <c r="L511" s="784">
        <v>0</v>
      </c>
      <c r="M511" s="784">
        <v>0</v>
      </c>
      <c r="N511" s="784">
        <v>0</v>
      </c>
      <c r="O511" s="784">
        <f t="shared" si="60"/>
        <v>78.247643017730141</v>
      </c>
    </row>
    <row r="512" spans="1:15" x14ac:dyDescent="0.2">
      <c r="A512" s="796" t="s">
        <v>664</v>
      </c>
      <c r="B512" s="784">
        <v>6581.7966242772873</v>
      </c>
      <c r="C512" s="784">
        <v>10856.137696177895</v>
      </c>
      <c r="D512" s="784">
        <v>360.53092890050254</v>
      </c>
      <c r="E512" s="784">
        <v>0</v>
      </c>
      <c r="F512" s="784">
        <v>0</v>
      </c>
      <c r="G512" s="784">
        <v>0</v>
      </c>
      <c r="H512" s="784">
        <v>0</v>
      </c>
      <c r="I512" s="784">
        <v>3048.0325294595414</v>
      </c>
      <c r="J512" s="784">
        <v>0</v>
      </c>
      <c r="K512" s="784">
        <v>0</v>
      </c>
      <c r="L512" s="784">
        <v>0</v>
      </c>
      <c r="M512" s="784">
        <v>0</v>
      </c>
      <c r="N512" s="784">
        <v>0</v>
      </c>
      <c r="O512" s="784">
        <f t="shared" si="60"/>
        <v>20846.497778815228</v>
      </c>
    </row>
    <row r="513" spans="1:15" x14ac:dyDescent="0.2">
      <c r="A513" s="796" t="s">
        <v>597</v>
      </c>
      <c r="B513" s="784">
        <v>20565.99498387377</v>
      </c>
      <c r="C513" s="784">
        <v>67607.403239023581</v>
      </c>
      <c r="D513" s="784">
        <v>961.6667489002441</v>
      </c>
      <c r="E513" s="784">
        <v>0</v>
      </c>
      <c r="F513" s="784">
        <v>0</v>
      </c>
      <c r="G513" s="784">
        <v>-157.58551576013446</v>
      </c>
      <c r="H513" s="784">
        <v>0</v>
      </c>
      <c r="I513" s="784">
        <v>14890.647610837106</v>
      </c>
      <c r="J513" s="784">
        <v>0</v>
      </c>
      <c r="K513" s="784">
        <v>0</v>
      </c>
      <c r="L513" s="784">
        <v>0</v>
      </c>
      <c r="M513" s="784">
        <v>0</v>
      </c>
      <c r="N513" s="784">
        <v>0</v>
      </c>
      <c r="O513" s="784">
        <f t="shared" si="60"/>
        <v>103868.12706687456</v>
      </c>
    </row>
    <row r="514" spans="1:15" x14ac:dyDescent="0.2">
      <c r="A514" s="796" t="s">
        <v>598</v>
      </c>
      <c r="B514" s="784">
        <v>7480.5115371525962</v>
      </c>
      <c r="C514" s="784">
        <v>471.21656084075312</v>
      </c>
      <c r="D514" s="784">
        <v>0</v>
      </c>
      <c r="E514" s="784">
        <v>0</v>
      </c>
      <c r="F514" s="784">
        <v>1243.8727231214448</v>
      </c>
      <c r="G514" s="784">
        <v>1117.5145870378797</v>
      </c>
      <c r="H514" s="784">
        <v>0</v>
      </c>
      <c r="I514" s="784">
        <v>0</v>
      </c>
      <c r="J514" s="784">
        <v>0</v>
      </c>
      <c r="K514" s="784">
        <v>0</v>
      </c>
      <c r="L514" s="784">
        <v>0</v>
      </c>
      <c r="M514" s="784">
        <v>0</v>
      </c>
      <c r="N514" s="784">
        <v>0</v>
      </c>
      <c r="O514" s="784">
        <f t="shared" si="60"/>
        <v>10313.115408152675</v>
      </c>
    </row>
    <row r="515" spans="1:15" x14ac:dyDescent="0.2">
      <c r="A515" s="796" t="s">
        <v>599</v>
      </c>
      <c r="B515" s="784">
        <v>28727.757078691822</v>
      </c>
      <c r="C515" s="784">
        <v>42667.015353165058</v>
      </c>
      <c r="D515" s="784">
        <v>998.27804368586669</v>
      </c>
      <c r="E515" s="784">
        <v>0</v>
      </c>
      <c r="F515" s="784">
        <v>1763.6504353000298</v>
      </c>
      <c r="G515" s="784">
        <v>2493.5864481220005</v>
      </c>
      <c r="H515" s="784">
        <v>0</v>
      </c>
      <c r="I515" s="784">
        <v>8599.2302370569669</v>
      </c>
      <c r="J515" s="784">
        <v>0</v>
      </c>
      <c r="K515" s="784">
        <v>0</v>
      </c>
      <c r="L515" s="784">
        <v>0</v>
      </c>
      <c r="M515" s="784">
        <v>0</v>
      </c>
      <c r="N515" s="784">
        <v>0</v>
      </c>
      <c r="O515" s="784">
        <f t="shared" si="60"/>
        <v>85249.51759602176</v>
      </c>
    </row>
    <row r="516" spans="1:15" x14ac:dyDescent="0.2">
      <c r="A516" s="796" t="s">
        <v>600</v>
      </c>
      <c r="B516" s="784">
        <v>8441.2981336773428</v>
      </c>
      <c r="C516" s="784">
        <v>15299.250296109869</v>
      </c>
      <c r="D516" s="784">
        <v>422.42503257038709</v>
      </c>
      <c r="E516" s="784">
        <v>418.84261208877547</v>
      </c>
      <c r="F516" s="784">
        <v>232.72000993489698</v>
      </c>
      <c r="G516" s="784">
        <v>586.9468955629618</v>
      </c>
      <c r="H516" s="784">
        <v>0</v>
      </c>
      <c r="I516" s="784">
        <v>2642.6825530036813</v>
      </c>
      <c r="J516" s="784">
        <v>0</v>
      </c>
      <c r="K516" s="784">
        <v>0</v>
      </c>
      <c r="L516" s="784">
        <v>0</v>
      </c>
      <c r="M516" s="784">
        <v>0</v>
      </c>
      <c r="N516" s="784">
        <v>0</v>
      </c>
      <c r="O516" s="784">
        <f t="shared" si="60"/>
        <v>28044.165532947911</v>
      </c>
    </row>
    <row r="517" spans="1:15" x14ac:dyDescent="0.2">
      <c r="A517" s="796" t="s">
        <v>601</v>
      </c>
      <c r="B517" s="784">
        <v>2395.4908952074675</v>
      </c>
      <c r="C517" s="784">
        <v>8327.8948657445326</v>
      </c>
      <c r="D517" s="784">
        <v>272.07258158964362</v>
      </c>
      <c r="E517" s="784">
        <v>0</v>
      </c>
      <c r="F517" s="784">
        <v>274.54963943880506</v>
      </c>
      <c r="G517" s="784">
        <v>90.718222935810644</v>
      </c>
      <c r="H517" s="784">
        <v>0</v>
      </c>
      <c r="I517" s="784">
        <v>1210.2338077060915</v>
      </c>
      <c r="J517" s="784">
        <v>0</v>
      </c>
      <c r="K517" s="784">
        <v>0</v>
      </c>
      <c r="L517" s="784">
        <v>0</v>
      </c>
      <c r="M517" s="784">
        <v>0</v>
      </c>
      <c r="N517" s="784">
        <v>0</v>
      </c>
      <c r="O517" s="784">
        <f t="shared" si="60"/>
        <v>12570.960012622352</v>
      </c>
    </row>
    <row r="518" spans="1:15" x14ac:dyDescent="0.2">
      <c r="A518" s="796" t="s">
        <v>602</v>
      </c>
      <c r="B518" s="784">
        <v>283.22619200618703</v>
      </c>
      <c r="C518" s="784">
        <v>4618.0037544849374</v>
      </c>
      <c r="D518" s="784">
        <v>61.309023191462359</v>
      </c>
      <c r="E518" s="784">
        <v>0</v>
      </c>
      <c r="F518" s="784">
        <v>0</v>
      </c>
      <c r="G518" s="784">
        <v>28.305726120758973</v>
      </c>
      <c r="H518" s="784">
        <v>153.2988327267081</v>
      </c>
      <c r="I518" s="784">
        <v>2295.4671125423024</v>
      </c>
      <c r="J518" s="784">
        <v>0</v>
      </c>
      <c r="K518" s="784">
        <v>0</v>
      </c>
      <c r="L518" s="784">
        <v>0</v>
      </c>
      <c r="M518" s="784">
        <v>0</v>
      </c>
      <c r="N518" s="784">
        <v>0</v>
      </c>
      <c r="O518" s="784">
        <f t="shared" ref="O518:O580" si="61">SUM(B518:N518)</f>
        <v>7439.6106410723569</v>
      </c>
    </row>
    <row r="519" spans="1:15" x14ac:dyDescent="0.2">
      <c r="A519" s="796" t="s">
        <v>603</v>
      </c>
      <c r="B519" s="784">
        <v>625.00950777139758</v>
      </c>
      <c r="C519" s="784">
        <v>2876.3456620578163</v>
      </c>
      <c r="D519" s="784">
        <v>0</v>
      </c>
      <c r="E519" s="784">
        <v>0</v>
      </c>
      <c r="F519" s="784">
        <v>0</v>
      </c>
      <c r="G519" s="784">
        <v>0</v>
      </c>
      <c r="H519" s="784">
        <v>0</v>
      </c>
      <c r="I519" s="784">
        <v>0</v>
      </c>
      <c r="J519" s="784">
        <v>0</v>
      </c>
      <c r="K519" s="784">
        <v>0</v>
      </c>
      <c r="L519" s="784">
        <v>0</v>
      </c>
      <c r="M519" s="784">
        <v>0</v>
      </c>
      <c r="N519" s="784">
        <v>0</v>
      </c>
      <c r="O519" s="784">
        <f t="shared" si="61"/>
        <v>3501.355169829214</v>
      </c>
    </row>
    <row r="520" spans="1:15" x14ac:dyDescent="0.2">
      <c r="A520" s="796" t="s">
        <v>604</v>
      </c>
      <c r="B520" s="784">
        <v>353.73054879138289</v>
      </c>
      <c r="C520" s="784">
        <v>411.50046673573763</v>
      </c>
      <c r="D520" s="784">
        <v>232.82322537140303</v>
      </c>
      <c r="E520" s="784">
        <v>0</v>
      </c>
      <c r="F520" s="784">
        <v>17.8909282911963</v>
      </c>
      <c r="G520" s="784">
        <v>29.643868470333871</v>
      </c>
      <c r="H520" s="784">
        <v>0</v>
      </c>
      <c r="I520" s="784">
        <v>18.8546458524727</v>
      </c>
      <c r="J520" s="784">
        <v>0</v>
      </c>
      <c r="K520" s="784">
        <v>0</v>
      </c>
      <c r="L520" s="784">
        <v>0</v>
      </c>
      <c r="M520" s="784">
        <v>0</v>
      </c>
      <c r="N520" s="784">
        <v>0</v>
      </c>
      <c r="O520" s="784">
        <f t="shared" si="61"/>
        <v>1064.4436835125264</v>
      </c>
    </row>
    <row r="521" spans="1:15" x14ac:dyDescent="0.2">
      <c r="A521" s="796" t="s">
        <v>605</v>
      </c>
      <c r="B521" s="784">
        <v>257.01212193876921</v>
      </c>
      <c r="C521" s="784">
        <v>977.57690916434967</v>
      </c>
      <c r="D521" s="784">
        <v>0</v>
      </c>
      <c r="E521" s="784">
        <v>0</v>
      </c>
      <c r="F521" s="784">
        <v>0</v>
      </c>
      <c r="G521" s="784">
        <v>0</v>
      </c>
      <c r="H521" s="784">
        <v>0</v>
      </c>
      <c r="I521" s="784">
        <v>217.38534999605741</v>
      </c>
      <c r="J521" s="784">
        <v>0</v>
      </c>
      <c r="K521" s="784">
        <v>0</v>
      </c>
      <c r="L521" s="784">
        <v>0</v>
      </c>
      <c r="M521" s="784">
        <v>0</v>
      </c>
      <c r="N521" s="784">
        <v>0</v>
      </c>
      <c r="O521" s="784">
        <f t="shared" si="61"/>
        <v>1451.9743810991763</v>
      </c>
    </row>
    <row r="522" spans="1:15" x14ac:dyDescent="0.2">
      <c r="A522" s="796" t="s">
        <v>606</v>
      </c>
      <c r="B522" s="784">
        <v>10260.245846652015</v>
      </c>
      <c r="C522" s="784">
        <v>1270.2093130794233</v>
      </c>
      <c r="D522" s="784">
        <v>0</v>
      </c>
      <c r="E522" s="784">
        <v>0</v>
      </c>
      <c r="F522" s="784">
        <v>0</v>
      </c>
      <c r="G522" s="784">
        <v>0</v>
      </c>
      <c r="H522" s="784">
        <v>0</v>
      </c>
      <c r="I522" s="784">
        <v>0</v>
      </c>
      <c r="J522" s="784">
        <v>0</v>
      </c>
      <c r="K522" s="784">
        <v>0</v>
      </c>
      <c r="L522" s="784">
        <v>0</v>
      </c>
      <c r="M522" s="784">
        <v>0</v>
      </c>
      <c r="N522" s="784">
        <v>0</v>
      </c>
      <c r="O522" s="784">
        <f t="shared" si="61"/>
        <v>11530.455159731438</v>
      </c>
    </row>
    <row r="523" spans="1:15" x14ac:dyDescent="0.2">
      <c r="A523" s="796" t="s">
        <v>608</v>
      </c>
      <c r="B523" s="784">
        <v>4001.647360792198</v>
      </c>
      <c r="C523" s="784">
        <v>0</v>
      </c>
      <c r="D523" s="784">
        <v>0</v>
      </c>
      <c r="E523" s="784">
        <v>0</v>
      </c>
      <c r="F523" s="784">
        <v>0</v>
      </c>
      <c r="G523" s="784">
        <v>0</v>
      </c>
      <c r="H523" s="784">
        <v>0</v>
      </c>
      <c r="I523" s="784">
        <v>0</v>
      </c>
      <c r="J523" s="784">
        <v>0</v>
      </c>
      <c r="K523" s="784">
        <v>0</v>
      </c>
      <c r="L523" s="784">
        <v>0</v>
      </c>
      <c r="M523" s="784">
        <v>0</v>
      </c>
      <c r="N523" s="784">
        <v>0</v>
      </c>
      <c r="O523" s="784">
        <f t="shared" si="61"/>
        <v>4001.647360792198</v>
      </c>
    </row>
    <row r="524" spans="1:15" x14ac:dyDescent="0.2">
      <c r="A524" s="796" t="s">
        <v>740</v>
      </c>
      <c r="B524" s="784">
        <v>1393.7699551145661</v>
      </c>
      <c r="C524" s="784">
        <v>0</v>
      </c>
      <c r="D524" s="784">
        <v>0</v>
      </c>
      <c r="E524" s="784">
        <v>0</v>
      </c>
      <c r="F524" s="784">
        <v>0</v>
      </c>
      <c r="G524" s="784">
        <v>0</v>
      </c>
      <c r="H524" s="784">
        <v>0</v>
      </c>
      <c r="I524" s="784">
        <v>0</v>
      </c>
      <c r="J524" s="784">
        <v>0</v>
      </c>
      <c r="K524" s="784">
        <v>0</v>
      </c>
      <c r="L524" s="784">
        <v>0</v>
      </c>
      <c r="M524" s="784">
        <v>0</v>
      </c>
      <c r="N524" s="784">
        <v>0</v>
      </c>
      <c r="O524" s="784">
        <f t="shared" si="61"/>
        <v>1393.7699551145661</v>
      </c>
    </row>
    <row r="525" spans="1:15" x14ac:dyDescent="0.2">
      <c r="A525" s="796" t="s">
        <v>4379</v>
      </c>
      <c r="B525" s="784">
        <v>0</v>
      </c>
      <c r="C525" s="784">
        <v>0</v>
      </c>
      <c r="D525" s="784">
        <v>0</v>
      </c>
      <c r="E525" s="784">
        <v>0</v>
      </c>
      <c r="F525" s="784">
        <v>0</v>
      </c>
      <c r="G525" s="784">
        <v>0</v>
      </c>
      <c r="H525" s="784">
        <v>0</v>
      </c>
      <c r="I525" s="784">
        <v>1.4074775136429087</v>
      </c>
      <c r="J525" s="784">
        <v>0</v>
      </c>
      <c r="K525" s="784">
        <v>0</v>
      </c>
      <c r="L525" s="784">
        <v>0</v>
      </c>
      <c r="M525" s="784">
        <v>0</v>
      </c>
      <c r="N525" s="784">
        <v>0</v>
      </c>
      <c r="O525" s="784">
        <f t="shared" si="61"/>
        <v>1.4074775136429087</v>
      </c>
    </row>
    <row r="526" spans="1:15" x14ac:dyDescent="0.2">
      <c r="A526" s="796" t="s">
        <v>646</v>
      </c>
      <c r="B526" s="784">
        <v>1347.312580488624</v>
      </c>
      <c r="C526" s="784">
        <v>71456.008951536845</v>
      </c>
      <c r="D526" s="784">
        <v>0</v>
      </c>
      <c r="E526" s="784">
        <v>0</v>
      </c>
      <c r="F526" s="784">
        <v>0</v>
      </c>
      <c r="G526" s="784">
        <v>0</v>
      </c>
      <c r="H526" s="784">
        <v>0</v>
      </c>
      <c r="I526" s="784">
        <v>0</v>
      </c>
      <c r="J526" s="784">
        <v>0</v>
      </c>
      <c r="K526" s="784">
        <v>0</v>
      </c>
      <c r="L526" s="784">
        <v>0</v>
      </c>
      <c r="M526" s="784">
        <v>0</v>
      </c>
      <c r="N526" s="784">
        <v>0</v>
      </c>
      <c r="O526" s="784">
        <f t="shared" si="61"/>
        <v>72803.321532025468</v>
      </c>
    </row>
    <row r="527" spans="1:15" x14ac:dyDescent="0.2">
      <c r="A527" s="796" t="s">
        <v>647</v>
      </c>
      <c r="B527" s="784">
        <v>17667.071708948766</v>
      </c>
      <c r="C527" s="784">
        <v>138740.55189357279</v>
      </c>
      <c r="D527" s="784">
        <v>23859.212606964287</v>
      </c>
      <c r="E527" s="784">
        <v>0</v>
      </c>
      <c r="F527" s="784">
        <v>0</v>
      </c>
      <c r="G527" s="784">
        <v>4968.7873543859687</v>
      </c>
      <c r="H527" s="784">
        <v>48.212606929457905</v>
      </c>
      <c r="I527" s="784">
        <v>9188.1408290542458</v>
      </c>
      <c r="J527" s="784">
        <v>1357.1893701521501</v>
      </c>
      <c r="K527" s="784">
        <v>0</v>
      </c>
      <c r="L527" s="784">
        <v>0</v>
      </c>
      <c r="M527" s="784">
        <v>0</v>
      </c>
      <c r="N527" s="784">
        <v>0</v>
      </c>
      <c r="O527" s="784">
        <f t="shared" si="61"/>
        <v>195829.16637000765</v>
      </c>
    </row>
    <row r="528" spans="1:15" x14ac:dyDescent="0.2">
      <c r="A528" s="796" t="s">
        <v>648</v>
      </c>
      <c r="B528" s="784">
        <v>806.00920512145365</v>
      </c>
      <c r="C528" s="784">
        <v>0</v>
      </c>
      <c r="D528" s="784">
        <v>0</v>
      </c>
      <c r="E528" s="784">
        <v>0</v>
      </c>
      <c r="F528" s="784">
        <v>0</v>
      </c>
      <c r="G528" s="784">
        <v>0</v>
      </c>
      <c r="H528" s="784">
        <v>0</v>
      </c>
      <c r="I528" s="784">
        <v>0</v>
      </c>
      <c r="J528" s="784">
        <v>0</v>
      </c>
      <c r="K528" s="784">
        <v>0</v>
      </c>
      <c r="L528" s="784">
        <v>0</v>
      </c>
      <c r="M528" s="784">
        <v>0</v>
      </c>
      <c r="N528" s="784">
        <v>0</v>
      </c>
      <c r="O528" s="784">
        <f t="shared" si="61"/>
        <v>806.00920512145365</v>
      </c>
    </row>
    <row r="529" spans="1:15" x14ac:dyDescent="0.2">
      <c r="A529" s="796" t="s">
        <v>4738</v>
      </c>
      <c r="B529" s="784">
        <v>337.45983722250753</v>
      </c>
      <c r="C529" s="784">
        <v>0</v>
      </c>
      <c r="D529" s="784">
        <v>0</v>
      </c>
      <c r="E529" s="784">
        <v>0</v>
      </c>
      <c r="F529" s="784">
        <v>0</v>
      </c>
      <c r="G529" s="784">
        <v>0</v>
      </c>
      <c r="H529" s="784">
        <v>0</v>
      </c>
      <c r="I529" s="784">
        <v>0</v>
      </c>
      <c r="J529" s="784">
        <v>0</v>
      </c>
      <c r="K529" s="784">
        <v>0</v>
      </c>
      <c r="L529" s="784">
        <v>0</v>
      </c>
      <c r="M529" s="784">
        <v>0</v>
      </c>
      <c r="N529" s="784">
        <v>0</v>
      </c>
      <c r="O529" s="784">
        <f t="shared" si="61"/>
        <v>337.45983722250753</v>
      </c>
    </row>
    <row r="530" spans="1:15" x14ac:dyDescent="0.2">
      <c r="A530" s="796" t="s">
        <v>611</v>
      </c>
      <c r="B530" s="784">
        <v>320.11791103327454</v>
      </c>
      <c r="C530" s="784">
        <v>0</v>
      </c>
      <c r="D530" s="784">
        <v>0</v>
      </c>
      <c r="E530" s="784">
        <v>0</v>
      </c>
      <c r="F530" s="784">
        <v>0</v>
      </c>
      <c r="G530" s="784">
        <v>0</v>
      </c>
      <c r="H530" s="784">
        <v>0</v>
      </c>
      <c r="I530" s="784">
        <v>319.53731312625644</v>
      </c>
      <c r="J530" s="784">
        <v>0</v>
      </c>
      <c r="K530" s="784">
        <v>0</v>
      </c>
      <c r="L530" s="784">
        <v>0</v>
      </c>
      <c r="M530" s="784">
        <v>0</v>
      </c>
      <c r="N530" s="784">
        <v>0</v>
      </c>
      <c r="O530" s="784">
        <f t="shared" si="61"/>
        <v>639.65522415953092</v>
      </c>
    </row>
    <row r="531" spans="1:15" x14ac:dyDescent="0.2">
      <c r="A531" s="796" t="s">
        <v>612</v>
      </c>
      <c r="B531" s="784">
        <v>484004.41008891742</v>
      </c>
      <c r="C531" s="784">
        <v>340860.69745516177</v>
      </c>
      <c r="D531" s="784">
        <v>0</v>
      </c>
      <c r="E531" s="784">
        <v>0</v>
      </c>
      <c r="F531" s="784">
        <v>0</v>
      </c>
      <c r="G531" s="784">
        <v>0</v>
      </c>
      <c r="H531" s="784">
        <v>0</v>
      </c>
      <c r="I531" s="784">
        <v>0</v>
      </c>
      <c r="J531" s="784">
        <v>0</v>
      </c>
      <c r="K531" s="784">
        <v>0</v>
      </c>
      <c r="L531" s="784">
        <v>0</v>
      </c>
      <c r="M531" s="784">
        <v>0</v>
      </c>
      <c r="N531" s="784">
        <v>0</v>
      </c>
      <c r="O531" s="784">
        <f t="shared" si="61"/>
        <v>824865.10754407919</v>
      </c>
    </row>
    <row r="532" spans="1:15" x14ac:dyDescent="0.2">
      <c r="A532" s="796" t="s">
        <v>711</v>
      </c>
      <c r="B532" s="784">
        <v>0</v>
      </c>
      <c r="C532" s="784">
        <v>8036.0964032835218</v>
      </c>
      <c r="D532" s="784">
        <v>0</v>
      </c>
      <c r="E532" s="784">
        <v>0</v>
      </c>
      <c r="F532" s="784">
        <v>0</v>
      </c>
      <c r="G532" s="784">
        <v>0</v>
      </c>
      <c r="H532" s="784">
        <v>0</v>
      </c>
      <c r="I532" s="784">
        <v>0</v>
      </c>
      <c r="J532" s="784">
        <v>0</v>
      </c>
      <c r="K532" s="784">
        <v>0</v>
      </c>
      <c r="L532" s="784">
        <v>0</v>
      </c>
      <c r="M532" s="784">
        <v>0</v>
      </c>
      <c r="N532" s="784">
        <v>0</v>
      </c>
      <c r="O532" s="784">
        <f t="shared" si="61"/>
        <v>8036.0964032835218</v>
      </c>
    </row>
    <row r="533" spans="1:15" x14ac:dyDescent="0.2">
      <c r="A533" s="796" t="s">
        <v>615</v>
      </c>
      <c r="B533" s="784">
        <v>9203.8057935306588</v>
      </c>
      <c r="C533" s="784">
        <v>1925.4182473845617</v>
      </c>
      <c r="D533" s="784">
        <v>481.58379853423116</v>
      </c>
      <c r="E533" s="784">
        <v>0</v>
      </c>
      <c r="F533" s="784">
        <v>0</v>
      </c>
      <c r="G533" s="784">
        <v>0</v>
      </c>
      <c r="H533" s="784">
        <v>0</v>
      </c>
      <c r="I533" s="784">
        <v>0</v>
      </c>
      <c r="J533" s="784">
        <v>0</v>
      </c>
      <c r="K533" s="784">
        <v>0</v>
      </c>
      <c r="L533" s="784">
        <v>0</v>
      </c>
      <c r="M533" s="784">
        <v>0</v>
      </c>
      <c r="N533" s="784">
        <v>0</v>
      </c>
      <c r="O533" s="784">
        <f t="shared" si="61"/>
        <v>11610.807839449451</v>
      </c>
    </row>
    <row r="534" spans="1:15" x14ac:dyDescent="0.2">
      <c r="A534" s="796" t="s">
        <v>644</v>
      </c>
      <c r="B534" s="784">
        <v>61679.143556192954</v>
      </c>
      <c r="C534" s="784">
        <v>3775.7215347644096</v>
      </c>
      <c r="D534" s="784">
        <v>58.361050468901531</v>
      </c>
      <c r="E534" s="784">
        <v>0</v>
      </c>
      <c r="F534" s="784">
        <v>1842.025904511177</v>
      </c>
      <c r="G534" s="784">
        <v>0</v>
      </c>
      <c r="H534" s="784">
        <v>0</v>
      </c>
      <c r="I534" s="784">
        <v>0</v>
      </c>
      <c r="J534" s="784">
        <v>0</v>
      </c>
      <c r="K534" s="784">
        <v>0</v>
      </c>
      <c r="L534" s="784">
        <v>0</v>
      </c>
      <c r="M534" s="784">
        <v>0</v>
      </c>
      <c r="N534" s="784">
        <v>0</v>
      </c>
      <c r="O534" s="784">
        <f t="shared" si="61"/>
        <v>67355.252045937435</v>
      </c>
    </row>
    <row r="535" spans="1:15" x14ac:dyDescent="0.2">
      <c r="A535" s="796" t="s">
        <v>645</v>
      </c>
      <c r="B535" s="784">
        <v>154546.07772188829</v>
      </c>
      <c r="C535" s="784">
        <v>2316.0055732598726</v>
      </c>
      <c r="D535" s="784">
        <v>1226.2081115129959</v>
      </c>
      <c r="E535" s="784">
        <v>0</v>
      </c>
      <c r="F535" s="784">
        <v>1206.1032390386649</v>
      </c>
      <c r="G535" s="784">
        <v>116.46633696934697</v>
      </c>
      <c r="H535" s="784">
        <v>2.1463778028998037</v>
      </c>
      <c r="I535" s="784">
        <v>375.43757251366264</v>
      </c>
      <c r="J535" s="784">
        <v>0</v>
      </c>
      <c r="K535" s="784">
        <v>0</v>
      </c>
      <c r="L535" s="784">
        <v>0</v>
      </c>
      <c r="M535" s="784">
        <v>0</v>
      </c>
      <c r="N535" s="784">
        <v>0</v>
      </c>
      <c r="O535" s="784">
        <f t="shared" si="61"/>
        <v>159788.44493298573</v>
      </c>
    </row>
    <row r="536" spans="1:15" x14ac:dyDescent="0.2">
      <c r="A536" s="796" t="s">
        <v>616</v>
      </c>
      <c r="B536" s="784">
        <v>10465.478580473638</v>
      </c>
      <c r="C536" s="784">
        <v>15443.221682469233</v>
      </c>
      <c r="D536" s="784">
        <v>769.15177564011765</v>
      </c>
      <c r="E536" s="784">
        <v>0</v>
      </c>
      <c r="F536" s="784">
        <v>656.41779015988197</v>
      </c>
      <c r="G536" s="784">
        <v>0</v>
      </c>
      <c r="H536" s="784">
        <v>0</v>
      </c>
      <c r="I536" s="784">
        <v>0</v>
      </c>
      <c r="J536" s="784">
        <v>0</v>
      </c>
      <c r="K536" s="784">
        <v>-7911.6474765789344</v>
      </c>
      <c r="L536" s="784">
        <v>0</v>
      </c>
      <c r="M536" s="784">
        <v>0</v>
      </c>
      <c r="N536" s="784">
        <v>0</v>
      </c>
      <c r="O536" s="784">
        <f t="shared" si="61"/>
        <v>19422.622352163937</v>
      </c>
    </row>
    <row r="537" spans="1:15" x14ac:dyDescent="0.2">
      <c r="A537" s="796" t="s">
        <v>733</v>
      </c>
      <c r="B537" s="784">
        <v>138384.26729579558</v>
      </c>
      <c r="C537" s="784">
        <v>7349.151488154349</v>
      </c>
      <c r="D537" s="784">
        <v>0</v>
      </c>
      <c r="E537" s="784">
        <v>2462.801599432808</v>
      </c>
      <c r="F537" s="784">
        <v>503.34560174942703</v>
      </c>
      <c r="G537" s="784">
        <v>4536.6923492380065</v>
      </c>
      <c r="H537" s="784">
        <v>3005.694717145182</v>
      </c>
      <c r="I537" s="784">
        <v>456.94464605108186</v>
      </c>
      <c r="J537" s="784">
        <v>0</v>
      </c>
      <c r="K537" s="784">
        <v>0</v>
      </c>
      <c r="L537" s="784">
        <v>0</v>
      </c>
      <c r="M537" s="784">
        <v>0</v>
      </c>
      <c r="N537" s="784">
        <v>0</v>
      </c>
      <c r="O537" s="784">
        <f t="shared" si="61"/>
        <v>156698.89769756643</v>
      </c>
    </row>
    <row r="538" spans="1:15" x14ac:dyDescent="0.2">
      <c r="A538" s="796" t="s">
        <v>617</v>
      </c>
      <c r="B538" s="784">
        <v>2953.6236472964238</v>
      </c>
      <c r="C538" s="784">
        <v>10008.622379172126</v>
      </c>
      <c r="D538" s="784">
        <v>12.674999640329574</v>
      </c>
      <c r="E538" s="784">
        <v>51.90135672137616</v>
      </c>
      <c r="F538" s="784">
        <v>0</v>
      </c>
      <c r="G538" s="784">
        <v>0</v>
      </c>
      <c r="H538" s="784">
        <v>2.9976412417301277</v>
      </c>
      <c r="I538" s="784">
        <v>3.38136584947532</v>
      </c>
      <c r="J538" s="784">
        <v>0</v>
      </c>
      <c r="K538" s="784">
        <v>0</v>
      </c>
      <c r="L538" s="784">
        <v>0</v>
      </c>
      <c r="M538" s="784">
        <v>0</v>
      </c>
      <c r="N538" s="784">
        <v>0</v>
      </c>
      <c r="O538" s="784">
        <f t="shared" si="61"/>
        <v>13033.201389921462</v>
      </c>
    </row>
    <row r="539" spans="1:15" x14ac:dyDescent="0.2">
      <c r="A539" s="796" t="s">
        <v>698</v>
      </c>
      <c r="B539" s="784">
        <v>37269.581765778254</v>
      </c>
      <c r="C539" s="784">
        <v>7589.7457214939332</v>
      </c>
      <c r="D539" s="784">
        <v>2216.3718258925387</v>
      </c>
      <c r="E539" s="784">
        <v>0</v>
      </c>
      <c r="F539" s="784">
        <v>2697.365604098396</v>
      </c>
      <c r="G539" s="784">
        <v>1015.8384291466535</v>
      </c>
      <c r="H539" s="784">
        <v>0</v>
      </c>
      <c r="I539" s="784">
        <v>1643.4469090740361</v>
      </c>
      <c r="J539" s="784">
        <v>0</v>
      </c>
      <c r="K539" s="784">
        <v>0</v>
      </c>
      <c r="L539" s="784">
        <v>0</v>
      </c>
      <c r="M539" s="784">
        <v>0</v>
      </c>
      <c r="N539" s="784">
        <v>0</v>
      </c>
      <c r="O539" s="784">
        <f t="shared" si="61"/>
        <v>52432.350255483812</v>
      </c>
    </row>
    <row r="540" spans="1:15" x14ac:dyDescent="0.2">
      <c r="A540" s="796" t="s">
        <v>618</v>
      </c>
      <c r="B540" s="784">
        <v>52145.416076068497</v>
      </c>
      <c r="C540" s="784">
        <v>157625.70223190522</v>
      </c>
      <c r="D540" s="784">
        <v>18864.134578421832</v>
      </c>
      <c r="E540" s="784">
        <v>1267.6476045897339</v>
      </c>
      <c r="F540" s="784">
        <v>0</v>
      </c>
      <c r="G540" s="784">
        <v>4809.5097239958886</v>
      </c>
      <c r="H540" s="784">
        <v>0</v>
      </c>
      <c r="I540" s="784">
        <v>17647.462826545929</v>
      </c>
      <c r="J540" s="784">
        <v>0</v>
      </c>
      <c r="K540" s="784">
        <v>0</v>
      </c>
      <c r="L540" s="784">
        <v>0</v>
      </c>
      <c r="M540" s="784">
        <v>0</v>
      </c>
      <c r="N540" s="784">
        <v>0</v>
      </c>
      <c r="O540" s="784">
        <f t="shared" si="61"/>
        <v>252359.87304152711</v>
      </c>
    </row>
    <row r="541" spans="1:15" x14ac:dyDescent="0.2">
      <c r="A541" s="796" t="s">
        <v>4261</v>
      </c>
      <c r="B541" s="784">
        <v>20401.459496342963</v>
      </c>
      <c r="C541" s="784">
        <v>56956.574564927498</v>
      </c>
      <c r="D541" s="784">
        <v>6515.1967941249577</v>
      </c>
      <c r="E541" s="784">
        <v>0</v>
      </c>
      <c r="F541" s="784">
        <v>0</v>
      </c>
      <c r="G541" s="784">
        <v>2587.4122961383468</v>
      </c>
      <c r="H541" s="784">
        <v>0</v>
      </c>
      <c r="I541" s="784">
        <v>11608.963437743419</v>
      </c>
      <c r="J541" s="784">
        <v>0</v>
      </c>
      <c r="K541" s="784">
        <v>0</v>
      </c>
      <c r="L541" s="784">
        <v>0</v>
      </c>
      <c r="M541" s="784">
        <v>0</v>
      </c>
      <c r="N541" s="784">
        <v>0</v>
      </c>
      <c r="O541" s="784">
        <f t="shared" si="61"/>
        <v>98069.606589277188</v>
      </c>
    </row>
    <row r="542" spans="1:15" x14ac:dyDescent="0.2">
      <c r="A542" s="796" t="s">
        <v>619</v>
      </c>
      <c r="B542" s="784">
        <v>12606.87024945287</v>
      </c>
      <c r="C542" s="784">
        <v>49086.334295387154</v>
      </c>
      <c r="D542" s="784">
        <v>3956.8949322376757</v>
      </c>
      <c r="E542" s="784">
        <v>0</v>
      </c>
      <c r="F542" s="784">
        <v>6162.9030418656967</v>
      </c>
      <c r="G542" s="784">
        <v>2490.4647131101829</v>
      </c>
      <c r="H542" s="784">
        <v>1967.1173196380889</v>
      </c>
      <c r="I542" s="784">
        <v>14037.886831397896</v>
      </c>
      <c r="J542" s="784">
        <v>0</v>
      </c>
      <c r="K542" s="784">
        <v>2038.4847944906915</v>
      </c>
      <c r="L542" s="784">
        <v>0</v>
      </c>
      <c r="M542" s="784">
        <v>0</v>
      </c>
      <c r="N542" s="784">
        <v>0</v>
      </c>
      <c r="O542" s="784">
        <f t="shared" si="61"/>
        <v>92346.956177580243</v>
      </c>
    </row>
    <row r="543" spans="1:15" x14ac:dyDescent="0.2">
      <c r="A543" s="796" t="s">
        <v>670</v>
      </c>
      <c r="B543" s="784">
        <v>169.4858085446005</v>
      </c>
      <c r="C543" s="784">
        <v>75.879401908939883</v>
      </c>
      <c r="D543" s="784">
        <v>0</v>
      </c>
      <c r="E543" s="784">
        <v>31.929600375890313</v>
      </c>
      <c r="F543" s="784">
        <v>0</v>
      </c>
      <c r="G543" s="784">
        <v>0</v>
      </c>
      <c r="H543" s="784">
        <v>75.405012177561275</v>
      </c>
      <c r="I543" s="784">
        <v>0</v>
      </c>
      <c r="J543" s="784">
        <v>0</v>
      </c>
      <c r="K543" s="784">
        <v>0</v>
      </c>
      <c r="L543" s="784">
        <v>0</v>
      </c>
      <c r="M543" s="784">
        <v>0</v>
      </c>
      <c r="N543" s="784">
        <v>0</v>
      </c>
      <c r="O543" s="784">
        <f t="shared" si="61"/>
        <v>352.69982300699195</v>
      </c>
    </row>
    <row r="544" spans="1:15" x14ac:dyDescent="0.2">
      <c r="A544" s="796" t="s">
        <v>734</v>
      </c>
      <c r="B544" s="784">
        <v>38592.727868884351</v>
      </c>
      <c r="C544" s="784">
        <v>10293.250415463954</v>
      </c>
      <c r="D544" s="784">
        <v>0</v>
      </c>
      <c r="E544" s="784">
        <v>0</v>
      </c>
      <c r="F544" s="784">
        <v>0</v>
      </c>
      <c r="G544" s="784">
        <v>0</v>
      </c>
      <c r="H544" s="784">
        <v>0</v>
      </c>
      <c r="I544" s="784">
        <v>0</v>
      </c>
      <c r="J544" s="784">
        <v>0</v>
      </c>
      <c r="K544" s="784">
        <v>0</v>
      </c>
      <c r="L544" s="784">
        <v>0</v>
      </c>
      <c r="M544" s="784">
        <v>0</v>
      </c>
      <c r="N544" s="784">
        <v>0</v>
      </c>
      <c r="O544" s="784">
        <f t="shared" si="61"/>
        <v>48885.978284348304</v>
      </c>
    </row>
    <row r="545" spans="1:15" x14ac:dyDescent="0.2">
      <c r="A545" s="796" t="s">
        <v>620</v>
      </c>
      <c r="B545" s="784">
        <v>385.33019261937039</v>
      </c>
      <c r="C545" s="784">
        <v>0</v>
      </c>
      <c r="D545" s="784">
        <v>0</v>
      </c>
      <c r="E545" s="784">
        <v>0</v>
      </c>
      <c r="F545" s="784">
        <v>0</v>
      </c>
      <c r="G545" s="784">
        <v>0</v>
      </c>
      <c r="H545" s="784">
        <v>0</v>
      </c>
      <c r="I545" s="784">
        <v>0</v>
      </c>
      <c r="J545" s="784">
        <v>0</v>
      </c>
      <c r="K545" s="784">
        <v>0</v>
      </c>
      <c r="L545" s="784">
        <v>0</v>
      </c>
      <c r="M545" s="784">
        <v>0</v>
      </c>
      <c r="N545" s="784">
        <v>0</v>
      </c>
      <c r="O545" s="784">
        <f t="shared" si="61"/>
        <v>385.33019261937039</v>
      </c>
    </row>
    <row r="546" spans="1:15" x14ac:dyDescent="0.2">
      <c r="A546" s="796" t="s">
        <v>735</v>
      </c>
      <c r="B546" s="784">
        <v>96779.535879398667</v>
      </c>
      <c r="C546" s="784">
        <v>0</v>
      </c>
      <c r="D546" s="784">
        <v>0</v>
      </c>
      <c r="E546" s="784">
        <v>0</v>
      </c>
      <c r="F546" s="784">
        <v>0</v>
      </c>
      <c r="G546" s="784">
        <v>0</v>
      </c>
      <c r="H546" s="784">
        <v>0</v>
      </c>
      <c r="I546" s="784">
        <v>0</v>
      </c>
      <c r="J546" s="784">
        <v>0</v>
      </c>
      <c r="K546" s="784">
        <v>0</v>
      </c>
      <c r="L546" s="784">
        <v>0</v>
      </c>
      <c r="M546" s="784">
        <v>0</v>
      </c>
      <c r="N546" s="784">
        <v>0</v>
      </c>
      <c r="O546" s="784">
        <f t="shared" si="61"/>
        <v>96779.535879398667</v>
      </c>
    </row>
    <row r="547" spans="1:15" x14ac:dyDescent="0.2">
      <c r="A547" s="796" t="s">
        <v>749</v>
      </c>
      <c r="B547" s="784">
        <v>32589.356892067346</v>
      </c>
      <c r="C547" s="784">
        <v>10373.532618807378</v>
      </c>
      <c r="D547" s="784">
        <v>8399.7142466007626</v>
      </c>
      <c r="E547" s="784">
        <v>0</v>
      </c>
      <c r="F547" s="784">
        <v>0</v>
      </c>
      <c r="G547" s="784">
        <v>0</v>
      </c>
      <c r="H547" s="784">
        <v>0</v>
      </c>
      <c r="I547" s="784">
        <v>0</v>
      </c>
      <c r="J547" s="784">
        <v>0</v>
      </c>
      <c r="K547" s="784">
        <v>0</v>
      </c>
      <c r="L547" s="784">
        <v>0</v>
      </c>
      <c r="M547" s="784">
        <v>0</v>
      </c>
      <c r="N547" s="784">
        <v>0</v>
      </c>
      <c r="O547" s="784">
        <f t="shared" si="61"/>
        <v>51362.603757475488</v>
      </c>
    </row>
    <row r="548" spans="1:15" x14ac:dyDescent="0.2">
      <c r="A548" s="796" t="s">
        <v>750</v>
      </c>
      <c r="B548" s="784">
        <v>67844.545950336687</v>
      </c>
      <c r="C548" s="784">
        <v>0</v>
      </c>
      <c r="D548" s="784">
        <v>0</v>
      </c>
      <c r="E548" s="784">
        <v>0</v>
      </c>
      <c r="F548" s="784">
        <v>3428.0244426147601</v>
      </c>
      <c r="G548" s="784">
        <v>1882.5517239368016</v>
      </c>
      <c r="H548" s="784">
        <v>0</v>
      </c>
      <c r="I548" s="784">
        <v>0</v>
      </c>
      <c r="J548" s="784">
        <v>0</v>
      </c>
      <c r="K548" s="784">
        <v>773.22577405545542</v>
      </c>
      <c r="L548" s="784">
        <v>0</v>
      </c>
      <c r="M548" s="784">
        <v>0</v>
      </c>
      <c r="N548" s="784">
        <v>0</v>
      </c>
      <c r="O548" s="784">
        <f t="shared" si="61"/>
        <v>73928.347890943696</v>
      </c>
    </row>
    <row r="549" spans="1:15" x14ac:dyDescent="0.2">
      <c r="A549" s="796" t="s">
        <v>671</v>
      </c>
      <c r="B549" s="784">
        <v>417.56241223789169</v>
      </c>
      <c r="C549" s="784">
        <v>919.85492814774045</v>
      </c>
      <c r="D549" s="784">
        <v>3061.0415533917903</v>
      </c>
      <c r="E549" s="784">
        <v>0</v>
      </c>
      <c r="F549" s="784">
        <v>0</v>
      </c>
      <c r="G549" s="784">
        <v>0</v>
      </c>
      <c r="H549" s="784">
        <v>0</v>
      </c>
      <c r="I549" s="784">
        <v>1142.0954856856104</v>
      </c>
      <c r="J549" s="784">
        <v>0</v>
      </c>
      <c r="K549" s="784">
        <v>0</v>
      </c>
      <c r="L549" s="784">
        <v>0</v>
      </c>
      <c r="M549" s="784">
        <v>0</v>
      </c>
      <c r="N549" s="784">
        <v>0</v>
      </c>
      <c r="O549" s="784">
        <f t="shared" si="61"/>
        <v>5540.554379463033</v>
      </c>
    </row>
    <row r="550" spans="1:15" x14ac:dyDescent="0.2">
      <c r="A550" s="796" t="s">
        <v>751</v>
      </c>
      <c r="B550" s="784">
        <v>0</v>
      </c>
      <c r="C550" s="784">
        <v>0</v>
      </c>
      <c r="D550" s="784">
        <v>1870.8622115779588</v>
      </c>
      <c r="E550" s="784">
        <v>0</v>
      </c>
      <c r="F550" s="784">
        <v>0</v>
      </c>
      <c r="G550" s="784">
        <v>0</v>
      </c>
      <c r="H550" s="784">
        <v>0</v>
      </c>
      <c r="I550" s="784">
        <v>0</v>
      </c>
      <c r="J550" s="784">
        <v>0</v>
      </c>
      <c r="K550" s="784">
        <v>0</v>
      </c>
      <c r="L550" s="784">
        <v>0</v>
      </c>
      <c r="M550" s="784">
        <v>0</v>
      </c>
      <c r="N550" s="784">
        <v>0</v>
      </c>
      <c r="O550" s="784">
        <f t="shared" si="61"/>
        <v>1870.8622115779588</v>
      </c>
    </row>
    <row r="551" spans="1:15" x14ac:dyDescent="0.2">
      <c r="A551" s="796" t="s">
        <v>717</v>
      </c>
      <c r="B551" s="784">
        <v>7506.3404434732975</v>
      </c>
      <c r="C551" s="784">
        <v>0</v>
      </c>
      <c r="D551" s="784">
        <v>0</v>
      </c>
      <c r="E551" s="784">
        <v>0</v>
      </c>
      <c r="F551" s="784">
        <v>0</v>
      </c>
      <c r="G551" s="784">
        <v>0</v>
      </c>
      <c r="H551" s="784">
        <v>0</v>
      </c>
      <c r="I551" s="784">
        <v>0</v>
      </c>
      <c r="J551" s="784">
        <v>0</v>
      </c>
      <c r="K551" s="784">
        <v>0</v>
      </c>
      <c r="L551" s="784">
        <v>0</v>
      </c>
      <c r="M551" s="784">
        <v>0</v>
      </c>
      <c r="N551" s="784">
        <v>0</v>
      </c>
      <c r="O551" s="784">
        <f t="shared" si="61"/>
        <v>7506.3404434732975</v>
      </c>
    </row>
    <row r="552" spans="1:15" x14ac:dyDescent="0.2">
      <c r="A552" s="796" t="s">
        <v>649</v>
      </c>
      <c r="B552" s="784">
        <v>304.69819789571454</v>
      </c>
      <c r="C552" s="784">
        <v>0</v>
      </c>
      <c r="D552" s="784">
        <v>0</v>
      </c>
      <c r="E552" s="784">
        <v>0</v>
      </c>
      <c r="F552" s="784">
        <v>0</v>
      </c>
      <c r="G552" s="784">
        <v>0</v>
      </c>
      <c r="H552" s="784">
        <v>0</v>
      </c>
      <c r="I552" s="784">
        <v>0</v>
      </c>
      <c r="J552" s="784">
        <v>0</v>
      </c>
      <c r="K552" s="784">
        <v>0</v>
      </c>
      <c r="L552" s="784">
        <v>0</v>
      </c>
      <c r="M552" s="784">
        <v>0</v>
      </c>
      <c r="N552" s="784">
        <v>0</v>
      </c>
      <c r="O552" s="784">
        <f t="shared" si="61"/>
        <v>304.69819789571454</v>
      </c>
    </row>
    <row r="553" spans="1:15" x14ac:dyDescent="0.2">
      <c r="A553" s="796" t="s">
        <v>672</v>
      </c>
      <c r="B553" s="784">
        <v>1092615.1675894218</v>
      </c>
      <c r="C553" s="784">
        <v>868906.70171025535</v>
      </c>
      <c r="D553" s="784">
        <v>33865.774063094708</v>
      </c>
      <c r="E553" s="784">
        <v>80628.152012709004</v>
      </c>
      <c r="F553" s="784">
        <v>63727.599816562913</v>
      </c>
      <c r="G553" s="784">
        <v>202785.79707947589</v>
      </c>
      <c r="H553" s="784">
        <v>13121.336770510365</v>
      </c>
      <c r="I553" s="784">
        <v>359326.64223563863</v>
      </c>
      <c r="J553" s="784">
        <v>0</v>
      </c>
      <c r="K553" s="784">
        <v>11558.401664659434</v>
      </c>
      <c r="L553" s="784">
        <v>0</v>
      </c>
      <c r="M553" s="784">
        <v>0</v>
      </c>
      <c r="N553" s="784">
        <v>0</v>
      </c>
      <c r="O553" s="784">
        <f t="shared" si="61"/>
        <v>2726535.5729423282</v>
      </c>
    </row>
    <row r="554" spans="1:15" x14ac:dyDescent="0.2">
      <c r="A554" s="796" t="s">
        <v>752</v>
      </c>
      <c r="B554" s="784">
        <v>-175350.78368581278</v>
      </c>
      <c r="C554" s="784">
        <v>-57716.825557385033</v>
      </c>
      <c r="D554" s="784">
        <v>-5413.3933930514431</v>
      </c>
      <c r="E554" s="784">
        <v>-1871.6132853737033</v>
      </c>
      <c r="F554" s="784">
        <v>-194.71477642053813</v>
      </c>
      <c r="G554" s="784">
        <v>-39777.781062945171</v>
      </c>
      <c r="H554" s="784">
        <v>0</v>
      </c>
      <c r="I554" s="784">
        <v>-8761.4551037335004</v>
      </c>
      <c r="J554" s="784">
        <v>0</v>
      </c>
      <c r="K554" s="784">
        <v>0</v>
      </c>
      <c r="L554" s="784">
        <v>0</v>
      </c>
      <c r="M554" s="784">
        <v>0</v>
      </c>
      <c r="N554" s="784">
        <v>0</v>
      </c>
      <c r="O554" s="784">
        <f t="shared" si="61"/>
        <v>-289086.56686472218</v>
      </c>
    </row>
    <row r="555" spans="1:15" x14ac:dyDescent="0.2">
      <c r="A555" s="796" t="s">
        <v>712</v>
      </c>
      <c r="B555" s="784">
        <v>88147.697007000039</v>
      </c>
      <c r="C555" s="784">
        <v>0</v>
      </c>
      <c r="D555" s="784">
        <v>0</v>
      </c>
      <c r="E555" s="784">
        <v>0</v>
      </c>
      <c r="F555" s="784">
        <v>0</v>
      </c>
      <c r="G555" s="784">
        <v>64339.174161700968</v>
      </c>
      <c r="H555" s="784">
        <v>0</v>
      </c>
      <c r="I555" s="784">
        <v>0</v>
      </c>
      <c r="J555" s="784">
        <v>0</v>
      </c>
      <c r="K555" s="784">
        <v>0</v>
      </c>
      <c r="L555" s="784">
        <v>0</v>
      </c>
      <c r="M555" s="784">
        <v>0</v>
      </c>
      <c r="N555" s="784">
        <v>0</v>
      </c>
      <c r="O555" s="784">
        <f t="shared" si="61"/>
        <v>152486.87116870101</v>
      </c>
    </row>
    <row r="556" spans="1:15" x14ac:dyDescent="0.2">
      <c r="A556" s="796" t="s">
        <v>753</v>
      </c>
      <c r="B556" s="784">
        <v>-217017.12085471069</v>
      </c>
      <c r="C556" s="784">
        <v>0</v>
      </c>
      <c r="D556" s="784">
        <v>0</v>
      </c>
      <c r="E556" s="784">
        <v>0</v>
      </c>
      <c r="F556" s="784">
        <v>0</v>
      </c>
      <c r="G556" s="784">
        <v>0</v>
      </c>
      <c r="H556" s="784">
        <v>0</v>
      </c>
      <c r="I556" s="784">
        <v>0</v>
      </c>
      <c r="J556" s="784">
        <v>0</v>
      </c>
      <c r="K556" s="784">
        <v>0</v>
      </c>
      <c r="L556" s="784">
        <v>0</v>
      </c>
      <c r="M556" s="784">
        <v>0</v>
      </c>
      <c r="N556" s="784">
        <v>0</v>
      </c>
      <c r="O556" s="784">
        <f t="shared" si="61"/>
        <v>-217017.12085471069</v>
      </c>
    </row>
    <row r="557" spans="1:15" x14ac:dyDescent="0.2">
      <c r="A557" s="796" t="s">
        <v>673</v>
      </c>
      <c r="B557" s="784">
        <v>3299.5384415301846</v>
      </c>
      <c r="C557" s="784">
        <v>0</v>
      </c>
      <c r="D557" s="784">
        <v>0</v>
      </c>
      <c r="E557" s="784">
        <v>0</v>
      </c>
      <c r="F557" s="784">
        <v>0</v>
      </c>
      <c r="G557" s="784">
        <v>2771.4297573769772</v>
      </c>
      <c r="H557" s="784">
        <v>0</v>
      </c>
      <c r="I557" s="784">
        <v>200.71014203452711</v>
      </c>
      <c r="J557" s="784">
        <v>0</v>
      </c>
      <c r="K557" s="784">
        <v>0</v>
      </c>
      <c r="L557" s="784">
        <v>0</v>
      </c>
      <c r="M557" s="784">
        <v>0</v>
      </c>
      <c r="N557" s="784">
        <v>0</v>
      </c>
      <c r="O557" s="784">
        <f t="shared" si="61"/>
        <v>6271.6783409416885</v>
      </c>
    </row>
    <row r="558" spans="1:15" x14ac:dyDescent="0.2">
      <c r="A558" s="796" t="s">
        <v>622</v>
      </c>
      <c r="B558" s="784">
        <v>72073.611980381422</v>
      </c>
      <c r="C558" s="784">
        <v>9828.242435445869</v>
      </c>
      <c r="D558" s="784">
        <v>0</v>
      </c>
      <c r="E558" s="784">
        <v>0</v>
      </c>
      <c r="F558" s="784">
        <v>7830.4586194107687</v>
      </c>
      <c r="G558" s="784">
        <v>4392.170634252665</v>
      </c>
      <c r="H558" s="784">
        <v>0</v>
      </c>
      <c r="I558" s="784">
        <v>10229.202931293248</v>
      </c>
      <c r="J558" s="784">
        <v>0</v>
      </c>
      <c r="K558" s="784">
        <v>0</v>
      </c>
      <c r="L558" s="784">
        <v>0</v>
      </c>
      <c r="M558" s="784">
        <v>0</v>
      </c>
      <c r="N558" s="784">
        <v>0</v>
      </c>
      <c r="O558" s="784">
        <f t="shared" si="61"/>
        <v>104353.68660078396</v>
      </c>
    </row>
    <row r="559" spans="1:15" x14ac:dyDescent="0.2">
      <c r="A559" s="796" t="s">
        <v>754</v>
      </c>
      <c r="B559" s="784">
        <v>413215.8399810007</v>
      </c>
      <c r="C559" s="784">
        <v>18200.761331812264</v>
      </c>
      <c r="D559" s="784">
        <v>23177.953350878135</v>
      </c>
      <c r="E559" s="784">
        <v>0</v>
      </c>
      <c r="F559" s="784">
        <v>17085.511331728791</v>
      </c>
      <c r="G559" s="784">
        <v>66912.75233350489</v>
      </c>
      <c r="H559" s="784">
        <v>0</v>
      </c>
      <c r="I559" s="784">
        <v>0</v>
      </c>
      <c r="J559" s="784">
        <v>0</v>
      </c>
      <c r="K559" s="784">
        <v>0</v>
      </c>
      <c r="L559" s="784">
        <v>0</v>
      </c>
      <c r="M559" s="784">
        <v>0</v>
      </c>
      <c r="N559" s="784">
        <v>0</v>
      </c>
      <c r="O559" s="784">
        <f t="shared" si="61"/>
        <v>538592.81832892471</v>
      </c>
    </row>
    <row r="560" spans="1:15" x14ac:dyDescent="0.2">
      <c r="A560" s="796" t="s">
        <v>675</v>
      </c>
      <c r="B560" s="784">
        <v>28571.390651791673</v>
      </c>
      <c r="C560" s="784">
        <v>7381.7736167872145</v>
      </c>
      <c r="D560" s="784">
        <v>-761.13910981327865</v>
      </c>
      <c r="E560" s="784">
        <v>640.91977557971472</v>
      </c>
      <c r="F560" s="784">
        <v>1685.8259846677224</v>
      </c>
      <c r="G560" s="784">
        <v>1379.8205967896731</v>
      </c>
      <c r="H560" s="784">
        <v>1184.9562068870187</v>
      </c>
      <c r="I560" s="784">
        <v>386.29923705494758</v>
      </c>
      <c r="J560" s="784">
        <v>-2761.739564682126</v>
      </c>
      <c r="K560" s="784">
        <v>2932.1163673966271</v>
      </c>
      <c r="L560" s="784">
        <v>1177.0832302206841</v>
      </c>
      <c r="M560" s="784">
        <v>0</v>
      </c>
      <c r="N560" s="784">
        <v>0</v>
      </c>
      <c r="O560" s="784">
        <f t="shared" si="61"/>
        <v>41817.306992679878</v>
      </c>
    </row>
    <row r="561" spans="1:15" x14ac:dyDescent="0.2">
      <c r="A561" s="796" t="s">
        <v>4264</v>
      </c>
      <c r="B561" s="784">
        <v>-357948.06325320795</v>
      </c>
      <c r="C561" s="784">
        <v>17037.969434658058</v>
      </c>
      <c r="D561" s="784">
        <v>0</v>
      </c>
      <c r="E561" s="784">
        <v>0</v>
      </c>
      <c r="F561" s="784">
        <v>0</v>
      </c>
      <c r="G561" s="784">
        <v>0</v>
      </c>
      <c r="H561" s="784">
        <v>0</v>
      </c>
      <c r="I561" s="784">
        <v>0</v>
      </c>
      <c r="J561" s="784">
        <v>0</v>
      </c>
      <c r="K561" s="784">
        <v>0</v>
      </c>
      <c r="L561" s="784">
        <v>0</v>
      </c>
      <c r="M561" s="784">
        <v>0</v>
      </c>
      <c r="N561" s="784">
        <v>0</v>
      </c>
      <c r="O561" s="784">
        <f t="shared" si="61"/>
        <v>-340910.09381854988</v>
      </c>
    </row>
    <row r="562" spans="1:15" x14ac:dyDescent="0.2">
      <c r="A562" s="796" t="s">
        <v>741</v>
      </c>
      <c r="B562" s="784">
        <v>10854.63423576632</v>
      </c>
      <c r="C562" s="784">
        <v>0</v>
      </c>
      <c r="D562" s="784">
        <v>0</v>
      </c>
      <c r="E562" s="784">
        <v>0</v>
      </c>
      <c r="F562" s="784">
        <v>0</v>
      </c>
      <c r="G562" s="784">
        <v>0</v>
      </c>
      <c r="H562" s="784">
        <v>0</v>
      </c>
      <c r="I562" s="784">
        <v>720.01817576312476</v>
      </c>
      <c r="J562" s="784">
        <v>0</v>
      </c>
      <c r="K562" s="784">
        <v>0</v>
      </c>
      <c r="L562" s="784">
        <v>0</v>
      </c>
      <c r="M562" s="784">
        <v>0</v>
      </c>
      <c r="N562" s="784">
        <v>0</v>
      </c>
      <c r="O562" s="784">
        <f t="shared" si="61"/>
        <v>11574.652411529445</v>
      </c>
    </row>
    <row r="563" spans="1:15" x14ac:dyDescent="0.2">
      <c r="A563" s="796" t="s">
        <v>714</v>
      </c>
      <c r="B563" s="784">
        <v>22773.781401898046</v>
      </c>
      <c r="C563" s="784">
        <v>0</v>
      </c>
      <c r="D563" s="784">
        <v>0</v>
      </c>
      <c r="E563" s="784">
        <v>0</v>
      </c>
      <c r="F563" s="784">
        <v>0</v>
      </c>
      <c r="G563" s="784">
        <v>0</v>
      </c>
      <c r="H563" s="784">
        <v>0</v>
      </c>
      <c r="I563" s="784">
        <v>0</v>
      </c>
      <c r="J563" s="784">
        <v>0</v>
      </c>
      <c r="K563" s="784">
        <v>0</v>
      </c>
      <c r="L563" s="784">
        <v>0</v>
      </c>
      <c r="M563" s="784">
        <v>0</v>
      </c>
      <c r="N563" s="784">
        <v>0</v>
      </c>
      <c r="O563" s="784">
        <f t="shared" si="61"/>
        <v>22773.781401898046</v>
      </c>
    </row>
    <row r="564" spans="1:15" x14ac:dyDescent="0.2">
      <c r="A564" s="796" t="s">
        <v>676</v>
      </c>
      <c r="B564" s="784">
        <v>13337.036260773011</v>
      </c>
      <c r="C564" s="784">
        <v>-6144.5257529246164</v>
      </c>
      <c r="D564" s="784">
        <v>0</v>
      </c>
      <c r="E564" s="784">
        <v>0</v>
      </c>
      <c r="F564" s="784">
        <v>-8054.8493167386196</v>
      </c>
      <c r="G564" s="784">
        <v>49310.586904885771</v>
      </c>
      <c r="H564" s="784">
        <v>0</v>
      </c>
      <c r="I564" s="784">
        <v>0</v>
      </c>
      <c r="J564" s="784">
        <v>2.1571636210048279E-2</v>
      </c>
      <c r="K564" s="784">
        <v>286.77419974286374</v>
      </c>
      <c r="L564" s="784">
        <v>623.36666253775797</v>
      </c>
      <c r="M564" s="784">
        <v>0</v>
      </c>
      <c r="N564" s="784">
        <v>0</v>
      </c>
      <c r="O564" s="784">
        <f t="shared" si="61"/>
        <v>49358.410529912369</v>
      </c>
    </row>
    <row r="565" spans="1:15" x14ac:dyDescent="0.2">
      <c r="A565" s="796" t="s">
        <v>742</v>
      </c>
      <c r="B565" s="784">
        <v>35357.062935058653</v>
      </c>
      <c r="C565" s="784">
        <v>0</v>
      </c>
      <c r="D565" s="784">
        <v>0</v>
      </c>
      <c r="E565" s="784">
        <v>0</v>
      </c>
      <c r="F565" s="784">
        <v>0</v>
      </c>
      <c r="G565" s="784">
        <v>0</v>
      </c>
      <c r="H565" s="784">
        <v>0</v>
      </c>
      <c r="I565" s="784">
        <v>0</v>
      </c>
      <c r="J565" s="784">
        <v>0</v>
      </c>
      <c r="K565" s="784">
        <v>0</v>
      </c>
      <c r="L565" s="784">
        <v>0</v>
      </c>
      <c r="M565" s="784">
        <v>0</v>
      </c>
      <c r="N565" s="784">
        <v>0</v>
      </c>
      <c r="O565" s="784">
        <f t="shared" si="61"/>
        <v>35357.062935058653</v>
      </c>
    </row>
    <row r="566" spans="1:15" x14ac:dyDescent="0.2">
      <c r="A566" s="796" t="s">
        <v>715</v>
      </c>
      <c r="B566" s="784">
        <v>45823.327886023639</v>
      </c>
      <c r="C566" s="784">
        <v>85254.521116246106</v>
      </c>
      <c r="D566" s="784">
        <v>0</v>
      </c>
      <c r="E566" s="784">
        <v>0</v>
      </c>
      <c r="F566" s="784">
        <v>0</v>
      </c>
      <c r="G566" s="784">
        <v>0</v>
      </c>
      <c r="H566" s="784">
        <v>0</v>
      </c>
      <c r="I566" s="784">
        <v>0</v>
      </c>
      <c r="J566" s="784">
        <v>0</v>
      </c>
      <c r="K566" s="784">
        <v>0</v>
      </c>
      <c r="L566" s="784">
        <v>0</v>
      </c>
      <c r="M566" s="784">
        <v>0</v>
      </c>
      <c r="N566" s="784">
        <v>0</v>
      </c>
      <c r="O566" s="784">
        <f t="shared" si="61"/>
        <v>131077.84900226974</v>
      </c>
    </row>
    <row r="567" spans="1:15" x14ac:dyDescent="0.2">
      <c r="A567" s="796" t="s">
        <v>736</v>
      </c>
      <c r="B567" s="784">
        <v>0</v>
      </c>
      <c r="C567" s="784">
        <v>0</v>
      </c>
      <c r="D567" s="784">
        <v>0</v>
      </c>
      <c r="E567" s="784">
        <v>0</v>
      </c>
      <c r="F567" s="784">
        <v>30.392975860145697</v>
      </c>
      <c r="G567" s="784">
        <v>0</v>
      </c>
      <c r="H567" s="784">
        <v>0</v>
      </c>
      <c r="I567" s="784">
        <v>0</v>
      </c>
      <c r="J567" s="784">
        <v>0</v>
      </c>
      <c r="K567" s="784">
        <v>0</v>
      </c>
      <c r="L567" s="784">
        <v>0</v>
      </c>
      <c r="M567" s="784">
        <v>0</v>
      </c>
      <c r="N567" s="784">
        <v>0</v>
      </c>
      <c r="O567" s="784">
        <f t="shared" si="61"/>
        <v>30.392975860145697</v>
      </c>
    </row>
    <row r="568" spans="1:15" x14ac:dyDescent="0.2">
      <c r="A568" s="796" t="s">
        <v>650</v>
      </c>
      <c r="B568" s="784">
        <v>1217.6441731821055</v>
      </c>
      <c r="C568" s="784">
        <v>949.14511281627006</v>
      </c>
      <c r="D568" s="784">
        <v>0</v>
      </c>
      <c r="E568" s="784">
        <v>0</v>
      </c>
      <c r="F568" s="784">
        <v>6121.2980372277771</v>
      </c>
      <c r="G568" s="784">
        <v>0</v>
      </c>
      <c r="H568" s="784">
        <v>0</v>
      </c>
      <c r="I568" s="784">
        <v>11802.467902101691</v>
      </c>
      <c r="J568" s="784">
        <v>0</v>
      </c>
      <c r="K568" s="784">
        <v>0</v>
      </c>
      <c r="L568" s="784">
        <v>0</v>
      </c>
      <c r="M568" s="784">
        <v>0</v>
      </c>
      <c r="N568" s="784">
        <v>0</v>
      </c>
      <c r="O568" s="784">
        <f t="shared" si="61"/>
        <v>20090.555225327844</v>
      </c>
    </row>
    <row r="569" spans="1:15" x14ac:dyDescent="0.2">
      <c r="A569" s="796" t="s">
        <v>651</v>
      </c>
      <c r="B569" s="784">
        <v>152.64664874263107</v>
      </c>
      <c r="C569" s="784">
        <v>6320.5266274547457</v>
      </c>
      <c r="D569" s="784">
        <v>0</v>
      </c>
      <c r="E569" s="784">
        <v>0</v>
      </c>
      <c r="F569" s="784">
        <v>638.24036981513234</v>
      </c>
      <c r="G569" s="784">
        <v>0</v>
      </c>
      <c r="H569" s="784">
        <v>0</v>
      </c>
      <c r="I569" s="784">
        <v>7985.8712421457803</v>
      </c>
      <c r="J569" s="784">
        <v>0</v>
      </c>
      <c r="K569" s="784">
        <v>0</v>
      </c>
      <c r="L569" s="784">
        <v>0</v>
      </c>
      <c r="M569" s="784">
        <v>0</v>
      </c>
      <c r="N569" s="784">
        <v>0</v>
      </c>
      <c r="O569" s="784">
        <f t="shared" si="61"/>
        <v>15097.28488815829</v>
      </c>
    </row>
    <row r="570" spans="1:15" x14ac:dyDescent="0.2">
      <c r="A570" s="796" t="s">
        <v>694</v>
      </c>
      <c r="B570" s="784">
        <v>20862.593902423883</v>
      </c>
      <c r="C570" s="784">
        <v>7805.0070730375846</v>
      </c>
      <c r="D570" s="784">
        <v>6836.0814142013514</v>
      </c>
      <c r="E570" s="784">
        <v>0</v>
      </c>
      <c r="F570" s="784">
        <v>4470.410111653855</v>
      </c>
      <c r="G570" s="784">
        <v>3319.8812505194169</v>
      </c>
      <c r="H570" s="784">
        <v>0</v>
      </c>
      <c r="I570" s="784">
        <v>0</v>
      </c>
      <c r="J570" s="784">
        <v>0</v>
      </c>
      <c r="K570" s="784">
        <v>269.24264184372572</v>
      </c>
      <c r="L570" s="784">
        <v>0</v>
      </c>
      <c r="M570" s="784">
        <v>0</v>
      </c>
      <c r="N570" s="784">
        <v>0</v>
      </c>
      <c r="O570" s="784">
        <f t="shared" si="61"/>
        <v>43563.21639367981</v>
      </c>
    </row>
    <row r="571" spans="1:15" x14ac:dyDescent="0.2">
      <c r="A571" s="796" t="s">
        <v>743</v>
      </c>
      <c r="B571" s="784">
        <v>0</v>
      </c>
      <c r="C571" s="784">
        <v>0</v>
      </c>
      <c r="D571" s="784">
        <v>0</v>
      </c>
      <c r="E571" s="784">
        <v>0</v>
      </c>
      <c r="F571" s="784">
        <v>0</v>
      </c>
      <c r="G571" s="784">
        <v>0</v>
      </c>
      <c r="H571" s="784">
        <v>0</v>
      </c>
      <c r="I571" s="784">
        <v>1473.3566658952982</v>
      </c>
      <c r="J571" s="784">
        <v>0</v>
      </c>
      <c r="K571" s="784">
        <v>0</v>
      </c>
      <c r="L571" s="784">
        <v>0</v>
      </c>
      <c r="M571" s="784">
        <v>0</v>
      </c>
      <c r="N571" s="784">
        <v>0</v>
      </c>
      <c r="O571" s="784">
        <f t="shared" si="61"/>
        <v>1473.3566658952982</v>
      </c>
    </row>
    <row r="572" spans="1:15" x14ac:dyDescent="0.2">
      <c r="A572" s="796" t="s">
        <v>755</v>
      </c>
      <c r="B572" s="784">
        <v>65934.565425513982</v>
      </c>
      <c r="C572" s="784">
        <v>31955.051250721757</v>
      </c>
      <c r="D572" s="784">
        <v>14209.673918389386</v>
      </c>
      <c r="E572" s="784">
        <v>0</v>
      </c>
      <c r="F572" s="784">
        <v>5958.6006911240138</v>
      </c>
      <c r="G572" s="784">
        <v>2558.057148693767</v>
      </c>
      <c r="H572" s="784">
        <v>0</v>
      </c>
      <c r="I572" s="784">
        <v>587.02568268114953</v>
      </c>
      <c r="J572" s="784">
        <v>0</v>
      </c>
      <c r="K572" s="784">
        <v>0</v>
      </c>
      <c r="L572" s="784">
        <v>0</v>
      </c>
      <c r="M572" s="784">
        <v>0</v>
      </c>
      <c r="N572" s="784">
        <v>0</v>
      </c>
      <c r="O572" s="784">
        <f t="shared" si="61"/>
        <v>121202.97411712406</v>
      </c>
    </row>
    <row r="573" spans="1:15" x14ac:dyDescent="0.2">
      <c r="A573" s="796" t="s">
        <v>744</v>
      </c>
      <c r="B573" s="784">
        <v>-2467147.2028237823</v>
      </c>
      <c r="C573" s="784">
        <v>-1441940.3741311263</v>
      </c>
      <c r="D573" s="784">
        <v>-54533.048748920082</v>
      </c>
      <c r="E573" s="784">
        <v>0</v>
      </c>
      <c r="F573" s="784">
        <v>0</v>
      </c>
      <c r="G573" s="784">
        <v>0</v>
      </c>
      <c r="H573" s="784">
        <v>0</v>
      </c>
      <c r="I573" s="784">
        <v>-42383.167335384314</v>
      </c>
      <c r="J573" s="784">
        <v>0</v>
      </c>
      <c r="K573" s="784">
        <v>0</v>
      </c>
      <c r="L573" s="784">
        <v>0</v>
      </c>
      <c r="M573" s="784">
        <v>0</v>
      </c>
      <c r="N573" s="784">
        <v>0</v>
      </c>
      <c r="O573" s="784">
        <f t="shared" si="61"/>
        <v>-4006003.7930392134</v>
      </c>
    </row>
    <row r="574" spans="1:15" x14ac:dyDescent="0.2">
      <c r="A574" s="796" t="s">
        <v>745</v>
      </c>
      <c r="B574" s="784">
        <v>547110.0444778644</v>
      </c>
      <c r="C574" s="784">
        <v>285325.98656091274</v>
      </c>
      <c r="D574" s="784">
        <v>54533.048748920082</v>
      </c>
      <c r="E574" s="784">
        <v>0</v>
      </c>
      <c r="F574" s="784">
        <v>0</v>
      </c>
      <c r="G574" s="784">
        <v>0</v>
      </c>
      <c r="H574" s="784">
        <v>0</v>
      </c>
      <c r="I574" s="784">
        <v>12436.404922573904</v>
      </c>
      <c r="J574" s="784">
        <v>0</v>
      </c>
      <c r="K574" s="784">
        <v>0</v>
      </c>
      <c r="L574" s="784">
        <v>0</v>
      </c>
      <c r="M574" s="784">
        <v>0</v>
      </c>
      <c r="N574" s="784">
        <v>0</v>
      </c>
      <c r="O574" s="784">
        <f t="shared" si="61"/>
        <v>899405.48471027124</v>
      </c>
    </row>
    <row r="575" spans="1:15" x14ac:dyDescent="0.2">
      <c r="A575" s="796" t="s">
        <v>639</v>
      </c>
      <c r="B575" s="784">
        <v>265844.0320559055</v>
      </c>
      <c r="C575" s="784">
        <v>261782.14357958364</v>
      </c>
      <c r="D575" s="784">
        <v>6714.5992395913154</v>
      </c>
      <c r="E575" s="784">
        <v>0</v>
      </c>
      <c r="F575" s="784">
        <v>8625.4327180952441</v>
      </c>
      <c r="G575" s="784">
        <v>70691.482752118522</v>
      </c>
      <c r="H575" s="784">
        <v>1319.3782588938534</v>
      </c>
      <c r="I575" s="784">
        <v>37428.866706939552</v>
      </c>
      <c r="J575" s="784">
        <v>0</v>
      </c>
      <c r="K575" s="784">
        <v>0</v>
      </c>
      <c r="L575" s="784">
        <v>0</v>
      </c>
      <c r="M575" s="784">
        <v>0</v>
      </c>
      <c r="N575" s="784">
        <v>0</v>
      </c>
      <c r="O575" s="784">
        <f t="shared" si="61"/>
        <v>652405.93531112757</v>
      </c>
    </row>
    <row r="576" spans="1:15" x14ac:dyDescent="0.2">
      <c r="A576" s="796" t="s">
        <v>756</v>
      </c>
      <c r="B576" s="784">
        <v>-1687538.9445867089</v>
      </c>
      <c r="C576" s="784">
        <v>-1096204.4674269003</v>
      </c>
      <c r="D576" s="784">
        <v>-113921.11633567773</v>
      </c>
      <c r="E576" s="784">
        <v>-80460.557086196728</v>
      </c>
      <c r="F576" s="784">
        <v>-110666.94110447355</v>
      </c>
      <c r="G576" s="784">
        <v>-426985.44154650817</v>
      </c>
      <c r="H576" s="784">
        <v>-15174.202262050723</v>
      </c>
      <c r="I576" s="784">
        <v>-391080.0571894754</v>
      </c>
      <c r="J576" s="784">
        <v>0</v>
      </c>
      <c r="K576" s="784">
        <v>-6727.7073984703711</v>
      </c>
      <c r="L576" s="784">
        <v>0</v>
      </c>
      <c r="M576" s="784">
        <v>0</v>
      </c>
      <c r="N576" s="784">
        <v>0</v>
      </c>
      <c r="O576" s="784">
        <f t="shared" si="61"/>
        <v>-3928759.434936462</v>
      </c>
    </row>
    <row r="577" spans="1:15" x14ac:dyDescent="0.2">
      <c r="A577" s="796" t="s">
        <v>636</v>
      </c>
      <c r="B577" s="784">
        <v>87442.71938995333</v>
      </c>
      <c r="C577" s="784">
        <v>58161.551867391892</v>
      </c>
      <c r="D577" s="784">
        <v>1506.9174077291807</v>
      </c>
      <c r="E577" s="784">
        <v>0</v>
      </c>
      <c r="F577" s="784">
        <v>514.10601300539759</v>
      </c>
      <c r="G577" s="784">
        <v>656.67921653720225</v>
      </c>
      <c r="H577" s="784">
        <v>0</v>
      </c>
      <c r="I577" s="784">
        <v>3837.5690622199349</v>
      </c>
      <c r="J577" s="784">
        <v>0</v>
      </c>
      <c r="K577" s="784">
        <v>0</v>
      </c>
      <c r="L577" s="784">
        <v>0</v>
      </c>
      <c r="M577" s="784">
        <v>0</v>
      </c>
      <c r="N577" s="784">
        <v>0</v>
      </c>
      <c r="O577" s="784">
        <f t="shared" si="61"/>
        <v>152119.5429568369</v>
      </c>
    </row>
    <row r="578" spans="1:15" x14ac:dyDescent="0.2">
      <c r="A578" s="796" t="s">
        <v>758</v>
      </c>
      <c r="B578" s="784">
        <v>-568728.19744661183</v>
      </c>
      <c r="C578" s="784">
        <v>-241921.36866614784</v>
      </c>
      <c r="D578" s="784">
        <v>-28173.116081305849</v>
      </c>
      <c r="E578" s="784">
        <v>0</v>
      </c>
      <c r="F578" s="784">
        <v>-12922.441448908607</v>
      </c>
      <c r="G578" s="784">
        <v>-4968.7873543859687</v>
      </c>
      <c r="H578" s="784">
        <v>0</v>
      </c>
      <c r="I578" s="784">
        <v>-41083.50756180333</v>
      </c>
      <c r="J578" s="784">
        <v>-1357.1893701521501</v>
      </c>
      <c r="K578" s="784">
        <v>0</v>
      </c>
      <c r="L578" s="784">
        <v>0</v>
      </c>
      <c r="M578" s="784">
        <v>0</v>
      </c>
      <c r="N578" s="784">
        <v>0</v>
      </c>
      <c r="O578" s="784">
        <f t="shared" si="61"/>
        <v>-899154.60792931565</v>
      </c>
    </row>
    <row r="579" spans="1:15" x14ac:dyDescent="0.2">
      <c r="A579" s="796" t="s">
        <v>633</v>
      </c>
      <c r="B579" s="784">
        <v>102455.34079209594</v>
      </c>
      <c r="C579" s="784">
        <v>475411.29529682908</v>
      </c>
      <c r="D579" s="784">
        <v>5508.5000578753106</v>
      </c>
      <c r="E579" s="784">
        <v>0</v>
      </c>
      <c r="F579" s="784">
        <v>266.68749046893987</v>
      </c>
      <c r="G579" s="784">
        <v>6021.6582006127264</v>
      </c>
      <c r="H579" s="784">
        <v>0</v>
      </c>
      <c r="I579" s="784">
        <v>4650.1963066959888</v>
      </c>
      <c r="J579" s="784">
        <v>0</v>
      </c>
      <c r="K579" s="784">
        <v>0</v>
      </c>
      <c r="L579" s="784">
        <v>0</v>
      </c>
      <c r="M579" s="784">
        <v>0</v>
      </c>
      <c r="N579" s="784">
        <v>0</v>
      </c>
      <c r="O579" s="784">
        <f t="shared" si="61"/>
        <v>594313.67814457812</v>
      </c>
    </row>
    <row r="580" spans="1:15" x14ac:dyDescent="0.2">
      <c r="A580" s="796" t="s">
        <v>747</v>
      </c>
      <c r="B580" s="784">
        <v>-665588.6406086355</v>
      </c>
      <c r="C580" s="784">
        <v>-1971732.3393252988</v>
      </c>
      <c r="D580" s="784">
        <v>-102200.73564889259</v>
      </c>
      <c r="E580" s="784">
        <v>-144699.46040633478</v>
      </c>
      <c r="F580" s="784">
        <v>-6927.2081051776349</v>
      </c>
      <c r="G580" s="784">
        <v>-44442.323842401507</v>
      </c>
      <c r="H580" s="784">
        <v>0</v>
      </c>
      <c r="I580" s="784">
        <v>-49698.232070794307</v>
      </c>
      <c r="J580" s="784">
        <v>-264.02248662762548</v>
      </c>
      <c r="K580" s="784">
        <v>-40166.106842323083</v>
      </c>
      <c r="L580" s="784">
        <v>0</v>
      </c>
      <c r="M580" s="784">
        <v>0</v>
      </c>
      <c r="N580" s="784">
        <v>0</v>
      </c>
      <c r="O580" s="784">
        <f t="shared" si="61"/>
        <v>-3025719.069336486</v>
      </c>
    </row>
    <row r="581" spans="1:15" ht="10.5" x14ac:dyDescent="0.25">
      <c r="A581" s="787" t="s">
        <v>4231</v>
      </c>
      <c r="B581" s="786">
        <f t="shared" ref="B581:O581" si="62">SUM(B454:B580)</f>
        <v>7484169.063564836</v>
      </c>
      <c r="C581" s="786">
        <f t="shared" si="62"/>
        <v>8997224.9186094925</v>
      </c>
      <c r="D581" s="786">
        <f t="shared" si="62"/>
        <v>157051.38735527461</v>
      </c>
      <c r="E581" s="786">
        <f t="shared" si="62"/>
        <v>22653.040753163601</v>
      </c>
      <c r="F581" s="786">
        <f t="shared" si="62"/>
        <v>115117.45798017243</v>
      </c>
      <c r="G581" s="786">
        <f t="shared" si="62"/>
        <v>307084.67497367651</v>
      </c>
      <c r="H581" s="786">
        <f t="shared" si="62"/>
        <v>26309.003516239678</v>
      </c>
      <c r="I581" s="786">
        <f t="shared" si="62"/>
        <v>286105.91640987986</v>
      </c>
      <c r="J581" s="786">
        <f t="shared" si="62"/>
        <v>23181.026516379017</v>
      </c>
      <c r="K581" s="786">
        <f t="shared" si="62"/>
        <v>39189.816614748743</v>
      </c>
      <c r="L581" s="786">
        <f t="shared" si="62"/>
        <v>23941.389842990477</v>
      </c>
      <c r="M581" s="786">
        <f t="shared" si="62"/>
        <v>0</v>
      </c>
      <c r="N581" s="786">
        <f t="shared" si="62"/>
        <v>-4794341.2423422616</v>
      </c>
      <c r="O581" s="786">
        <f t="shared" si="62"/>
        <v>12687686.45379458</v>
      </c>
    </row>
    <row r="582" spans="1:15" ht="10.5" x14ac:dyDescent="0.25">
      <c r="A582" s="791" t="s">
        <v>4232</v>
      </c>
      <c r="B582" s="786">
        <f t="shared" ref="B582:O582" si="63">B344+B452+B581+0</f>
        <v>32676869.288091913</v>
      </c>
      <c r="C582" s="786">
        <f t="shared" si="63"/>
        <v>25571334.59158691</v>
      </c>
      <c r="D582" s="786">
        <f t="shared" si="63"/>
        <v>1034123.8005598271</v>
      </c>
      <c r="E582" s="786">
        <f t="shared" si="63"/>
        <v>1003569.8637244834</v>
      </c>
      <c r="F582" s="786">
        <f t="shared" si="63"/>
        <v>1724080.4549428583</v>
      </c>
      <c r="G582" s="786">
        <f t="shared" si="63"/>
        <v>2200916.1772950706</v>
      </c>
      <c r="H582" s="786">
        <f t="shared" si="63"/>
        <v>379718.48901353235</v>
      </c>
      <c r="I582" s="786">
        <f t="shared" si="63"/>
        <v>828786.15376655618</v>
      </c>
      <c r="J582" s="786">
        <f t="shared" si="63"/>
        <v>727522.53081901697</v>
      </c>
      <c r="K582" s="786">
        <f t="shared" si="63"/>
        <v>472096.65782731381</v>
      </c>
      <c r="L582" s="786">
        <f t="shared" si="63"/>
        <v>462846.61996595532</v>
      </c>
      <c r="M582" s="786">
        <f t="shared" si="63"/>
        <v>0</v>
      </c>
      <c r="N582" s="786">
        <f t="shared" si="63"/>
        <v>-10507598.936050968</v>
      </c>
      <c r="O582" s="786">
        <f t="shared" si="63"/>
        <v>56574265.691542447</v>
      </c>
    </row>
    <row r="583" spans="1:15" ht="10.5" x14ac:dyDescent="0.2">
      <c r="A583" s="797" t="s">
        <v>4233</v>
      </c>
      <c r="B583" s="786">
        <f t="shared" ref="B583:O583" si="64">B268-B582</f>
        <v>7772614.9569104984</v>
      </c>
      <c r="C583" s="786">
        <f t="shared" si="64"/>
        <v>1932011.9664688632</v>
      </c>
      <c r="D583" s="786">
        <f t="shared" si="64"/>
        <v>125543.82610994484</v>
      </c>
      <c r="E583" s="786">
        <f t="shared" si="64"/>
        <v>95814.230412402656</v>
      </c>
      <c r="F583" s="786">
        <f t="shared" si="64"/>
        <v>186456.20989222638</v>
      </c>
      <c r="G583" s="786">
        <f t="shared" si="64"/>
        <v>219253.01171707129</v>
      </c>
      <c r="H583" s="786">
        <f t="shared" si="64"/>
        <v>17943.19024246349</v>
      </c>
      <c r="I583" s="786">
        <f t="shared" si="64"/>
        <v>488672.45627230778</v>
      </c>
      <c r="J583" s="786">
        <f t="shared" si="64"/>
        <v>63608.926337216515</v>
      </c>
      <c r="K583" s="786">
        <f t="shared" si="64"/>
        <v>34363.73692485207</v>
      </c>
      <c r="L583" s="786">
        <f t="shared" si="64"/>
        <v>43744.682238266221</v>
      </c>
      <c r="M583" s="786">
        <f t="shared" si="64"/>
        <v>0</v>
      </c>
      <c r="N583" s="786">
        <f t="shared" si="64"/>
        <v>-41992.313354512677</v>
      </c>
      <c r="O583" s="786">
        <f t="shared" si="64"/>
        <v>10938034.880171627</v>
      </c>
    </row>
    <row r="584" spans="1:15" ht="10.5" x14ac:dyDescent="0.2">
      <c r="A584" s="742" t="s">
        <v>4234</v>
      </c>
      <c r="B584" s="780"/>
      <c r="C584" s="780"/>
      <c r="D584" s="780"/>
      <c r="E584" s="780"/>
      <c r="F584" s="780"/>
      <c r="G584" s="780"/>
      <c r="H584" s="780"/>
      <c r="I584" s="780"/>
      <c r="J584" s="780"/>
      <c r="K584" s="780"/>
      <c r="L584" s="780"/>
      <c r="M584" s="780"/>
      <c r="N584" s="780"/>
      <c r="O584" s="780"/>
    </row>
    <row r="585" spans="1:15" ht="10.5" x14ac:dyDescent="0.25">
      <c r="A585" s="779" t="s">
        <v>759</v>
      </c>
      <c r="B585" s="780"/>
      <c r="C585" s="780"/>
      <c r="D585" s="780"/>
      <c r="E585" s="780"/>
      <c r="F585" s="780"/>
      <c r="G585" s="780"/>
      <c r="H585" s="780"/>
      <c r="I585" s="780"/>
      <c r="J585" s="780"/>
      <c r="K585" s="780"/>
      <c r="L585" s="780"/>
      <c r="M585" s="780"/>
      <c r="N585" s="780"/>
      <c r="O585" s="780"/>
    </row>
    <row r="586" spans="1:15" ht="10.5" x14ac:dyDescent="0.25">
      <c r="A586" s="781" t="s">
        <v>760</v>
      </c>
      <c r="B586" s="780">
        <v>1974836.7772181525</v>
      </c>
      <c r="C586" s="780">
        <v>557471.93328797095</v>
      </c>
      <c r="D586" s="780">
        <v>0</v>
      </c>
      <c r="E586" s="780">
        <v>0</v>
      </c>
      <c r="F586" s="780">
        <v>0</v>
      </c>
      <c r="G586" s="780">
        <v>0</v>
      </c>
      <c r="H586" s="780">
        <v>0</v>
      </c>
      <c r="I586" s="780">
        <v>0</v>
      </c>
      <c r="J586" s="780">
        <v>0</v>
      </c>
      <c r="K586" s="780">
        <v>0</v>
      </c>
      <c r="L586" s="780">
        <v>1.09402965026647E-2</v>
      </c>
      <c r="M586" s="780">
        <v>0</v>
      </c>
      <c r="N586" s="780">
        <v>0</v>
      </c>
      <c r="O586" s="780">
        <v>2532308.7214464201</v>
      </c>
    </row>
    <row r="587" spans="1:15" x14ac:dyDescent="0.2">
      <c r="A587" s="796" t="s">
        <v>4235</v>
      </c>
      <c r="B587" s="784">
        <v>117785.23487434715</v>
      </c>
      <c r="C587" s="784">
        <v>557471.93328797095</v>
      </c>
      <c r="D587" s="784">
        <v>0</v>
      </c>
      <c r="E587" s="784">
        <v>0</v>
      </c>
      <c r="F587" s="784">
        <v>0</v>
      </c>
      <c r="G587" s="784">
        <v>0</v>
      </c>
      <c r="H587" s="784">
        <v>0</v>
      </c>
      <c r="I587" s="784">
        <v>0</v>
      </c>
      <c r="J587" s="784">
        <v>0</v>
      </c>
      <c r="K587" s="784">
        <v>0</v>
      </c>
      <c r="L587" s="784">
        <v>0</v>
      </c>
      <c r="M587" s="784">
        <v>0</v>
      </c>
      <c r="N587" s="784">
        <v>0</v>
      </c>
      <c r="O587" s="784">
        <f>SUM(B587:N587)</f>
        <v>675257.16816231806</v>
      </c>
    </row>
    <row r="588" spans="1:15" x14ac:dyDescent="0.2">
      <c r="A588" s="796" t="s">
        <v>761</v>
      </c>
      <c r="B588" s="784">
        <v>1857051.5095229158</v>
      </c>
      <c r="C588" s="784">
        <v>0</v>
      </c>
      <c r="D588" s="784">
        <v>0</v>
      </c>
      <c r="E588" s="784">
        <v>0</v>
      </c>
      <c r="F588" s="784">
        <v>0</v>
      </c>
      <c r="G588" s="784">
        <v>0</v>
      </c>
      <c r="H588" s="784">
        <v>0</v>
      </c>
      <c r="I588" s="784">
        <v>0</v>
      </c>
      <c r="J588" s="784">
        <v>0</v>
      </c>
      <c r="K588" s="784">
        <v>0</v>
      </c>
      <c r="L588" s="784">
        <v>0</v>
      </c>
      <c r="M588" s="784">
        <v>0</v>
      </c>
      <c r="N588" s="784">
        <v>0</v>
      </c>
      <c r="O588" s="784">
        <f>SUM(B588:N588)</f>
        <v>1857051.5095229158</v>
      </c>
    </row>
    <row r="589" spans="1:15" x14ac:dyDescent="0.2">
      <c r="A589" s="796" t="s">
        <v>762</v>
      </c>
      <c r="B589" s="784">
        <v>3.2820889507994097E-2</v>
      </c>
      <c r="C589" s="784">
        <v>0</v>
      </c>
      <c r="D589" s="784">
        <v>0</v>
      </c>
      <c r="E589" s="784">
        <v>0</v>
      </c>
      <c r="F589" s="784">
        <v>0</v>
      </c>
      <c r="G589" s="784">
        <v>0</v>
      </c>
      <c r="H589" s="784">
        <v>0</v>
      </c>
      <c r="I589" s="784">
        <v>0</v>
      </c>
      <c r="J589" s="784">
        <v>0</v>
      </c>
      <c r="K589" s="784">
        <v>0</v>
      </c>
      <c r="L589" s="784">
        <v>0</v>
      </c>
      <c r="M589" s="784">
        <v>0</v>
      </c>
      <c r="N589" s="784">
        <v>0</v>
      </c>
      <c r="O589" s="784">
        <f>SUM(B589:N589)</f>
        <v>3.2820889507994097E-2</v>
      </c>
    </row>
    <row r="590" spans="1:15" x14ac:dyDescent="0.2">
      <c r="A590" s="796" t="s">
        <v>763</v>
      </c>
      <c r="B590" s="784">
        <v>0</v>
      </c>
      <c r="C590" s="784">
        <v>0</v>
      </c>
      <c r="D590" s="784">
        <v>0</v>
      </c>
      <c r="E590" s="784">
        <v>0</v>
      </c>
      <c r="F590" s="784">
        <v>0</v>
      </c>
      <c r="G590" s="784">
        <v>0</v>
      </c>
      <c r="H590" s="784">
        <v>0</v>
      </c>
      <c r="I590" s="784">
        <v>0</v>
      </c>
      <c r="J590" s="784">
        <v>0</v>
      </c>
      <c r="K590" s="784">
        <v>0</v>
      </c>
      <c r="L590" s="784">
        <v>1.09402965026647E-2</v>
      </c>
      <c r="M590" s="784">
        <v>0</v>
      </c>
      <c r="N590" s="784">
        <v>0</v>
      </c>
      <c r="O590" s="784">
        <f>SUM(B590:N590)</f>
        <v>1.09402965026647E-2</v>
      </c>
    </row>
    <row r="591" spans="1:15" ht="10.5" x14ac:dyDescent="0.25">
      <c r="A591" s="790" t="s">
        <v>764</v>
      </c>
      <c r="B591" s="789">
        <f t="shared" ref="B591:O591" si="65">SUM(B587:B590)</f>
        <v>1974836.7772181525</v>
      </c>
      <c r="C591" s="789">
        <f t="shared" si="65"/>
        <v>557471.93328797095</v>
      </c>
      <c r="D591" s="789">
        <f t="shared" si="65"/>
        <v>0</v>
      </c>
      <c r="E591" s="789">
        <f t="shared" si="65"/>
        <v>0</v>
      </c>
      <c r="F591" s="789">
        <f t="shared" si="65"/>
        <v>0</v>
      </c>
      <c r="G591" s="789">
        <f t="shared" si="65"/>
        <v>0</v>
      </c>
      <c r="H591" s="789">
        <f t="shared" si="65"/>
        <v>0</v>
      </c>
      <c r="I591" s="789">
        <f t="shared" si="65"/>
        <v>0</v>
      </c>
      <c r="J591" s="789">
        <f t="shared" si="65"/>
        <v>0</v>
      </c>
      <c r="K591" s="789">
        <f t="shared" si="65"/>
        <v>0</v>
      </c>
      <c r="L591" s="789">
        <f t="shared" si="65"/>
        <v>1.09402965026647E-2</v>
      </c>
      <c r="M591" s="789">
        <f t="shared" si="65"/>
        <v>0</v>
      </c>
      <c r="N591" s="789">
        <f t="shared" si="65"/>
        <v>0</v>
      </c>
      <c r="O591" s="789">
        <f t="shared" si="65"/>
        <v>2532308.7214464201</v>
      </c>
    </row>
    <row r="592" spans="1:15" ht="10.5" x14ac:dyDescent="0.25">
      <c r="A592" s="798" t="s">
        <v>765</v>
      </c>
      <c r="B592" s="789">
        <f t="shared" ref="B592:O592" si="66">SUM(B591)</f>
        <v>1974836.7772181525</v>
      </c>
      <c r="C592" s="789">
        <f t="shared" si="66"/>
        <v>557471.93328797095</v>
      </c>
      <c r="D592" s="789">
        <f t="shared" si="66"/>
        <v>0</v>
      </c>
      <c r="E592" s="789">
        <f t="shared" si="66"/>
        <v>0</v>
      </c>
      <c r="F592" s="789">
        <f t="shared" si="66"/>
        <v>0</v>
      </c>
      <c r="G592" s="789">
        <f t="shared" si="66"/>
        <v>0</v>
      </c>
      <c r="H592" s="789">
        <f t="shared" si="66"/>
        <v>0</v>
      </c>
      <c r="I592" s="789">
        <f t="shared" si="66"/>
        <v>0</v>
      </c>
      <c r="J592" s="789">
        <f t="shared" si="66"/>
        <v>0</v>
      </c>
      <c r="K592" s="789">
        <f t="shared" si="66"/>
        <v>0</v>
      </c>
      <c r="L592" s="789">
        <f t="shared" si="66"/>
        <v>1.09402965026647E-2</v>
      </c>
      <c r="M592" s="789">
        <f t="shared" si="66"/>
        <v>0</v>
      </c>
      <c r="N592" s="789">
        <f t="shared" si="66"/>
        <v>0</v>
      </c>
      <c r="O592" s="789">
        <f t="shared" si="66"/>
        <v>2532308.7214464201</v>
      </c>
    </row>
    <row r="593" spans="1:15" ht="10.5" x14ac:dyDescent="0.25">
      <c r="A593" s="779" t="s">
        <v>4236</v>
      </c>
      <c r="B593" s="780"/>
      <c r="C593" s="780"/>
      <c r="D593" s="780"/>
      <c r="E593" s="780"/>
      <c r="F593" s="780"/>
      <c r="G593" s="780"/>
      <c r="H593" s="780"/>
      <c r="I593" s="780"/>
      <c r="J593" s="780"/>
      <c r="K593" s="780"/>
      <c r="L593" s="780"/>
      <c r="M593" s="780"/>
      <c r="N593" s="780"/>
      <c r="O593" s="780"/>
    </row>
    <row r="594" spans="1:15" ht="10.5" x14ac:dyDescent="0.25">
      <c r="A594" s="781" t="s">
        <v>766</v>
      </c>
      <c r="B594" s="780">
        <v>61986.405878624675</v>
      </c>
      <c r="C594" s="780">
        <v>15909.603815474082</v>
      </c>
      <c r="D594" s="780">
        <v>19207.744443251868</v>
      </c>
      <c r="E594" s="780">
        <v>-4810.697404114755</v>
      </c>
      <c r="F594" s="780">
        <v>-8.5968703147269263</v>
      </c>
      <c r="G594" s="780">
        <v>-1146.8032880341088</v>
      </c>
      <c r="H594" s="780">
        <v>35516.21109627228</v>
      </c>
      <c r="I594" s="780">
        <v>130611.74656747381</v>
      </c>
      <c r="J594" s="780">
        <v>14520.604816365176</v>
      </c>
      <c r="K594" s="780">
        <v>-29480.103198652523</v>
      </c>
      <c r="L594" s="780">
        <v>0</v>
      </c>
      <c r="M594" s="780">
        <v>0</v>
      </c>
      <c r="N594" s="780">
        <v>-34333.902784319958</v>
      </c>
      <c r="O594" s="780">
        <v>207972.2130720258</v>
      </c>
    </row>
    <row r="595" spans="1:15" x14ac:dyDescent="0.2">
      <c r="A595" s="796" t="s">
        <v>767</v>
      </c>
      <c r="B595" s="784">
        <v>-426546.68666314089</v>
      </c>
      <c r="C595" s="784">
        <v>-125993.14065725851</v>
      </c>
      <c r="D595" s="784">
        <v>-355.35521995646167</v>
      </c>
      <c r="E595" s="784">
        <v>-11980.914333199018</v>
      </c>
      <c r="F595" s="784">
        <v>-8.5968703147269263</v>
      </c>
      <c r="G595" s="784">
        <v>-1990.632259852262</v>
      </c>
      <c r="H595" s="784">
        <v>-9130.8966773051034</v>
      </c>
      <c r="I595" s="784">
        <v>-235249.41502723275</v>
      </c>
      <c r="J595" s="784">
        <v>-6803.226093515811</v>
      </c>
      <c r="K595" s="784">
        <v>-994.13140061857575</v>
      </c>
      <c r="L595" s="784">
        <v>0</v>
      </c>
      <c r="M595" s="784">
        <v>0</v>
      </c>
      <c r="N595" s="784">
        <v>-34333.902784319958</v>
      </c>
      <c r="O595" s="784">
        <f t="shared" ref="O595:O601" si="67">SUM(B595:N595)</f>
        <v>-853386.89798671403</v>
      </c>
    </row>
    <row r="596" spans="1:15" x14ac:dyDescent="0.2">
      <c r="A596" s="796" t="s">
        <v>4359</v>
      </c>
      <c r="B596" s="784">
        <v>1524638.5212148549</v>
      </c>
      <c r="C596" s="784">
        <v>0</v>
      </c>
      <c r="D596" s="784">
        <v>0</v>
      </c>
      <c r="E596" s="784">
        <v>0</v>
      </c>
      <c r="F596" s="784">
        <v>0</v>
      </c>
      <c r="G596" s="784">
        <v>0</v>
      </c>
      <c r="H596" s="784">
        <v>0</v>
      </c>
      <c r="I596" s="784">
        <v>0</v>
      </c>
      <c r="J596" s="784">
        <v>0</v>
      </c>
      <c r="K596" s="784">
        <v>0</v>
      </c>
      <c r="L596" s="784">
        <v>0</v>
      </c>
      <c r="M596" s="784">
        <v>0</v>
      </c>
      <c r="N596" s="784">
        <v>0</v>
      </c>
      <c r="O596" s="784">
        <f t="shared" si="67"/>
        <v>1524638.5212148549</v>
      </c>
    </row>
    <row r="597" spans="1:15" x14ac:dyDescent="0.2">
      <c r="A597" s="796" t="s">
        <v>4360</v>
      </c>
      <c r="B597" s="784">
        <v>-961890.77812262531</v>
      </c>
      <c r="C597" s="784">
        <v>0</v>
      </c>
      <c r="D597" s="784">
        <v>0</v>
      </c>
      <c r="E597" s="784">
        <v>0</v>
      </c>
      <c r="F597" s="784">
        <v>0</v>
      </c>
      <c r="G597" s="784">
        <v>0</v>
      </c>
      <c r="H597" s="784">
        <v>0</v>
      </c>
      <c r="I597" s="784">
        <v>0</v>
      </c>
      <c r="J597" s="784">
        <v>0</v>
      </c>
      <c r="K597" s="784">
        <v>0</v>
      </c>
      <c r="L597" s="784">
        <v>0</v>
      </c>
      <c r="M597" s="784">
        <v>0</v>
      </c>
      <c r="N597" s="784">
        <v>0</v>
      </c>
      <c r="O597" s="784">
        <f t="shared" si="67"/>
        <v>-961890.77812262531</v>
      </c>
    </row>
    <row r="598" spans="1:15" x14ac:dyDescent="0.2">
      <c r="A598" s="796" t="s">
        <v>768</v>
      </c>
      <c r="B598" s="784">
        <v>-141709.46928137692</v>
      </c>
      <c r="C598" s="784">
        <v>-183375.98513525806</v>
      </c>
      <c r="D598" s="784">
        <v>4730.2927969989596</v>
      </c>
      <c r="E598" s="784">
        <v>430.71024333263682</v>
      </c>
      <c r="F598" s="784">
        <v>-0.19664463860750478</v>
      </c>
      <c r="G598" s="784">
        <v>435.89252316806551</v>
      </c>
      <c r="H598" s="784">
        <v>33499.636904969113</v>
      </c>
      <c r="I598" s="784">
        <v>-285069.72627161141</v>
      </c>
      <c r="J598" s="784">
        <v>6696.3791047227487</v>
      </c>
      <c r="K598" s="784">
        <v>-16139.422134730823</v>
      </c>
      <c r="L598" s="784">
        <v>0</v>
      </c>
      <c r="M598" s="784">
        <v>0</v>
      </c>
      <c r="N598" s="784">
        <v>0</v>
      </c>
      <c r="O598" s="784">
        <f t="shared" si="67"/>
        <v>-580501.88789442426</v>
      </c>
    </row>
    <row r="599" spans="1:15" x14ac:dyDescent="0.2">
      <c r="A599" s="796" t="s">
        <v>769</v>
      </c>
      <c r="B599" s="784">
        <v>37.990444849298981</v>
      </c>
      <c r="C599" s="784">
        <v>0</v>
      </c>
      <c r="D599" s="784">
        <v>0</v>
      </c>
      <c r="E599" s="784">
        <v>0</v>
      </c>
      <c r="F599" s="784">
        <v>0</v>
      </c>
      <c r="G599" s="784">
        <v>0</v>
      </c>
      <c r="H599" s="784">
        <v>0</v>
      </c>
      <c r="I599" s="784">
        <v>0</v>
      </c>
      <c r="J599" s="784">
        <v>0</v>
      </c>
      <c r="K599" s="784">
        <v>0</v>
      </c>
      <c r="L599" s="784">
        <v>0</v>
      </c>
      <c r="M599" s="784">
        <v>0</v>
      </c>
      <c r="N599" s="784">
        <v>0</v>
      </c>
      <c r="O599" s="784">
        <f t="shared" si="67"/>
        <v>37.990444849298981</v>
      </c>
    </row>
    <row r="600" spans="1:15" x14ac:dyDescent="0.2">
      <c r="A600" s="796" t="s">
        <v>770</v>
      </c>
      <c r="B600" s="784">
        <v>-181429.59252328178</v>
      </c>
      <c r="C600" s="784">
        <v>63012.304521589787</v>
      </c>
      <c r="D600" s="784">
        <v>3404.563568601618</v>
      </c>
      <c r="E600" s="784">
        <v>-1831.6476737335211</v>
      </c>
      <c r="F600" s="784">
        <v>0.19664463860750478</v>
      </c>
      <c r="G600" s="784">
        <v>-699.67288618470241</v>
      </c>
      <c r="H600" s="784">
        <v>9827.834328898869</v>
      </c>
      <c r="I600" s="784">
        <v>286726.97600325407</v>
      </c>
      <c r="J600" s="784">
        <v>4821.0736836010774</v>
      </c>
      <c r="K600" s="784">
        <v>-31386.730632931052</v>
      </c>
      <c r="L600" s="784">
        <v>0</v>
      </c>
      <c r="M600" s="784">
        <v>0</v>
      </c>
      <c r="N600" s="784">
        <v>0</v>
      </c>
      <c r="O600" s="784">
        <f t="shared" si="67"/>
        <v>152445.30503445296</v>
      </c>
    </row>
    <row r="601" spans="1:15" x14ac:dyDescent="0.2">
      <c r="A601" s="796" t="s">
        <v>771</v>
      </c>
      <c r="B601" s="784">
        <v>248886.42080934549</v>
      </c>
      <c r="C601" s="784">
        <v>262266.42508640088</v>
      </c>
      <c r="D601" s="784">
        <v>11428.243297607754</v>
      </c>
      <c r="E601" s="784">
        <v>8571.1543594851482</v>
      </c>
      <c r="F601" s="784">
        <v>0</v>
      </c>
      <c r="G601" s="784">
        <v>1107.6093348347899</v>
      </c>
      <c r="H601" s="784">
        <v>1319.6365397094039</v>
      </c>
      <c r="I601" s="784">
        <v>364203.91186306387</v>
      </c>
      <c r="J601" s="784">
        <v>9806.3781215571616</v>
      </c>
      <c r="K601" s="784">
        <v>19040.180969627927</v>
      </c>
      <c r="L601" s="784">
        <v>0</v>
      </c>
      <c r="M601" s="784">
        <v>0</v>
      </c>
      <c r="N601" s="784">
        <v>0</v>
      </c>
      <c r="O601" s="784">
        <f t="shared" si="67"/>
        <v>926629.96038163232</v>
      </c>
    </row>
    <row r="602" spans="1:15" ht="10.5" x14ac:dyDescent="0.25">
      <c r="A602" s="790" t="s">
        <v>772</v>
      </c>
      <c r="B602" s="789">
        <f t="shared" ref="B602:O602" si="68">SUM(B595:B601)</f>
        <v>61986.405878624675</v>
      </c>
      <c r="C602" s="789">
        <f t="shared" si="68"/>
        <v>15909.603815474082</v>
      </c>
      <c r="D602" s="789">
        <f t="shared" si="68"/>
        <v>19207.744443251868</v>
      </c>
      <c r="E602" s="789">
        <f t="shared" si="68"/>
        <v>-4810.697404114755</v>
      </c>
      <c r="F602" s="789">
        <f t="shared" si="68"/>
        <v>-8.5968703147269263</v>
      </c>
      <c r="G602" s="789">
        <f t="shared" si="68"/>
        <v>-1146.8032880341088</v>
      </c>
      <c r="H602" s="789">
        <f t="shared" si="68"/>
        <v>35516.21109627228</v>
      </c>
      <c r="I602" s="789">
        <f t="shared" si="68"/>
        <v>130611.74656747381</v>
      </c>
      <c r="J602" s="789">
        <f t="shared" si="68"/>
        <v>14520.604816365176</v>
      </c>
      <c r="K602" s="789">
        <f t="shared" si="68"/>
        <v>-29480.103198652523</v>
      </c>
      <c r="L602" s="789">
        <f t="shared" si="68"/>
        <v>0</v>
      </c>
      <c r="M602" s="789">
        <f t="shared" si="68"/>
        <v>0</v>
      </c>
      <c r="N602" s="789">
        <f t="shared" si="68"/>
        <v>-34333.902784319958</v>
      </c>
      <c r="O602" s="789">
        <f t="shared" si="68"/>
        <v>207972.2130720258</v>
      </c>
    </row>
    <row r="603" spans="1:15" x14ac:dyDescent="0.2">
      <c r="A603" s="799" t="s">
        <v>4485</v>
      </c>
      <c r="B603" s="784">
        <v>0</v>
      </c>
      <c r="C603" s="784">
        <v>0</v>
      </c>
      <c r="D603" s="784">
        <v>0</v>
      </c>
      <c r="E603" s="784">
        <v>-1.085463423576632E-2</v>
      </c>
      <c r="F603" s="784">
        <v>0</v>
      </c>
      <c r="G603" s="784">
        <v>0</v>
      </c>
      <c r="H603" s="784">
        <v>0</v>
      </c>
      <c r="I603" s="784">
        <v>0</v>
      </c>
      <c r="J603" s="784">
        <v>-3.1926021590871456</v>
      </c>
      <c r="K603" s="784">
        <v>0</v>
      </c>
      <c r="L603" s="784">
        <v>0</v>
      </c>
      <c r="M603" s="784">
        <v>0</v>
      </c>
      <c r="N603" s="784">
        <v>0</v>
      </c>
      <c r="O603" s="784">
        <f>SUM(B603:N603)</f>
        <v>-3.2034567933229119</v>
      </c>
    </row>
    <row r="604" spans="1:15" x14ac:dyDescent="0.2">
      <c r="A604" s="799" t="s">
        <v>773</v>
      </c>
      <c r="B604" s="784">
        <v>4.6252870230844998E-4</v>
      </c>
      <c r="C604" s="784">
        <v>-0.80450611229754176</v>
      </c>
      <c r="D604" s="784">
        <v>-1.46112932270379E-2</v>
      </c>
      <c r="E604" s="784">
        <v>-4.3951523874933812E-2</v>
      </c>
      <c r="F604" s="784">
        <v>0</v>
      </c>
      <c r="G604" s="784">
        <v>-5.0775320237218168E-2</v>
      </c>
      <c r="H604" s="784">
        <v>-2.0423551201387001E-4</v>
      </c>
      <c r="I604" s="784">
        <v>1.1941590111337999E-4</v>
      </c>
      <c r="J604" s="784">
        <v>-5.5904602577213996E-4</v>
      </c>
      <c r="K604" s="784">
        <v>-4.3865454038350002E-5</v>
      </c>
      <c r="L604" s="784">
        <v>0</v>
      </c>
      <c r="M604" s="784">
        <v>0</v>
      </c>
      <c r="N604" s="784">
        <v>0</v>
      </c>
      <c r="O604" s="784">
        <f>SUM(B604:N604)</f>
        <v>-0.91406945202513423</v>
      </c>
    </row>
    <row r="605" spans="1:15" ht="10.5" x14ac:dyDescent="0.25">
      <c r="A605" s="798" t="s">
        <v>4237</v>
      </c>
      <c r="B605" s="789">
        <f t="shared" ref="B605:O605" si="69">SUM(B602:B604)</f>
        <v>61986.406341153379</v>
      </c>
      <c r="C605" s="789">
        <f t="shared" si="69"/>
        <v>15908.799309361784</v>
      </c>
      <c r="D605" s="789">
        <f t="shared" si="69"/>
        <v>19207.729831958641</v>
      </c>
      <c r="E605" s="789">
        <f t="shared" si="69"/>
        <v>-4810.7522102728653</v>
      </c>
      <c r="F605" s="789">
        <f t="shared" si="69"/>
        <v>-8.5968703147269263</v>
      </c>
      <c r="G605" s="789">
        <f t="shared" si="69"/>
        <v>-1146.854063354346</v>
      </c>
      <c r="H605" s="789">
        <f t="shared" si="69"/>
        <v>35516.210892036768</v>
      </c>
      <c r="I605" s="789">
        <f t="shared" si="69"/>
        <v>130611.7466868897</v>
      </c>
      <c r="J605" s="789">
        <f t="shared" si="69"/>
        <v>14517.411655160062</v>
      </c>
      <c r="K605" s="789">
        <f t="shared" si="69"/>
        <v>-29480.103242517976</v>
      </c>
      <c r="L605" s="789">
        <f t="shared" si="69"/>
        <v>0</v>
      </c>
      <c r="M605" s="789">
        <f t="shared" si="69"/>
        <v>0</v>
      </c>
      <c r="N605" s="789">
        <f t="shared" si="69"/>
        <v>-34333.902784319958</v>
      </c>
      <c r="O605" s="789">
        <f t="shared" si="69"/>
        <v>207968.09554578044</v>
      </c>
    </row>
    <row r="606" spans="1:15" ht="10.5" x14ac:dyDescent="0.2">
      <c r="A606" s="797" t="s">
        <v>4238</v>
      </c>
      <c r="B606" s="786">
        <f t="shared" ref="B606:O606" si="70">B592-B605</f>
        <v>1912850.3708769991</v>
      </c>
      <c r="C606" s="786">
        <f t="shared" si="70"/>
        <v>541563.13397860923</v>
      </c>
      <c r="D606" s="786">
        <f t="shared" si="70"/>
        <v>-19207.729831958641</v>
      </c>
      <c r="E606" s="786">
        <f t="shared" si="70"/>
        <v>4810.7522102728653</v>
      </c>
      <c r="F606" s="786">
        <f t="shared" si="70"/>
        <v>8.5968703147269263</v>
      </c>
      <c r="G606" s="786">
        <f t="shared" si="70"/>
        <v>1146.854063354346</v>
      </c>
      <c r="H606" s="786">
        <f t="shared" si="70"/>
        <v>-35516.210892036768</v>
      </c>
      <c r="I606" s="786">
        <f t="shared" si="70"/>
        <v>-130611.7466868897</v>
      </c>
      <c r="J606" s="786">
        <f t="shared" si="70"/>
        <v>-14517.411655160062</v>
      </c>
      <c r="K606" s="786">
        <f t="shared" si="70"/>
        <v>29480.103242517976</v>
      </c>
      <c r="L606" s="786">
        <f t="shared" si="70"/>
        <v>1.09402965026647E-2</v>
      </c>
      <c r="M606" s="786">
        <f t="shared" si="70"/>
        <v>0</v>
      </c>
      <c r="N606" s="786">
        <f t="shared" si="70"/>
        <v>34333.902784319958</v>
      </c>
      <c r="O606" s="786">
        <f t="shared" si="70"/>
        <v>2324340.6259006397</v>
      </c>
    </row>
    <row r="607" spans="1:15" ht="10.5" x14ac:dyDescent="0.2">
      <c r="A607" s="797" t="s">
        <v>4239</v>
      </c>
      <c r="B607" s="786">
        <f t="shared" ref="B607:O607" si="71">B583+B606</f>
        <v>9685465.327787498</v>
      </c>
      <c r="C607" s="786">
        <f t="shared" si="71"/>
        <v>2473575.1004474722</v>
      </c>
      <c r="D607" s="786">
        <f t="shared" si="71"/>
        <v>106336.0962779862</v>
      </c>
      <c r="E607" s="786">
        <f t="shared" si="71"/>
        <v>100624.98262267552</v>
      </c>
      <c r="F607" s="786">
        <f t="shared" si="71"/>
        <v>186464.80676254112</v>
      </c>
      <c r="G607" s="786">
        <f t="shared" si="71"/>
        <v>220399.86578042564</v>
      </c>
      <c r="H607" s="786">
        <f t="shared" si="71"/>
        <v>-17573.020649573278</v>
      </c>
      <c r="I607" s="786">
        <f t="shared" si="71"/>
        <v>358060.70958541811</v>
      </c>
      <c r="J607" s="786">
        <f t="shared" si="71"/>
        <v>49091.514682056455</v>
      </c>
      <c r="K607" s="786">
        <f t="shared" si="71"/>
        <v>63843.840167370043</v>
      </c>
      <c r="L607" s="786">
        <f t="shared" si="71"/>
        <v>43744.693178562724</v>
      </c>
      <c r="M607" s="786">
        <f t="shared" si="71"/>
        <v>0</v>
      </c>
      <c r="N607" s="786">
        <f t="shared" si="71"/>
        <v>-7658.4105701927183</v>
      </c>
      <c r="O607" s="786">
        <f t="shared" si="71"/>
        <v>13262375.506072266</v>
      </c>
    </row>
    <row r="608" spans="1:15" ht="10.5" x14ac:dyDescent="0.2">
      <c r="A608" s="742" t="s">
        <v>4240</v>
      </c>
      <c r="B608" s="780"/>
      <c r="C608" s="780"/>
      <c r="D608" s="780"/>
      <c r="E608" s="780"/>
      <c r="F608" s="780"/>
      <c r="G608" s="780"/>
      <c r="H608" s="780"/>
      <c r="I608" s="780"/>
      <c r="J608" s="780"/>
      <c r="K608" s="780"/>
      <c r="L608" s="780"/>
      <c r="M608" s="780"/>
      <c r="N608" s="780"/>
      <c r="O608" s="780"/>
    </row>
    <row r="609" spans="1:15" ht="10.5" x14ac:dyDescent="0.25">
      <c r="A609" s="779" t="s">
        <v>4241</v>
      </c>
      <c r="B609" s="780"/>
      <c r="C609" s="780"/>
      <c r="D609" s="780"/>
      <c r="E609" s="780"/>
      <c r="F609" s="780"/>
      <c r="G609" s="780"/>
      <c r="H609" s="780"/>
      <c r="I609" s="780"/>
      <c r="J609" s="780"/>
      <c r="K609" s="780"/>
      <c r="L609" s="780"/>
      <c r="M609" s="780"/>
      <c r="N609" s="780"/>
      <c r="O609" s="780"/>
    </row>
    <row r="610" spans="1:15" ht="10.5" x14ac:dyDescent="0.25">
      <c r="A610" s="781" t="s">
        <v>19</v>
      </c>
      <c r="B610" s="780">
        <v>-1654514.4367745982</v>
      </c>
      <c r="C610" s="780">
        <v>-109986.86707031132</v>
      </c>
      <c r="D610" s="780">
        <v>-36331.592458156993</v>
      </c>
      <c r="E610" s="780">
        <v>-28153.358245873671</v>
      </c>
      <c r="F610" s="780">
        <v>-61844.12233447218</v>
      </c>
      <c r="G610" s="780">
        <v>-58231.065859927498</v>
      </c>
      <c r="H610" s="780">
        <v>-14403.292731029116</v>
      </c>
      <c r="I610" s="780">
        <v>-61383.245207750471</v>
      </c>
      <c r="J610" s="780">
        <v>-16519.797730362585</v>
      </c>
      <c r="K610" s="780">
        <v>-2539.4432359052885</v>
      </c>
      <c r="L610" s="780">
        <v>-11359.908969694099</v>
      </c>
      <c r="M610" s="780">
        <v>-1501670</v>
      </c>
      <c r="N610" s="780">
        <v>0</v>
      </c>
      <c r="O610" s="780">
        <v>-3556937.1306180814</v>
      </c>
    </row>
    <row r="611" spans="1:15" x14ac:dyDescent="0.2">
      <c r="A611" s="796" t="s">
        <v>20</v>
      </c>
      <c r="B611" s="784">
        <v>-1654514.4367745982</v>
      </c>
      <c r="C611" s="784">
        <v>-7557.5372834670188</v>
      </c>
      <c r="D611" s="784">
        <v>0</v>
      </c>
      <c r="E611" s="784">
        <v>0</v>
      </c>
      <c r="F611" s="784">
        <v>0</v>
      </c>
      <c r="G611" s="784">
        <v>0</v>
      </c>
      <c r="H611" s="784">
        <v>0</v>
      </c>
      <c r="I611" s="784">
        <v>0</v>
      </c>
      <c r="J611" s="784">
        <v>0</v>
      </c>
      <c r="K611" s="784">
        <v>0</v>
      </c>
      <c r="L611" s="784">
        <v>0</v>
      </c>
      <c r="M611" s="784">
        <v>0</v>
      </c>
      <c r="N611" s="784">
        <v>0</v>
      </c>
      <c r="O611" s="784">
        <f>SUM(B611:N611)</f>
        <v>-1662071.9740580653</v>
      </c>
    </row>
    <row r="612" spans="1:15" x14ac:dyDescent="0.2">
      <c r="A612" s="796" t="s">
        <v>57</v>
      </c>
      <c r="B612" s="784">
        <v>0</v>
      </c>
      <c r="C612" s="784">
        <v>-102429.3297868443</v>
      </c>
      <c r="D612" s="784">
        <v>0</v>
      </c>
      <c r="E612" s="784">
        <v>0</v>
      </c>
      <c r="F612" s="784">
        <v>0</v>
      </c>
      <c r="G612" s="784">
        <v>0</v>
      </c>
      <c r="H612" s="784">
        <v>0</v>
      </c>
      <c r="I612" s="784">
        <v>0</v>
      </c>
      <c r="J612" s="784">
        <v>0</v>
      </c>
      <c r="K612" s="784">
        <v>0</v>
      </c>
      <c r="L612" s="784">
        <v>0</v>
      </c>
      <c r="M612" s="784">
        <v>0</v>
      </c>
      <c r="N612" s="784">
        <v>0</v>
      </c>
      <c r="O612" s="784">
        <f>SUM(B612:N612)</f>
        <v>-102429.3297868443</v>
      </c>
    </row>
    <row r="613" spans="1:15" x14ac:dyDescent="0.2">
      <c r="A613" s="796" t="s">
        <v>183</v>
      </c>
      <c r="B613" s="784">
        <v>0</v>
      </c>
      <c r="C613" s="784">
        <v>0</v>
      </c>
      <c r="D613" s="784">
        <v>-36331.592458156993</v>
      </c>
      <c r="E613" s="784">
        <v>-28153.358245873671</v>
      </c>
      <c r="F613" s="784">
        <v>-61844.12233447218</v>
      </c>
      <c r="G613" s="784">
        <v>-58231.065859927498</v>
      </c>
      <c r="H613" s="784">
        <v>-14403.292731029116</v>
      </c>
      <c r="I613" s="784">
        <v>-61383.245207750471</v>
      </c>
      <c r="J613" s="784">
        <v>-16519.797730362585</v>
      </c>
      <c r="K613" s="784">
        <v>-2539.4432359052885</v>
      </c>
      <c r="L613" s="784">
        <v>-11359.908969694099</v>
      </c>
      <c r="M613" s="784">
        <v>-1501670</v>
      </c>
      <c r="N613" s="784">
        <v>0</v>
      </c>
      <c r="O613" s="784">
        <f>SUM(B613:N613)</f>
        <v>-1792435.826773172</v>
      </c>
    </row>
    <row r="614" spans="1:15" ht="10.5" x14ac:dyDescent="0.25">
      <c r="A614" s="787" t="s">
        <v>217</v>
      </c>
      <c r="B614" s="786">
        <f t="shared" ref="B614:O614" si="72">SUM(B611:B613)</f>
        <v>-1654514.4367745982</v>
      </c>
      <c r="C614" s="786">
        <f t="shared" si="72"/>
        <v>-109986.86707031132</v>
      </c>
      <c r="D614" s="786">
        <f t="shared" si="72"/>
        <v>-36331.592458156993</v>
      </c>
      <c r="E614" s="786">
        <f t="shared" si="72"/>
        <v>-28153.358245873671</v>
      </c>
      <c r="F614" s="786">
        <f t="shared" si="72"/>
        <v>-61844.12233447218</v>
      </c>
      <c r="G614" s="786">
        <f t="shared" si="72"/>
        <v>-58231.065859927498</v>
      </c>
      <c r="H614" s="786">
        <f t="shared" si="72"/>
        <v>-14403.292731029116</v>
      </c>
      <c r="I614" s="786">
        <f t="shared" si="72"/>
        <v>-61383.245207750471</v>
      </c>
      <c r="J614" s="786">
        <f t="shared" si="72"/>
        <v>-16519.797730362585</v>
      </c>
      <c r="K614" s="786">
        <f t="shared" si="72"/>
        <v>-2539.4432359052885</v>
      </c>
      <c r="L614" s="786">
        <f t="shared" si="72"/>
        <v>-11359.908969694099</v>
      </c>
      <c r="M614" s="786">
        <f t="shared" si="72"/>
        <v>-1501670</v>
      </c>
      <c r="N614" s="786">
        <f t="shared" si="72"/>
        <v>0</v>
      </c>
      <c r="O614" s="786">
        <f t="shared" si="72"/>
        <v>-3556937.1306180814</v>
      </c>
    </row>
    <row r="615" spans="1:15" ht="10.5" x14ac:dyDescent="0.25">
      <c r="A615" s="791" t="s">
        <v>4242</v>
      </c>
      <c r="B615" s="786">
        <f t="shared" ref="B615:O615" si="73">SUM(B614)</f>
        <v>-1654514.4367745982</v>
      </c>
      <c r="C615" s="786">
        <f t="shared" si="73"/>
        <v>-109986.86707031132</v>
      </c>
      <c r="D615" s="786">
        <f t="shared" si="73"/>
        <v>-36331.592458156993</v>
      </c>
      <c r="E615" s="786">
        <f t="shared" si="73"/>
        <v>-28153.358245873671</v>
      </c>
      <c r="F615" s="786">
        <f t="shared" si="73"/>
        <v>-61844.12233447218</v>
      </c>
      <c r="G615" s="786">
        <f t="shared" si="73"/>
        <v>-58231.065859927498</v>
      </c>
      <c r="H615" s="786">
        <f t="shared" si="73"/>
        <v>-14403.292731029116</v>
      </c>
      <c r="I615" s="786">
        <f t="shared" si="73"/>
        <v>-61383.245207750471</v>
      </c>
      <c r="J615" s="786">
        <f t="shared" si="73"/>
        <v>-16519.797730362585</v>
      </c>
      <c r="K615" s="786">
        <f t="shared" si="73"/>
        <v>-2539.4432359052885</v>
      </c>
      <c r="L615" s="786">
        <f t="shared" si="73"/>
        <v>-11359.908969694099</v>
      </c>
      <c r="M615" s="786">
        <f t="shared" si="73"/>
        <v>-1501670</v>
      </c>
      <c r="N615" s="786">
        <f t="shared" si="73"/>
        <v>0</v>
      </c>
      <c r="O615" s="786">
        <f t="shared" si="73"/>
        <v>-3556937.1306180814</v>
      </c>
    </row>
    <row r="616" spans="1:15" ht="10.5" x14ac:dyDescent="0.2">
      <c r="A616" s="797" t="s">
        <v>4243</v>
      </c>
      <c r="B616" s="786">
        <f t="shared" ref="B616:O616" si="74">B615</f>
        <v>-1654514.4367745982</v>
      </c>
      <c r="C616" s="786">
        <f t="shared" si="74"/>
        <v>-109986.86707031132</v>
      </c>
      <c r="D616" s="786">
        <f t="shared" si="74"/>
        <v>-36331.592458156993</v>
      </c>
      <c r="E616" s="786">
        <f t="shared" si="74"/>
        <v>-28153.358245873671</v>
      </c>
      <c r="F616" s="786">
        <f t="shared" si="74"/>
        <v>-61844.12233447218</v>
      </c>
      <c r="G616" s="786">
        <f t="shared" si="74"/>
        <v>-58231.065859927498</v>
      </c>
      <c r="H616" s="786">
        <f t="shared" si="74"/>
        <v>-14403.292731029116</v>
      </c>
      <c r="I616" s="786">
        <f t="shared" si="74"/>
        <v>-61383.245207750471</v>
      </c>
      <c r="J616" s="786">
        <f t="shared" si="74"/>
        <v>-16519.797730362585</v>
      </c>
      <c r="K616" s="786">
        <f t="shared" si="74"/>
        <v>-2539.4432359052885</v>
      </c>
      <c r="L616" s="786">
        <f t="shared" si="74"/>
        <v>-11359.908969694099</v>
      </c>
      <c r="M616" s="786">
        <f t="shared" si="74"/>
        <v>-1501670</v>
      </c>
      <c r="N616" s="786">
        <f t="shared" si="74"/>
        <v>0</v>
      </c>
      <c r="O616" s="786">
        <f t="shared" si="74"/>
        <v>-3556937.1306180814</v>
      </c>
    </row>
    <row r="617" spans="1:15" ht="10.5" x14ac:dyDescent="0.2">
      <c r="A617" s="797" t="s">
        <v>527</v>
      </c>
      <c r="B617" s="786">
        <f t="shared" ref="B617:O617" si="75">B583+B606+B615</f>
        <v>8030950.8910128996</v>
      </c>
      <c r="C617" s="786">
        <f t="shared" si="75"/>
        <v>2363588.233377161</v>
      </c>
      <c r="D617" s="786">
        <f t="shared" si="75"/>
        <v>70004.503819829202</v>
      </c>
      <c r="E617" s="786">
        <f t="shared" si="75"/>
        <v>72471.624376801861</v>
      </c>
      <c r="F617" s="786">
        <f t="shared" si="75"/>
        <v>124620.68442806894</v>
      </c>
      <c r="G617" s="786">
        <f t="shared" si="75"/>
        <v>162168.79992049813</v>
      </c>
      <c r="H617" s="786">
        <f t="shared" si="75"/>
        <v>-31976.313380602394</v>
      </c>
      <c r="I617" s="786">
        <f t="shared" si="75"/>
        <v>296677.46437766764</v>
      </c>
      <c r="J617" s="786">
        <f t="shared" si="75"/>
        <v>32571.71695169387</v>
      </c>
      <c r="K617" s="786">
        <f t="shared" si="75"/>
        <v>61304.396931464755</v>
      </c>
      <c r="L617" s="786">
        <f t="shared" si="75"/>
        <v>32384.784208868623</v>
      </c>
      <c r="M617" s="786">
        <f t="shared" si="75"/>
        <v>-1501670</v>
      </c>
      <c r="N617" s="786">
        <f t="shared" si="75"/>
        <v>-7658.4105701927183</v>
      </c>
      <c r="O617" s="786">
        <f t="shared" si="75"/>
        <v>9705438.3754541837</v>
      </c>
    </row>
  </sheetData>
  <mergeCells count="6">
    <mergeCell ref="A6:O6"/>
    <mergeCell ref="A1:O1"/>
    <mergeCell ref="A2:O2"/>
    <mergeCell ref="A3:O3"/>
    <mergeCell ref="A4:O4"/>
    <mergeCell ref="A5:O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3FFFF-B405-4919-BC84-51C38623069F}">
  <sheetPr codeName="Sheet8">
    <tabColor theme="8" tint="0.59999389629810485"/>
    <pageSetUpPr fitToPage="1"/>
  </sheetPr>
  <dimension ref="A1:Z71"/>
  <sheetViews>
    <sheetView zoomScaleNormal="100" workbookViewId="0">
      <selection activeCell="F38" sqref="F38"/>
    </sheetView>
  </sheetViews>
  <sheetFormatPr defaultColWidth="10.6640625" defaultRowHeight="13" outlineLevelRow="2" x14ac:dyDescent="0.3"/>
  <cols>
    <col min="1" max="1" width="53.109375" style="272" bestFit="1" customWidth="1"/>
    <col min="2" max="2" width="12.6640625" style="272" customWidth="1"/>
    <col min="3" max="5" width="20" style="272" customWidth="1"/>
    <col min="6" max="6" width="19.6640625" style="272" customWidth="1"/>
    <col min="7" max="7" width="21.88671875" style="272" customWidth="1"/>
    <col min="8" max="8" width="15.33203125" style="272" bestFit="1" customWidth="1"/>
    <col min="9" max="9" width="20" style="272" customWidth="1"/>
    <col min="10" max="10" width="19.6640625" style="272" customWidth="1"/>
    <col min="11" max="11" width="20" style="272" customWidth="1"/>
    <col min="12" max="12" width="19.6640625" style="272" customWidth="1"/>
    <col min="13" max="13" width="10.6640625" style="272"/>
    <col min="14" max="14" width="10.6640625" style="273"/>
    <col min="15" max="15" width="46" style="272" customWidth="1"/>
    <col min="16" max="16" width="15.6640625" style="272" customWidth="1"/>
    <col min="17" max="17" width="14" style="272" customWidth="1"/>
    <col min="18" max="18" width="13" style="272" customWidth="1"/>
    <col min="19" max="20" width="10.6640625" style="272"/>
    <col min="21" max="21" width="12.33203125" style="272" customWidth="1"/>
    <col min="22" max="22" width="10.6640625" style="272"/>
    <col min="23" max="26" width="13.33203125" style="272" customWidth="1"/>
    <col min="27" max="16384" width="10.6640625" style="272"/>
  </cols>
  <sheetData>
    <row r="1" spans="1:26" x14ac:dyDescent="0.3">
      <c r="A1" s="271" t="s">
        <v>0</v>
      </c>
    </row>
    <row r="2" spans="1:26" x14ac:dyDescent="0.3">
      <c r="A2" s="271" t="s">
        <v>3965</v>
      </c>
      <c r="O2" s="272" t="s">
        <v>3899</v>
      </c>
    </row>
    <row r="3" spans="1:26" x14ac:dyDescent="0.3">
      <c r="A3" s="271" t="s">
        <v>3966</v>
      </c>
      <c r="L3" s="274" t="s">
        <v>3900</v>
      </c>
    </row>
    <row r="4" spans="1:26" ht="17.25" customHeight="1" x14ac:dyDescent="0.3">
      <c r="A4" s="271" t="s">
        <v>3901</v>
      </c>
      <c r="C4" s="275" t="s">
        <v>3902</v>
      </c>
      <c r="D4" s="275" t="s">
        <v>3902</v>
      </c>
      <c r="E4" s="275" t="s">
        <v>3902</v>
      </c>
      <c r="I4" s="813" t="s">
        <v>3903</v>
      </c>
      <c r="J4" s="814"/>
      <c r="K4" s="813" t="s">
        <v>3903</v>
      </c>
      <c r="L4" s="814"/>
      <c r="O4" s="271" t="s">
        <v>3901</v>
      </c>
      <c r="Q4" s="275" t="s">
        <v>3902</v>
      </c>
      <c r="R4" s="275" t="s">
        <v>3902</v>
      </c>
      <c r="W4" s="813" t="s">
        <v>3903</v>
      </c>
      <c r="X4" s="814"/>
      <c r="Y4" s="813" t="s">
        <v>3903</v>
      </c>
      <c r="Z4" s="814"/>
    </row>
    <row r="5" spans="1:26" ht="14.25" customHeight="1" x14ac:dyDescent="0.3">
      <c r="A5" s="276" t="s">
        <v>3904</v>
      </c>
      <c r="C5" s="277" t="s">
        <v>3905</v>
      </c>
      <c r="D5" s="277" t="s">
        <v>3905</v>
      </c>
      <c r="E5" s="277" t="s">
        <v>3905</v>
      </c>
      <c r="I5" s="278" t="s">
        <v>3906</v>
      </c>
      <c r="J5" s="278" t="s">
        <v>3907</v>
      </c>
      <c r="K5" s="278" t="s">
        <v>3906</v>
      </c>
      <c r="L5" s="279" t="s">
        <v>3907</v>
      </c>
      <c r="O5" s="276" t="s">
        <v>3904</v>
      </c>
      <c r="Q5" s="277" t="s">
        <v>3905</v>
      </c>
      <c r="R5" s="277" t="s">
        <v>3905</v>
      </c>
      <c r="W5" s="278" t="s">
        <v>3906</v>
      </c>
      <c r="X5" s="278" t="s">
        <v>3907</v>
      </c>
      <c r="Y5" s="278" t="s">
        <v>3906</v>
      </c>
      <c r="Z5" s="279" t="s">
        <v>3907</v>
      </c>
    </row>
    <row r="6" spans="1:26" x14ac:dyDescent="0.3">
      <c r="C6" s="277" t="s">
        <v>3908</v>
      </c>
      <c r="D6" s="277" t="s">
        <v>3909</v>
      </c>
      <c r="E6" s="277" t="s">
        <v>3910</v>
      </c>
      <c r="I6" s="277" t="s">
        <v>3908</v>
      </c>
      <c r="J6" s="277" t="s">
        <v>3908</v>
      </c>
      <c r="K6" s="277" t="s">
        <v>3909</v>
      </c>
      <c r="L6" s="280" t="s">
        <v>3909</v>
      </c>
      <c r="Q6" s="277" t="s">
        <v>3908</v>
      </c>
      <c r="R6" s="277" t="s">
        <v>3909</v>
      </c>
      <c r="S6" s="277" t="s">
        <v>3910</v>
      </c>
      <c r="W6" s="277" t="s">
        <v>3908</v>
      </c>
      <c r="X6" s="277" t="s">
        <v>3908</v>
      </c>
      <c r="Y6" s="277" t="s">
        <v>3909</v>
      </c>
      <c r="Z6" s="280" t="s">
        <v>3909</v>
      </c>
    </row>
    <row r="7" spans="1:26" x14ac:dyDescent="0.3">
      <c r="A7" s="272" t="s">
        <v>3911</v>
      </c>
      <c r="B7" s="281" t="s">
        <v>3912</v>
      </c>
      <c r="C7" s="282">
        <v>1863557.4424335915</v>
      </c>
      <c r="D7" s="282">
        <v>7047284.5678503159</v>
      </c>
      <c r="E7" s="283"/>
      <c r="F7" s="284"/>
      <c r="L7" s="285"/>
      <c r="O7" s="272" t="s">
        <v>3911</v>
      </c>
      <c r="P7" s="281" t="s">
        <v>3912</v>
      </c>
      <c r="Q7" s="282">
        <v>1863557.4424335915</v>
      </c>
      <c r="R7" s="282">
        <v>7067995.5762157384</v>
      </c>
      <c r="S7" s="283"/>
      <c r="T7" s="284"/>
      <c r="Z7" s="285"/>
    </row>
    <row r="8" spans="1:26" x14ac:dyDescent="0.3">
      <c r="A8" s="272" t="s">
        <v>3913</v>
      </c>
      <c r="B8" s="281" t="s">
        <v>3914</v>
      </c>
      <c r="C8" s="286">
        <v>1294368.564287015</v>
      </c>
      <c r="D8" s="286">
        <v>2188673.3256815686</v>
      </c>
      <c r="E8" s="286"/>
      <c r="F8" s="284"/>
      <c r="I8" s="286"/>
      <c r="J8" s="286"/>
      <c r="K8" s="286"/>
      <c r="L8" s="287"/>
      <c r="O8" s="272" t="s">
        <v>3915</v>
      </c>
      <c r="P8" s="281" t="s">
        <v>3914</v>
      </c>
      <c r="Q8" s="286">
        <v>1294368.564287015</v>
      </c>
      <c r="R8" s="286">
        <v>2209384.3234979743</v>
      </c>
      <c r="S8" s="286"/>
      <c r="T8" s="284"/>
      <c r="W8" s="286"/>
      <c r="X8" s="286"/>
      <c r="Y8" s="286"/>
      <c r="Z8" s="287"/>
    </row>
    <row r="9" spans="1:26" x14ac:dyDescent="0.3">
      <c r="C9" s="275"/>
      <c r="D9" s="275"/>
      <c r="E9" s="275"/>
      <c r="F9" s="284"/>
      <c r="I9" s="275"/>
      <c r="J9" s="275"/>
      <c r="K9" s="275"/>
      <c r="L9" s="288"/>
      <c r="Q9" s="275"/>
      <c r="R9" s="275"/>
      <c r="S9" s="275"/>
      <c r="T9" s="284"/>
      <c r="W9" s="275"/>
      <c r="X9" s="275"/>
      <c r="Y9" s="275"/>
      <c r="Z9" s="288"/>
    </row>
    <row r="10" spans="1:26" x14ac:dyDescent="0.3">
      <c r="A10" s="289" t="s">
        <v>3916</v>
      </c>
      <c r="B10" s="281" t="s">
        <v>3917</v>
      </c>
      <c r="C10" s="283">
        <v>569188.87814657646</v>
      </c>
      <c r="D10" s="283">
        <f>D7-D8</f>
        <v>4858611.2421687469</v>
      </c>
      <c r="E10" s="283">
        <f>E7</f>
        <v>0</v>
      </c>
      <c r="H10" s="281" t="s">
        <v>3914</v>
      </c>
      <c r="I10" s="282">
        <v>-1139600.8008542501</v>
      </c>
      <c r="J10" s="282">
        <v>2433969.3651412651</v>
      </c>
      <c r="K10" s="282">
        <v>2188673.3256815686</v>
      </c>
      <c r="L10" s="290">
        <v>3710868.5026952843</v>
      </c>
      <c r="O10" s="289" t="s">
        <v>3918</v>
      </c>
      <c r="P10" s="281" t="s">
        <v>3917</v>
      </c>
      <c r="Q10" s="283">
        <v>569188.87814657646</v>
      </c>
      <c r="R10" s="283">
        <v>4858611.2527177641</v>
      </c>
      <c r="S10" s="283">
        <v>0</v>
      </c>
      <c r="V10" s="281" t="s">
        <v>3914</v>
      </c>
      <c r="W10" s="282">
        <v>-1139600.8008542501</v>
      </c>
      <c r="X10" s="282">
        <v>2433969.3651412651</v>
      </c>
      <c r="Y10" s="282">
        <v>2209384.3234979743</v>
      </c>
      <c r="Z10" s="290">
        <v>3710868.5026952843</v>
      </c>
    </row>
    <row r="11" spans="1:26" x14ac:dyDescent="0.3">
      <c r="A11" s="289" t="s">
        <v>3919</v>
      </c>
      <c r="B11" s="281" t="s">
        <v>3914</v>
      </c>
      <c r="C11" s="291">
        <v>0.18107020324538403</v>
      </c>
      <c r="D11" s="291">
        <v>0.10778412860267975</v>
      </c>
      <c r="E11" s="292"/>
      <c r="F11" s="293"/>
      <c r="G11" s="294"/>
      <c r="H11" s="281" t="s">
        <v>3914</v>
      </c>
      <c r="I11" s="291">
        <v>-0.14283287544170156</v>
      </c>
      <c r="J11" s="291">
        <v>-7.4410139464675023E-3</v>
      </c>
      <c r="K11" s="291">
        <v>0</v>
      </c>
      <c r="L11" s="295">
        <v>4.82839989121049E-2</v>
      </c>
      <c r="O11" s="289" t="s">
        <v>3919</v>
      </c>
      <c r="P11" s="281" t="s">
        <v>3914</v>
      </c>
      <c r="Q11" s="291">
        <v>0.18107020324538403</v>
      </c>
      <c r="R11" s="291">
        <v>0.10778412860267975</v>
      </c>
      <c r="S11" s="292"/>
      <c r="T11" s="293"/>
      <c r="U11" s="294"/>
      <c r="V11" s="281" t="s">
        <v>3914</v>
      </c>
      <c r="W11" s="291">
        <v>-0.14283287544170156</v>
      </c>
      <c r="X11" s="291">
        <v>-7.4410139464675023E-3</v>
      </c>
      <c r="Y11" s="291">
        <v>-6.8844438018464474E-2</v>
      </c>
      <c r="Z11" s="295">
        <v>4.82839989121049E-2</v>
      </c>
    </row>
    <row r="12" spans="1:26" ht="13.5" customHeight="1" x14ac:dyDescent="0.3">
      <c r="A12" s="296"/>
      <c r="B12" s="281"/>
      <c r="C12" s="275"/>
      <c r="D12" s="275"/>
      <c r="E12" s="275"/>
      <c r="G12" s="275"/>
      <c r="I12" s="275"/>
      <c r="J12" s="275"/>
      <c r="K12" s="275"/>
      <c r="L12" s="288"/>
      <c r="O12" s="296"/>
      <c r="P12" s="281"/>
      <c r="Q12" s="275"/>
      <c r="R12" s="275"/>
      <c r="S12" s="275"/>
      <c r="U12" s="275"/>
      <c r="W12" s="275"/>
      <c r="X12" s="275"/>
      <c r="Y12" s="275"/>
      <c r="Z12" s="288"/>
    </row>
    <row r="13" spans="1:26" ht="13.5" thickBot="1" x14ac:dyDescent="0.35">
      <c r="A13" s="289" t="s">
        <v>3920</v>
      </c>
      <c r="B13" s="281" t="s">
        <v>3921</v>
      </c>
      <c r="C13" s="297">
        <v>103063</v>
      </c>
      <c r="D13" s="297">
        <f>ROUND(D10*D11,0)</f>
        <v>523681</v>
      </c>
      <c r="E13" s="298">
        <f>ROUND(E10*E11,0)</f>
        <v>0</v>
      </c>
      <c r="I13" s="298">
        <v>162772</v>
      </c>
      <c r="J13" s="298">
        <v>-18111</v>
      </c>
      <c r="K13" s="298">
        <f>ROUND(K10*K11,0)</f>
        <v>0</v>
      </c>
      <c r="L13" s="299">
        <f>ROUND(L10*L11,0)</f>
        <v>179176</v>
      </c>
      <c r="O13" s="289" t="s">
        <v>3920</v>
      </c>
      <c r="P13" s="281" t="s">
        <v>3921</v>
      </c>
      <c r="Q13" s="297">
        <v>103063</v>
      </c>
      <c r="R13" s="297">
        <v>523681</v>
      </c>
      <c r="S13" s="298">
        <v>0</v>
      </c>
      <c r="W13" s="298">
        <v>162772</v>
      </c>
      <c r="X13" s="298">
        <v>-18111</v>
      </c>
      <c r="Y13" s="298">
        <v>-152104</v>
      </c>
      <c r="Z13" s="299">
        <v>179176</v>
      </c>
    </row>
    <row r="14" spans="1:26" ht="14.25" customHeight="1" thickTop="1" x14ac:dyDescent="0.3">
      <c r="A14" s="289"/>
      <c r="B14" s="281"/>
      <c r="E14" s="283"/>
      <c r="G14" s="300"/>
      <c r="H14" s="301"/>
      <c r="I14" s="283"/>
      <c r="J14" s="283"/>
      <c r="K14" s="283"/>
      <c r="L14" s="283"/>
      <c r="O14" s="289"/>
      <c r="P14" s="281"/>
      <c r="S14" s="283"/>
      <c r="U14" s="300"/>
      <c r="V14" s="301"/>
      <c r="W14" s="283"/>
      <c r="X14" s="283"/>
      <c r="Y14" s="283"/>
      <c r="Z14" s="283"/>
    </row>
    <row r="15" spans="1:26" x14ac:dyDescent="0.3">
      <c r="A15" s="289" t="s">
        <v>3922</v>
      </c>
      <c r="B15" s="281" t="s">
        <v>3917</v>
      </c>
      <c r="C15" s="283">
        <v>162772</v>
      </c>
      <c r="D15" s="283">
        <f>K13</f>
        <v>0</v>
      </c>
      <c r="E15" s="283"/>
      <c r="G15" s="302" t="s">
        <v>3923</v>
      </c>
      <c r="H15" s="301"/>
      <c r="I15" s="283"/>
      <c r="J15" s="283"/>
      <c r="K15" s="283"/>
      <c r="L15" s="283"/>
      <c r="O15" s="289" t="s">
        <v>3922</v>
      </c>
      <c r="P15" s="281" t="s">
        <v>3917</v>
      </c>
      <c r="Q15" s="283">
        <v>162772</v>
      </c>
      <c r="R15" s="283">
        <v>-152104</v>
      </c>
      <c r="S15" s="283"/>
      <c r="U15" s="300"/>
      <c r="V15" s="301"/>
      <c r="W15" s="283"/>
      <c r="X15" s="283"/>
      <c r="Y15" s="283"/>
      <c r="Z15" s="283"/>
    </row>
    <row r="16" spans="1:26" x14ac:dyDescent="0.3">
      <c r="A16" s="289" t="s">
        <v>3924</v>
      </c>
      <c r="B16" s="281" t="s">
        <v>3917</v>
      </c>
      <c r="C16" s="283">
        <v>-18111</v>
      </c>
      <c r="D16" s="290"/>
      <c r="E16" s="283"/>
      <c r="G16" s="302" t="s">
        <v>3925</v>
      </c>
      <c r="H16" s="301"/>
      <c r="I16" s="283"/>
      <c r="J16" s="283"/>
      <c r="K16" s="283"/>
      <c r="L16" s="283"/>
      <c r="O16" s="289" t="s">
        <v>3924</v>
      </c>
      <c r="P16" s="281" t="s">
        <v>3917</v>
      </c>
      <c r="Q16" s="283">
        <v>-18111</v>
      </c>
      <c r="R16" s="290"/>
      <c r="S16" s="283"/>
      <c r="U16" s="300"/>
      <c r="V16" s="301"/>
      <c r="W16" s="283"/>
      <c r="X16" s="283"/>
      <c r="Y16" s="283"/>
      <c r="Z16" s="283"/>
    </row>
    <row r="17" spans="1:26" x14ac:dyDescent="0.3">
      <c r="A17" s="289"/>
      <c r="B17" s="281"/>
      <c r="C17" s="283"/>
      <c r="D17" s="283"/>
      <c r="E17" s="283"/>
      <c r="G17" s="300"/>
      <c r="H17" s="301"/>
      <c r="I17" s="283"/>
      <c r="J17" s="283"/>
      <c r="K17" s="283"/>
      <c r="L17" s="283"/>
      <c r="O17" s="289"/>
      <c r="P17" s="281"/>
      <c r="Q17" s="283"/>
      <c r="R17" s="283"/>
      <c r="S17" s="283"/>
      <c r="U17" s="300"/>
      <c r="V17" s="301"/>
      <c r="W17" s="283"/>
      <c r="X17" s="283"/>
      <c r="Y17" s="283"/>
      <c r="Z17" s="283"/>
    </row>
    <row r="18" spans="1:26" ht="13.5" thickBot="1" x14ac:dyDescent="0.35">
      <c r="A18" s="289" t="s">
        <v>3926</v>
      </c>
      <c r="B18" s="281" t="s">
        <v>3917</v>
      </c>
      <c r="C18" s="298">
        <v>247724</v>
      </c>
      <c r="D18" s="298">
        <f>SUM(D13:D16)</f>
        <v>523681</v>
      </c>
      <c r="E18" s="275"/>
      <c r="G18" s="303">
        <v>0</v>
      </c>
      <c r="H18" s="301" t="s">
        <v>3927</v>
      </c>
      <c r="I18" s="275"/>
      <c r="J18" s="275"/>
      <c r="K18" s="275"/>
      <c r="L18" s="275"/>
      <c r="O18" s="289" t="s">
        <v>3926</v>
      </c>
      <c r="P18" s="281" t="s">
        <v>3917</v>
      </c>
      <c r="Q18" s="298">
        <v>247724</v>
      </c>
      <c r="R18" s="298">
        <v>371577</v>
      </c>
      <c r="S18" s="275"/>
      <c r="U18" s="303">
        <v>0</v>
      </c>
      <c r="V18" s="301" t="s">
        <v>3927</v>
      </c>
      <c r="W18" s="275"/>
      <c r="X18" s="275"/>
      <c r="Y18" s="275"/>
      <c r="Z18" s="275"/>
    </row>
    <row r="19" spans="1:26" ht="13.5" thickTop="1" x14ac:dyDescent="0.3">
      <c r="A19" s="304" t="s">
        <v>3928</v>
      </c>
      <c r="B19" s="281"/>
      <c r="C19" s="305">
        <f>C18/C7</f>
        <v>0.132930702515132</v>
      </c>
      <c r="D19" s="305">
        <f>D18/D7</f>
        <v>7.4309614569706833E-2</v>
      </c>
      <c r="E19" s="275"/>
      <c r="G19" s="306"/>
      <c r="I19" s="275"/>
      <c r="J19" s="275"/>
      <c r="K19" s="275"/>
      <c r="L19" s="275"/>
      <c r="O19" s="304" t="s">
        <v>3928</v>
      </c>
      <c r="P19" s="281"/>
      <c r="Q19" s="305">
        <v>0.132930702515132</v>
      </c>
      <c r="R19" s="305">
        <v>5.2571764652821887E-2</v>
      </c>
      <c r="S19" s="275"/>
      <c r="U19" s="306"/>
      <c r="W19" s="275"/>
      <c r="X19" s="275"/>
      <c r="Y19" s="275"/>
      <c r="Z19" s="275"/>
    </row>
    <row r="20" spans="1:26" x14ac:dyDescent="0.3">
      <c r="A20" s="307" t="s">
        <v>3929</v>
      </c>
      <c r="B20" s="281"/>
      <c r="C20" s="275"/>
      <c r="D20" s="275"/>
      <c r="E20" s="275"/>
      <c r="G20" s="275"/>
      <c r="H20" s="293"/>
      <c r="I20" s="275"/>
      <c r="J20" s="275"/>
      <c r="K20" s="275"/>
      <c r="L20" s="275"/>
      <c r="O20" s="307" t="s">
        <v>3929</v>
      </c>
      <c r="P20" s="281"/>
      <c r="Q20" s="275"/>
      <c r="R20" s="275"/>
      <c r="S20" s="275"/>
      <c r="U20" s="275"/>
      <c r="V20" s="293"/>
      <c r="W20" s="275"/>
      <c r="X20" s="275"/>
      <c r="Y20" s="275"/>
      <c r="Z20" s="275"/>
    </row>
    <row r="21" spans="1:26" x14ac:dyDescent="0.3">
      <c r="A21" s="289" t="s">
        <v>3930</v>
      </c>
      <c r="B21" s="281" t="s">
        <v>3931</v>
      </c>
      <c r="C21" s="308">
        <v>426.74147481991605</v>
      </c>
      <c r="D21" s="308">
        <f>C21</f>
        <v>426.74147481991605</v>
      </c>
      <c r="E21" s="293">
        <f>D21</f>
        <v>426.74147481991605</v>
      </c>
      <c r="G21" s="275"/>
      <c r="H21" s="293"/>
      <c r="I21" s="275"/>
      <c r="J21" s="275"/>
      <c r="K21" s="275"/>
      <c r="L21" s="275"/>
      <c r="O21" s="289" t="s">
        <v>3930</v>
      </c>
      <c r="P21" s="281" t="s">
        <v>3931</v>
      </c>
      <c r="Q21" s="308">
        <v>426.74147481991605</v>
      </c>
      <c r="R21" s="308">
        <v>426.74147481991605</v>
      </c>
      <c r="S21" s="293"/>
      <c r="U21" s="275"/>
      <c r="V21" s="293"/>
      <c r="W21" s="275"/>
      <c r="X21" s="275"/>
      <c r="Y21" s="275"/>
      <c r="Z21" s="275"/>
    </row>
    <row r="22" spans="1:26" x14ac:dyDescent="0.3">
      <c r="A22" s="289" t="s">
        <v>3932</v>
      </c>
      <c r="B22" s="281" t="s">
        <v>3933</v>
      </c>
      <c r="C22" s="308">
        <v>31305.71</v>
      </c>
      <c r="D22" s="308">
        <f>C22</f>
        <v>31305.71</v>
      </c>
      <c r="E22" s="293">
        <f t="shared" ref="E22:E24" si="0">D22</f>
        <v>31305.71</v>
      </c>
      <c r="G22" s="275"/>
      <c r="H22" s="293"/>
      <c r="I22" s="275"/>
      <c r="J22" s="275"/>
      <c r="K22" s="275"/>
      <c r="L22" s="275"/>
      <c r="O22" s="289" t="s">
        <v>3932</v>
      </c>
      <c r="P22" s="281" t="s">
        <v>3933</v>
      </c>
      <c r="Q22" s="308">
        <v>31305.71</v>
      </c>
      <c r="R22" s="308">
        <v>31305.71</v>
      </c>
      <c r="S22" s="293"/>
      <c r="U22" s="275"/>
      <c r="V22" s="293"/>
      <c r="W22" s="275"/>
      <c r="X22" s="275"/>
      <c r="Y22" s="275"/>
      <c r="Z22" s="275"/>
    </row>
    <row r="23" spans="1:26" x14ac:dyDescent="0.3">
      <c r="A23" s="289" t="s">
        <v>3934</v>
      </c>
      <c r="B23" s="281" t="s">
        <v>3931</v>
      </c>
      <c r="C23" s="308">
        <v>-31122.230262156401</v>
      </c>
      <c r="D23" s="309"/>
      <c r="E23" s="293">
        <f t="shared" si="0"/>
        <v>0</v>
      </c>
      <c r="G23" s="275"/>
      <c r="H23" s="293"/>
      <c r="I23" s="275"/>
      <c r="J23" s="275"/>
      <c r="K23" s="275"/>
      <c r="L23" s="275"/>
      <c r="O23" s="289" t="s">
        <v>3934</v>
      </c>
      <c r="P23" s="281" t="s">
        <v>3931</v>
      </c>
      <c r="Q23" s="308">
        <v>-31122.230262156401</v>
      </c>
      <c r="R23" s="309"/>
      <c r="S23" s="293"/>
      <c r="U23" s="275"/>
      <c r="V23" s="293"/>
      <c r="W23" s="275"/>
      <c r="X23" s="275"/>
      <c r="Y23" s="275"/>
      <c r="Z23" s="275"/>
    </row>
    <row r="24" spans="1:26" x14ac:dyDescent="0.3">
      <c r="A24" s="289" t="s">
        <v>3935</v>
      </c>
      <c r="B24" s="281" t="s">
        <v>3931</v>
      </c>
      <c r="C24" s="308">
        <v>0</v>
      </c>
      <c r="D24" s="308">
        <f>C24</f>
        <v>0</v>
      </c>
      <c r="E24" s="293">
        <f t="shared" si="0"/>
        <v>0</v>
      </c>
      <c r="G24" s="310"/>
      <c r="H24" s="293"/>
      <c r="I24" s="275"/>
      <c r="J24" s="275"/>
      <c r="K24" s="275"/>
      <c r="L24" s="275"/>
      <c r="O24" s="289" t="s">
        <v>3935</v>
      </c>
      <c r="P24" s="281" t="s">
        <v>3931</v>
      </c>
      <c r="Q24" s="308">
        <v>0</v>
      </c>
      <c r="R24" s="308">
        <v>0</v>
      </c>
      <c r="S24" s="293"/>
      <c r="U24" s="310"/>
      <c r="V24" s="293"/>
      <c r="W24" s="275"/>
      <c r="X24" s="275"/>
      <c r="Y24" s="275"/>
      <c r="Z24" s="275"/>
    </row>
    <row r="25" spans="1:26" ht="12.9" customHeight="1" outlineLevel="1" x14ac:dyDescent="0.3">
      <c r="A25" s="289"/>
      <c r="B25" s="281"/>
      <c r="C25" s="275"/>
      <c r="D25" s="275"/>
      <c r="E25" s="293"/>
      <c r="G25" s="310"/>
      <c r="I25" s="275"/>
      <c r="J25" s="275"/>
      <c r="K25" s="275"/>
      <c r="L25" s="275"/>
      <c r="O25" s="289"/>
      <c r="P25" s="281"/>
      <c r="Q25" s="275"/>
      <c r="R25" s="275"/>
      <c r="S25" s="293"/>
      <c r="U25" s="310"/>
      <c r="W25" s="275"/>
      <c r="X25" s="275"/>
      <c r="Y25" s="275"/>
      <c r="Z25" s="275"/>
    </row>
    <row r="26" spans="1:26" ht="12.9" customHeight="1" outlineLevel="1" x14ac:dyDescent="0.3">
      <c r="A26" s="307" t="s">
        <v>3936</v>
      </c>
      <c r="B26" s="281"/>
      <c r="E26" s="293"/>
      <c r="G26" s="310"/>
      <c r="I26" s="275"/>
      <c r="J26" s="275"/>
      <c r="K26" s="275"/>
      <c r="L26" s="275"/>
      <c r="O26" s="307" t="s">
        <v>3936</v>
      </c>
      <c r="P26" s="281"/>
      <c r="S26" s="293"/>
      <c r="U26" s="310"/>
      <c r="W26" s="275"/>
      <c r="X26" s="275"/>
      <c r="Y26" s="275"/>
      <c r="Z26" s="275"/>
    </row>
    <row r="27" spans="1:26" ht="12.9" customHeight="1" outlineLevel="1" x14ac:dyDescent="0.3">
      <c r="A27" s="289" t="s">
        <v>3937</v>
      </c>
      <c r="B27" s="281" t="s">
        <v>3938</v>
      </c>
      <c r="D27" s="308">
        <v>143189.07230614027</v>
      </c>
      <c r="E27" s="293">
        <f>D27</f>
        <v>143189.07230614027</v>
      </c>
      <c r="G27" s="311"/>
      <c r="I27" s="275"/>
      <c r="J27" s="275"/>
      <c r="K27" s="275"/>
      <c r="L27" s="275"/>
      <c r="O27" s="289" t="s">
        <v>3939</v>
      </c>
      <c r="P27" s="281" t="s">
        <v>3938</v>
      </c>
      <c r="R27" s="308"/>
      <c r="S27" s="293"/>
      <c r="U27" s="310"/>
      <c r="W27" s="275"/>
      <c r="X27" s="275"/>
      <c r="Y27" s="275"/>
      <c r="Z27" s="275"/>
    </row>
    <row r="28" spans="1:26" ht="12.9" customHeight="1" outlineLevel="1" x14ac:dyDescent="0.3">
      <c r="A28" s="289" t="s">
        <v>3932</v>
      </c>
      <c r="B28" s="281" t="s">
        <v>3940</v>
      </c>
      <c r="D28" s="308">
        <v>147944.02410588699</v>
      </c>
      <c r="E28" s="293">
        <f t="shared" ref="E28:E37" si="1">D28</f>
        <v>147944.02410588699</v>
      </c>
      <c r="F28" s="293">
        <f>E28+E22</f>
        <v>179249.73410588698</v>
      </c>
      <c r="G28" s="310"/>
      <c r="I28" s="275"/>
      <c r="J28" s="275"/>
      <c r="K28" s="275"/>
      <c r="L28" s="275"/>
      <c r="O28" s="289" t="s">
        <v>3932</v>
      </c>
      <c r="P28" s="281" t="s">
        <v>3940</v>
      </c>
      <c r="R28" s="308">
        <v>147944.02410588699</v>
      </c>
      <c r="S28" s="293"/>
      <c r="U28" s="310"/>
      <c r="W28" s="275"/>
      <c r="X28" s="275"/>
      <c r="Y28" s="275"/>
      <c r="Z28" s="275"/>
    </row>
    <row r="29" spans="1:26" ht="12.9" customHeight="1" outlineLevel="1" x14ac:dyDescent="0.3">
      <c r="A29" s="289" t="s">
        <v>3968</v>
      </c>
      <c r="B29" s="281" t="s">
        <v>3942</v>
      </c>
      <c r="D29" s="308">
        <v>9162.9848639831525</v>
      </c>
      <c r="E29" s="293">
        <f t="shared" si="1"/>
        <v>9162.9848639831525</v>
      </c>
      <c r="G29" s="310"/>
      <c r="I29" s="275"/>
      <c r="J29" s="275"/>
      <c r="K29" s="275"/>
      <c r="L29" s="275"/>
      <c r="O29" s="289" t="s">
        <v>3941</v>
      </c>
      <c r="P29" s="281" t="s">
        <v>3942</v>
      </c>
      <c r="R29" s="308">
        <v>9162.9848639831525</v>
      </c>
      <c r="S29" s="293"/>
      <c r="U29" s="310"/>
      <c r="W29" s="275"/>
      <c r="X29" s="275"/>
      <c r="Y29" s="275"/>
      <c r="Z29" s="275"/>
    </row>
    <row r="30" spans="1:26" ht="12.9" customHeight="1" outlineLevel="1" x14ac:dyDescent="0.3">
      <c r="A30" s="289" t="s">
        <v>3943</v>
      </c>
      <c r="B30" s="281" t="s">
        <v>3942</v>
      </c>
      <c r="D30" s="308">
        <v>-35146.416564457482</v>
      </c>
      <c r="E30" s="293">
        <f t="shared" si="1"/>
        <v>-35146.416564457482</v>
      </c>
      <c r="G30" s="310"/>
      <c r="I30" s="275"/>
      <c r="J30" s="275"/>
      <c r="K30" s="275"/>
      <c r="L30" s="275"/>
      <c r="O30" s="289" t="s">
        <v>3943</v>
      </c>
      <c r="P30" s="281" t="s">
        <v>3942</v>
      </c>
      <c r="R30" s="308">
        <v>-35146.416564457482</v>
      </c>
      <c r="S30" s="293"/>
      <c r="U30" s="310"/>
      <c r="W30" s="275"/>
      <c r="X30" s="275"/>
      <c r="Y30" s="275"/>
      <c r="Z30" s="275"/>
    </row>
    <row r="31" spans="1:26" ht="12.9" customHeight="1" outlineLevel="1" x14ac:dyDescent="0.3">
      <c r="A31" s="289" t="s">
        <v>880</v>
      </c>
      <c r="B31" s="281" t="s">
        <v>3942</v>
      </c>
      <c r="D31" s="308">
        <v>27108.971501999997</v>
      </c>
      <c r="E31" s="293">
        <f t="shared" si="1"/>
        <v>27108.971501999997</v>
      </c>
      <c r="G31" s="310"/>
      <c r="I31" s="275"/>
      <c r="J31" s="275"/>
      <c r="K31" s="275"/>
      <c r="L31" s="275"/>
      <c r="O31" s="289" t="s">
        <v>880</v>
      </c>
      <c r="P31" s="281" t="s">
        <v>3942</v>
      </c>
      <c r="R31" s="308">
        <v>27108.971501999997</v>
      </c>
      <c r="S31" s="293"/>
      <c r="U31" s="310"/>
      <c r="W31" s="275"/>
      <c r="X31" s="275"/>
      <c r="Y31" s="275"/>
      <c r="Z31" s="275"/>
    </row>
    <row r="32" spans="1:26" ht="12.9" customHeight="1" outlineLevel="1" x14ac:dyDescent="0.3">
      <c r="A32" s="289" t="s">
        <v>946</v>
      </c>
      <c r="B32" s="281" t="s">
        <v>3942</v>
      </c>
      <c r="D32" s="308">
        <v>17749.485799999999</v>
      </c>
      <c r="E32" s="293">
        <f t="shared" si="1"/>
        <v>17749.485799999999</v>
      </c>
      <c r="G32" s="310"/>
      <c r="I32" s="275"/>
      <c r="J32" s="275"/>
      <c r="K32" s="275"/>
      <c r="L32" s="275"/>
      <c r="O32" s="289" t="s">
        <v>946</v>
      </c>
      <c r="P32" s="281" t="s">
        <v>3942</v>
      </c>
      <c r="R32" s="308">
        <v>17749.485799999999</v>
      </c>
      <c r="S32" s="293"/>
      <c r="U32" s="310"/>
      <c r="W32" s="275"/>
      <c r="X32" s="275"/>
      <c r="Y32" s="275"/>
      <c r="Z32" s="275"/>
    </row>
    <row r="33" spans="1:26" ht="12.9" customHeight="1" outlineLevel="1" x14ac:dyDescent="0.3">
      <c r="A33" s="289" t="s">
        <v>870</v>
      </c>
      <c r="B33" s="281" t="s">
        <v>3942</v>
      </c>
      <c r="D33" s="308">
        <v>-5782.6888958322679</v>
      </c>
      <c r="E33" s="293">
        <f t="shared" si="1"/>
        <v>-5782.6888958322679</v>
      </c>
      <c r="G33" s="310"/>
      <c r="I33" s="275"/>
      <c r="J33" s="275"/>
      <c r="K33" s="275"/>
      <c r="L33" s="275"/>
      <c r="O33" s="289" t="s">
        <v>870</v>
      </c>
      <c r="P33" s="281" t="s">
        <v>3942</v>
      </c>
      <c r="R33" s="308">
        <v>-5782.6888958322679</v>
      </c>
      <c r="S33" s="293"/>
      <c r="U33" s="310"/>
      <c r="W33" s="275"/>
      <c r="X33" s="275"/>
      <c r="Y33" s="275"/>
      <c r="Z33" s="275"/>
    </row>
    <row r="34" spans="1:26" ht="12.9" customHeight="1" outlineLevel="1" x14ac:dyDescent="0.3">
      <c r="A34" s="289" t="s">
        <v>949</v>
      </c>
      <c r="B34" s="281" t="s">
        <v>3942</v>
      </c>
      <c r="D34" s="308">
        <v>-12553.75792</v>
      </c>
      <c r="E34" s="293">
        <f t="shared" si="1"/>
        <v>-12553.75792</v>
      </c>
      <c r="G34" s="310"/>
      <c r="I34" s="275"/>
      <c r="J34" s="275"/>
      <c r="K34" s="275"/>
      <c r="L34" s="275"/>
      <c r="O34" s="289" t="s">
        <v>949</v>
      </c>
      <c r="P34" s="281" t="s">
        <v>3942</v>
      </c>
      <c r="R34" s="308">
        <v>-12553.75792</v>
      </c>
      <c r="S34" s="293"/>
      <c r="U34" s="310"/>
      <c r="W34" s="275"/>
      <c r="X34" s="275"/>
      <c r="Y34" s="275"/>
      <c r="Z34" s="275"/>
    </row>
    <row r="35" spans="1:26" ht="12.9" customHeight="1" outlineLevel="1" x14ac:dyDescent="0.3">
      <c r="A35" s="289" t="s">
        <v>3789</v>
      </c>
      <c r="B35" s="281" t="s">
        <v>3942</v>
      </c>
      <c r="D35" s="308">
        <v>-63005.497603036085</v>
      </c>
      <c r="E35" s="293">
        <f t="shared" si="1"/>
        <v>-63005.497603036085</v>
      </c>
      <c r="G35" s="310"/>
      <c r="I35" s="275"/>
      <c r="J35" s="275"/>
      <c r="K35" s="275"/>
      <c r="L35" s="275"/>
      <c r="O35" s="289" t="s">
        <v>3789</v>
      </c>
      <c r="P35" s="281" t="s">
        <v>3942</v>
      </c>
      <c r="R35" s="308">
        <v>-63005.497603036085</v>
      </c>
      <c r="S35" s="293"/>
      <c r="U35" s="310"/>
      <c r="W35" s="275"/>
      <c r="X35" s="275"/>
      <c r="Y35" s="275"/>
      <c r="Z35" s="275"/>
    </row>
    <row r="36" spans="1:26" ht="12.9" customHeight="1" outlineLevel="1" x14ac:dyDescent="0.3">
      <c r="A36" s="289"/>
      <c r="B36" s="281"/>
      <c r="D36" s="308"/>
      <c r="E36" s="293">
        <f t="shared" si="1"/>
        <v>0</v>
      </c>
      <c r="G36" s="310"/>
      <c r="I36" s="275"/>
      <c r="J36" s="275"/>
      <c r="K36" s="275"/>
      <c r="L36" s="275"/>
      <c r="O36" s="289"/>
      <c r="P36" s="281"/>
      <c r="R36" s="308"/>
      <c r="S36" s="293"/>
      <c r="U36" s="310"/>
      <c r="W36" s="275"/>
      <c r="X36" s="275"/>
      <c r="Y36" s="275"/>
      <c r="Z36" s="275"/>
    </row>
    <row r="37" spans="1:26" ht="12.9" customHeight="1" outlineLevel="1" x14ac:dyDescent="0.3">
      <c r="A37" s="289" t="s">
        <v>3935</v>
      </c>
      <c r="B37" s="281" t="s">
        <v>3940</v>
      </c>
      <c r="D37" s="308">
        <v>79.312014062172693</v>
      </c>
      <c r="E37" s="293">
        <f t="shared" si="1"/>
        <v>79.312014062172693</v>
      </c>
      <c r="G37" s="310"/>
      <c r="I37" s="275"/>
      <c r="J37" s="275"/>
      <c r="K37" s="275"/>
      <c r="L37" s="275"/>
      <c r="O37" s="289" t="s">
        <v>3935</v>
      </c>
      <c r="P37" s="281" t="s">
        <v>3940</v>
      </c>
      <c r="R37" s="308">
        <v>79.312014062172693</v>
      </c>
      <c r="S37" s="293"/>
      <c r="U37" s="310"/>
      <c r="W37" s="275"/>
      <c r="X37" s="275"/>
      <c r="Y37" s="275"/>
      <c r="Z37" s="275"/>
    </row>
    <row r="38" spans="1:26" ht="12.9" customHeight="1" outlineLevel="1" x14ac:dyDescent="0.3">
      <c r="A38" s="289"/>
      <c r="B38" s="281"/>
      <c r="D38" s="312"/>
      <c r="E38" s="293"/>
      <c r="G38" s="310"/>
      <c r="I38" s="275"/>
      <c r="J38" s="275"/>
      <c r="K38" s="275"/>
      <c r="L38" s="275"/>
      <c r="O38" s="289"/>
      <c r="P38" s="281"/>
      <c r="S38" s="293"/>
      <c r="U38" s="310"/>
      <c r="W38" s="275"/>
      <c r="X38" s="275"/>
      <c r="Y38" s="275"/>
      <c r="Z38" s="275"/>
    </row>
    <row r="39" spans="1:26" ht="12.9" customHeight="1" outlineLevel="1" x14ac:dyDescent="0.3">
      <c r="B39" s="281"/>
      <c r="D39" s="297"/>
      <c r="E39" s="275"/>
      <c r="G39" s="275"/>
      <c r="I39" s="275"/>
      <c r="J39" s="275"/>
      <c r="K39" s="275"/>
      <c r="L39" s="275"/>
      <c r="P39" s="281"/>
      <c r="S39" s="275"/>
      <c r="U39" s="275"/>
      <c r="W39" s="275"/>
      <c r="X39" s="275"/>
      <c r="Y39" s="275"/>
      <c r="Z39" s="275"/>
    </row>
    <row r="40" spans="1:26" ht="12.9" customHeight="1" outlineLevel="2" x14ac:dyDescent="0.3">
      <c r="A40" s="307" t="s">
        <v>3944</v>
      </c>
      <c r="B40" s="281"/>
      <c r="E40" s="275"/>
      <c r="G40" s="275"/>
      <c r="I40" s="275"/>
      <c r="J40" s="275"/>
      <c r="K40" s="275"/>
      <c r="L40" s="275"/>
      <c r="O40" s="307" t="s">
        <v>3944</v>
      </c>
      <c r="P40" s="281"/>
      <c r="S40" s="275"/>
      <c r="U40" s="275"/>
      <c r="W40" s="275"/>
      <c r="X40" s="275"/>
      <c r="Y40" s="275"/>
      <c r="Z40" s="275"/>
    </row>
    <row r="41" spans="1:26" ht="12.9" customHeight="1" outlineLevel="2" x14ac:dyDescent="0.3">
      <c r="A41" s="289" t="s">
        <v>3967</v>
      </c>
      <c r="B41" s="281" t="s">
        <v>3938</v>
      </c>
      <c r="E41" s="313" t="e">
        <f>GL_PL!#REF!+GL_PL!#REF!</f>
        <v>#REF!</v>
      </c>
      <c r="I41" s="275"/>
      <c r="J41" s="275"/>
      <c r="K41" s="275"/>
      <c r="L41" s="275"/>
      <c r="O41" s="289" t="s">
        <v>3939</v>
      </c>
      <c r="P41" s="281" t="s">
        <v>3938</v>
      </c>
      <c r="S41" s="313"/>
      <c r="U41" s="275"/>
      <c r="W41" s="275"/>
      <c r="X41" s="275"/>
      <c r="Y41" s="275"/>
      <c r="Z41" s="275"/>
    </row>
    <row r="42" spans="1:26" ht="12.9" customHeight="1" outlineLevel="2" x14ac:dyDescent="0.3">
      <c r="A42" s="289" t="s">
        <v>3932</v>
      </c>
      <c r="B42" s="281" t="s">
        <v>3931</v>
      </c>
      <c r="E42" s="313" t="e">
        <f>SUMIFS(GL_PL!$G$5:$G$6,GL_PL!$Q$5:$Q$6,"201",GL_PL!#REF!,"Wht",GL_PL!#REF!,"Q3")</f>
        <v>#REF!</v>
      </c>
      <c r="F42" s="293" t="e">
        <f>E42+F28</f>
        <v>#REF!</v>
      </c>
      <c r="G42" s="443" t="e">
        <f>-'IS_Q2 24'!#REF!=F42</f>
        <v>#REF!</v>
      </c>
      <c r="H42" s="294"/>
      <c r="I42" s="275"/>
      <c r="J42" s="275"/>
      <c r="K42" s="275"/>
      <c r="L42" s="275"/>
      <c r="O42" s="289" t="s">
        <v>3945</v>
      </c>
      <c r="P42" s="281" t="s">
        <v>3931</v>
      </c>
      <c r="S42" s="313"/>
      <c r="U42" s="275"/>
      <c r="W42" s="275"/>
      <c r="X42" s="275"/>
      <c r="Y42" s="275"/>
      <c r="Z42" s="275"/>
    </row>
    <row r="43" spans="1:26" ht="12.9" customHeight="1" outlineLevel="2" x14ac:dyDescent="0.3">
      <c r="A43" s="289" t="s">
        <v>4135</v>
      </c>
      <c r="B43" s="281" t="s">
        <v>3931</v>
      </c>
      <c r="E43" s="313" t="e">
        <f>GL_PL!#REF!</f>
        <v>#REF!</v>
      </c>
      <c r="G43" s="275"/>
      <c r="I43" s="275"/>
      <c r="J43" s="275"/>
      <c r="K43" s="275"/>
      <c r="L43" s="275"/>
      <c r="O43" s="289" t="s">
        <v>3946</v>
      </c>
      <c r="P43" s="281" t="s">
        <v>3931</v>
      </c>
      <c r="S43" s="313"/>
      <c r="U43" s="275"/>
      <c r="W43" s="275"/>
      <c r="X43" s="275"/>
      <c r="Y43" s="275"/>
      <c r="Z43" s="275"/>
    </row>
    <row r="44" spans="1:26" ht="12.9" customHeight="1" outlineLevel="2" x14ac:dyDescent="0.3">
      <c r="A44" s="289" t="s">
        <v>4136</v>
      </c>
      <c r="B44" s="281" t="s">
        <v>3948</v>
      </c>
      <c r="E44" s="313" t="e">
        <f>'Singapore RTP'!W44</f>
        <v>#REF!</v>
      </c>
      <c r="G44" s="275"/>
      <c r="I44" s="275"/>
      <c r="J44" s="275"/>
      <c r="K44" s="275"/>
      <c r="L44" s="275"/>
      <c r="O44" s="289" t="s">
        <v>3947</v>
      </c>
      <c r="P44" s="281" t="s">
        <v>3948</v>
      </c>
      <c r="S44" s="313"/>
      <c r="U44" s="275"/>
      <c r="W44" s="275"/>
      <c r="X44" s="275"/>
      <c r="Y44" s="275"/>
      <c r="Z44" s="275"/>
    </row>
    <row r="45" spans="1:26" ht="12.9" customHeight="1" outlineLevel="2" x14ac:dyDescent="0.3">
      <c r="A45" s="289" t="s">
        <v>4137</v>
      </c>
      <c r="B45" s="281" t="s">
        <v>3931</v>
      </c>
      <c r="E45" s="313">
        <f>'Canada Tax Payable'!K96</f>
        <v>43159.44</v>
      </c>
      <c r="G45" s="275"/>
      <c r="I45" s="275"/>
      <c r="J45" s="275"/>
      <c r="K45" s="275"/>
      <c r="L45" s="275"/>
      <c r="O45" s="289" t="s">
        <v>3935</v>
      </c>
      <c r="P45" s="281" t="s">
        <v>3931</v>
      </c>
      <c r="S45" s="313"/>
      <c r="U45" s="275"/>
      <c r="W45" s="275"/>
      <c r="X45" s="275"/>
      <c r="Y45" s="275"/>
      <c r="Z45" s="275"/>
    </row>
    <row r="46" spans="1:26" ht="12.9" customHeight="1" outlineLevel="2" x14ac:dyDescent="0.3">
      <c r="A46" s="289"/>
      <c r="B46" s="281" t="s">
        <v>3949</v>
      </c>
      <c r="E46" s="313"/>
      <c r="G46" s="275"/>
      <c r="I46" s="275"/>
      <c r="J46" s="275"/>
      <c r="K46" s="275"/>
      <c r="L46" s="275"/>
      <c r="O46" s="289"/>
      <c r="P46" s="281" t="s">
        <v>3949</v>
      </c>
      <c r="S46" s="313"/>
      <c r="U46" s="275"/>
      <c r="W46" s="275"/>
      <c r="X46" s="275"/>
      <c r="Y46" s="275"/>
      <c r="Z46" s="275"/>
    </row>
    <row r="47" spans="1:26" ht="12.9" customHeight="1" outlineLevel="1" x14ac:dyDescent="0.3">
      <c r="B47" s="281"/>
      <c r="E47" s="275"/>
      <c r="G47" s="275"/>
      <c r="I47" s="275"/>
      <c r="J47" s="275"/>
      <c r="K47" s="275"/>
      <c r="L47" s="275"/>
      <c r="P47" s="281"/>
      <c r="S47" s="275"/>
      <c r="U47" s="275"/>
      <c r="W47" s="275"/>
      <c r="X47" s="275"/>
      <c r="Y47" s="275"/>
      <c r="Z47" s="275"/>
    </row>
    <row r="48" spans="1:26" ht="13.5" thickBot="1" x14ac:dyDescent="0.35">
      <c r="A48" s="314" t="s">
        <v>3950</v>
      </c>
      <c r="B48" s="281"/>
      <c r="C48" s="315">
        <v>248334.22121266351</v>
      </c>
      <c r="D48" s="315">
        <f>SUM(D18:D47)</f>
        <v>784159.01539318101</v>
      </c>
      <c r="E48" s="315" t="e">
        <f>SUM(E13:E47)</f>
        <v>#REF!</v>
      </c>
      <c r="G48" s="316"/>
      <c r="H48" s="301"/>
      <c r="I48" s="310"/>
      <c r="J48" s="275"/>
      <c r="K48" s="310"/>
      <c r="L48" s="275"/>
      <c r="O48" s="314" t="s">
        <v>3950</v>
      </c>
      <c r="P48" s="281"/>
      <c r="Q48" s="315">
        <v>248334.22121266351</v>
      </c>
      <c r="R48" s="315">
        <v>488865.92134919111</v>
      </c>
      <c r="S48" s="315">
        <v>0</v>
      </c>
      <c r="U48" s="316">
        <v>-5.2571764856111258E-2</v>
      </c>
      <c r="V48" s="301" t="s">
        <v>3927</v>
      </c>
      <c r="W48" s="310"/>
      <c r="X48" s="275"/>
      <c r="Y48" s="310"/>
      <c r="Z48" s="275"/>
    </row>
    <row r="49" spans="1:26" ht="13.5" thickTop="1" x14ac:dyDescent="0.3">
      <c r="A49" s="314"/>
      <c r="B49" s="281"/>
      <c r="C49" s="281"/>
      <c r="D49" s="281"/>
      <c r="I49" s="275"/>
      <c r="J49" s="317"/>
      <c r="K49" s="317"/>
      <c r="L49" s="275"/>
      <c r="O49" s="314"/>
      <c r="P49" s="281"/>
      <c r="Q49" s="281"/>
      <c r="R49" s="281"/>
      <c r="W49" s="275"/>
      <c r="X49" s="275"/>
      <c r="Y49" s="275"/>
      <c r="Z49" s="275"/>
    </row>
    <row r="50" spans="1:26" x14ac:dyDescent="0.3">
      <c r="A50" s="318" t="s">
        <v>3951</v>
      </c>
      <c r="B50" s="319"/>
      <c r="C50" s="319"/>
      <c r="D50" s="319"/>
      <c r="E50" s="320"/>
      <c r="F50" s="320"/>
      <c r="I50" s="275"/>
      <c r="J50" s="275"/>
      <c r="K50" s="275"/>
      <c r="L50" s="275"/>
      <c r="O50" s="318" t="s">
        <v>3951</v>
      </c>
      <c r="P50" s="319"/>
      <c r="Q50" s="319"/>
      <c r="R50" s="319"/>
      <c r="S50" s="320"/>
      <c r="T50" s="320"/>
      <c r="W50" s="275"/>
      <c r="X50" s="275"/>
      <c r="Y50" s="275"/>
      <c r="Z50" s="275"/>
    </row>
    <row r="51" spans="1:26" x14ac:dyDescent="0.3">
      <c r="I51" s="275"/>
      <c r="J51" s="275"/>
      <c r="K51" s="275"/>
      <c r="L51" s="275"/>
      <c r="W51" s="275"/>
      <c r="X51" s="275"/>
      <c r="Y51" s="275"/>
      <c r="Z51" s="275"/>
    </row>
    <row r="52" spans="1:26" x14ac:dyDescent="0.3">
      <c r="C52" s="277" t="str">
        <f>C6</f>
        <v>Q1</v>
      </c>
      <c r="D52" s="277" t="str">
        <f>D6</f>
        <v>Q2</v>
      </c>
      <c r="E52" s="321" t="s">
        <v>3910</v>
      </c>
      <c r="F52" s="321" t="s">
        <v>3952</v>
      </c>
      <c r="G52" s="321" t="s">
        <v>3902</v>
      </c>
      <c r="H52" s="322" t="s">
        <v>3927</v>
      </c>
      <c r="I52" s="322" t="s">
        <v>3927</v>
      </c>
      <c r="J52" s="275"/>
      <c r="K52" s="275"/>
      <c r="L52" s="275"/>
      <c r="Q52" s="277" t="s">
        <v>3908</v>
      </c>
      <c r="R52" s="277" t="s">
        <v>3909</v>
      </c>
      <c r="S52" s="321" t="s">
        <v>3910</v>
      </c>
      <c r="T52" s="321" t="s">
        <v>3952</v>
      </c>
      <c r="U52" s="321" t="s">
        <v>3902</v>
      </c>
      <c r="V52" s="322" t="s">
        <v>3927</v>
      </c>
      <c r="W52" s="322" t="s">
        <v>3927</v>
      </c>
      <c r="X52" s="275"/>
      <c r="Y52" s="275"/>
      <c r="Z52" s="275"/>
    </row>
    <row r="53" spans="1:26" x14ac:dyDescent="0.3">
      <c r="A53" s="314" t="s">
        <v>3953</v>
      </c>
      <c r="B53" s="281" t="s">
        <v>3921</v>
      </c>
      <c r="C53" s="293">
        <v>247724</v>
      </c>
      <c r="D53" s="293">
        <f>G53-C53</f>
        <v>275957</v>
      </c>
      <c r="E53" s="323"/>
      <c r="F53" s="323"/>
      <c r="G53" s="293">
        <f>+D18</f>
        <v>523681</v>
      </c>
      <c r="H53" s="324">
        <f>SUM(D18)-G53</f>
        <v>0</v>
      </c>
      <c r="I53" s="325">
        <f>SUM(C53:F53)-G53</f>
        <v>0</v>
      </c>
      <c r="J53" s="275"/>
      <c r="K53" s="275"/>
      <c r="L53" s="275"/>
      <c r="O53" s="314" t="s">
        <v>3953</v>
      </c>
      <c r="P53" s="281" t="s">
        <v>3921</v>
      </c>
      <c r="Q53" s="293">
        <v>247724</v>
      </c>
      <c r="R53" s="293">
        <v>123853</v>
      </c>
      <c r="S53" s="323"/>
      <c r="T53" s="323"/>
      <c r="U53" s="293">
        <v>371577</v>
      </c>
      <c r="V53" s="324">
        <v>0</v>
      </c>
      <c r="W53" s="325">
        <v>0</v>
      </c>
      <c r="X53" s="275"/>
      <c r="Y53" s="275"/>
      <c r="Z53" s="275"/>
    </row>
    <row r="54" spans="1:26" x14ac:dyDescent="0.3">
      <c r="A54" s="314" t="s">
        <v>3954</v>
      </c>
      <c r="B54" s="281" t="s">
        <v>3955</v>
      </c>
      <c r="C54" s="293">
        <v>610.22121266351314</v>
      </c>
      <c r="D54" s="293">
        <f>G54-C54</f>
        <v>259867.71987090318</v>
      </c>
      <c r="E54" s="323"/>
      <c r="F54" s="323"/>
      <c r="G54" s="326">
        <f>SUM(D21:D47)</f>
        <v>260477.94108356669</v>
      </c>
      <c r="H54" s="324">
        <f>SUM(D21:D46)-G54</f>
        <v>0</v>
      </c>
      <c r="I54" s="325">
        <f>SUM(C54:F54)-G54</f>
        <v>0</v>
      </c>
      <c r="O54" s="314" t="s">
        <v>3954</v>
      </c>
      <c r="P54" s="281" t="s">
        <v>3955</v>
      </c>
      <c r="Q54" s="293">
        <v>610.22121266351314</v>
      </c>
      <c r="R54" s="293">
        <v>116678.64756476284</v>
      </c>
      <c r="S54" s="323"/>
      <c r="T54" s="323"/>
      <c r="U54" s="326">
        <v>117288.86877742635</v>
      </c>
      <c r="V54" s="324">
        <v>0</v>
      </c>
      <c r="W54" s="325">
        <v>0</v>
      </c>
    </row>
    <row r="55" spans="1:26" x14ac:dyDescent="0.3">
      <c r="A55" s="314" t="s">
        <v>3956</v>
      </c>
      <c r="B55" s="281" t="s">
        <v>3917</v>
      </c>
      <c r="C55" s="327">
        <v>248334.22121266351</v>
      </c>
      <c r="D55" s="327">
        <f>SUM(D53:D54)</f>
        <v>535824.71987090318</v>
      </c>
      <c r="E55" s="328">
        <f>SUM(E53:E54)</f>
        <v>0</v>
      </c>
      <c r="F55" s="328">
        <f>SUM(F53:F54)</f>
        <v>0</v>
      </c>
      <c r="G55" s="293">
        <f>SUM(G53:G54)</f>
        <v>784158.94108356675</v>
      </c>
      <c r="H55" s="324">
        <f>+G55-D48</f>
        <v>-7.4309614254161716E-2</v>
      </c>
      <c r="I55" s="325">
        <f>SUM(C55:F55)-G55</f>
        <v>0</v>
      </c>
      <c r="O55" s="314" t="s">
        <v>3956</v>
      </c>
      <c r="P55" s="281" t="s">
        <v>3917</v>
      </c>
      <c r="Q55" s="327">
        <v>248334.22121266351</v>
      </c>
      <c r="R55" s="327">
        <v>240531.64756476285</v>
      </c>
      <c r="S55" s="328">
        <v>0</v>
      </c>
      <c r="T55" s="328">
        <v>0</v>
      </c>
      <c r="U55" s="293">
        <v>488865.86877742637</v>
      </c>
      <c r="V55" s="324">
        <v>-5.2571764739695936E-2</v>
      </c>
      <c r="W55" s="325">
        <v>0</v>
      </c>
    </row>
    <row r="56" spans="1:26" x14ac:dyDescent="0.3">
      <c r="A56" s="314"/>
      <c r="B56" s="281"/>
      <c r="C56" s="293"/>
      <c r="D56" s="293"/>
      <c r="E56" s="323"/>
      <c r="F56" s="323"/>
      <c r="G56" s="293"/>
      <c r="H56" s="329"/>
      <c r="I56" s="325"/>
      <c r="O56" s="314"/>
      <c r="P56" s="281"/>
      <c r="Q56" s="293"/>
      <c r="R56" s="293"/>
      <c r="S56" s="323"/>
      <c r="T56" s="323"/>
      <c r="U56" s="293"/>
      <c r="V56" s="329"/>
      <c r="W56" s="325"/>
    </row>
    <row r="57" spans="1:26" x14ac:dyDescent="0.3">
      <c r="A57" s="314" t="s">
        <v>3957</v>
      </c>
      <c r="B57" s="281" t="s">
        <v>3955</v>
      </c>
      <c r="C57" s="293">
        <v>1863557.4424335915</v>
      </c>
      <c r="D57" s="293">
        <f>G57-C57</f>
        <v>5183727.125416724</v>
      </c>
      <c r="E57" s="323"/>
      <c r="F57" s="323"/>
      <c r="G57" s="293">
        <f>D7</f>
        <v>7047284.5678503159</v>
      </c>
      <c r="H57" s="330"/>
      <c r="I57" s="325">
        <f>SUM(C57:F57)-G57</f>
        <v>0</v>
      </c>
      <c r="O57" s="314" t="s">
        <v>3957</v>
      </c>
      <c r="P57" s="281" t="s">
        <v>3955</v>
      </c>
      <c r="Q57" s="293">
        <v>1863557.4424335915</v>
      </c>
      <c r="R57" s="293">
        <v>5204438.1337821465</v>
      </c>
      <c r="S57" s="323"/>
      <c r="T57" s="323"/>
      <c r="U57" s="293">
        <v>7067995.5762157384</v>
      </c>
      <c r="V57" s="330"/>
      <c r="W57" s="325">
        <v>0</v>
      </c>
    </row>
    <row r="58" spans="1:26" x14ac:dyDescent="0.3">
      <c r="A58" s="289" t="s">
        <v>3958</v>
      </c>
      <c r="B58" s="281" t="s">
        <v>3912</v>
      </c>
      <c r="C58" s="331">
        <v>0</v>
      </c>
      <c r="D58" s="331">
        <v>0</v>
      </c>
      <c r="E58" s="323"/>
      <c r="F58" s="323"/>
      <c r="G58" s="326">
        <f>SUM(C58:F58)</f>
        <v>0</v>
      </c>
      <c r="H58" s="330"/>
      <c r="I58" s="325">
        <f>SUM(C58:F58)-G58</f>
        <v>0</v>
      </c>
      <c r="O58" s="289" t="s">
        <v>3958</v>
      </c>
      <c r="P58" s="281" t="s">
        <v>3912</v>
      </c>
      <c r="Q58" s="331">
        <v>0</v>
      </c>
      <c r="R58" s="331">
        <v>0</v>
      </c>
      <c r="S58" s="323"/>
      <c r="T58" s="323"/>
      <c r="U58" s="326">
        <v>0</v>
      </c>
      <c r="V58" s="330"/>
      <c r="W58" s="325">
        <v>0</v>
      </c>
    </row>
    <row r="59" spans="1:26" x14ac:dyDescent="0.3">
      <c r="A59" s="314" t="s">
        <v>3959</v>
      </c>
      <c r="B59" s="281"/>
      <c r="C59" s="327">
        <v>1863557.4424335915</v>
      </c>
      <c r="D59" s="327">
        <f>SUM(D57:D58)</f>
        <v>5183727.125416724</v>
      </c>
      <c r="E59" s="328">
        <f>SUM(E57:E58)</f>
        <v>0</v>
      </c>
      <c r="F59" s="328">
        <f>SUM(F57:F58)</f>
        <v>0</v>
      </c>
      <c r="G59" s="293">
        <f>SUM(G57:G58)</f>
        <v>7047284.5678503159</v>
      </c>
      <c r="H59" s="330">
        <v>0</v>
      </c>
      <c r="I59" s="325">
        <f>SUM(C59:F59)-G59</f>
        <v>0</v>
      </c>
      <c r="O59" s="314" t="s">
        <v>3959</v>
      </c>
      <c r="P59" s="281"/>
      <c r="Q59" s="327">
        <v>1863557.4424335915</v>
      </c>
      <c r="R59" s="327">
        <v>5204438.1337821465</v>
      </c>
      <c r="S59" s="328">
        <v>0</v>
      </c>
      <c r="T59" s="328">
        <v>0</v>
      </c>
      <c r="U59" s="293">
        <v>7067995.5762157384</v>
      </c>
      <c r="V59" s="330">
        <v>0</v>
      </c>
      <c r="W59" s="325">
        <v>0</v>
      </c>
    </row>
    <row r="60" spans="1:26" x14ac:dyDescent="0.3">
      <c r="A60" s="332"/>
      <c r="C60" s="293"/>
      <c r="D60" s="293"/>
      <c r="E60" s="323"/>
      <c r="F60" s="323"/>
      <c r="G60" s="293"/>
      <c r="I60" s="325"/>
      <c r="O60" s="332"/>
      <c r="Q60" s="293"/>
      <c r="R60" s="293"/>
      <c r="S60" s="323"/>
      <c r="T60" s="323"/>
      <c r="U60" s="293"/>
      <c r="W60" s="325"/>
    </row>
    <row r="61" spans="1:26" ht="13.5" thickBot="1" x14ac:dyDescent="0.35">
      <c r="A61" s="272" t="s">
        <v>3960</v>
      </c>
      <c r="B61" s="281" t="s">
        <v>3917</v>
      </c>
      <c r="C61" s="333">
        <v>0.13325815215460576</v>
      </c>
      <c r="D61" s="333">
        <f>IFERROR(D55/D59,0)</f>
        <v>0.10336669097485099</v>
      </c>
      <c r="E61" s="334">
        <f>IFERROR(E55/E59,0)</f>
        <v>0</v>
      </c>
      <c r="F61" s="334">
        <f>IFERROR(F55/F59,0)</f>
        <v>0</v>
      </c>
      <c r="G61" s="333">
        <f>IFERROR(G55/G59,0)</f>
        <v>0.1112710766159347</v>
      </c>
      <c r="I61" s="325">
        <f>SUM(C61:F61)-G61</f>
        <v>0.12535376651352204</v>
      </c>
      <c r="O61" s="272" t="s">
        <v>3960</v>
      </c>
      <c r="P61" s="281" t="s">
        <v>3917</v>
      </c>
      <c r="Q61" s="333">
        <v>0.13325815215460576</v>
      </c>
      <c r="R61" s="333">
        <v>4.6216640755793702E-2</v>
      </c>
      <c r="S61" s="334">
        <v>0</v>
      </c>
      <c r="T61" s="334">
        <v>0</v>
      </c>
      <c r="U61" s="333">
        <v>6.9166125460306108E-2</v>
      </c>
      <c r="W61" s="325">
        <v>0.11030866745009336</v>
      </c>
    </row>
    <row r="62" spans="1:26" ht="13.5" thickTop="1" x14ac:dyDescent="0.3"/>
    <row r="63" spans="1:26" x14ac:dyDescent="0.3">
      <c r="A63" s="335"/>
      <c r="D63" s="293"/>
    </row>
    <row r="64" spans="1:26" x14ac:dyDescent="0.3">
      <c r="D64" s="336" t="s">
        <v>3961</v>
      </c>
      <c r="G64" s="293">
        <f>G55</f>
        <v>784158.94108356675</v>
      </c>
    </row>
    <row r="65" spans="3:10" ht="14.5" x14ac:dyDescent="0.35">
      <c r="D65" s="337" t="s">
        <v>3962</v>
      </c>
      <c r="G65" s="338">
        <v>653611.06481226417</v>
      </c>
      <c r="H65" s="339"/>
      <c r="I65" s="293"/>
      <c r="J65" s="293"/>
    </row>
    <row r="66" spans="3:10" x14ac:dyDescent="0.3">
      <c r="C66" s="340"/>
      <c r="D66" s="341" t="s">
        <v>3963</v>
      </c>
      <c r="E66" s="340"/>
      <c r="F66" s="340"/>
      <c r="G66" s="342">
        <f>G64-G65</f>
        <v>130547.87627130258</v>
      </c>
      <c r="H66" s="272" t="s">
        <v>3866</v>
      </c>
    </row>
    <row r="68" spans="3:10" x14ac:dyDescent="0.3">
      <c r="G68" s="297"/>
    </row>
    <row r="69" spans="3:10" x14ac:dyDescent="0.3">
      <c r="D69" s="336" t="s">
        <v>3961</v>
      </c>
      <c r="G69" s="293">
        <f>$G$64</f>
        <v>784158.94108356675</v>
      </c>
    </row>
    <row r="70" spans="3:10" x14ac:dyDescent="0.3">
      <c r="D70" s="337" t="s">
        <v>3964</v>
      </c>
      <c r="G70" s="297">
        <v>784159.06481226417</v>
      </c>
    </row>
    <row r="71" spans="3:10" x14ac:dyDescent="0.3">
      <c r="G71" s="293">
        <f>G69-G70</f>
        <v>-0.12372869742102921</v>
      </c>
    </row>
  </sheetData>
  <mergeCells count="4">
    <mergeCell ref="I4:J4"/>
    <mergeCell ref="K4:L4"/>
    <mergeCell ref="W4:X4"/>
    <mergeCell ref="Y4:Z4"/>
  </mergeCells>
  <hyperlinks>
    <hyperlink ref="A5" location="Index!A1" display="Return to Index" xr:uid="{07715844-259A-4BCC-A241-93BA50C72603}"/>
  </hyperlinks>
  <pageMargins left="0.57999999999999996" right="0.25" top="1" bottom="1" header="0.5" footer="0.5"/>
  <pageSetup scale="26" orientation="portrait" r:id="rId1"/>
  <headerFooter scaleWithDoc="0">
    <oddFooter>&amp;L&amp;F&amp;R&amp;A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FF305-1396-4B02-8A7E-984D1C04E878}">
  <sheetPr codeName="Sheet9">
    <tabColor theme="7" tint="0.79998168889431442"/>
  </sheetPr>
  <dimension ref="A1:N62"/>
  <sheetViews>
    <sheetView zoomScale="90" zoomScaleNormal="90" workbookViewId="0">
      <selection activeCell="A47" sqref="A47"/>
    </sheetView>
  </sheetViews>
  <sheetFormatPr defaultColWidth="10.33203125" defaultRowHeight="14.5" x14ac:dyDescent="0.35"/>
  <cols>
    <col min="1" max="1" width="89" style="492" bestFit="1" customWidth="1"/>
    <col min="2" max="2" width="16.109375" style="492" customWidth="1"/>
    <col min="3" max="3" width="13.44140625" style="492" bestFit="1" customWidth="1"/>
    <col min="4" max="13" width="10.33203125" style="462"/>
    <col min="14" max="14" width="17.33203125" style="462" bestFit="1" customWidth="1"/>
    <col min="15" max="16384" width="10.33203125" style="462"/>
  </cols>
  <sheetData>
    <row r="1" spans="1:4" ht="15" thickBot="1" x14ac:dyDescent="0.4">
      <c r="A1" s="459"/>
      <c r="B1" s="460" t="s">
        <v>4138</v>
      </c>
      <c r="C1" s="461" t="s">
        <v>3790</v>
      </c>
    </row>
    <row r="2" spans="1:4" x14ac:dyDescent="0.35">
      <c r="A2" s="459"/>
      <c r="B2" s="460"/>
      <c r="C2" s="463"/>
    </row>
    <row r="3" spans="1:4" x14ac:dyDescent="0.35">
      <c r="A3" s="464"/>
      <c r="B3" s="460"/>
      <c r="C3" s="463"/>
    </row>
    <row r="4" spans="1:4" x14ac:dyDescent="0.35">
      <c r="A4" s="464" t="s">
        <v>4191</v>
      </c>
      <c r="B4" s="465" t="s">
        <v>4139</v>
      </c>
      <c r="C4" s="493">
        <v>1000000</v>
      </c>
      <c r="D4" s="462" t="s">
        <v>3887</v>
      </c>
    </row>
    <row r="5" spans="1:4" x14ac:dyDescent="0.35">
      <c r="A5" s="464" t="s">
        <v>4140</v>
      </c>
      <c r="B5" s="465"/>
      <c r="C5" s="466" t="e">
        <f>'IS_Q2 24'!#REF!+'IS_Q2 24'!#REF!</f>
        <v>#REF!</v>
      </c>
    </row>
    <row r="6" spans="1:4" x14ac:dyDescent="0.35">
      <c r="A6" s="464" t="s">
        <v>4192</v>
      </c>
      <c r="B6" s="465"/>
      <c r="C6" s="466" t="e">
        <f>'IS_Q2 24'!#REF!+'IS_Q2 24'!#REF!+'IS_Q2 24'!#REF!+'IS_Q2 24'!#REF!</f>
        <v>#REF!</v>
      </c>
    </row>
    <row r="7" spans="1:4" x14ac:dyDescent="0.35">
      <c r="A7" s="464"/>
      <c r="B7" s="465"/>
      <c r="C7" s="466"/>
    </row>
    <row r="8" spans="1:4" x14ac:dyDescent="0.35">
      <c r="A8" s="464"/>
      <c r="B8" s="465"/>
      <c r="C8" s="466"/>
    </row>
    <row r="9" spans="1:4" x14ac:dyDescent="0.35">
      <c r="A9" s="464" t="s">
        <v>4141</v>
      </c>
      <c r="B9" s="465" t="s">
        <v>961</v>
      </c>
      <c r="C9" s="466" t="e">
        <f>SUM(C4:C8)</f>
        <v>#REF!</v>
      </c>
    </row>
    <row r="10" spans="1:4" x14ac:dyDescent="0.35">
      <c r="A10" s="464"/>
      <c r="B10" s="465"/>
      <c r="C10" s="466"/>
    </row>
    <row r="11" spans="1:4" x14ac:dyDescent="0.35">
      <c r="A11" s="464"/>
      <c r="B11" s="465" t="s">
        <v>243</v>
      </c>
      <c r="C11" s="467" t="e">
        <f>1*#REF!</f>
        <v>#REF!</v>
      </c>
    </row>
    <row r="12" spans="1:4" x14ac:dyDescent="0.35">
      <c r="A12" s="464"/>
      <c r="B12" s="465"/>
      <c r="C12" s="468"/>
    </row>
    <row r="13" spans="1:4" x14ac:dyDescent="0.35">
      <c r="A13" s="469" t="s">
        <v>4142</v>
      </c>
      <c r="B13" s="465"/>
      <c r="C13" s="470" t="e">
        <f>C9/C11</f>
        <v>#REF!</v>
      </c>
    </row>
    <row r="14" spans="1:4" x14ac:dyDescent="0.35">
      <c r="A14" s="464"/>
      <c r="B14" s="465"/>
      <c r="C14" s="466"/>
    </row>
    <row r="15" spans="1:4" x14ac:dyDescent="0.35">
      <c r="A15" s="469" t="s">
        <v>4143</v>
      </c>
      <c r="B15" s="471"/>
      <c r="C15" s="466"/>
    </row>
    <row r="16" spans="1:4" x14ac:dyDescent="0.35">
      <c r="A16" s="472" t="s">
        <v>4144</v>
      </c>
      <c r="B16" s="465" t="s">
        <v>4139</v>
      </c>
      <c r="C16" s="466">
        <f>60500/9*12</f>
        <v>80666.666666666672</v>
      </c>
      <c r="D16" s="462" t="s">
        <v>4145</v>
      </c>
    </row>
    <row r="17" spans="1:4" x14ac:dyDescent="0.35">
      <c r="A17" s="472" t="s">
        <v>4146</v>
      </c>
      <c r="B17" s="465" t="s">
        <v>4139</v>
      </c>
      <c r="C17" s="466">
        <v>0</v>
      </c>
    </row>
    <row r="18" spans="1:4" x14ac:dyDescent="0.35">
      <c r="A18" s="472" t="s">
        <v>4147</v>
      </c>
      <c r="B18" s="465" t="s">
        <v>4139</v>
      </c>
      <c r="C18" s="466">
        <v>45000</v>
      </c>
      <c r="D18" s="462" t="s">
        <v>4148</v>
      </c>
    </row>
    <row r="19" spans="1:4" x14ac:dyDescent="0.35">
      <c r="A19" s="472" t="s">
        <v>4149</v>
      </c>
      <c r="B19" s="465" t="s">
        <v>4139</v>
      </c>
      <c r="C19" s="466">
        <v>5000</v>
      </c>
      <c r="D19" s="462" t="s">
        <v>4148</v>
      </c>
    </row>
    <row r="20" spans="1:4" x14ac:dyDescent="0.35">
      <c r="A20" s="472" t="s">
        <v>4150</v>
      </c>
      <c r="B20" s="465" t="s">
        <v>4139</v>
      </c>
      <c r="C20" s="466">
        <f>42000/9*12</f>
        <v>56000</v>
      </c>
      <c r="D20" s="462" t="s">
        <v>4145</v>
      </c>
    </row>
    <row r="21" spans="1:4" x14ac:dyDescent="0.35">
      <c r="A21" s="472" t="s">
        <v>4151</v>
      </c>
      <c r="B21" s="465"/>
      <c r="C21" s="466">
        <v>1500</v>
      </c>
      <c r="D21" s="462" t="s">
        <v>4152</v>
      </c>
    </row>
    <row r="22" spans="1:4" x14ac:dyDescent="0.35">
      <c r="A22" s="472" t="s">
        <v>4153</v>
      </c>
      <c r="B22" s="465" t="s">
        <v>4139</v>
      </c>
      <c r="C22" s="466">
        <v>0</v>
      </c>
    </row>
    <row r="23" spans="1:4" x14ac:dyDescent="0.35">
      <c r="A23" s="472" t="s">
        <v>4154</v>
      </c>
      <c r="B23" s="465" t="s">
        <v>4155</v>
      </c>
      <c r="C23" s="466">
        <f>-542000-26000</f>
        <v>-568000</v>
      </c>
      <c r="D23" s="462" t="s">
        <v>4156</v>
      </c>
    </row>
    <row r="24" spans="1:4" x14ac:dyDescent="0.35">
      <c r="A24" s="472" t="s">
        <v>4157</v>
      </c>
      <c r="B24" s="465" t="s">
        <v>4155</v>
      </c>
      <c r="C24" s="466">
        <v>262000</v>
      </c>
      <c r="D24" s="462" t="s">
        <v>4158</v>
      </c>
    </row>
    <row r="25" spans="1:4" x14ac:dyDescent="0.35">
      <c r="A25" s="472" t="s">
        <v>715</v>
      </c>
      <c r="B25" s="465" t="s">
        <v>4155</v>
      </c>
      <c r="C25" s="466">
        <v>21978.186666666665</v>
      </c>
      <c r="D25" s="462" t="s">
        <v>4145</v>
      </c>
    </row>
    <row r="26" spans="1:4" x14ac:dyDescent="0.35">
      <c r="A26" s="472" t="s">
        <v>4159</v>
      </c>
      <c r="B26" s="465" t="s">
        <v>4155</v>
      </c>
      <c r="C26" s="466">
        <v>0</v>
      </c>
    </row>
    <row r="27" spans="1:4" x14ac:dyDescent="0.35">
      <c r="A27" s="464"/>
      <c r="B27" s="465"/>
      <c r="C27" s="466"/>
    </row>
    <row r="28" spans="1:4" x14ac:dyDescent="0.35">
      <c r="A28" s="464" t="s">
        <v>4160</v>
      </c>
      <c r="B28" s="465"/>
      <c r="C28" s="475">
        <f>SUM(C15:C27)</f>
        <v>-95855.146666666653</v>
      </c>
    </row>
    <row r="30" spans="1:4" x14ac:dyDescent="0.35">
      <c r="A30" s="469" t="s">
        <v>4161</v>
      </c>
      <c r="B30" s="471"/>
      <c r="C30" s="466"/>
    </row>
    <row r="31" spans="1:4" x14ac:dyDescent="0.35">
      <c r="A31" s="472" t="s">
        <v>4162</v>
      </c>
      <c r="B31" s="465" t="s">
        <v>4139</v>
      </c>
      <c r="C31" s="466">
        <v>0</v>
      </c>
    </row>
    <row r="32" spans="1:4" x14ac:dyDescent="0.35">
      <c r="A32" s="472" t="s">
        <v>4163</v>
      </c>
      <c r="B32" s="465" t="s">
        <v>4139</v>
      </c>
      <c r="C32" s="466">
        <f>92000/9*12</f>
        <v>122666.66666666667</v>
      </c>
      <c r="D32" s="462" t="s">
        <v>4164</v>
      </c>
    </row>
    <row r="33" spans="1:14" x14ac:dyDescent="0.35">
      <c r="A33" s="472" t="s">
        <v>4165</v>
      </c>
      <c r="B33" s="465" t="s">
        <v>4139</v>
      </c>
      <c r="C33" s="466">
        <f>-60000+168000</f>
        <v>108000</v>
      </c>
      <c r="D33" s="462" t="s">
        <v>4166</v>
      </c>
    </row>
    <row r="34" spans="1:14" x14ac:dyDescent="0.35">
      <c r="A34" s="472" t="s">
        <v>4167</v>
      </c>
      <c r="B34" s="465" t="s">
        <v>4139</v>
      </c>
      <c r="C34" s="466">
        <v>-68000</v>
      </c>
    </row>
    <row r="35" spans="1:14" x14ac:dyDescent="0.35">
      <c r="A35" s="476" t="s">
        <v>4168</v>
      </c>
      <c r="B35" s="465" t="s">
        <v>4139</v>
      </c>
      <c r="C35" s="466">
        <f>3000*12</f>
        <v>36000</v>
      </c>
      <c r="D35" s="462" t="str">
        <f>+D32</f>
        <v>per 0922 annualized</v>
      </c>
    </row>
    <row r="36" spans="1:14" x14ac:dyDescent="0.35">
      <c r="A36" s="476" t="s">
        <v>4169</v>
      </c>
      <c r="B36" s="465" t="s">
        <v>4139</v>
      </c>
      <c r="C36" s="466">
        <v>405000</v>
      </c>
    </row>
    <row r="37" spans="1:14" x14ac:dyDescent="0.35">
      <c r="A37" s="476" t="s">
        <v>4170</v>
      </c>
      <c r="B37" s="465"/>
      <c r="C37" s="466">
        <v>-129750</v>
      </c>
    </row>
    <row r="38" spans="1:14" x14ac:dyDescent="0.35">
      <c r="A38" s="476" t="s">
        <v>4171</v>
      </c>
      <c r="B38" s="465"/>
      <c r="C38" s="466">
        <v>67000</v>
      </c>
    </row>
    <row r="39" spans="1:14" x14ac:dyDescent="0.35">
      <c r="A39" s="476" t="s">
        <v>4172</v>
      </c>
      <c r="B39" s="465" t="s">
        <v>4139</v>
      </c>
      <c r="C39" s="466">
        <v>-52000</v>
      </c>
    </row>
    <row r="40" spans="1:14" x14ac:dyDescent="0.35">
      <c r="A40" s="477"/>
      <c r="B40" s="473"/>
      <c r="C40" s="474"/>
    </row>
    <row r="41" spans="1:14" x14ac:dyDescent="0.35">
      <c r="A41" s="464"/>
      <c r="B41" s="465"/>
      <c r="C41" s="478"/>
    </row>
    <row r="42" spans="1:14" x14ac:dyDescent="0.35">
      <c r="A42" s="464" t="s">
        <v>4173</v>
      </c>
      <c r="B42" s="465"/>
      <c r="C42" s="479">
        <f>SUM(C30:C41)</f>
        <v>488916.66666666674</v>
      </c>
    </row>
    <row r="43" spans="1:14" x14ac:dyDescent="0.35">
      <c r="A43" s="459"/>
      <c r="B43" s="465"/>
      <c r="C43" s="480"/>
    </row>
    <row r="44" spans="1:14" x14ac:dyDescent="0.35">
      <c r="A44" s="459" t="s">
        <v>4174</v>
      </c>
      <c r="B44" s="465"/>
      <c r="C44" s="481" t="e">
        <f>SUM(C13,C28,C42)</f>
        <v>#REF!</v>
      </c>
    </row>
    <row r="45" spans="1:14" x14ac:dyDescent="0.35">
      <c r="A45" s="459"/>
      <c r="B45" s="465"/>
      <c r="C45" s="480"/>
    </row>
    <row r="46" spans="1:14" x14ac:dyDescent="0.35">
      <c r="A46" s="459" t="s">
        <v>4175</v>
      </c>
      <c r="B46" s="465"/>
      <c r="C46" s="482">
        <v>1</v>
      </c>
    </row>
    <row r="47" spans="1:14" x14ac:dyDescent="0.35">
      <c r="A47" s="459" t="s">
        <v>4176</v>
      </c>
      <c r="B47" s="465"/>
      <c r="C47" s="478" t="e">
        <f>+C44*C46</f>
        <v>#REF!</v>
      </c>
      <c r="K47" s="462" t="s">
        <v>3746</v>
      </c>
      <c r="N47" s="483" t="e">
        <f>C47</f>
        <v>#REF!</v>
      </c>
    </row>
    <row r="48" spans="1:14" x14ac:dyDescent="0.35">
      <c r="A48" s="464" t="s">
        <v>4177</v>
      </c>
      <c r="B48" s="465" t="s">
        <v>3917</v>
      </c>
      <c r="C48" s="459" t="e">
        <f>N53</f>
        <v>#REF!</v>
      </c>
      <c r="K48" s="462" t="s">
        <v>4178</v>
      </c>
      <c r="N48" s="484">
        <v>-1000000</v>
      </c>
    </row>
    <row r="49" spans="1:14" x14ac:dyDescent="0.35">
      <c r="A49" s="464" t="s">
        <v>4179</v>
      </c>
      <c r="B49" s="465"/>
      <c r="C49" s="485" t="e">
        <f>C47+C48</f>
        <v>#REF!</v>
      </c>
      <c r="N49" s="483" t="e">
        <f>N47+N48</f>
        <v>#REF!</v>
      </c>
    </row>
    <row r="50" spans="1:14" x14ac:dyDescent="0.35">
      <c r="A50" s="464"/>
      <c r="B50" s="465"/>
      <c r="C50" s="480"/>
      <c r="M50" s="486">
        <v>0.5</v>
      </c>
      <c r="N50" s="484" t="e">
        <f>-N49*M50</f>
        <v>#REF!</v>
      </c>
    </row>
    <row r="51" spans="1:14" x14ac:dyDescent="0.35">
      <c r="A51" s="464" t="s">
        <v>4180</v>
      </c>
      <c r="B51" s="465"/>
      <c r="C51" s="480">
        <f>+-K56</f>
        <v>0</v>
      </c>
      <c r="N51" s="483" t="e">
        <f>SUM(N49:N50)</f>
        <v>#REF!</v>
      </c>
    </row>
    <row r="52" spans="1:14" x14ac:dyDescent="0.35">
      <c r="A52" s="464" t="s">
        <v>4181</v>
      </c>
      <c r="B52" s="465" t="s">
        <v>4182</v>
      </c>
      <c r="C52" s="478"/>
    </row>
    <row r="53" spans="1:14" x14ac:dyDescent="0.35">
      <c r="A53" s="464" t="s">
        <v>4183</v>
      </c>
      <c r="B53" s="465"/>
      <c r="C53" s="487">
        <v>0</v>
      </c>
      <c r="K53" s="462" t="s">
        <v>4184</v>
      </c>
      <c r="N53" s="483" t="e">
        <f>N48+N50</f>
        <v>#REF!</v>
      </c>
    </row>
    <row r="54" spans="1:14" x14ac:dyDescent="0.35">
      <c r="A54" s="464" t="s">
        <v>4185</v>
      </c>
      <c r="B54" s="465"/>
      <c r="C54" s="488" t="e">
        <f>SUM(C49:C53)</f>
        <v>#REF!</v>
      </c>
    </row>
    <row r="55" spans="1:14" x14ac:dyDescent="0.35">
      <c r="A55" s="459"/>
      <c r="B55" s="465"/>
      <c r="C55" s="459"/>
    </row>
    <row r="56" spans="1:14" x14ac:dyDescent="0.35">
      <c r="A56" s="464" t="s">
        <v>4186</v>
      </c>
      <c r="B56" s="465"/>
      <c r="C56" s="489">
        <v>0.25</v>
      </c>
    </row>
    <row r="57" spans="1:14" x14ac:dyDescent="0.35">
      <c r="A57" s="459"/>
      <c r="B57" s="465"/>
      <c r="C57" s="459"/>
    </row>
    <row r="58" spans="1:14" x14ac:dyDescent="0.35">
      <c r="A58" s="469" t="s">
        <v>4187</v>
      </c>
      <c r="B58" s="465" t="s">
        <v>4188</v>
      </c>
      <c r="C58" s="459" t="e">
        <f>IF(C54*C56&lt;=0,0,C54*C56)</f>
        <v>#REF!</v>
      </c>
    </row>
    <row r="59" spans="1:14" x14ac:dyDescent="0.35">
      <c r="A59" s="469" t="s">
        <v>4189</v>
      </c>
      <c r="B59" s="471"/>
      <c r="C59" s="459"/>
    </row>
    <row r="60" spans="1:14" x14ac:dyDescent="0.35">
      <c r="A60" s="464"/>
      <c r="B60" s="465"/>
      <c r="C60" s="490"/>
    </row>
    <row r="61" spans="1:14" ht="15" thickBot="1" x14ac:dyDescent="0.4">
      <c r="A61" s="469" t="s">
        <v>4190</v>
      </c>
      <c r="B61" s="471"/>
      <c r="C61" s="491" t="e">
        <f>SUM(C58:C60)</f>
        <v>#REF!</v>
      </c>
    </row>
    <row r="62" spans="1:14" ht="15" thickTop="1" x14ac:dyDescent="0.3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0">
    <tabColor rgb="FF92D050"/>
  </sheetPr>
  <dimension ref="A2:N97"/>
  <sheetViews>
    <sheetView zoomScale="90" zoomScaleNormal="90" workbookViewId="0">
      <pane xSplit="2" ySplit="6" topLeftCell="C25" activePane="bottomRight" state="frozen"/>
      <selection activeCell="F64" sqref="F64"/>
      <selection pane="topRight" activeCell="F64" sqref="F64"/>
      <selection pane="bottomLeft" activeCell="F64" sqref="F64"/>
      <selection pane="bottomRight" activeCell="D71" sqref="D71"/>
    </sheetView>
  </sheetViews>
  <sheetFormatPr defaultRowHeight="10" x14ac:dyDescent="0.2"/>
  <cols>
    <col min="1" max="1" width="23.109375" customWidth="1"/>
    <col min="3" max="14" width="22" customWidth="1"/>
  </cols>
  <sheetData>
    <row r="2" spans="1:14" x14ac:dyDescent="0.2">
      <c r="A2" t="s">
        <v>827</v>
      </c>
      <c r="C2" t="s">
        <v>807</v>
      </c>
      <c r="D2" t="s">
        <v>806</v>
      </c>
      <c r="E2" t="s">
        <v>808</v>
      </c>
      <c r="F2" s="84" t="s">
        <v>3881</v>
      </c>
      <c r="H2" s="84" t="s">
        <v>3888</v>
      </c>
      <c r="I2" s="84" t="s">
        <v>3889</v>
      </c>
    </row>
    <row r="4" spans="1:14" x14ac:dyDescent="0.2">
      <c r="C4" s="2" t="s">
        <v>61</v>
      </c>
      <c r="D4" s="2" t="s">
        <v>27</v>
      </c>
      <c r="E4" s="2" t="s">
        <v>212</v>
      </c>
      <c r="F4" s="2" t="s">
        <v>201</v>
      </c>
      <c r="G4" s="2" t="s">
        <v>38</v>
      </c>
      <c r="H4" s="2" t="s">
        <v>186</v>
      </c>
      <c r="I4" s="2" t="s">
        <v>197</v>
      </c>
      <c r="J4" s="2" t="s">
        <v>204</v>
      </c>
      <c r="K4" s="2" t="s">
        <v>193</v>
      </c>
      <c r="L4" s="2" t="s">
        <v>308</v>
      </c>
      <c r="M4" s="2" t="s">
        <v>117</v>
      </c>
      <c r="N4" s="2" t="s">
        <v>309</v>
      </c>
    </row>
    <row r="5" spans="1:14" x14ac:dyDescent="0.2">
      <c r="C5" s="2">
        <v>101</v>
      </c>
      <c r="D5" s="2">
        <v>201</v>
      </c>
      <c r="E5" s="2">
        <v>202</v>
      </c>
      <c r="F5" s="2">
        <v>203</v>
      </c>
      <c r="G5" s="2">
        <v>204</v>
      </c>
      <c r="H5" s="2">
        <v>205</v>
      </c>
      <c r="I5" s="2">
        <v>206</v>
      </c>
      <c r="J5" s="2">
        <v>207</v>
      </c>
      <c r="K5" s="2">
        <v>208</v>
      </c>
      <c r="L5" s="2">
        <v>209</v>
      </c>
      <c r="M5" s="2">
        <v>300</v>
      </c>
      <c r="N5" s="2">
        <v>400</v>
      </c>
    </row>
    <row r="6" spans="1:14" x14ac:dyDescent="0.2">
      <c r="C6" s="2" t="s">
        <v>956</v>
      </c>
      <c r="D6" s="2" t="s">
        <v>961</v>
      </c>
      <c r="E6" s="2" t="s">
        <v>868</v>
      </c>
      <c r="F6" s="2" t="s">
        <v>955</v>
      </c>
      <c r="G6" s="2" t="s">
        <v>956</v>
      </c>
      <c r="H6" s="2" t="s">
        <v>957</v>
      </c>
      <c r="I6" s="2" t="s">
        <v>958</v>
      </c>
      <c r="J6" s="2" t="s">
        <v>959</v>
      </c>
      <c r="K6" s="2" t="s">
        <v>960</v>
      </c>
      <c r="L6" s="2"/>
      <c r="M6" s="2"/>
      <c r="N6" s="2"/>
    </row>
    <row r="7" spans="1:14" x14ac:dyDescent="0.2">
      <c r="G7" s="86"/>
    </row>
    <row r="8" spans="1:14" s="84" customFormat="1" x14ac:dyDescent="0.2">
      <c r="C8" s="84" t="s">
        <v>866</v>
      </c>
      <c r="D8" s="85" t="s">
        <v>867</v>
      </c>
      <c r="E8" s="84" t="s">
        <v>866</v>
      </c>
      <c r="F8" s="84" t="s">
        <v>866</v>
      </c>
      <c r="G8" s="84" t="s">
        <v>866</v>
      </c>
      <c r="H8" s="85" t="s">
        <v>867</v>
      </c>
      <c r="I8" s="84" t="s">
        <v>866</v>
      </c>
      <c r="J8" s="85" t="s">
        <v>867</v>
      </c>
      <c r="K8" s="84" t="s">
        <v>866</v>
      </c>
      <c r="L8" s="84" t="s">
        <v>867</v>
      </c>
    </row>
    <row r="10" spans="1:14" x14ac:dyDescent="0.2">
      <c r="A10" t="s">
        <v>804</v>
      </c>
    </row>
    <row r="11" spans="1:14" x14ac:dyDescent="0.2">
      <c r="A11" t="s">
        <v>801</v>
      </c>
      <c r="E11" s="24" t="e">
        <f>-E74</f>
        <v>#REF!</v>
      </c>
      <c r="G11" s="241"/>
      <c r="J11" s="67" t="e">
        <f>GL_BS!#REF!</f>
        <v>#REF!</v>
      </c>
    </row>
    <row r="12" spans="1:14" x14ac:dyDescent="0.2">
      <c r="A12" t="s">
        <v>802</v>
      </c>
      <c r="C12" s="18">
        <f>-1688650*26.5%</f>
        <v>-447492.25</v>
      </c>
      <c r="F12" s="24">
        <v>-28698.21</v>
      </c>
      <c r="G12" s="24"/>
      <c r="H12" s="24">
        <v>-73346.460000000006</v>
      </c>
      <c r="I12" s="67">
        <v>-2867.33</v>
      </c>
      <c r="J12" s="67"/>
      <c r="K12" s="24">
        <f>-231188</f>
        <v>-231188</v>
      </c>
    </row>
    <row r="13" spans="1:14" x14ac:dyDescent="0.2">
      <c r="A13" t="s">
        <v>803</v>
      </c>
      <c r="C13" s="18"/>
      <c r="D13" s="24"/>
      <c r="E13" s="18">
        <f>-E31</f>
        <v>-34909</v>
      </c>
      <c r="F13" s="24"/>
      <c r="G13" s="24"/>
      <c r="J13" s="67"/>
    </row>
    <row r="14" spans="1:14" x14ac:dyDescent="0.2">
      <c r="C14" s="18"/>
      <c r="D14" s="24"/>
      <c r="E14" s="18"/>
      <c r="F14" s="24"/>
      <c r="G14" s="24"/>
      <c r="J14" s="67"/>
    </row>
    <row r="15" spans="1:14" x14ac:dyDescent="0.2">
      <c r="A15" t="s">
        <v>809</v>
      </c>
      <c r="C15" s="18"/>
      <c r="D15" s="24"/>
      <c r="E15" s="18"/>
      <c r="F15" s="24"/>
      <c r="G15" s="24"/>
      <c r="J15" s="67"/>
    </row>
    <row r="16" spans="1:14" ht="10.5" thickBot="1" x14ac:dyDescent="0.25">
      <c r="A16" t="s">
        <v>778</v>
      </c>
      <c r="C16" s="18"/>
      <c r="D16" s="24">
        <f>-82956-39388</f>
        <v>-122344</v>
      </c>
      <c r="E16" s="18">
        <v>0</v>
      </c>
      <c r="F16" s="24"/>
      <c r="G16" s="18"/>
      <c r="H16" s="18"/>
      <c r="J16" s="67"/>
    </row>
    <row r="17" spans="1:13" ht="10.5" thickBot="1" x14ac:dyDescent="0.25">
      <c r="A17" t="s">
        <v>779</v>
      </c>
      <c r="C17" s="261"/>
      <c r="D17" s="261"/>
      <c r="E17" s="263" t="e">
        <f>-GL_PL!#REF!-GL_PL!#REF!</f>
        <v>#REF!</v>
      </c>
      <c r="F17" s="261" t="e">
        <f>-SUM(GL_BS!#REF!,GL_BS!#REF!,GL_BS!#REF!)</f>
        <v>#REF!</v>
      </c>
      <c r="G17" s="264">
        <f>-'GR Q3'!E9</f>
        <v>-58058.677714746678</v>
      </c>
      <c r="H17" s="261" t="e">
        <f>-SUM(GL_BS!#REF!,GL_BS!#REF!,GL_BS!#REF!)</f>
        <v>#REF!</v>
      </c>
      <c r="I17" s="261" t="e">
        <f>-SUM(GL_BS!#REF!,GL_BS!#REF!,GL_BS!#REF!)</f>
        <v>#REF!</v>
      </c>
      <c r="J17" s="261" t="e">
        <f>-SUM(GL_BS!#REF!,GL_BS!#REF!,GL_BS!#REF!)</f>
        <v>#REF!</v>
      </c>
      <c r="K17" s="264" t="e">
        <f>-SUM(GL_BS!#REF!,GL_BS!#REF!)</f>
        <v>#REF!</v>
      </c>
      <c r="L17" s="67"/>
      <c r="M17" s="67"/>
    </row>
    <row r="18" spans="1:13" x14ac:dyDescent="0.2">
      <c r="C18" s="18"/>
      <c r="D18" s="24"/>
      <c r="E18" s="18"/>
      <c r="F18" s="24"/>
      <c r="G18" s="24"/>
      <c r="I18" s="67"/>
      <c r="J18" s="67"/>
    </row>
    <row r="19" spans="1:13" x14ac:dyDescent="0.2">
      <c r="A19" t="s">
        <v>824</v>
      </c>
      <c r="C19" s="18">
        <f>-C38</f>
        <v>0</v>
      </c>
      <c r="D19" s="24"/>
      <c r="E19" s="18"/>
      <c r="F19" s="24"/>
      <c r="G19" s="24"/>
      <c r="I19" s="67"/>
      <c r="J19" s="67"/>
    </row>
    <row r="20" spans="1:13" x14ac:dyDescent="0.2">
      <c r="A20" t="s">
        <v>826</v>
      </c>
      <c r="C20" s="18">
        <f>-C19</f>
        <v>0</v>
      </c>
      <c r="D20" s="24"/>
      <c r="E20" s="18"/>
      <c r="F20" s="24"/>
      <c r="G20" s="24"/>
      <c r="I20" s="67"/>
      <c r="J20" s="67"/>
    </row>
    <row r="21" spans="1:13" x14ac:dyDescent="0.2">
      <c r="C21" s="18"/>
      <c r="D21" s="24"/>
      <c r="E21" s="18"/>
      <c r="F21" s="24"/>
      <c r="G21" s="24"/>
      <c r="I21" s="67"/>
      <c r="J21" s="67"/>
    </row>
    <row r="22" spans="1:13" x14ac:dyDescent="0.2">
      <c r="A22" t="s">
        <v>3882</v>
      </c>
      <c r="C22" s="18" t="e">
        <f>GL_PL!#REF!+GL_PL!#REF!</f>
        <v>#REF!</v>
      </c>
      <c r="D22" s="24"/>
      <c r="E22" s="18"/>
      <c r="F22" s="24"/>
      <c r="G22" s="24"/>
      <c r="I22" s="67"/>
      <c r="J22" s="67"/>
    </row>
    <row r="23" spans="1:13" x14ac:dyDescent="0.2">
      <c r="A23" t="s">
        <v>3883</v>
      </c>
      <c r="C23" s="18" t="e">
        <f>-C22</f>
        <v>#REF!</v>
      </c>
      <c r="D23" s="24"/>
      <c r="E23" s="18"/>
      <c r="F23" s="24"/>
      <c r="G23" s="24"/>
      <c r="I23" s="67"/>
      <c r="J23" s="67"/>
    </row>
    <row r="24" spans="1:13" x14ac:dyDescent="0.2">
      <c r="C24" s="18"/>
      <c r="D24" s="24"/>
      <c r="E24" s="18"/>
      <c r="F24" s="24"/>
      <c r="G24" s="24"/>
      <c r="I24" s="67"/>
      <c r="J24" s="67"/>
    </row>
    <row r="25" spans="1:13" x14ac:dyDescent="0.2">
      <c r="A25" t="s">
        <v>3884</v>
      </c>
      <c r="C25" s="18" t="e">
        <f>GL_PL!#REF!+GL_PL!#REF!</f>
        <v>#REF!</v>
      </c>
      <c r="D25" s="24"/>
      <c r="E25" s="18"/>
      <c r="F25" s="24"/>
      <c r="G25" s="24"/>
      <c r="I25" s="67"/>
      <c r="J25" s="67"/>
    </row>
    <row r="26" spans="1:13" x14ac:dyDescent="0.2">
      <c r="A26" t="s">
        <v>3885</v>
      </c>
      <c r="C26" s="18" t="e">
        <f>-C25</f>
        <v>#REF!</v>
      </c>
      <c r="D26" s="24"/>
      <c r="E26" s="18"/>
      <c r="F26" s="24"/>
      <c r="G26" s="24"/>
      <c r="I26" s="67"/>
      <c r="J26" s="67"/>
    </row>
    <row r="27" spans="1:13" x14ac:dyDescent="0.2">
      <c r="I27" s="67"/>
      <c r="J27" s="67"/>
    </row>
    <row r="28" spans="1:13" x14ac:dyDescent="0.2">
      <c r="I28" s="67"/>
      <c r="J28" s="67"/>
    </row>
    <row r="29" spans="1:13" x14ac:dyDescent="0.2">
      <c r="A29" t="s">
        <v>869</v>
      </c>
      <c r="D29" s="24">
        <f>76096+2362</f>
        <v>78458</v>
      </c>
      <c r="F29" s="26"/>
      <c r="I29" s="67"/>
      <c r="J29" s="67"/>
    </row>
    <row r="30" spans="1:13" x14ac:dyDescent="0.2">
      <c r="A30" t="s">
        <v>962</v>
      </c>
      <c r="D30" s="24"/>
      <c r="F30" s="26"/>
      <c r="G30" s="270"/>
      <c r="H30" s="261"/>
      <c r="I30" s="67"/>
      <c r="J30" s="67"/>
    </row>
    <row r="31" spans="1:13" x14ac:dyDescent="0.2">
      <c r="A31" t="s">
        <v>861</v>
      </c>
      <c r="C31" s="18"/>
      <c r="D31" s="24">
        <f>'Global TARF'!H76</f>
        <v>0</v>
      </c>
      <c r="E31" s="83">
        <v>34909</v>
      </c>
      <c r="F31" s="26">
        <v>28552.21</v>
      </c>
      <c r="G31" s="83"/>
      <c r="H31" s="261">
        <f>-H12</f>
        <v>73346.460000000006</v>
      </c>
      <c r="I31" s="67">
        <f>-I12</f>
        <v>2867.33</v>
      </c>
      <c r="J31" s="67"/>
    </row>
    <row r="32" spans="1:13" x14ac:dyDescent="0.2">
      <c r="A32" t="s">
        <v>865</v>
      </c>
      <c r="D32" s="24">
        <f>'Global TARF'!P75</f>
        <v>0</v>
      </c>
      <c r="E32" s="26" t="e">
        <f>E74</f>
        <v>#REF!</v>
      </c>
      <c r="F32" s="83" t="e">
        <f>-SUM(GL_BS!#REF!,GL_BS!#REF!,GL_BS!#REF!,GL_BS!#REF!)</f>
        <v>#REF!</v>
      </c>
      <c r="H32" s="261"/>
      <c r="I32" s="67" t="e">
        <f>-SUM(GL_BS!#REF!,GL_BS!#REF!)</f>
        <v>#REF!</v>
      </c>
      <c r="J32" s="67" t="e">
        <f>-SUM(GL_BS!K19,GL_BS!#REF!,GL_BS!#REF!,GL_BS!#REF!)+GL_BS!K7</f>
        <v>#REF!</v>
      </c>
    </row>
    <row r="33" spans="1:14" x14ac:dyDescent="0.2">
      <c r="A33" t="s">
        <v>951</v>
      </c>
      <c r="G33" s="26"/>
      <c r="H33" s="261"/>
      <c r="I33" s="67"/>
      <c r="J33" s="67"/>
      <c r="K33" s="18" t="e">
        <f>-GL_BS!#REF!</f>
        <v>#REF!</v>
      </c>
    </row>
    <row r="34" spans="1:14" x14ac:dyDescent="0.2">
      <c r="A34" t="s">
        <v>805</v>
      </c>
      <c r="F34" s="24"/>
      <c r="I34" s="67"/>
      <c r="J34" s="67"/>
    </row>
    <row r="35" spans="1:14" x14ac:dyDescent="0.2">
      <c r="G35" s="83"/>
      <c r="I35" s="67"/>
      <c r="J35" s="67"/>
    </row>
    <row r="36" spans="1:14" x14ac:dyDescent="0.2">
      <c r="F36" s="26"/>
      <c r="J36" s="67"/>
    </row>
    <row r="37" spans="1:14" x14ac:dyDescent="0.2">
      <c r="A37" t="s">
        <v>3661</v>
      </c>
      <c r="C37" s="26">
        <f>-C12</f>
        <v>447492.25</v>
      </c>
      <c r="J37" s="67"/>
    </row>
    <row r="38" spans="1:14" x14ac:dyDescent="0.2">
      <c r="A38" t="s">
        <v>3665</v>
      </c>
      <c r="C38" s="26"/>
      <c r="J38" s="67"/>
    </row>
    <row r="40" spans="1:14" x14ac:dyDescent="0.2">
      <c r="A40" t="s">
        <v>3845</v>
      </c>
      <c r="D40">
        <v>-6977</v>
      </c>
    </row>
    <row r="44" spans="1:14" x14ac:dyDescent="0.2">
      <c r="A44" t="s">
        <v>862</v>
      </c>
      <c r="C44" s="24" t="e">
        <f t="shared" ref="C44:N44" si="0">SUM(C8:C43)</f>
        <v>#REF!</v>
      </c>
      <c r="D44" s="24">
        <f t="shared" si="0"/>
        <v>-50863</v>
      </c>
      <c r="E44" s="24" t="e">
        <f t="shared" si="0"/>
        <v>#REF!</v>
      </c>
      <c r="F44" s="24" t="e">
        <f t="shared" si="0"/>
        <v>#REF!</v>
      </c>
      <c r="G44" s="24">
        <f t="shared" si="0"/>
        <v>-58058.677714746678</v>
      </c>
      <c r="H44" s="24" t="e">
        <f t="shared" si="0"/>
        <v>#REF!</v>
      </c>
      <c r="I44" s="24" t="e">
        <f t="shared" si="0"/>
        <v>#REF!</v>
      </c>
      <c r="J44" s="24" t="e">
        <f t="shared" si="0"/>
        <v>#REF!</v>
      </c>
      <c r="K44" s="24" t="e">
        <f t="shared" si="0"/>
        <v>#REF!</v>
      </c>
      <c r="L44" s="24">
        <f t="shared" si="0"/>
        <v>0</v>
      </c>
      <c r="M44" s="24">
        <f t="shared" si="0"/>
        <v>0</v>
      </c>
      <c r="N44" s="24">
        <f t="shared" si="0"/>
        <v>0</v>
      </c>
    </row>
    <row r="45" spans="1:14" x14ac:dyDescent="0.2">
      <c r="A45" t="s">
        <v>243</v>
      </c>
      <c r="C45" s="24">
        <v>1.0047900000000001</v>
      </c>
      <c r="D45" s="24">
        <v>1</v>
      </c>
      <c r="E45" s="24">
        <v>0.76932999999999996</v>
      </c>
      <c r="F45" s="24">
        <v>1.39</v>
      </c>
      <c r="G45" s="24">
        <f>1/0.98</f>
        <v>1.0204081632653061</v>
      </c>
      <c r="H45" s="24">
        <f>1/1.12</f>
        <v>0.89285714285714279</v>
      </c>
      <c r="I45" s="24">
        <f>1/0.63</f>
        <v>1.5873015873015872</v>
      </c>
      <c r="J45" s="94">
        <f>1/0.012</f>
        <v>83.333333333333329</v>
      </c>
      <c r="K45" s="24">
        <f>1/0.089</f>
        <v>11.235955056179776</v>
      </c>
      <c r="L45" s="24">
        <v>1</v>
      </c>
      <c r="M45" s="24">
        <v>1</v>
      </c>
      <c r="N45" s="24"/>
    </row>
    <row r="46" spans="1:14" s="23" customFormat="1" x14ac:dyDescent="0.2">
      <c r="A46" s="23" t="s">
        <v>961</v>
      </c>
      <c r="C46" s="27" t="e">
        <f t="shared" ref="C46:D46" si="1">C44/C45</f>
        <v>#REF!</v>
      </c>
      <c r="D46" s="27">
        <f t="shared" si="1"/>
        <v>-50863</v>
      </c>
      <c r="E46" s="27" t="e">
        <f>E44*E45</f>
        <v>#REF!</v>
      </c>
      <c r="F46" s="27" t="e">
        <f>F44/F45</f>
        <v>#REF!</v>
      </c>
      <c r="G46" s="27">
        <f t="shared" ref="G46" si="2">G44/G45</f>
        <v>-56897.504160451746</v>
      </c>
      <c r="H46" s="27" t="e">
        <f>H44*H45</f>
        <v>#REF!</v>
      </c>
      <c r="I46" s="95" t="e">
        <f t="shared" ref="I46:M46" si="3">I44/I45</f>
        <v>#REF!</v>
      </c>
      <c r="J46" s="95" t="e">
        <f t="shared" si="3"/>
        <v>#REF!</v>
      </c>
      <c r="K46" s="95" t="e">
        <f t="shared" si="3"/>
        <v>#REF!</v>
      </c>
      <c r="L46" s="95">
        <f t="shared" si="3"/>
        <v>0</v>
      </c>
      <c r="M46" s="95">
        <f t="shared" si="3"/>
        <v>0</v>
      </c>
      <c r="N46" s="27"/>
    </row>
    <row r="47" spans="1:14" x14ac:dyDescent="0.2">
      <c r="C47" s="24"/>
      <c r="D47" s="24"/>
      <c r="E47" s="24"/>
      <c r="F47" s="24"/>
      <c r="G47" s="24"/>
      <c r="H47" s="24"/>
      <c r="I47" s="24"/>
      <c r="J47" s="24"/>
      <c r="K47" s="24"/>
      <c r="L47" s="24"/>
      <c r="M47" s="24"/>
      <c r="N47" s="24"/>
    </row>
    <row r="48" spans="1:14" x14ac:dyDescent="0.2">
      <c r="C48" s="24"/>
      <c r="D48" s="24"/>
      <c r="E48" s="24"/>
      <c r="F48" s="24"/>
      <c r="G48" s="24"/>
      <c r="H48" s="24"/>
      <c r="I48" s="24"/>
      <c r="J48" s="24"/>
      <c r="K48" s="24"/>
      <c r="L48" s="24"/>
      <c r="M48" s="24"/>
      <c r="N48" s="24"/>
    </row>
    <row r="49" spans="1:14" x14ac:dyDescent="0.2">
      <c r="C49" s="24"/>
      <c r="D49" s="24"/>
      <c r="E49" s="24"/>
      <c r="F49" s="24"/>
      <c r="G49" s="24"/>
      <c r="H49" s="24"/>
      <c r="I49" s="24"/>
      <c r="J49" s="24"/>
      <c r="K49" s="24"/>
      <c r="L49" s="24"/>
      <c r="M49" s="18"/>
      <c r="N49" s="24"/>
    </row>
    <row r="50" spans="1:14" x14ac:dyDescent="0.2">
      <c r="A50" t="s">
        <v>945</v>
      </c>
      <c r="C50" s="18"/>
      <c r="D50" s="18"/>
      <c r="E50" s="18"/>
      <c r="F50" s="18"/>
      <c r="G50" s="18"/>
      <c r="H50" s="24"/>
      <c r="I50" s="24"/>
      <c r="J50" s="24"/>
      <c r="K50" s="24"/>
      <c r="L50" s="24"/>
      <c r="M50" s="18"/>
      <c r="N50" s="24"/>
    </row>
    <row r="51" spans="1:14" x14ac:dyDescent="0.2">
      <c r="A51" t="s">
        <v>863</v>
      </c>
      <c r="C51" s="258">
        <f>'BS_Q2 24'!B54</f>
        <v>333404.21435256</v>
      </c>
      <c r="D51" s="258">
        <f>'BS_Q2 24'!C54</f>
        <v>0</v>
      </c>
      <c r="E51" s="258">
        <f>'BS_Q2 24'!D54</f>
        <v>0</v>
      </c>
      <c r="F51" s="258">
        <f>'BS_Q2 24'!E54</f>
        <v>0</v>
      </c>
      <c r="G51" s="258">
        <f>'BS_Q2 24'!F54</f>
        <v>0</v>
      </c>
      <c r="H51" s="257">
        <f>'BS_Q2 24'!G54</f>
        <v>0</v>
      </c>
      <c r="I51" s="257">
        <f>'BS_Q2 24'!H54</f>
        <v>0</v>
      </c>
      <c r="J51" s="257">
        <f>'BS_Q2 24'!I54</f>
        <v>0</v>
      </c>
      <c r="K51" s="257">
        <f>'BS_Q2 24'!J54</f>
        <v>0</v>
      </c>
      <c r="L51" s="257">
        <f>'BS_Q2 24'!K54</f>
        <v>0</v>
      </c>
      <c r="M51" s="257">
        <f>'BS_Q2 24'!M54</f>
        <v>0</v>
      </c>
    </row>
    <row r="52" spans="1:14" x14ac:dyDescent="0.2">
      <c r="A52" t="s">
        <v>3886</v>
      </c>
      <c r="C52" s="258" t="e">
        <f>-('BS_Q2 24'!#REF!)</f>
        <v>#REF!</v>
      </c>
      <c r="D52" s="258" t="e">
        <f>-('BS_Q2 24'!#REF!)</f>
        <v>#REF!</v>
      </c>
      <c r="E52" s="258" t="e">
        <f>-('BS_Q2 24'!#REF!)</f>
        <v>#REF!</v>
      </c>
      <c r="F52" s="258" t="e">
        <f>-('BS_Q2 24'!#REF!)</f>
        <v>#REF!</v>
      </c>
      <c r="G52" s="258" t="e">
        <f>-('BS_Q2 24'!#REF!)</f>
        <v>#REF!</v>
      </c>
      <c r="H52" s="257" t="e">
        <f>-('BS_Q2 24'!#REF!)</f>
        <v>#REF!</v>
      </c>
      <c r="I52" s="257" t="e">
        <f>-('BS_Q2 24'!#REF!)</f>
        <v>#REF!</v>
      </c>
      <c r="J52" s="257" t="e">
        <f>-('BS_Q2 24'!#REF!)</f>
        <v>#REF!</v>
      </c>
      <c r="K52" s="257" t="e">
        <f>-('BS_Q2 24'!#REF!)</f>
        <v>#REF!</v>
      </c>
      <c r="L52" s="257" t="e">
        <f>-('BS_Q2 24'!#REF!)</f>
        <v>#REF!</v>
      </c>
      <c r="M52" s="257"/>
    </row>
    <row r="53" spans="1:14" x14ac:dyDescent="0.2">
      <c r="A53" t="s">
        <v>3845</v>
      </c>
      <c r="C53" s="258"/>
      <c r="D53" s="258">
        <f>-D51</f>
        <v>0</v>
      </c>
      <c r="E53" s="258"/>
      <c r="F53" s="258"/>
      <c r="G53" s="258"/>
      <c r="H53" s="257"/>
      <c r="I53" s="257"/>
      <c r="J53" s="257"/>
      <c r="K53" s="257"/>
      <c r="L53" s="257"/>
      <c r="M53" s="258"/>
    </row>
    <row r="54" spans="1:14" x14ac:dyDescent="0.2">
      <c r="A54" t="s">
        <v>3842</v>
      </c>
      <c r="C54" s="258"/>
      <c r="D54" s="258"/>
      <c r="E54" s="258"/>
      <c r="F54" s="258"/>
      <c r="G54" s="258"/>
      <c r="H54" s="257"/>
      <c r="I54" s="257"/>
      <c r="J54" s="257"/>
      <c r="K54" s="257"/>
      <c r="L54" s="257"/>
      <c r="M54" s="258"/>
    </row>
    <row r="55" spans="1:14" x14ac:dyDescent="0.2">
      <c r="A55" t="s">
        <v>3843</v>
      </c>
      <c r="C55" s="258"/>
      <c r="D55" s="258"/>
      <c r="E55" s="258"/>
      <c r="F55" s="258"/>
      <c r="G55" s="258"/>
      <c r="H55" s="257"/>
      <c r="I55" s="257"/>
      <c r="J55" s="257"/>
      <c r="K55" s="257"/>
      <c r="L55" s="257"/>
      <c r="M55" s="258"/>
    </row>
    <row r="56" spans="1:14" x14ac:dyDescent="0.2">
      <c r="A56" t="s">
        <v>3844</v>
      </c>
      <c r="C56" s="260"/>
      <c r="D56" s="260"/>
      <c r="E56" s="260"/>
      <c r="F56" s="260"/>
      <c r="G56" s="260" t="e">
        <f>-'BS_Q2 24'!#REF!</f>
        <v>#REF!</v>
      </c>
      <c r="H56" s="259"/>
      <c r="I56" s="259"/>
      <c r="J56" s="259"/>
      <c r="K56" s="259"/>
      <c r="L56" s="259"/>
      <c r="M56" s="260"/>
    </row>
    <row r="57" spans="1:14" x14ac:dyDescent="0.2">
      <c r="A57" t="s">
        <v>218</v>
      </c>
      <c r="C57" s="261" t="e">
        <f>SUM(C51:C56)</f>
        <v>#REF!</v>
      </c>
      <c r="D57" s="261" t="e">
        <f t="shared" ref="D57" si="4">SUM(D51:D56)</f>
        <v>#REF!</v>
      </c>
      <c r="E57" s="261" t="e">
        <f>SUM(E51:E56)</f>
        <v>#REF!</v>
      </c>
      <c r="F57" s="261" t="e">
        <f t="shared" ref="F57" si="5">SUM(F51:F56)</f>
        <v>#REF!</v>
      </c>
      <c r="G57" s="261" t="e">
        <f t="shared" ref="G57:H57" si="6">SUM(G51:G56)</f>
        <v>#REF!</v>
      </c>
      <c r="H57" s="67" t="e">
        <f t="shared" si="6"/>
        <v>#REF!</v>
      </c>
      <c r="I57" s="67" t="e">
        <f t="shared" ref="I57" si="7">SUM(I51:I56)</f>
        <v>#REF!</v>
      </c>
      <c r="J57" s="67" t="e">
        <f t="shared" ref="J57:K57" si="8">SUM(J51:J56)</f>
        <v>#REF!</v>
      </c>
      <c r="K57" s="67" t="e">
        <f t="shared" si="8"/>
        <v>#REF!</v>
      </c>
      <c r="L57" s="67" t="e">
        <f t="shared" ref="L57" si="9">SUM(L51:L56)</f>
        <v>#REF!</v>
      </c>
      <c r="M57" s="261">
        <f t="shared" ref="M57" si="10">SUM(M51:M56)</f>
        <v>0</v>
      </c>
    </row>
    <row r="58" spans="1:14" x14ac:dyDescent="0.2">
      <c r="C58" s="261"/>
      <c r="D58" s="261"/>
      <c r="E58" s="261"/>
      <c r="F58" s="261"/>
      <c r="G58" s="261"/>
      <c r="H58" s="67"/>
      <c r="I58" s="67"/>
      <c r="J58" s="67"/>
      <c r="K58" s="67"/>
      <c r="L58" s="67"/>
      <c r="M58" s="261"/>
    </row>
    <row r="59" spans="1:14" x14ac:dyDescent="0.2">
      <c r="A59" t="s">
        <v>954</v>
      </c>
      <c r="C59" s="261" t="e">
        <f>C46-C57</f>
        <v>#REF!</v>
      </c>
      <c r="D59" s="261" t="e">
        <f>D46-D57</f>
        <v>#REF!</v>
      </c>
      <c r="E59" s="261" t="e">
        <f>E46-E57</f>
        <v>#REF!</v>
      </c>
      <c r="F59" s="261" t="e">
        <f t="shared" ref="F59:M59" si="11">F46-F57</f>
        <v>#REF!</v>
      </c>
      <c r="G59" s="261" t="e">
        <f t="shared" si="11"/>
        <v>#REF!</v>
      </c>
      <c r="H59" s="67" t="e">
        <f t="shared" si="11"/>
        <v>#REF!</v>
      </c>
      <c r="I59" s="67" t="e">
        <f t="shared" si="11"/>
        <v>#REF!</v>
      </c>
      <c r="J59" s="261" t="e">
        <f t="shared" si="11"/>
        <v>#REF!</v>
      </c>
      <c r="K59" s="67" t="e">
        <f t="shared" si="11"/>
        <v>#REF!</v>
      </c>
      <c r="L59" s="67" t="e">
        <f t="shared" si="11"/>
        <v>#REF!</v>
      </c>
      <c r="M59" s="261">
        <f t="shared" si="11"/>
        <v>0</v>
      </c>
      <c r="N59" s="83" t="e">
        <f>SUM(C59:M59)</f>
        <v>#REF!</v>
      </c>
    </row>
    <row r="60" spans="1:14" x14ac:dyDescent="0.2">
      <c r="C60" s="495" t="s">
        <v>953</v>
      </c>
      <c r="D60" s="495" t="s">
        <v>953</v>
      </c>
      <c r="E60" s="495" t="s">
        <v>953</v>
      </c>
      <c r="F60" s="495" t="s">
        <v>953</v>
      </c>
      <c r="G60" s="261"/>
      <c r="H60" s="262" t="s">
        <v>953</v>
      </c>
      <c r="I60" s="262" t="s">
        <v>953</v>
      </c>
      <c r="J60" s="262"/>
      <c r="K60" s="262" t="s">
        <v>953</v>
      </c>
      <c r="L60" s="67"/>
      <c r="M60" s="67"/>
    </row>
    <row r="61" spans="1:14" x14ac:dyDescent="0.2">
      <c r="E61" s="262"/>
    </row>
    <row r="63" spans="1:14" x14ac:dyDescent="0.2">
      <c r="G63" s="83"/>
    </row>
    <row r="64" spans="1:14" x14ac:dyDescent="0.2">
      <c r="G64" s="26"/>
    </row>
    <row r="68" spans="3:12" x14ac:dyDescent="0.2">
      <c r="E68" t="s">
        <v>4193</v>
      </c>
      <c r="K68" s="24"/>
    </row>
    <row r="69" spans="3:12" x14ac:dyDescent="0.2">
      <c r="E69" s="90" t="s">
        <v>868</v>
      </c>
      <c r="K69" s="24"/>
    </row>
    <row r="70" spans="3:12" x14ac:dyDescent="0.2">
      <c r="E70" s="18">
        <f>GL_BS!K10</f>
        <v>-109958.67</v>
      </c>
      <c r="K70" s="24"/>
    </row>
    <row r="71" spans="3:12" x14ac:dyDescent="0.2">
      <c r="E71" s="18">
        <f>GL_BS!K12</f>
        <v>-126501.29</v>
      </c>
    </row>
    <row r="72" spans="3:12" x14ac:dyDescent="0.2">
      <c r="E72" s="18" t="e">
        <f>GL_PL!#REF!</f>
        <v>#REF!</v>
      </c>
    </row>
    <row r="73" spans="3:12" x14ac:dyDescent="0.2">
      <c r="E73" s="494" t="e">
        <f>GL_PL!#REF!</f>
        <v>#REF!</v>
      </c>
    </row>
    <row r="74" spans="3:12" x14ac:dyDescent="0.2">
      <c r="E74" s="26" t="e">
        <f>SUM(E70:E73)</f>
        <v>#REF!</v>
      </c>
    </row>
    <row r="78" spans="3:12" x14ac:dyDescent="0.2">
      <c r="C78" s="83"/>
      <c r="D78" s="83"/>
      <c r="E78" s="83"/>
      <c r="F78" s="83"/>
      <c r="G78" s="83"/>
      <c r="H78" s="83"/>
      <c r="I78" s="83"/>
      <c r="J78" s="83"/>
      <c r="K78" s="83"/>
      <c r="L78" s="83"/>
    </row>
    <row r="79" spans="3:12" x14ac:dyDescent="0.2">
      <c r="C79" s="83"/>
      <c r="D79" s="83"/>
      <c r="E79" s="83"/>
      <c r="F79" s="83"/>
      <c r="G79" s="83"/>
      <c r="H79" s="83"/>
      <c r="I79" s="83"/>
      <c r="J79" s="83"/>
      <c r="K79" s="83"/>
      <c r="L79" s="83"/>
    </row>
    <row r="83" spans="5:6" x14ac:dyDescent="0.2">
      <c r="F83" s="88"/>
    </row>
    <row r="84" spans="5:6" x14ac:dyDescent="0.2">
      <c r="E84" s="88"/>
    </row>
    <row r="86" spans="5:6" x14ac:dyDescent="0.2">
      <c r="E86" s="88"/>
    </row>
    <row r="87" spans="5:6" hidden="1" x14ac:dyDescent="0.2"/>
    <row r="88" spans="5:6" hidden="1" x14ac:dyDescent="0.2"/>
    <row r="89" spans="5:6" hidden="1" x14ac:dyDescent="0.2"/>
    <row r="90" spans="5:6" hidden="1" x14ac:dyDescent="0.2">
      <c r="E90" t="s">
        <v>871</v>
      </c>
    </row>
    <row r="91" spans="5:6" hidden="1" x14ac:dyDescent="0.2">
      <c r="E91" t="s">
        <v>799</v>
      </c>
    </row>
    <row r="92" spans="5:6" hidden="1" x14ac:dyDescent="0.2">
      <c r="E92" t="s">
        <v>872</v>
      </c>
      <c r="F92" t="s">
        <v>876</v>
      </c>
    </row>
    <row r="93" spans="5:6" hidden="1" x14ac:dyDescent="0.2">
      <c r="E93" t="s">
        <v>873</v>
      </c>
      <c r="F93" t="s">
        <v>874</v>
      </c>
    </row>
    <row r="94" spans="5:6" hidden="1" x14ac:dyDescent="0.2">
      <c r="E94" t="s">
        <v>875</v>
      </c>
    </row>
    <row r="95" spans="5:6" hidden="1" x14ac:dyDescent="0.2"/>
    <row r="96" spans="5:6" hidden="1" x14ac:dyDescent="0.2"/>
    <row r="97" hidden="1" x14ac:dyDescent="0.2"/>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Global TARF</vt:lpstr>
      <vt:lpstr>FX</vt:lpstr>
      <vt:lpstr>Sheet3</vt:lpstr>
      <vt:lpstr>FX Table</vt:lpstr>
      <vt:lpstr>BS_Q2 24</vt:lpstr>
      <vt:lpstr>IS_Q2 24</vt:lpstr>
      <vt:lpstr>Discrete (Q3)</vt:lpstr>
      <vt:lpstr>FR 2022 Payable</vt:lpstr>
      <vt:lpstr>Tax Payable Proof</vt:lpstr>
      <vt:lpstr>Q1&gt;</vt:lpstr>
      <vt:lpstr>GL_BS</vt:lpstr>
      <vt:lpstr>GL_PL</vt:lpstr>
      <vt:lpstr>Sweden</vt:lpstr>
      <vt:lpstr>CIR</vt:lpstr>
      <vt:lpstr>FR_TB</vt:lpstr>
      <vt:lpstr>US WHT (Q3)</vt:lpstr>
      <vt:lpstr>Italy PE (Q3)</vt:lpstr>
      <vt:lpstr>GR Q3</vt:lpstr>
      <vt:lpstr>Singapore RTP</vt:lpstr>
      <vt:lpstr>Canada Tax Payable</vt:lpstr>
      <vt:lpstr>Q2&gt;</vt:lpstr>
      <vt:lpstr>2021</vt:lpstr>
      <vt:lpstr>Q2 Discrete Items</vt:lpstr>
      <vt:lpstr>Proposed AJEs</vt:lpstr>
      <vt:lpstr>Canada RTP</vt:lpstr>
      <vt:lpstr>Sweden RTP</vt:lpstr>
      <vt:lpstr>Germany RTP_1</vt:lpstr>
      <vt:lpstr>India</vt:lpstr>
      <vt:lpstr>220800 Analysis</vt:lpstr>
      <vt:lpstr>220800_2021</vt:lpstr>
      <vt:lpstr>France RTP</vt:lpstr>
      <vt:lpstr>18-22</vt:lpstr>
      <vt:lpstr>220800</vt:lpstr>
      <vt:lpstr>BS_2023</vt:lpstr>
      <vt:lpstr>CurrencyExchangeRates</vt:lpstr>
      <vt:lpstr>Business Tax</vt:lpstr>
      <vt:lpstr>CIR.</vt:lpstr>
      <vt:lpstr>SG</vt:lpstr>
      <vt:lpstr>AUS</vt:lpstr>
      <vt:lpstr>201_FX</vt:lpstr>
      <vt:lpstr>IN</vt:lpstr>
      <vt:lpstr>Sheet2</vt:lpstr>
      <vt:lpstr>Sheet9</vt:lpstr>
      <vt:lpstr>Sheet8</vt:lpstr>
      <vt:lpstr>Sheet10</vt:lpstr>
    </vt:vector>
  </TitlesOfParts>
  <Company>NetSuite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NetSuite Reports</dc:creator>
  <cp:lastModifiedBy>Dushyant Sharma</cp:lastModifiedBy>
  <dcterms:created xsi:type="dcterms:W3CDTF">2022-07-12T05:21:03Z</dcterms:created>
  <dcterms:modified xsi:type="dcterms:W3CDTF">2024-09-18T16:25:51Z</dcterms:modified>
</cp:coreProperties>
</file>