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autoCompressPictures="0"/>
  <mc:AlternateContent xmlns:mc="http://schemas.openxmlformats.org/markup-compatibility/2006">
    <mc:Choice Requires="x15">
      <x15ac:absPath xmlns:x15ac="http://schemas.microsoft.com/office/spreadsheetml/2010/11/ac" url="D:\Usuario\Desktop\David\Inf + Ade\Carrera\4-curso\2 cuatrimestre\AEF\Practicas\Chocolates Valor\"/>
    </mc:Choice>
  </mc:AlternateContent>
  <xr:revisionPtr revIDLastSave="0" documentId="13_ncr:1_{A6F51E1A-7AE7-453D-9158-56A65D995F8B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BalanceRM" sheetId="1" r:id="rId1"/>
    <sheet name="PyGRM" sheetId="3" r:id="rId2"/>
    <sheet name="PyG funcional" sheetId="5" r:id="rId3"/>
    <sheet name="Indicadores " sheetId="14" r:id="rId4"/>
    <sheet name="PMM" sheetId="15" r:id="rId5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3" i="14" l="1"/>
  <c r="D48" i="14"/>
  <c r="E48" i="14"/>
  <c r="D53" i="14"/>
  <c r="E53" i="14"/>
  <c r="C53" i="14"/>
  <c r="C48" i="14"/>
  <c r="D51" i="14"/>
  <c r="E51" i="14"/>
  <c r="C51" i="14"/>
  <c r="G52" i="14"/>
  <c r="D52" i="14"/>
  <c r="E52" i="14"/>
  <c r="C52" i="14"/>
  <c r="G50" i="14"/>
  <c r="D50" i="14"/>
  <c r="E50" i="14"/>
  <c r="C50" i="14"/>
  <c r="G49" i="14"/>
  <c r="D49" i="14"/>
  <c r="E49" i="14"/>
  <c r="C49" i="14"/>
  <c r="D46" i="14"/>
  <c r="E46" i="14"/>
  <c r="C46" i="14"/>
  <c r="G46" i="14" s="1"/>
  <c r="G47" i="14"/>
  <c r="D47" i="14"/>
  <c r="E47" i="14"/>
  <c r="C47" i="14"/>
  <c r="D43" i="14"/>
  <c r="E43" i="14"/>
  <c r="C43" i="14"/>
  <c r="G45" i="14"/>
  <c r="D45" i="14"/>
  <c r="E45" i="14"/>
  <c r="C45" i="14"/>
  <c r="G44" i="14"/>
  <c r="E44" i="14"/>
  <c r="C44" i="14"/>
  <c r="D42" i="14"/>
  <c r="E42" i="14"/>
  <c r="G42" i="14" s="1"/>
  <c r="C42" i="14"/>
  <c r="G41" i="14"/>
  <c r="D41" i="14"/>
  <c r="E41" i="14"/>
  <c r="C41" i="14"/>
  <c r="G37" i="14"/>
  <c r="D37" i="14"/>
  <c r="E37" i="14"/>
  <c r="C37" i="14"/>
  <c r="G40" i="14"/>
  <c r="D40" i="14"/>
  <c r="E40" i="14"/>
  <c r="C40" i="14"/>
  <c r="G39" i="14"/>
  <c r="D39" i="14"/>
  <c r="E39" i="14"/>
  <c r="C39" i="14"/>
  <c r="C33" i="14"/>
  <c r="C32" i="14"/>
  <c r="E28" i="14"/>
  <c r="E29" i="14" s="1"/>
  <c r="D28" i="14"/>
  <c r="D29" i="14" s="1"/>
  <c r="C29" i="14"/>
  <c r="C28" i="14"/>
  <c r="C30" i="14" s="1"/>
  <c r="E33" i="14"/>
  <c r="D33" i="14"/>
  <c r="E27" i="14"/>
  <c r="E32" i="14"/>
  <c r="D27" i="14"/>
  <c r="C27" i="14"/>
  <c r="D32" i="14"/>
  <c r="D31" i="14"/>
  <c r="E31" i="14"/>
  <c r="C31" i="14"/>
  <c r="D26" i="14"/>
  <c r="E26" i="14"/>
  <c r="C26" i="14"/>
  <c r="D24" i="14"/>
  <c r="F24" i="14"/>
  <c r="D23" i="14"/>
  <c r="D21" i="14"/>
  <c r="D18" i="14"/>
  <c r="D9" i="14"/>
  <c r="E9" i="14"/>
  <c r="E15" i="14"/>
  <c r="E23" i="14" s="1"/>
  <c r="C15" i="14"/>
  <c r="C23" i="14" s="1"/>
  <c r="E14" i="14"/>
  <c r="E17" i="14" s="1"/>
  <c r="D14" i="14"/>
  <c r="D17" i="14" s="1"/>
  <c r="C14" i="14"/>
  <c r="C17" i="14" s="1"/>
  <c r="F56" i="3"/>
  <c r="F43" i="3"/>
  <c r="F35" i="3"/>
  <c r="F33" i="3"/>
  <c r="F22" i="3"/>
  <c r="F21" i="3"/>
  <c r="F16" i="3"/>
  <c r="F13" i="3"/>
  <c r="F8" i="3"/>
  <c r="F6" i="3"/>
  <c r="F3" i="3"/>
  <c r="E6" i="3"/>
  <c r="E58" i="3"/>
  <c r="E56" i="3"/>
  <c r="E43" i="3"/>
  <c r="E35" i="3"/>
  <c r="E33" i="3"/>
  <c r="G48" i="14" l="1"/>
  <c r="G51" i="14"/>
  <c r="G43" i="14"/>
  <c r="C20" i="14"/>
  <c r="G23" i="14"/>
  <c r="G31" i="14"/>
  <c r="E18" i="14"/>
  <c r="G17" i="14"/>
  <c r="E20" i="14"/>
  <c r="D20" i="14"/>
  <c r="G33" i="14"/>
  <c r="C21" i="14"/>
  <c r="G32" i="14"/>
  <c r="E21" i="14"/>
  <c r="C18" i="14"/>
  <c r="G18" i="14" s="1"/>
  <c r="G26" i="14"/>
  <c r="E30" i="14"/>
  <c r="G30" i="14" s="1"/>
  <c r="D30" i="14"/>
  <c r="G28" i="14"/>
  <c r="G27" i="14"/>
  <c r="F58" i="3"/>
  <c r="F57" i="3"/>
  <c r="G20" i="14" l="1"/>
  <c r="G21" i="14"/>
  <c r="G29" i="14"/>
  <c r="E57" i="3" l="1"/>
  <c r="E22" i="3"/>
  <c r="E21" i="3"/>
  <c r="E16" i="3" l="1"/>
  <c r="E13" i="3"/>
  <c r="E8" i="3"/>
  <c r="E3" i="3"/>
  <c r="C9" i="14"/>
  <c r="C16" i="14" s="1"/>
  <c r="E8" i="14"/>
  <c r="E10" i="14" s="1"/>
  <c r="C8" i="14"/>
  <c r="E7" i="14"/>
  <c r="C7" i="14"/>
  <c r="E6" i="14"/>
  <c r="C6" i="14"/>
  <c r="E5" i="14"/>
  <c r="C5" i="14"/>
  <c r="E4" i="14"/>
  <c r="C4" i="14"/>
  <c r="D26" i="5"/>
  <c r="B26" i="5"/>
  <c r="F26" i="5" s="1"/>
  <c r="D24" i="5"/>
  <c r="B24" i="5"/>
  <c r="D22" i="5"/>
  <c r="B22" i="5"/>
  <c r="D20" i="5"/>
  <c r="B20" i="5"/>
  <c r="D18" i="5"/>
  <c r="B18" i="5"/>
  <c r="D17" i="5"/>
  <c r="B17" i="5"/>
  <c r="D16" i="5"/>
  <c r="B16" i="5"/>
  <c r="F16" i="5" s="1"/>
  <c r="D15" i="5"/>
  <c r="B15" i="5"/>
  <c r="D13" i="5"/>
  <c r="B13" i="5"/>
  <c r="F13" i="5" s="1"/>
  <c r="D12" i="5"/>
  <c r="B12" i="5"/>
  <c r="C3" i="14" s="1"/>
  <c r="D10" i="5"/>
  <c r="B10" i="5"/>
  <c r="D8" i="5"/>
  <c r="B8" i="5"/>
  <c r="D7" i="5"/>
  <c r="B7" i="5"/>
  <c r="F7" i="5" s="1"/>
  <c r="D5" i="5"/>
  <c r="B5" i="5"/>
  <c r="D4" i="5"/>
  <c r="B4" i="5"/>
  <c r="D3" i="5"/>
  <c r="B3" i="5"/>
  <c r="D2" i="5"/>
  <c r="B2" i="5"/>
  <c r="B1" i="14"/>
  <c r="D20" i="3"/>
  <c r="B20" i="3"/>
  <c r="D139" i="1"/>
  <c r="B139" i="1"/>
  <c r="E2" i="14"/>
  <c r="C2" i="14"/>
  <c r="C34" i="3"/>
  <c r="C39" i="3"/>
  <c r="D39" i="3"/>
  <c r="B39" i="3"/>
  <c r="D2" i="3"/>
  <c r="F132" i="1"/>
  <c r="F133" i="1"/>
  <c r="F134" i="1"/>
  <c r="F131" i="1"/>
  <c r="F130" i="1"/>
  <c r="F129" i="1"/>
  <c r="F128" i="1"/>
  <c r="F127" i="1"/>
  <c r="F126" i="1"/>
  <c r="F124" i="1"/>
  <c r="F123" i="1"/>
  <c r="F122" i="1"/>
  <c r="F121" i="1"/>
  <c r="F120" i="1"/>
  <c r="F119" i="1"/>
  <c r="F117" i="1"/>
  <c r="F116" i="1"/>
  <c r="F114" i="1"/>
  <c r="F113" i="1"/>
  <c r="F112" i="1"/>
  <c r="F111" i="1"/>
  <c r="F110" i="1"/>
  <c r="F109" i="1"/>
  <c r="F108" i="1"/>
  <c r="F107" i="1"/>
  <c r="F106" i="1"/>
  <c r="F105" i="1"/>
  <c r="F103" i="1"/>
  <c r="F102" i="1"/>
  <c r="F101" i="1"/>
  <c r="F100" i="1"/>
  <c r="F97" i="1"/>
  <c r="F96" i="1"/>
  <c r="F95" i="1"/>
  <c r="F94" i="1"/>
  <c r="F93" i="1"/>
  <c r="F92" i="1"/>
  <c r="F90" i="1"/>
  <c r="F89" i="1"/>
  <c r="F88" i="1"/>
  <c r="F87" i="1"/>
  <c r="F86" i="1"/>
  <c r="F85" i="1"/>
  <c r="F83" i="1"/>
  <c r="F82" i="1"/>
  <c r="F81" i="1"/>
  <c r="F79" i="1"/>
  <c r="F78" i="1"/>
  <c r="F77" i="1"/>
  <c r="E73" i="1"/>
  <c r="F70" i="1"/>
  <c r="F69" i="1"/>
  <c r="F67" i="1"/>
  <c r="F66" i="1"/>
  <c r="F65" i="1"/>
  <c r="F64" i="1"/>
  <c r="F63" i="1"/>
  <c r="F62" i="1"/>
  <c r="F61" i="1"/>
  <c r="F59" i="1"/>
  <c r="F58" i="1"/>
  <c r="F57" i="1"/>
  <c r="F56" i="1"/>
  <c r="F55" i="1"/>
  <c r="F54" i="1"/>
  <c r="F52" i="1"/>
  <c r="F51" i="1"/>
  <c r="F50" i="1"/>
  <c r="F49" i="1"/>
  <c r="F48" i="1"/>
  <c r="F47" i="1"/>
  <c r="F46" i="1"/>
  <c r="F44" i="1"/>
  <c r="F43" i="1"/>
  <c r="F42" i="1"/>
  <c r="F41" i="1"/>
  <c r="F40" i="1"/>
  <c r="F39" i="1"/>
  <c r="F37" i="1"/>
  <c r="F35" i="1"/>
  <c r="F34" i="1"/>
  <c r="F33" i="1"/>
  <c r="F32" i="1"/>
  <c r="F31" i="1"/>
  <c r="F30" i="1"/>
  <c r="F29" i="1"/>
  <c r="F28" i="1"/>
  <c r="F26" i="1"/>
  <c r="F25" i="1"/>
  <c r="F24" i="1"/>
  <c r="F23" i="1"/>
  <c r="F22" i="1"/>
  <c r="F21" i="1"/>
  <c r="F19" i="1"/>
  <c r="F18" i="1"/>
  <c r="F16" i="1"/>
  <c r="F15" i="1"/>
  <c r="F14" i="1"/>
  <c r="F12" i="1"/>
  <c r="F11" i="1"/>
  <c r="F10" i="1"/>
  <c r="F9" i="1"/>
  <c r="F8" i="1"/>
  <c r="F7" i="1"/>
  <c r="F6" i="1"/>
  <c r="C73" i="1"/>
  <c r="B91" i="1"/>
  <c r="D91" i="1"/>
  <c r="D28" i="5"/>
  <c r="B28" i="5"/>
  <c r="F91" i="1"/>
  <c r="D45" i="1"/>
  <c r="D3" i="3"/>
  <c r="B118" i="1"/>
  <c r="D118" i="1"/>
  <c r="F118" i="1"/>
  <c r="B80" i="1"/>
  <c r="D125" i="1"/>
  <c r="D104" i="1"/>
  <c r="D99" i="1"/>
  <c r="D84" i="1"/>
  <c r="D80" i="1"/>
  <c r="D76" i="1"/>
  <c r="D73" i="1"/>
  <c r="D68" i="1"/>
  <c r="D60" i="1"/>
  <c r="D53" i="1"/>
  <c r="D38" i="1"/>
  <c r="D27" i="1"/>
  <c r="D20" i="1"/>
  <c r="D17" i="1"/>
  <c r="D13" i="1"/>
  <c r="D5" i="1"/>
  <c r="B125" i="1"/>
  <c r="B104" i="1"/>
  <c r="B99" i="1"/>
  <c r="B84" i="1"/>
  <c r="B76" i="1"/>
  <c r="B73" i="1"/>
  <c r="B68" i="1"/>
  <c r="B60" i="1"/>
  <c r="B53" i="1"/>
  <c r="B45" i="1"/>
  <c r="F45" i="1"/>
  <c r="B38" i="1"/>
  <c r="B27" i="1"/>
  <c r="B20" i="1"/>
  <c r="B17" i="1"/>
  <c r="B13" i="1"/>
  <c r="B5" i="1"/>
  <c r="B1" i="3"/>
  <c r="F99" i="1"/>
  <c r="F53" i="1"/>
  <c r="F17" i="1"/>
  <c r="F125" i="1"/>
  <c r="F84" i="1"/>
  <c r="F80" i="1"/>
  <c r="F38" i="1"/>
  <c r="F27" i="1"/>
  <c r="F20" i="1"/>
  <c r="F13" i="1"/>
  <c r="F104" i="1"/>
  <c r="F76" i="1"/>
  <c r="F68" i="1"/>
  <c r="F60" i="1"/>
  <c r="F5" i="1"/>
  <c r="D36" i="1"/>
  <c r="D98" i="1"/>
  <c r="B75" i="1"/>
  <c r="B98" i="1"/>
  <c r="B36" i="1"/>
  <c r="D75" i="1"/>
  <c r="B4" i="1"/>
  <c r="D4" i="1"/>
  <c r="D115" i="1"/>
  <c r="B115" i="1"/>
  <c r="F36" i="1"/>
  <c r="F115" i="1"/>
  <c r="F98" i="1"/>
  <c r="D74" i="1"/>
  <c r="B74" i="1"/>
  <c r="B135" i="1"/>
  <c r="F75" i="1"/>
  <c r="F4" i="1"/>
  <c r="D71" i="1"/>
  <c r="E4" i="1"/>
  <c r="B71" i="1"/>
  <c r="C4" i="1"/>
  <c r="E65" i="1"/>
  <c r="E26" i="1"/>
  <c r="E56" i="1"/>
  <c r="E34" i="1"/>
  <c r="E8" i="1"/>
  <c r="E68" i="1"/>
  <c r="E64" i="1"/>
  <c r="E51" i="1"/>
  <c r="E47" i="1"/>
  <c r="E38" i="1"/>
  <c r="E25" i="1"/>
  <c r="E21" i="1"/>
  <c r="E16" i="1"/>
  <c r="E67" i="1"/>
  <c r="E50" i="1"/>
  <c r="E46" i="1"/>
  <c r="E37" i="1"/>
  <c r="E15" i="1"/>
  <c r="E71" i="1"/>
  <c r="E58" i="1"/>
  <c r="E45" i="1"/>
  <c r="E36" i="1"/>
  <c r="E28" i="1"/>
  <c r="E10" i="1"/>
  <c r="E48" i="1"/>
  <c r="E43" i="1"/>
  <c r="E12" i="1"/>
  <c r="E59" i="1"/>
  <c r="E55" i="1"/>
  <c r="E42" i="1"/>
  <c r="E33" i="1"/>
  <c r="E29" i="1"/>
  <c r="E20" i="1"/>
  <c r="E11" i="1"/>
  <c r="E7" i="1"/>
  <c r="E63" i="1"/>
  <c r="E24" i="1"/>
  <c r="E54" i="1"/>
  <c r="E41" i="1"/>
  <c r="E32" i="1"/>
  <c r="E19" i="1"/>
  <c r="E6" i="1"/>
  <c r="E17" i="1"/>
  <c r="E30" i="1"/>
  <c r="E60" i="1"/>
  <c r="E66" i="1"/>
  <c r="E62" i="1"/>
  <c r="E53" i="1"/>
  <c r="E49" i="1"/>
  <c r="E27" i="1"/>
  <c r="E23" i="1"/>
  <c r="E14" i="1"/>
  <c r="E70" i="1"/>
  <c r="E57" i="1"/>
  <c r="E44" i="1"/>
  <c r="E40" i="1"/>
  <c r="E35" i="1"/>
  <c r="E31" i="1"/>
  <c r="E18" i="1"/>
  <c r="E13" i="1"/>
  <c r="E9" i="1"/>
  <c r="E61" i="1"/>
  <c r="E52" i="1"/>
  <c r="E22" i="1"/>
  <c r="E69" i="1"/>
  <c r="E39" i="1"/>
  <c r="E5" i="1"/>
  <c r="D135" i="1"/>
  <c r="F135" i="1"/>
  <c r="C129" i="1"/>
  <c r="C121" i="1"/>
  <c r="C113" i="1"/>
  <c r="C105" i="1"/>
  <c r="C97" i="1"/>
  <c r="C89" i="1"/>
  <c r="C81" i="1"/>
  <c r="C128" i="1"/>
  <c r="C120" i="1"/>
  <c r="C112" i="1"/>
  <c r="C104" i="1"/>
  <c r="C96" i="1"/>
  <c r="C88" i="1"/>
  <c r="C80" i="1"/>
  <c r="C135" i="1"/>
  <c r="C127" i="1"/>
  <c r="C119" i="1"/>
  <c r="C111" i="1"/>
  <c r="C103" i="1"/>
  <c r="C95" i="1"/>
  <c r="C87" i="1"/>
  <c r="C79" i="1"/>
  <c r="C125" i="1"/>
  <c r="C117" i="1"/>
  <c r="C93" i="1"/>
  <c r="C77" i="1"/>
  <c r="C134" i="1"/>
  <c r="C126" i="1"/>
  <c r="C118" i="1"/>
  <c r="C110" i="1"/>
  <c r="C102" i="1"/>
  <c r="C94" i="1"/>
  <c r="C86" i="1"/>
  <c r="C78" i="1"/>
  <c r="C133" i="1"/>
  <c r="C109" i="1"/>
  <c r="C85" i="1"/>
  <c r="C101" i="1"/>
  <c r="C132" i="1"/>
  <c r="C124" i="1"/>
  <c r="C116" i="1"/>
  <c r="C108" i="1"/>
  <c r="C100" i="1"/>
  <c r="C92" i="1"/>
  <c r="C84" i="1"/>
  <c r="C131" i="1"/>
  <c r="C123" i="1"/>
  <c r="C115" i="1"/>
  <c r="C107" i="1"/>
  <c r="C99" i="1"/>
  <c r="C91" i="1"/>
  <c r="C83" i="1"/>
  <c r="C130" i="1"/>
  <c r="C122" i="1"/>
  <c r="C114" i="1"/>
  <c r="C106" i="1"/>
  <c r="C98" i="1"/>
  <c r="C90" i="1"/>
  <c r="C82" i="1"/>
  <c r="C76" i="1"/>
  <c r="C75" i="1"/>
  <c r="F74" i="1"/>
  <c r="C74" i="1"/>
  <c r="C69" i="1"/>
  <c r="C61" i="1"/>
  <c r="C53" i="1"/>
  <c r="C45" i="1"/>
  <c r="C37" i="1"/>
  <c r="C29" i="1"/>
  <c r="C21" i="1"/>
  <c r="C13" i="1"/>
  <c r="C49" i="1"/>
  <c r="C25" i="1"/>
  <c r="C47" i="1"/>
  <c r="C7" i="1"/>
  <c r="F71" i="1"/>
  <c r="C62" i="1"/>
  <c r="C30" i="1"/>
  <c r="C68" i="1"/>
  <c r="C60" i="1"/>
  <c r="C52" i="1"/>
  <c r="C44" i="1"/>
  <c r="C36" i="1"/>
  <c r="C28" i="1"/>
  <c r="C20" i="1"/>
  <c r="C12" i="1"/>
  <c r="C57" i="1"/>
  <c r="C39" i="1"/>
  <c r="C14" i="1"/>
  <c r="C67" i="1"/>
  <c r="C59" i="1"/>
  <c r="C51" i="1"/>
  <c r="C43" i="1"/>
  <c r="C35" i="1"/>
  <c r="C27" i="1"/>
  <c r="C19" i="1"/>
  <c r="C11" i="1"/>
  <c r="C41" i="1"/>
  <c r="C9" i="1"/>
  <c r="C55" i="1"/>
  <c r="C15" i="1"/>
  <c r="C38" i="1"/>
  <c r="C66" i="1"/>
  <c r="C58" i="1"/>
  <c r="C50" i="1"/>
  <c r="C42" i="1"/>
  <c r="C34" i="1"/>
  <c r="C26" i="1"/>
  <c r="C18" i="1"/>
  <c r="C10" i="1"/>
  <c r="C33" i="1"/>
  <c r="C17" i="1"/>
  <c r="C71" i="1"/>
  <c r="C23" i="1"/>
  <c r="C46" i="1"/>
  <c r="C6" i="1"/>
  <c r="C65" i="1"/>
  <c r="C54" i="1"/>
  <c r="C64" i="1"/>
  <c r="C56" i="1"/>
  <c r="C48" i="1"/>
  <c r="C40" i="1"/>
  <c r="C32" i="1"/>
  <c r="C24" i="1"/>
  <c r="C16" i="1"/>
  <c r="C8" i="1"/>
  <c r="C63" i="1"/>
  <c r="C31" i="1"/>
  <c r="C70" i="1"/>
  <c r="C22" i="1"/>
  <c r="C5" i="1"/>
  <c r="B137" i="1"/>
  <c r="A1" i="5"/>
  <c r="A73" i="1"/>
  <c r="C54" i="3"/>
  <c r="B47" i="3"/>
  <c r="B51" i="3"/>
  <c r="D51" i="3"/>
  <c r="B2" i="3"/>
  <c r="A1" i="3"/>
  <c r="E74" i="1"/>
  <c r="D137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79" i="1"/>
  <c r="E114" i="1"/>
  <c r="E98" i="1"/>
  <c r="E82" i="1"/>
  <c r="E135" i="1"/>
  <c r="E137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106" i="1"/>
  <c r="E78" i="1"/>
  <c r="E118" i="1"/>
  <c r="E94" i="1"/>
  <c r="E134" i="1"/>
  <c r="E130" i="1"/>
  <c r="E126" i="1"/>
  <c r="E122" i="1"/>
  <c r="E110" i="1"/>
  <c r="E102" i="1"/>
  <c r="E90" i="1"/>
  <c r="E86" i="1"/>
  <c r="E80" i="1"/>
  <c r="E77" i="1"/>
  <c r="E117" i="1"/>
  <c r="E101" i="1"/>
  <c r="E93" i="1"/>
  <c r="E81" i="1"/>
  <c r="E133" i="1"/>
  <c r="E129" i="1"/>
  <c r="E125" i="1"/>
  <c r="E121" i="1"/>
  <c r="E113" i="1"/>
  <c r="E109" i="1"/>
  <c r="E105" i="1"/>
  <c r="E97" i="1"/>
  <c r="E89" i="1"/>
  <c r="E85" i="1"/>
  <c r="E76" i="1"/>
  <c r="E75" i="1"/>
  <c r="C137" i="1"/>
  <c r="B29" i="3"/>
  <c r="B43" i="3"/>
  <c r="B16" i="3"/>
  <c r="B13" i="3"/>
  <c r="B8" i="3"/>
  <c r="B3" i="3"/>
  <c r="D13" i="3"/>
  <c r="D43" i="3"/>
  <c r="D47" i="3"/>
  <c r="D29" i="3"/>
  <c r="D16" i="3"/>
  <c r="D8" i="3"/>
  <c r="D34" i="3"/>
  <c r="B35" i="3"/>
  <c r="B54" i="3"/>
  <c r="B34" i="3"/>
  <c r="D35" i="3"/>
  <c r="D54" i="3"/>
  <c r="D55" i="3"/>
  <c r="B55" i="3"/>
  <c r="B57" i="3"/>
  <c r="B59" i="3"/>
  <c r="B61" i="3"/>
  <c r="D57" i="3"/>
  <c r="D59" i="3"/>
  <c r="D61" i="3"/>
  <c r="C10" i="14" l="1"/>
  <c r="G10" i="14" s="1"/>
  <c r="G5" i="14"/>
  <c r="G8" i="14"/>
  <c r="G4" i="14"/>
  <c r="G7" i="14"/>
  <c r="G6" i="14"/>
  <c r="G9" i="14"/>
  <c r="C19" i="14"/>
  <c r="C22" i="14"/>
  <c r="C24" i="14"/>
  <c r="F24" i="5"/>
  <c r="F15" i="5"/>
  <c r="D6" i="5"/>
  <c r="E21" i="5" s="1"/>
  <c r="F17" i="5"/>
  <c r="F10" i="5"/>
  <c r="F22" i="5"/>
  <c r="F18" i="5"/>
  <c r="E24" i="5"/>
  <c r="E22" i="5"/>
  <c r="E16" i="5"/>
  <c r="E7" i="5"/>
  <c r="E3" i="5"/>
  <c r="F20" i="5"/>
  <c r="E12" i="5"/>
  <c r="E4" i="5"/>
  <c r="F8" i="5"/>
  <c r="F5" i="5"/>
  <c r="F12" i="5"/>
  <c r="F3" i="5"/>
  <c r="E17" i="5"/>
  <c r="E3" i="14"/>
  <c r="G3" i="14" s="1"/>
  <c r="B6" i="5"/>
  <c r="C5" i="5" s="1"/>
  <c r="E15" i="5"/>
  <c r="E10" i="5"/>
  <c r="E13" i="5"/>
  <c r="E8" i="5"/>
  <c r="E6" i="5"/>
  <c r="F4" i="5"/>
  <c r="E26" i="5"/>
  <c r="E28" i="5"/>
  <c r="E20" i="5"/>
  <c r="E5" i="5"/>
  <c r="E18" i="5" l="1"/>
  <c r="C8" i="5"/>
  <c r="D9" i="5"/>
  <c r="D11" i="5" s="1"/>
  <c r="C3" i="5"/>
  <c r="E23" i="5"/>
  <c r="C12" i="5"/>
  <c r="C15" i="5"/>
  <c r="B9" i="5"/>
  <c r="F9" i="5" s="1"/>
  <c r="E9" i="5"/>
  <c r="C7" i="5"/>
  <c r="C18" i="5"/>
  <c r="C13" i="5"/>
  <c r="G14" i="14"/>
  <c r="C16" i="5"/>
  <c r="C4" i="5"/>
  <c r="C28" i="5"/>
  <c r="C26" i="5"/>
  <c r="F6" i="5"/>
  <c r="C21" i="5"/>
  <c r="C17" i="5"/>
  <c r="C24" i="5"/>
  <c r="C6" i="5"/>
  <c r="C22" i="5"/>
  <c r="C10" i="5"/>
  <c r="C23" i="5"/>
  <c r="C20" i="5"/>
  <c r="G15" i="14"/>
  <c r="E11" i="5"/>
  <c r="D14" i="5"/>
  <c r="E38" i="14" s="1"/>
  <c r="C9" i="5" l="1"/>
  <c r="B11" i="5"/>
  <c r="C11" i="5"/>
  <c r="F11" i="5"/>
  <c r="B14" i="5"/>
  <c r="C38" i="14" s="1"/>
  <c r="G38" i="14" s="1"/>
  <c r="D19" i="5"/>
  <c r="E14" i="5"/>
  <c r="B19" i="5" l="1"/>
  <c r="C14" i="5"/>
  <c r="F14" i="5"/>
  <c r="D25" i="5"/>
  <c r="E19" i="5"/>
  <c r="C19" i="5" l="1"/>
  <c r="F19" i="5"/>
  <c r="B25" i="5"/>
  <c r="D27" i="5"/>
  <c r="E25" i="5"/>
  <c r="F25" i="5" l="1"/>
  <c r="B27" i="5"/>
  <c r="F27" i="5" s="1"/>
  <c r="C25" i="5"/>
  <c r="D29" i="5"/>
  <c r="E29" i="5" s="1"/>
  <c r="E27" i="5"/>
  <c r="C27" i="5" l="1"/>
  <c r="B29" i="5"/>
  <c r="C29" i="5" s="1"/>
  <c r="F29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tc={0149081F-A732-41DB-B5C1-5543219CABA1}</author>
    <author>tc={313BCF69-3E1E-4BB4-A2EB-161566FCF831}</author>
    <author>tc={E4CECE99-68F1-48A4-8CE9-A334189AA7C9}</author>
    <author>tc={46BBE22E-4DFE-479A-8604-CB28C8D98D13}</author>
    <author>tc={B17C355D-9D3C-40BD-A2E9-EE56B18D0A0D}</author>
    <author>tc={9D32D88B-EEE9-4CC7-9960-28777C52248E}</author>
    <author>tc={2AD2C4EA-3454-4CBA-9117-45BE4DB5D035}</author>
    <author>tc={407946BA-8F53-4071-8CD2-C604B7FE238C}</author>
    <author>tc={00FFED8C-6D63-47F9-BACD-831AFC6A4A37}</author>
    <author>tc={1EE6A6DF-33CD-4DB1-BCC1-B52322FB1294}</author>
    <author>tc={EFB70A62-E820-4B5F-AB37-5D295C70F893}</author>
  </authors>
  <commentList>
    <comment ref="A1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el modelo del PGC se incluye en 
6."Otro inmovilizado intangible"</t>
        </r>
      </text>
    </comment>
    <comment ref="A26" authorId="1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el modelo del PGC se incluye en 5.Otros activos financieros</t>
        </r>
      </text>
    </comment>
    <comment ref="A33" authorId="2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el modelo del PGC se incluye en 5.Otros activos financieros</t>
        </r>
      </text>
    </comment>
    <comment ref="A35" authorId="3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no aparece en el modelo de PGC</t>
        </r>
      </text>
    </comment>
    <comment ref="A59" authorId="4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el modelo del PGC se incluye en 5.Otros activos financieros</t>
        </r>
      </text>
    </comment>
    <comment ref="A66" authorId="5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el modelo del PGC se incluye en 5.Otros activos financieros</t>
        </r>
      </text>
    </comment>
    <comment ref="A92" authorId="6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modifica en 2021 por "Activos financieros a valor razonable con cambios en patrimonio neto"</t>
        </r>
      </text>
    </comment>
    <comment ref="A96" authorId="7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2021 se unifican los 3 últimos epígrafes en "III.Otros"</t>
        </r>
      </text>
    </comment>
    <comment ref="A113" authorId="8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no aparece en el modelo de PGC</t>
        </r>
      </text>
    </comment>
    <comment ref="A114" authorId="9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partida no aparece en el modelo del PGC</t>
        </r>
      </text>
    </comment>
    <comment ref="A134" authorId="1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partida no aparece en el modelo del PGC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tc={3B395834-503F-4B77-A0A2-E6C0BC959165}</author>
    <author>tc={55D702C3-8BBE-40FD-9681-00CB2B808FCD}</author>
    <author>tc={C1D151B9-A4F3-4F65-812C-DE9B9D68093C}</author>
  </authors>
  <commentList>
    <comment ref="A32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aparece en el modelo del PGC, aunque en el texto se dice que debe aparecer</t>
        </r>
      </text>
    </comment>
    <comment ref="A42" authorId="1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aparece en el modelo del PGC</t>
        </r>
      </text>
    </comment>
    <comment ref="A47" authorId="2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la actualización de 2021 se desglosa en:
a) Valor razonable con cambios en pérdidas y ganancias.
b) Transferencia de ajustes de valor razonable con cambios en el patrimonio neto.</t>
        </r>
      </text>
    </comment>
  </commentList>
</comments>
</file>

<file path=xl/sharedStrings.xml><?xml version="1.0" encoding="utf-8"?>
<sst xmlns="http://schemas.openxmlformats.org/spreadsheetml/2006/main" count="341" uniqueCount="307">
  <si>
    <t xml:space="preserve">A) ACTIVO NO CORRIENTE </t>
  </si>
  <si>
    <t xml:space="preserve">1. Desarrollo </t>
  </si>
  <si>
    <t xml:space="preserve">6. Investigación  </t>
  </si>
  <si>
    <t xml:space="preserve">2. Créditos a empresas </t>
  </si>
  <si>
    <t xml:space="preserve">3. Valores representativos de deuda </t>
  </si>
  <si>
    <t xml:space="preserve">4. Derivados </t>
  </si>
  <si>
    <t xml:space="preserve">5. Otros activos financieros </t>
  </si>
  <si>
    <t xml:space="preserve">6. Otras inversiones </t>
  </si>
  <si>
    <t xml:space="preserve">2. Créditos a terceros  </t>
  </si>
  <si>
    <t xml:space="preserve">VI. Activos por impuesto diferido </t>
  </si>
  <si>
    <t xml:space="preserve">VII. Deudas comerciales no corrientes </t>
  </si>
  <si>
    <t xml:space="preserve">B) ACTIVO CORRIENTE </t>
  </si>
  <si>
    <t xml:space="preserve">5. Subproductos, residuos y materiales recuperados </t>
  </si>
  <si>
    <t xml:space="preserve">1. Clientes por ventas y prestaciones de servicios  </t>
  </si>
  <si>
    <t xml:space="preserve">2. Clientes empresas del grupo y asociadas </t>
  </si>
  <si>
    <t xml:space="preserve">TOTAL ACTIVO (A + B) </t>
  </si>
  <si>
    <t xml:space="preserve">A) PATRIMONIO NETO </t>
  </si>
  <si>
    <t>A-1) FONDOS PROPIOS</t>
  </si>
  <si>
    <t>I. Capital</t>
  </si>
  <si>
    <t>1. Capital escriturado</t>
  </si>
  <si>
    <t>2. (Capital no exigido)</t>
  </si>
  <si>
    <t>II. Prima de emisión</t>
  </si>
  <si>
    <t>III. Reservas</t>
  </si>
  <si>
    <t>1. Legal y estaturias</t>
  </si>
  <si>
    <t>IV. (Acciones y participaciones en patrimonio propias)</t>
  </si>
  <si>
    <t>A-2) AJUSTES POR CAMBIO DE VALOR</t>
  </si>
  <si>
    <t xml:space="preserve">I. Activos financieros disponibles para la venta </t>
  </si>
  <si>
    <t xml:space="preserve">III. Activos no corrientes y pasivos vinculados, mantenidos para la venta </t>
  </si>
  <si>
    <t>A-3) SUBVENCIONES, DONACIONES Y LEGADOS RECIBIDOS</t>
  </si>
  <si>
    <t xml:space="preserve">B) PASIVO NO CORRIENTE </t>
  </si>
  <si>
    <t xml:space="preserve">3. Acreedores por arrendamiento financiero </t>
  </si>
  <si>
    <t xml:space="preserve">5. Otros pasivos financieros </t>
  </si>
  <si>
    <t xml:space="preserve">V. Periodificaciones a largo plazo </t>
  </si>
  <si>
    <t xml:space="preserve">VI. Acreedores comerciales no corrientes </t>
  </si>
  <si>
    <t xml:space="preserve">VII. Deuda con características especiales a largo plazo  </t>
  </si>
  <si>
    <t xml:space="preserve">C) PASIVO CORRIENTE </t>
  </si>
  <si>
    <t xml:space="preserve">1. Proveedores </t>
  </si>
  <si>
    <t xml:space="preserve">VII. Deuda con características especiales a corto plazo  </t>
  </si>
  <si>
    <t xml:space="preserve">TOTAL PATRIMONIO NETO Y PASIVO (A + B + C) </t>
  </si>
  <si>
    <t xml:space="preserve">1. Importe neto de la cifra de negocios </t>
  </si>
  <si>
    <t xml:space="preserve">a) Ventas </t>
  </si>
  <si>
    <t xml:space="preserve">b) Prestaciones de servicios </t>
  </si>
  <si>
    <t xml:space="preserve">3. Trabajos realizados por la empresa para su activo </t>
  </si>
  <si>
    <t xml:space="preserve">4. Aprovisionamientos </t>
  </si>
  <si>
    <t xml:space="preserve">a) Consumo de mercaderías </t>
  </si>
  <si>
    <t xml:space="preserve">b) Consumo de materias primas y otras materias consumibles </t>
  </si>
  <si>
    <t xml:space="preserve">c) Trabajos realizados por otras empresas </t>
  </si>
  <si>
    <t xml:space="preserve">d) Deterioro de mercaderías, materias primas y otros aprovisionamientos </t>
  </si>
  <si>
    <t xml:space="preserve">5. Otros ingresos de explotación </t>
  </si>
  <si>
    <t xml:space="preserve">a) Ingresos accesorios y otros de gestión corriente </t>
  </si>
  <si>
    <t xml:space="preserve">b) Subvenciones de explotación incorporadas al resultado del ejercicio </t>
  </si>
  <si>
    <t xml:space="preserve">6. Gastos de personal </t>
  </si>
  <si>
    <t xml:space="preserve">a) Sueldos, salarios y asimilados </t>
  </si>
  <si>
    <t xml:space="preserve">b) Cargas sociales </t>
  </si>
  <si>
    <t xml:space="preserve">c) Provisiones </t>
  </si>
  <si>
    <t xml:space="preserve">7. Otros gastos de explotación </t>
  </si>
  <si>
    <t xml:space="preserve">a) Servicios exteriores </t>
  </si>
  <si>
    <t xml:space="preserve">b) Tributos </t>
  </si>
  <si>
    <t xml:space="preserve">c) Pérdidas, deterioro y variación de provisiones por operaciones comerciales </t>
  </si>
  <si>
    <t xml:space="preserve">d) Otros gastos de gestión corriente </t>
  </si>
  <si>
    <t xml:space="preserve">8. Amortización del inmovilizado </t>
  </si>
  <si>
    <t xml:space="preserve">9. Imputación de subvenciones de inmovilizado no financiero y otras </t>
  </si>
  <si>
    <t xml:space="preserve">10. Excesos de provisiones </t>
  </si>
  <si>
    <t xml:space="preserve">11. Deterioro y resultado por enajenaciones del inmovilizado </t>
  </si>
  <si>
    <t xml:space="preserve">a) Deterioro y pérdidas </t>
  </si>
  <si>
    <t xml:space="preserve">b) Resultados por enajenaciones y otras </t>
  </si>
  <si>
    <t xml:space="preserve">12. Diferencia negativa de combinaciones de negocio </t>
  </si>
  <si>
    <t xml:space="preserve">13. Otros resultados </t>
  </si>
  <si>
    <t xml:space="preserve">14. Ingresos financieros </t>
  </si>
  <si>
    <t xml:space="preserve">a) De participaciones en instrumentos de patrimonio </t>
  </si>
  <si>
    <t xml:space="preserve">a 1) En empresas del grupo y asociadas </t>
  </si>
  <si>
    <t xml:space="preserve">a 2) En terceros </t>
  </si>
  <si>
    <t xml:space="preserve">b) De valores negociables y otros instrumentos financieros </t>
  </si>
  <si>
    <t xml:space="preserve">b 1) De empresas del grupo y asociadas </t>
  </si>
  <si>
    <t xml:space="preserve">b 2) De terceros </t>
  </si>
  <si>
    <t xml:space="preserve">c) Imputación de subvenciones, donaciones y legados de carácter financiero  </t>
  </si>
  <si>
    <t xml:space="preserve">15. Gastos financieros </t>
  </si>
  <si>
    <t xml:space="preserve">a) Por deudas con empresas del grupo y asociadas </t>
  </si>
  <si>
    <t xml:space="preserve">b) Por deudas con terceros </t>
  </si>
  <si>
    <t xml:space="preserve">c) Por actualización de provisiones </t>
  </si>
  <si>
    <t xml:space="preserve">16. Variación de valor razonable en instrumentos financieros </t>
  </si>
  <si>
    <t xml:space="preserve">a) Cartera de negociación y otros </t>
  </si>
  <si>
    <t xml:space="preserve">17. Diferencias de cambio </t>
  </si>
  <si>
    <t xml:space="preserve">a) Deterioros y pérdidas  </t>
  </si>
  <si>
    <t>A.2) RESULTADO FINANCIERO</t>
  </si>
  <si>
    <t xml:space="preserve">A.3) RESULTADO ANTES DE IMPUESTOS </t>
  </si>
  <si>
    <t xml:space="preserve">A.4) RESULTADO DEL EJERCICIO PROCEDENTE DE OPERACIONES CONTINUADAS </t>
  </si>
  <si>
    <t xml:space="preserve">20. Resultado del ejercicio por operaciones interrumpidas neto de impuestos  </t>
  </si>
  <si>
    <t xml:space="preserve">A.5) RESULTADO DEL EJERCICIO </t>
  </si>
  <si>
    <t>Importe neto de la cifra de negocios</t>
  </si>
  <si>
    <t>+ Otros ingresos de la explotación</t>
  </si>
  <si>
    <t>- Consumos de la explotación</t>
  </si>
  <si>
    <t>- Otros gastos de la explotación</t>
  </si>
  <si>
    <t>- Gastos de personal</t>
  </si>
  <si>
    <t>- Amortización del inmovilizado</t>
  </si>
  <si>
    <t>- Deterioro y variación de provisiones</t>
  </si>
  <si>
    <t>+ Ingresos financieros</t>
  </si>
  <si>
    <t>- Gastos financieros</t>
  </si>
  <si>
    <t>+/- Diferencias de cambio</t>
  </si>
  <si>
    <t>+/- Variación valor razonable en instrumentos financieros</t>
  </si>
  <si>
    <t>+ Imputación de subvenciones inmovilizado no financiero y otras</t>
  </si>
  <si>
    <t>+ Excesos de provisiones</t>
  </si>
  <si>
    <t>+/- Deterioro y resultado por enajenaciones del inmovilizado</t>
  </si>
  <si>
    <t>+/- Deterioro y resultado por enajenaciones de instrumentos financieros</t>
  </si>
  <si>
    <t>+/- Otros resultados</t>
  </si>
  <si>
    <t>- Impuesto sobre beneficios</t>
  </si>
  <si>
    <t>+/- Resultado del ejercicio por operaciones interrumpidas neto de impuestos</t>
  </si>
  <si>
    <t xml:space="preserve"> INGRESOS DE LA EXPLOTACIÓN</t>
  </si>
  <si>
    <t xml:space="preserve"> VALOR AÑADIDO DE LA EMPRESA (MARGEN BRUTO)</t>
  </si>
  <si>
    <t xml:space="preserve"> RESULTADO NETO DE LA EXPLOTACIÓN (RNE)</t>
  </si>
  <si>
    <t xml:space="preserve"> RESULTADO ACTIVIDADES ORDINARIAS</t>
  </si>
  <si>
    <t xml:space="preserve"> RESULTADO POR OPERACIONES CONTINUADAS ANTES DE IMPUESTOS</t>
  </si>
  <si>
    <t xml:space="preserve"> RESULTADO DEL EJERCICIO POR OPERACIONES CONTINUADAS</t>
  </si>
  <si>
    <t>RESULTADO DEL EJERCICIO</t>
  </si>
  <si>
    <t>Grado envejecimiento activo</t>
  </si>
  <si>
    <t>Nivel de endeudamiento</t>
  </si>
  <si>
    <t>Composición del endeudamiento</t>
  </si>
  <si>
    <t>Garantía</t>
  </si>
  <si>
    <t>Solvencia</t>
  </si>
  <si>
    <t>Fondo de Maniobra</t>
  </si>
  <si>
    <t>Necesidades Operativas de Financiación (NOF)</t>
  </si>
  <si>
    <t>Recursos Líquidos Netos (RLN)</t>
  </si>
  <si>
    <t>Rentabilidad financiera (fórmula larga)</t>
  </si>
  <si>
    <t>INDICADORES FINANCIEROS</t>
  </si>
  <si>
    <t>Subperiodo de almacenamiento</t>
  </si>
  <si>
    <t>Subperiodo de fabricación</t>
  </si>
  <si>
    <t>Subperiodo de cobro a clientes</t>
  </si>
  <si>
    <t>Subperiodo de pago a proveedores</t>
  </si>
  <si>
    <t>INDICADORES ECONÓMICOS</t>
  </si>
  <si>
    <t>CUENTA DE PÉRDIDAS Y GANANCIAS</t>
  </si>
  <si>
    <t>BALANCE DE SITUACIÓN</t>
  </si>
  <si>
    <t>II. Existencias</t>
  </si>
  <si>
    <t>III. Deudores comerciales y otras cuentas a cobrar</t>
  </si>
  <si>
    <t>V. Inversiones financieras a corto plazo</t>
  </si>
  <si>
    <t>VI. Periodificaciones a corto plazo</t>
  </si>
  <si>
    <t>VII. Efectivo y otros activos líquidos equivalentes</t>
  </si>
  <si>
    <t>V. Acreedores comerciales y otras cuentas a pagar</t>
  </si>
  <si>
    <t>Peso (%)</t>
  </si>
  <si>
    <t>Tasa variación (%)</t>
  </si>
  <si>
    <t xml:space="preserve">I. Inmovilizado intangible </t>
  </si>
  <si>
    <t xml:space="preserve">5. Aplicaciones informáticas </t>
  </si>
  <si>
    <t xml:space="preserve">3. Inmovilizado en curso y anticipos </t>
  </si>
  <si>
    <t>1. Terrenos</t>
  </si>
  <si>
    <t>2. Construcciones</t>
  </si>
  <si>
    <t>1. Instrumentos de patrimonio</t>
  </si>
  <si>
    <t>4. Personal</t>
  </si>
  <si>
    <t>5. Activos por impuesto corriente</t>
  </si>
  <si>
    <t>6. Otros créditos con las Administraciones públicas</t>
  </si>
  <si>
    <t>1. Tesorería</t>
  </si>
  <si>
    <t>2. Otras reservas</t>
  </si>
  <si>
    <t>I. Provisiones a largo plazo</t>
  </si>
  <si>
    <t>4. Otras provisiones</t>
  </si>
  <si>
    <t>2. Deudas con entidades de crédito</t>
  </si>
  <si>
    <t>IV. Pasivos por impuesto diferido</t>
  </si>
  <si>
    <t>3. Acreedores varios</t>
  </si>
  <si>
    <t>4. Personal (remuneraciones pendientes de pago)</t>
  </si>
  <si>
    <t>Subperiodo de pago a acreedores varios</t>
  </si>
  <si>
    <t xml:space="preserve"> RESULTADO BRUTO EXPLOTACIÓN (RBE)</t>
  </si>
  <si>
    <t>18. Deterioro y resultado por enajenaciones de instrumentos financieros</t>
  </si>
  <si>
    <t>1. Obligaciones por prestaciones a largo plazo al personal</t>
  </si>
  <si>
    <t>2. Actuaciones medioambientales</t>
  </si>
  <si>
    <t>3. Provisiones por reestructuración</t>
  </si>
  <si>
    <t>II. Deudas a largo plazo</t>
  </si>
  <si>
    <t>1. Obligaciones y otros valores negociables</t>
  </si>
  <si>
    <t xml:space="preserve">III. Deudas con empresas del grupo y asociadas a largo plazo </t>
  </si>
  <si>
    <t>I. Pasivos vinculados con activos no corrientes mantenidos para la venta</t>
  </si>
  <si>
    <t>II. Provisiones a corto plazo</t>
  </si>
  <si>
    <t>III. Deudas a corto plazo</t>
  </si>
  <si>
    <t xml:space="preserve">IV. Deudas con empresas del grupo y asociadas a corto plazo </t>
  </si>
  <si>
    <t xml:space="preserve">2. Proveedores, empresas del grupo y asociadas </t>
  </si>
  <si>
    <t>5. Pasivos por impuesto corriente</t>
  </si>
  <si>
    <t xml:space="preserve">6. Otras deudas con las Administraciones Públicas </t>
  </si>
  <si>
    <t>7. Anticipos de clientes</t>
  </si>
  <si>
    <t xml:space="preserve">3. Patentes, licencias, marcas y similares </t>
  </si>
  <si>
    <t xml:space="preserve">4. Fondo de comercio </t>
  </si>
  <si>
    <t xml:space="preserve">7. Otro inmovilizado intangible </t>
  </si>
  <si>
    <t>II. Inmovilizado material</t>
  </si>
  <si>
    <t>1. Terrenos y construcciones</t>
  </si>
  <si>
    <t>2. Instalaciones técnicas y otro inmovilizado material</t>
  </si>
  <si>
    <t>III. Inversiones inmobiliarias</t>
  </si>
  <si>
    <t>IV. Inversiones en empresas del grupo y asociadas a largo plazo</t>
  </si>
  <si>
    <t>V. Inversiones financieras a largo plazo</t>
  </si>
  <si>
    <t>I. Activos no corrientes mantenidos para la venta</t>
  </si>
  <si>
    <t>1. Comerciales</t>
  </si>
  <si>
    <t>2. Materias primas y otros aprovisionamientos</t>
  </si>
  <si>
    <t>3. Productos en curso</t>
  </si>
  <si>
    <t>4. Productos terminados</t>
  </si>
  <si>
    <t>6. Anticipos a proveedores</t>
  </si>
  <si>
    <t>3. Deudores varios</t>
  </si>
  <si>
    <t>7. Accionistas (socios) por desembolsos exigidos</t>
  </si>
  <si>
    <t>IV. Inversiones en empresas del grupo y asociadas a corto plazo</t>
  </si>
  <si>
    <t>2. Otros activos líquidos equivalentes</t>
  </si>
  <si>
    <t>V. Resultados de ejercicios anteriores</t>
  </si>
  <si>
    <t>1. Remanente</t>
  </si>
  <si>
    <t>2. (Resultados negativos de ejercicios anteriores)</t>
  </si>
  <si>
    <t>VI. Otras aportaciones de socios</t>
  </si>
  <si>
    <t>VII. Resultado del ejercicio</t>
  </si>
  <si>
    <t>VIII. (Dividendo a cuenta)</t>
  </si>
  <si>
    <t>IX. Otros instrumentos de patrimonio neto</t>
  </si>
  <si>
    <t xml:space="preserve">II. Operaciones de cobertura </t>
  </si>
  <si>
    <t xml:space="preserve">IV. Diferencia de conversión </t>
  </si>
  <si>
    <t>V. Otros</t>
  </si>
  <si>
    <t xml:space="preserve">2. Concesiones </t>
  </si>
  <si>
    <t>2. Variación de existencias de productos terminados y en curso de fabricación</t>
  </si>
  <si>
    <t xml:space="preserve">b) Imputación al resultado del ejercicio por activos financieros disponibles para la venta </t>
  </si>
  <si>
    <t>19. Impuestos sobre beneficios</t>
  </si>
  <si>
    <t>Datos en Euros</t>
  </si>
  <si>
    <t xml:space="preserve">CHOCOLATES VALOR, S.A. </t>
  </si>
  <si>
    <t xml:space="preserve">A.1) RESULTADO DE EXPLOTACIÓN </t>
  </si>
  <si>
    <t>Subperiodo de venta (empresa industrial)</t>
  </si>
  <si>
    <t>Subperiodo de venta (empresa comercial)</t>
  </si>
  <si>
    <t>CONTROL RESULTADO BALANCE-PÉRDIDAS Y GANANCIAS</t>
  </si>
  <si>
    <t>Peso
(%)</t>
  </si>
  <si>
    <t>CUENTA DE PÉRDIDAS Y GANANCIAS FUNCIONAL (Datos en euros)</t>
  </si>
  <si>
    <t>Tasa variación
(%)</t>
  </si>
  <si>
    <t>Variación de existencias de productos terminados y en curso de fabricación</t>
  </si>
  <si>
    <t>AMORTIZACIÓN ACUMULADA</t>
  </si>
  <si>
    <t>Inmovilizado Intangible</t>
  </si>
  <si>
    <t>Inmovilizado Material</t>
  </si>
  <si>
    <t>Subperiodo de venta (empresa industrial + comercial)</t>
  </si>
  <si>
    <t>Capacidad devolución deuda total (con FGO antes Intereses e Impuestos)
(Dato obtenido del EFE)</t>
  </si>
  <si>
    <t>Capacidad devolución deuda total (con FGO)
(Dato obtenido del EFE)</t>
  </si>
  <si>
    <t>Capacidad devolución deuda total (con FEAE)
(Dato obtenido del EFE)</t>
  </si>
  <si>
    <t>Rentabilidad económica de explotación
(Calculada con la cuenta de PyG funcional)</t>
  </si>
  <si>
    <t>Rotación del activo de explotación
(Calculado con la cuenta de PyG funcional)</t>
  </si>
  <si>
    <t>Margen de explotación
(Calculado con la cuenta de PyG funcional)</t>
  </si>
  <si>
    <t>Rentabilidad económica global o total
(Calculado cuenta de PyG funcional)</t>
  </si>
  <si>
    <t>Coste del endeudamiento
(Calculado cuenta de PyG funcional)</t>
  </si>
  <si>
    <t>Rentabilidad financiera (fórmula corta)</t>
  </si>
  <si>
    <t>Tasa impositiva efectiva (en tanto por 1)</t>
  </si>
  <si>
    <t>Coste financiación no propia</t>
  </si>
  <si>
    <t>e) Gastos por emisión de gases de efecto invernadero</t>
  </si>
  <si>
    <t>Fondos Generados por Operaciones (FGO) antes de Intereses e Impuestos
(Dato obtenido del EFE)</t>
  </si>
  <si>
    <t>Tiempo de devolución deuda total (FGO)
(Dato obtenido del EFE)</t>
  </si>
  <si>
    <r>
      <t>Tiempo de devolución deuda total (FEAE)</t>
    </r>
    <r>
      <rPr>
        <sz val="11"/>
        <rFont val="Calibri"/>
        <family val="2"/>
        <scheme val="minor"/>
      </rPr>
      <t xml:space="preserve">
(Dato obtenido del EFE)</t>
    </r>
  </si>
  <si>
    <r>
      <t>Capacidad devolución</t>
    </r>
    <r>
      <rPr>
        <sz val="11"/>
        <color rgb="FF000000"/>
        <rFont val="Calibri"/>
        <family val="2"/>
        <scheme val="minor"/>
      </rPr>
      <t xml:space="preserve"> deuda c/p</t>
    </r>
    <r>
      <rPr>
        <sz val="11"/>
        <color indexed="8"/>
        <rFont val="Calibri"/>
        <family val="2"/>
        <scheme val="minor"/>
      </rPr>
      <t xml:space="preserve"> (con FGO antes Intereses e Impuestos)
(Dato obtenido del EFE)</t>
    </r>
  </si>
  <si>
    <r>
      <t xml:space="preserve">Capacidad devolución </t>
    </r>
    <r>
      <rPr>
        <sz val="11"/>
        <color rgb="FF000000"/>
        <rFont val="Calibri"/>
        <family val="2"/>
        <scheme val="minor"/>
      </rPr>
      <t>deuda c/p</t>
    </r>
    <r>
      <rPr>
        <sz val="11"/>
        <color indexed="8"/>
        <rFont val="Calibri"/>
        <family val="2"/>
        <scheme val="minor"/>
      </rPr>
      <t xml:space="preserve"> (con FGO)
(Dato obtenido del EFE)</t>
    </r>
  </si>
  <si>
    <r>
      <t xml:space="preserve">Capacidad devolución </t>
    </r>
    <r>
      <rPr>
        <sz val="11"/>
        <color rgb="FF000000"/>
        <rFont val="Calibri"/>
        <family val="2"/>
        <scheme val="minor"/>
      </rPr>
      <t>deuda c/p</t>
    </r>
    <r>
      <rPr>
        <sz val="11"/>
        <color indexed="8"/>
        <rFont val="Calibri"/>
        <family val="2"/>
        <scheme val="minor"/>
      </rPr>
      <t xml:space="preserve"> (con FEAE)
(Dato obtenido del EFE)</t>
    </r>
  </si>
  <si>
    <t>Fondos Generados por Operaciones (FGO) antes de Intereses e Impuestos
(Para su elaboración cuando no se dispone del EFE)
CALCULADO CON PYG FUNCIONAL</t>
  </si>
  <si>
    <t>Fondos Generados por Operaciones (FGO)
(Para su elaboración cuando no se dispone del EFE)
CALCULADO CON PYG FUNCIONAL</t>
  </si>
  <si>
    <r>
      <t>Fondos Generados por Operaciones (FGO)
(Dato obtenido</t>
    </r>
    <r>
      <rPr>
        <sz val="11"/>
        <color rgb="FF000000"/>
        <rFont val="Calibri"/>
        <family val="2"/>
        <scheme val="minor"/>
      </rPr>
      <t xml:space="preserve"> del EFE</t>
    </r>
    <r>
      <rPr>
        <sz val="11"/>
        <color indexed="8"/>
        <rFont val="Calibri"/>
        <family val="2"/>
        <scheme val="minor"/>
      </rPr>
      <t>)</t>
    </r>
  </si>
  <si>
    <r>
      <t xml:space="preserve">Flujos de Efectivo de las Actividades de Explotación (FEAE)
(Dato obtenido del </t>
    </r>
    <r>
      <rPr>
        <sz val="11"/>
        <color rgb="FF000000"/>
        <rFont val="Calibri"/>
        <family val="2"/>
        <scheme val="minor"/>
      </rPr>
      <t>EFE</t>
    </r>
    <r>
      <rPr>
        <sz val="11"/>
        <color indexed="8"/>
        <rFont val="Calibri"/>
        <family val="2"/>
        <scheme val="minor"/>
      </rPr>
      <t>)</t>
    </r>
  </si>
  <si>
    <r>
      <t>Flujos de Efectivo de las Actividades de Explotación (FEAE)
(</t>
    </r>
    <r>
      <rPr>
        <sz val="11"/>
        <color rgb="FF000000"/>
        <rFont val="Calibri"/>
        <family val="2"/>
        <scheme val="minor"/>
      </rPr>
      <t>Para su elaboración cuando no se dispone del EFE</t>
    </r>
    <r>
      <rPr>
        <sz val="11"/>
        <color indexed="8"/>
        <rFont val="Calibri"/>
        <family val="2"/>
        <scheme val="minor"/>
      </rPr>
      <t>)</t>
    </r>
  </si>
  <si>
    <t>A.N.C (26%)</t>
  </si>
  <si>
    <t>A.C (74%)</t>
  </si>
  <si>
    <t>Exist (13%)</t>
  </si>
  <si>
    <t>Efectivo (34,5%)</t>
  </si>
  <si>
    <t>Deudores (23%)</t>
  </si>
  <si>
    <t>IF c/p (2,7%)</t>
  </si>
  <si>
    <t>A.C.F (37%)</t>
  </si>
  <si>
    <t xml:space="preserve"> --&gt; Este ya esta pagado</t>
  </si>
  <si>
    <t xml:space="preserve"> --&gt; Tengo que ahorrar para pagar esto.</t>
  </si>
  <si>
    <t>CHOCOLATES VALOR, S.A.</t>
  </si>
  <si>
    <t>Tasa variación</t>
  </si>
  <si>
    <t>Variación absoluta</t>
  </si>
  <si>
    <t>SUBPERIODO DE ALMACENAMIENTO</t>
  </si>
  <si>
    <t>Saldo materias primas finales</t>
  </si>
  <si>
    <t>Consumos materias primas</t>
  </si>
  <si>
    <t>SUBPERIODO DE FABRICACIÓN</t>
  </si>
  <si>
    <t>Saldo productos en curso finales</t>
  </si>
  <si>
    <t>Coste producción terminada</t>
  </si>
  <si>
    <t>SUBPERIODO DE VENTA (industrial + comercial)</t>
  </si>
  <si>
    <t>Saldo productos terminados finales + Saldo mercaderías</t>
  </si>
  <si>
    <t>Coste producción vendida + Consumos mercaderías</t>
  </si>
  <si>
    <t>SUBPERIODO DE COBRO A CLIENTES</t>
  </si>
  <si>
    <t>Saldo clientes netos final ejercicio</t>
  </si>
  <si>
    <t>Cobros por ventas</t>
  </si>
  <si>
    <t>PERIODO MEDIO DE MADURACIÓN</t>
  </si>
  <si>
    <t>SUBPERIODO DE PAGO A PROVEEDORES</t>
  </si>
  <si>
    <t>Saldo proveedores</t>
  </si>
  <si>
    <t>Pagos por compras</t>
  </si>
  <si>
    <t>PERIODO MADURACIÓN FINANCIERO</t>
  </si>
  <si>
    <t>Subperiodo pago a acreedores</t>
  </si>
  <si>
    <t>Saldo acreedores varios</t>
  </si>
  <si>
    <t>Pagos por gastos explotación</t>
  </si>
  <si>
    <t>Conclusión</t>
  </si>
  <si>
    <t>Fórmulas</t>
  </si>
  <si>
    <t>Estan muy envejecidos, por lo que habria que decir que estan muy deteriorados y la posibilidad de renovarlos</t>
  </si>
  <si>
    <t>Como es mayor que 1, quiere decir que la empresa si vendiese todo los activos seria capaz de devolver todas las deudas.</t>
  </si>
  <si>
    <t>Como es mayor que 1, podemos comentar que los activos corrientes son capaces de devolver las deudas a c/p.</t>
  </si>
  <si>
    <t>Como el FM sale (+) quiere decir que los recursos permanentes son capaces de financiar el Activo Corriente.</t>
  </si>
  <si>
    <t>Son positivas, quiere decir que hay una parte del ciclo de explotacion que son financiadas por las NOF, no solo los proveedores.</t>
  </si>
  <si>
    <t>Como los RLN son negativos quiere decir que la financiacion basica (P.N+P.N.C) no es suficiente para financiar los activos de explotacion por lo que intervienes estos.</t>
  </si>
  <si>
    <t>FEAE (TGO) ==&gt; FGO - 4 NOF</t>
  </si>
  <si>
    <t>Como son menores que 1, quiere decir que no podria financiar dichas deudas con el FGO antes de impuestos.</t>
  </si>
  <si>
    <t>Como son menores que 1, quiere decir que no podria financiar dichas deudas con el FGO.</t>
  </si>
  <si>
    <t>Como son menores que 1, quiere decir que no podria financiar dichas deudas con el FEAE</t>
  </si>
  <si>
    <t>Como la Rentabilidad Global es mayor que la Rentabilidad Economica de Explotacion podemos decir que sale mas rentable utilizar tambien actividades ajenas de la expplotacion porque aumentaria nuestro rendimiento</t>
  </si>
  <si>
    <t>Me he es rentable ya que el coste de endeudamiento es menor que la rentabilidad economica global, entonces sacariamos beneficios.</t>
  </si>
  <si>
    <t>Preguntar tirado cual es el valor de aquí.</t>
  </si>
  <si>
    <t>Preguntar a Tirado que valores tengo que coger</t>
  </si>
  <si>
    <t>Como nos sale menor que 1 quiere decir que el pasivo es menor que el patrimonio neto por lo que la empresa se basa en una financiacion propia.</t>
  </si>
  <si>
    <t>Como es menor que 1 quiere decir que nuestras deudas se basan en el c/p.</t>
  </si>
  <si>
    <t>Metodo Directo (2019)</t>
  </si>
  <si>
    <t>FGO Antes de Impuestos</t>
  </si>
  <si>
    <t>FGO</t>
  </si>
  <si>
    <t>Cuando dice por EFE a que se refiere?</t>
  </si>
  <si>
    <t>Resultados Netos Explotacion</t>
  </si>
  <si>
    <t>Activo explotacion</t>
  </si>
  <si>
    <t>Ingresos de la explotacion</t>
  </si>
  <si>
    <t>BAIT = R. antes de impuestos+Gastos financieros</t>
  </si>
  <si>
    <t>Fondos Ajenos</t>
  </si>
  <si>
    <t>Efecto apalancamiento financiero (leverage)</t>
  </si>
  <si>
    <t>Fondos Propios</t>
  </si>
  <si>
    <t>NO SE PUEDE</t>
  </si>
  <si>
    <t>Hemos periodo capacidad de devolucion de las deudas con lo que generamos antes de impuesto</t>
  </si>
  <si>
    <t>Coste Produccion Terminada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</si>
</sst>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\ _€_-;\-* #,##0.00\ _€_-;_-* &quot;-&quot;??\ _€_-;_-@_-"/>
    <numFmt numFmtId="165" formatCode="#,##0_);\(#,##0\)"/>
    <numFmt numFmtId="166" formatCode="General_)"/>
    <numFmt numFmtId="167" formatCode="0.0%"/>
    <numFmt numFmtId="168" formatCode="0.0%;\(0.0%\)"/>
    <numFmt numFmtId="169" formatCode="0.00%;\(0.00%\)"/>
    <numFmt numFmtId="170" formatCode="0.000%"/>
    <numFmt numFmtId="171" formatCode="0.0000"/>
    <numFmt numFmtId="172" formatCode="0.000"/>
    <numFmt numFmtId="173" formatCode="0.0000000"/>
    <numFmt numFmtId="174" formatCode="0.00000000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</font>
    <font>
      <sz val="12"/>
      <color theme="1"/>
      <name val="Arial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</font>
    <font>
      <b/>
      <sz val="11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3">
    <xf numFmtId="0" fontId="0" fillId="0" borderId="0"/>
    <xf numFmtId="9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47">
    <xf numFmtId="0" fontId="0" fillId="0" borderId="0" xfId="0"/>
    <xf numFmtId="165" fontId="1" fillId="0" borderId="0" xfId="0" applyNumberFormat="1" applyFont="1"/>
    <xf numFmtId="0" fontId="0" fillId="0" borderId="1" xfId="0" applyBorder="1"/>
    <xf numFmtId="0" fontId="4" fillId="0" borderId="1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7" borderId="1" xfId="0" applyFill="1" applyBorder="1"/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/>
    </xf>
    <xf numFmtId="3" fontId="0" fillId="0" borderId="0" xfId="0" applyNumberFormat="1" applyAlignment="1">
      <alignment horizontal="right"/>
    </xf>
    <xf numFmtId="3" fontId="4" fillId="0" borderId="1" xfId="2" applyNumberFormat="1" applyFont="1" applyBorder="1" applyAlignment="1">
      <alignment horizontal="right"/>
    </xf>
    <xf numFmtId="0" fontId="15" fillId="0" borderId="0" xfId="0" applyFont="1" applyAlignment="1">
      <alignment vertical="center"/>
    </xf>
    <xf numFmtId="165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4" fontId="0" fillId="0" borderId="2" xfId="2" applyNumberFormat="1" applyFont="1" applyBorder="1" applyAlignment="1">
      <alignment horizontal="right"/>
    </xf>
    <xf numFmtId="4" fontId="0" fillId="0" borderId="1" xfId="2" applyNumberFormat="1" applyFont="1" applyBorder="1" applyAlignment="1">
      <alignment horizontal="right"/>
    </xf>
    <xf numFmtId="4" fontId="4" fillId="0" borderId="1" xfId="2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5" borderId="1" xfId="2" applyNumberFormat="1" applyFont="1" applyFill="1" applyBorder="1" applyAlignment="1">
      <alignment horizontal="right"/>
    </xf>
    <xf numFmtId="4" fontId="3" fillId="3" borderId="1" xfId="2" applyNumberFormat="1" applyFont="1" applyFill="1" applyBorder="1" applyAlignment="1">
      <alignment horizontal="right" vertical="center"/>
    </xf>
    <xf numFmtId="0" fontId="5" fillId="0" borderId="0" xfId="0" applyFont="1"/>
    <xf numFmtId="0" fontId="5" fillId="5" borderId="1" xfId="0" applyFont="1" applyFill="1" applyBorder="1"/>
    <xf numFmtId="0" fontId="5" fillId="0" borderId="1" xfId="0" applyFont="1" applyBorder="1" applyAlignment="1">
      <alignment horizontal="left" indent="3"/>
    </xf>
    <xf numFmtId="0" fontId="16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indent="5"/>
    </xf>
    <xf numFmtId="0" fontId="3" fillId="4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10" fontId="0" fillId="7" borderId="1" xfId="1" applyNumberFormat="1" applyFont="1" applyFill="1" applyBorder="1" applyAlignment="1">
      <alignment horizontal="right"/>
    </xf>
    <xf numFmtId="10" fontId="0" fillId="0" borderId="2" xfId="1" applyNumberFormat="1" applyFont="1" applyBorder="1" applyAlignment="1">
      <alignment horizontal="right"/>
    </xf>
    <xf numFmtId="10" fontId="0" fillId="0" borderId="1" xfId="1" applyNumberFormat="1" applyFont="1" applyBorder="1" applyAlignment="1">
      <alignment horizontal="right"/>
    </xf>
    <xf numFmtId="10" fontId="0" fillId="0" borderId="4" xfId="1" applyNumberFormat="1" applyFont="1" applyBorder="1" applyAlignment="1">
      <alignment horizontal="right"/>
    </xf>
    <xf numFmtId="10" fontId="0" fillId="7" borderId="5" xfId="1" applyNumberFormat="1" applyFont="1" applyFill="1" applyBorder="1" applyAlignment="1">
      <alignment horizontal="right"/>
    </xf>
    <xf numFmtId="10" fontId="0" fillId="0" borderId="4" xfId="1" applyNumberFormat="1" applyFont="1" applyFill="1" applyBorder="1" applyAlignment="1">
      <alignment horizontal="right"/>
    </xf>
    <xf numFmtId="10" fontId="6" fillId="4" borderId="5" xfId="1" applyNumberFormat="1" applyFont="1" applyFill="1" applyBorder="1" applyAlignment="1">
      <alignment horizontal="right" vertical="center"/>
    </xf>
    <xf numFmtId="10" fontId="0" fillId="7" borderId="1" xfId="2" applyNumberFormat="1" applyFont="1" applyFill="1" applyBorder="1" applyAlignment="1">
      <alignment horizontal="right"/>
    </xf>
    <xf numFmtId="10" fontId="5" fillId="0" borderId="1" xfId="2" applyNumberFormat="1" applyFont="1" applyBorder="1" applyAlignment="1">
      <alignment horizontal="right"/>
    </xf>
    <xf numFmtId="10" fontId="0" fillId="0" borderId="1" xfId="2" applyNumberFormat="1" applyFont="1" applyBorder="1" applyAlignment="1">
      <alignment horizontal="right"/>
    </xf>
    <xf numFmtId="10" fontId="5" fillId="7" borderId="1" xfId="2" applyNumberFormat="1" applyFont="1" applyFill="1" applyBorder="1" applyAlignment="1">
      <alignment horizontal="right"/>
    </xf>
    <xf numFmtId="10" fontId="17" fillId="6" borderId="1" xfId="2" applyNumberFormat="1" applyFont="1" applyFill="1" applyBorder="1" applyAlignment="1">
      <alignment horizontal="right" vertical="center"/>
    </xf>
    <xf numFmtId="10" fontId="6" fillId="4" borderId="5" xfId="2" applyNumberFormat="1" applyFont="1" applyFill="1" applyBorder="1" applyAlignment="1">
      <alignment horizontal="right" vertical="center"/>
    </xf>
    <xf numFmtId="10" fontId="0" fillId="7" borderId="1" xfId="2" applyNumberFormat="1" applyFont="1" applyFill="1" applyBorder="1" applyAlignment="1">
      <alignment horizontal="right" vertical="center"/>
    </xf>
    <xf numFmtId="10" fontId="5" fillId="0" borderId="1" xfId="2" applyNumberFormat="1" applyFont="1" applyBorder="1" applyAlignment="1">
      <alignment horizontal="right" vertical="center"/>
    </xf>
    <xf numFmtId="10" fontId="0" fillId="7" borderId="1" xfId="1" applyNumberFormat="1" applyFont="1" applyFill="1" applyBorder="1" applyAlignment="1">
      <alignment horizontal="right" vertical="center"/>
    </xf>
    <xf numFmtId="10" fontId="5" fillId="0" borderId="1" xfId="1" applyNumberFormat="1" applyFont="1" applyBorder="1" applyAlignment="1">
      <alignment horizontal="right" vertical="center"/>
    </xf>
    <xf numFmtId="10" fontId="5" fillId="0" borderId="1" xfId="1" applyNumberFormat="1" applyFont="1" applyFill="1" applyBorder="1" applyAlignment="1">
      <alignment horizontal="right" vertical="center"/>
    </xf>
    <xf numFmtId="3" fontId="5" fillId="0" borderId="1" xfId="2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indent="1"/>
    </xf>
    <xf numFmtId="0" fontId="18" fillId="0" borderId="0" xfId="0" applyFont="1" applyAlignment="1">
      <alignment vertical="center"/>
    </xf>
    <xf numFmtId="14" fontId="3" fillId="0" borderId="1" xfId="0" applyNumberFormat="1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right" vertical="center"/>
    </xf>
    <xf numFmtId="10" fontId="17" fillId="6" borderId="1" xfId="1" applyNumberFormat="1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left" vertical="center" wrapText="1"/>
    </xf>
    <xf numFmtId="0" fontId="5" fillId="8" borderId="0" xfId="0" applyFont="1" applyFill="1"/>
    <xf numFmtId="4" fontId="0" fillId="8" borderId="0" xfId="0" applyNumberFormat="1" applyFill="1" applyAlignment="1">
      <alignment horizontal="right"/>
    </xf>
    <xf numFmtId="3" fontId="0" fillId="0" borderId="4" xfId="2" applyNumberFormat="1" applyFont="1" applyFill="1" applyBorder="1" applyAlignment="1">
      <alignment horizontal="right"/>
    </xf>
    <xf numFmtId="3" fontId="5" fillId="0" borderId="1" xfId="2" applyNumberFormat="1" applyFont="1" applyFill="1" applyBorder="1" applyAlignment="1">
      <alignment horizontal="right"/>
    </xf>
    <xf numFmtId="3" fontId="0" fillId="0" borderId="1" xfId="2" applyNumberFormat="1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0" fontId="11" fillId="0" borderId="1" xfId="0" applyFont="1" applyBorder="1"/>
    <xf numFmtId="3" fontId="11" fillId="0" borderId="1" xfId="0" applyNumberFormat="1" applyFont="1" applyBorder="1" applyAlignment="1">
      <alignment horizontal="right"/>
    </xf>
    <xf numFmtId="3" fontId="5" fillId="7" borderId="1" xfId="2" applyNumberFormat="1" applyFont="1" applyFill="1" applyBorder="1" applyAlignment="1">
      <alignment horizontal="right" vertical="center"/>
    </xf>
    <xf numFmtId="10" fontId="5" fillId="7" borderId="1" xfId="1" applyNumberFormat="1" applyFont="1" applyFill="1" applyBorder="1" applyAlignment="1">
      <alignment horizontal="right" vertical="center"/>
    </xf>
    <xf numFmtId="0" fontId="0" fillId="0" borderId="3" xfId="0" applyBorder="1"/>
    <xf numFmtId="0" fontId="12" fillId="0" borderId="0" xfId="0" applyFont="1" applyAlignment="1">
      <alignment horizontal="left" vertical="center"/>
    </xf>
    <xf numFmtId="3" fontId="0" fillId="0" borderId="0" xfId="0" applyNumberFormat="1"/>
    <xf numFmtId="0" fontId="0" fillId="0" borderId="3" xfId="0" applyBorder="1" applyAlignment="1">
      <alignment vertical="center"/>
    </xf>
    <xf numFmtId="3" fontId="0" fillId="5" borderId="1" xfId="2" applyNumberFormat="1" applyFont="1" applyFill="1" applyBorder="1" applyAlignment="1">
      <alignment horizontal="right"/>
    </xf>
    <xf numFmtId="3" fontId="0" fillId="0" borderId="1" xfId="2" applyNumberFormat="1" applyFont="1" applyBorder="1" applyAlignment="1">
      <alignment horizontal="right"/>
    </xf>
    <xf numFmtId="3" fontId="3" fillId="3" borderId="1" xfId="2" applyNumberFormat="1" applyFont="1" applyFill="1" applyBorder="1" applyAlignment="1">
      <alignment horizontal="right" vertical="center"/>
    </xf>
    <xf numFmtId="3" fontId="0" fillId="0" borderId="2" xfId="2" applyNumberFormat="1" applyFont="1" applyBorder="1" applyAlignment="1">
      <alignment horizontal="right"/>
    </xf>
    <xf numFmtId="3" fontId="0" fillId="8" borderId="0" xfId="0" applyNumberFormat="1" applyFill="1" applyAlignment="1">
      <alignment horizontal="right"/>
    </xf>
    <xf numFmtId="3" fontId="6" fillId="4" borderId="5" xfId="2" applyNumberFormat="1" applyFont="1" applyFill="1" applyBorder="1" applyAlignment="1">
      <alignment horizontal="right" vertical="center"/>
    </xf>
    <xf numFmtId="3" fontId="0" fillId="7" borderId="1" xfId="2" applyNumberFormat="1" applyFont="1" applyFill="1" applyBorder="1" applyAlignment="1">
      <alignment horizontal="right"/>
    </xf>
    <xf numFmtId="3" fontId="0" fillId="0" borderId="4" xfId="2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17" fillId="6" borderId="1" xfId="2" applyNumberFormat="1" applyFont="1" applyFill="1" applyBorder="1" applyAlignment="1">
      <alignment horizontal="right" vertical="center"/>
    </xf>
    <xf numFmtId="3" fontId="6" fillId="4" borderId="5" xfId="2" applyNumberFormat="1" applyFont="1" applyFill="1" applyBorder="1" applyAlignment="1">
      <alignment vertical="center"/>
    </xf>
    <xf numFmtId="3" fontId="0" fillId="7" borderId="1" xfId="2" applyNumberFormat="1" applyFont="1" applyFill="1" applyBorder="1" applyAlignment="1"/>
    <xf numFmtId="3" fontId="0" fillId="0" borderId="2" xfId="2" applyNumberFormat="1" applyFont="1" applyBorder="1" applyAlignment="1"/>
    <xf numFmtId="3" fontId="0" fillId="0" borderId="1" xfId="2" applyNumberFormat="1" applyFont="1" applyBorder="1" applyAlignment="1"/>
    <xf numFmtId="3" fontId="0" fillId="0" borderId="4" xfId="2" applyNumberFormat="1" applyFont="1" applyBorder="1" applyAlignment="1"/>
    <xf numFmtId="3" fontId="0" fillId="7" borderId="5" xfId="2" applyNumberFormat="1" applyFont="1" applyFill="1" applyBorder="1" applyAlignment="1"/>
    <xf numFmtId="3" fontId="0" fillId="0" borderId="4" xfId="2" applyNumberFormat="1" applyFont="1" applyFill="1" applyBorder="1" applyAlignment="1"/>
    <xf numFmtId="3" fontId="0" fillId="0" borderId="1" xfId="0" applyNumberFormat="1" applyBorder="1"/>
    <xf numFmtId="3" fontId="17" fillId="6" borderId="1" xfId="2" applyNumberFormat="1" applyFont="1" applyFill="1" applyBorder="1" applyAlignment="1">
      <alignment vertical="center"/>
    </xf>
    <xf numFmtId="3" fontId="5" fillId="0" borderId="1" xfId="2" applyNumberFormat="1" applyFont="1" applyBorder="1" applyAlignment="1">
      <alignment horizontal="right"/>
    </xf>
    <xf numFmtId="3" fontId="5" fillId="7" borderId="1" xfId="2" applyNumberFormat="1" applyFont="1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9" borderId="1" xfId="0" applyFill="1" applyBorder="1" applyAlignment="1">
      <alignment wrapText="1"/>
    </xf>
    <xf numFmtId="0" fontId="0" fillId="9" borderId="1" xfId="0" applyFill="1" applyBorder="1"/>
    <xf numFmtId="0" fontId="0" fillId="10" borderId="1" xfId="0" applyFill="1" applyBorder="1" applyAlignment="1">
      <alignment wrapText="1"/>
    </xf>
    <xf numFmtId="10" fontId="0" fillId="8" borderId="1" xfId="1" applyNumberFormat="1" applyFont="1" applyFill="1" applyBorder="1" applyAlignment="1">
      <alignment horizontal="right"/>
    </xf>
    <xf numFmtId="10" fontId="17" fillId="8" borderId="1" xfId="1" applyNumberFormat="1" applyFont="1" applyFill="1" applyBorder="1" applyAlignment="1">
      <alignment horizontal="right" vertical="center"/>
    </xf>
    <xf numFmtId="10" fontId="6" fillId="8" borderId="5" xfId="1" applyNumberFormat="1" applyFont="1" applyFill="1" applyBorder="1" applyAlignment="1">
      <alignment horizontal="right" vertical="center"/>
    </xf>
    <xf numFmtId="10" fontId="0" fillId="8" borderId="1" xfId="1" applyNumberFormat="1" applyFont="1" applyFill="1" applyBorder="1" applyAlignment="1">
      <alignment horizontal="right" vertical="center"/>
    </xf>
    <xf numFmtId="3" fontId="0" fillId="8" borderId="1" xfId="2" applyNumberFormat="1" applyFont="1" applyFill="1" applyBorder="1" applyAlignment="1">
      <alignment horizontal="right"/>
    </xf>
    <xf numFmtId="3" fontId="0" fillId="11" borderId="1" xfId="2" applyNumberFormat="1" applyFont="1" applyFill="1" applyBorder="1" applyAlignment="1">
      <alignment horizontal="right"/>
    </xf>
    <xf numFmtId="10" fontId="5" fillId="8" borderId="1" xfId="2" applyNumberFormat="1" applyFont="1" applyFill="1" applyBorder="1" applyAlignment="1">
      <alignment horizontal="right" vertical="center"/>
    </xf>
    <xf numFmtId="14" fontId="22" fillId="14" borderId="1" xfId="0" applyNumberFormat="1" applyFont="1" applyFill="1" applyBorder="1"/>
    <xf numFmtId="0" fontId="22" fillId="14" borderId="1" xfId="0" applyFont="1" applyFill="1" applyBorder="1" applyAlignment="1">
      <alignment wrapText="1"/>
    </xf>
    <xf numFmtId="0" fontId="23" fillId="12" borderId="1" xfId="0" applyFont="1" applyFill="1" applyBorder="1"/>
    <xf numFmtId="10" fontId="23" fillId="12" borderId="1" xfId="0" applyNumberFormat="1" applyFont="1" applyFill="1" applyBorder="1"/>
    <xf numFmtId="3" fontId="23" fillId="13" borderId="1" xfId="0" applyNumberFormat="1" applyFont="1" applyFill="1" applyBorder="1"/>
    <xf numFmtId="10" fontId="23" fillId="13" borderId="1" xfId="0" applyNumberFormat="1" applyFont="1" applyFill="1" applyBorder="1"/>
    <xf numFmtId="0" fontId="23" fillId="13" borderId="1" xfId="0" applyFont="1" applyFill="1" applyBorder="1"/>
    <xf numFmtId="0" fontId="22" fillId="12" borderId="1" xfId="0" applyFont="1" applyFill="1" applyBorder="1"/>
    <xf numFmtId="0" fontId="23" fillId="0" borderId="1" xfId="0" applyFont="1" applyBorder="1"/>
    <xf numFmtId="0" fontId="5" fillId="8" borderId="1" xfId="0" applyFont="1" applyFill="1" applyBorder="1" applyAlignment="1">
      <alignment horizontal="left" indent="3"/>
    </xf>
    <xf numFmtId="4" fontId="0" fillId="8" borderId="1" xfId="2" applyNumberFormat="1" applyFont="1" applyFill="1" applyBorder="1" applyAlignment="1">
      <alignment horizontal="right"/>
    </xf>
    <xf numFmtId="3" fontId="23" fillId="8" borderId="1" xfId="0" applyNumberFormat="1" applyFont="1" applyFill="1" applyBorder="1"/>
    <xf numFmtId="0" fontId="14" fillId="6" borderId="1" xfId="0" applyFont="1" applyFill="1" applyBorder="1" applyAlignment="1">
      <alignment horizontal="center" vertical="center" wrapText="1"/>
    </xf>
    <xf numFmtId="10" fontId="6" fillId="10" borderId="5" xfId="1" applyNumberFormat="1" applyFont="1" applyFill="1" applyBorder="1" applyAlignment="1">
      <alignment horizontal="center" vertical="center" wrapText="1"/>
    </xf>
    <xf numFmtId="10" fontId="6" fillId="10" borderId="5" xfId="1" applyNumberFormat="1" applyFont="1" applyFill="1" applyBorder="1" applyAlignment="1">
      <alignment horizontal="center" vertical="center"/>
    </xf>
    <xf numFmtId="10" fontId="24" fillId="10" borderId="5" xfId="1" applyNumberFormat="1" applyFont="1" applyFill="1" applyBorder="1" applyAlignment="1">
      <alignment horizontal="center" vertical="center"/>
    </xf>
    <xf numFmtId="10" fontId="24" fillId="8" borderId="5" xfId="1" applyNumberFormat="1" applyFont="1" applyFill="1" applyBorder="1" applyAlignment="1">
      <alignment horizontal="center" vertical="center" wrapText="1"/>
    </xf>
    <xf numFmtId="10" fontId="24" fillId="10" borderId="5" xfId="1" applyNumberFormat="1" applyFont="1" applyFill="1" applyBorder="1" applyAlignment="1">
      <alignment horizontal="center" vertical="center" wrapText="1"/>
    </xf>
    <xf numFmtId="10" fontId="24" fillId="4" borderId="5" xfId="1" applyNumberFormat="1" applyFont="1" applyFill="1" applyBorder="1" applyAlignment="1">
      <alignment horizontal="center" vertical="center" wrapText="1"/>
    </xf>
    <xf numFmtId="10" fontId="24" fillId="4" borderId="5" xfId="1" applyNumberFormat="1" applyFont="1" applyFill="1" applyBorder="1" applyAlignment="1">
      <alignment horizontal="center" vertical="center"/>
    </xf>
    <xf numFmtId="10" fontId="24" fillId="10" borderId="1" xfId="1" applyNumberFormat="1" applyFont="1" applyFill="1" applyBorder="1" applyAlignment="1">
      <alignment horizontal="center" vertical="center" wrapText="1"/>
    </xf>
    <xf numFmtId="10" fontId="6" fillId="10" borderId="1" xfId="1" applyNumberFormat="1" applyFont="1" applyFill="1" applyBorder="1" applyAlignment="1">
      <alignment horizontal="center" vertical="center" wrapText="1"/>
    </xf>
    <xf numFmtId="10" fontId="24" fillId="10" borderId="1" xfId="1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 vertical="center"/>
    </xf>
    <xf numFmtId="14" fontId="12" fillId="6" borderId="1" xfId="0" applyNumberFormat="1" applyFont="1" applyFill="1" applyBorder="1" applyAlignment="1">
      <alignment horizontal="center" vertical="center"/>
    </xf>
    <xf numFmtId="0" fontId="0" fillId="6" borderId="0" xfId="0" applyFill="1"/>
    <xf numFmtId="166" fontId="12" fillId="6" borderId="1" xfId="0" applyNumberFormat="1" applyFont="1" applyFill="1" applyBorder="1" applyAlignment="1">
      <alignment horizontal="center" vertical="center" wrapText="1"/>
    </xf>
    <xf numFmtId="10" fontId="5" fillId="16" borderId="1" xfId="1" applyNumberFormat="1" applyFont="1" applyFill="1" applyBorder="1" applyAlignment="1">
      <alignment horizontal="right" vertical="center"/>
    </xf>
    <xf numFmtId="0" fontId="0" fillId="16" borderId="0" xfId="0" applyFill="1"/>
    <xf numFmtId="2" fontId="5" fillId="16" borderId="1" xfId="0" applyNumberFormat="1" applyFont="1" applyFill="1" applyBorder="1" applyAlignment="1">
      <alignment horizontal="right" vertical="center"/>
    </xf>
    <xf numFmtId="3" fontId="5" fillId="16" borderId="1" xfId="0" applyNumberFormat="1" applyFont="1" applyFill="1" applyBorder="1" applyAlignment="1">
      <alignment horizontal="right" vertical="center"/>
    </xf>
    <xf numFmtId="3" fontId="5" fillId="16" borderId="1" xfId="0" applyNumberFormat="1" applyFont="1" applyFill="1" applyBorder="1" applyAlignment="1">
      <alignment horizontal="right" vertical="center" wrapText="1"/>
    </xf>
    <xf numFmtId="0" fontId="5" fillId="16" borderId="1" xfId="0" applyFont="1" applyFill="1" applyBorder="1" applyAlignment="1">
      <alignment horizontal="left" vertical="center" wrapText="1"/>
    </xf>
    <xf numFmtId="2" fontId="5" fillId="16" borderId="1" xfId="0" applyNumberFormat="1" applyFont="1" applyFill="1" applyBorder="1" applyAlignment="1">
      <alignment horizontal="right" vertical="center" wrapText="1"/>
    </xf>
    <xf numFmtId="0" fontId="19" fillId="17" borderId="1" xfId="0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left" vertical="center" wrapText="1"/>
    </xf>
    <xf numFmtId="0" fontId="5" fillId="17" borderId="1" xfId="0" applyFont="1" applyFill="1" applyBorder="1" applyAlignment="1">
      <alignment horizontal="left" vertical="center" wrapText="1"/>
    </xf>
    <xf numFmtId="165" fontId="12" fillId="6" borderId="1" xfId="0" applyNumberFormat="1" applyFont="1" applyFill="1" applyBorder="1" applyAlignment="1">
      <alignment horizontal="left" vertical="center"/>
    </xf>
    <xf numFmtId="14" fontId="12" fillId="6" borderId="1" xfId="0" applyNumberFormat="1" applyFont="1" applyFill="1" applyBorder="1" applyAlignment="1">
      <alignment horizontal="center" vertical="center" wrapText="1"/>
    </xf>
    <xf numFmtId="165" fontId="12" fillId="6" borderId="1" xfId="0" applyNumberFormat="1" applyFont="1" applyFill="1" applyBorder="1" applyAlignment="1">
      <alignment horizontal="center" vertical="center" wrapText="1"/>
    </xf>
    <xf numFmtId="3" fontId="5" fillId="18" borderId="1" xfId="2" applyNumberFormat="1" applyFont="1" applyFill="1" applyBorder="1" applyAlignment="1">
      <alignment horizontal="right" vertical="center"/>
    </xf>
    <xf numFmtId="168" fontId="5" fillId="18" borderId="1" xfId="0" applyNumberFormat="1" applyFont="1" applyFill="1" applyBorder="1" applyAlignment="1">
      <alignment horizontal="right" vertical="center"/>
    </xf>
    <xf numFmtId="3" fontId="12" fillId="18" borderId="1" xfId="2" applyNumberFormat="1" applyFont="1" applyFill="1" applyBorder="1" applyAlignment="1">
      <alignment horizontal="right" vertical="center"/>
    </xf>
    <xf numFmtId="168" fontId="12" fillId="18" borderId="1" xfId="0" applyNumberFormat="1" applyFont="1" applyFill="1" applyBorder="1" applyAlignment="1">
      <alignment horizontal="right" vertical="center"/>
    </xf>
    <xf numFmtId="3" fontId="0" fillId="18" borderId="1" xfId="2" applyNumberFormat="1" applyFont="1" applyFill="1" applyBorder="1" applyAlignment="1">
      <alignment horizontal="right" vertical="center"/>
    </xf>
    <xf numFmtId="167" fontId="0" fillId="18" borderId="1" xfId="2" applyNumberFormat="1" applyFont="1" applyFill="1" applyBorder="1" applyAlignment="1">
      <alignment horizontal="right" vertical="center"/>
    </xf>
    <xf numFmtId="10" fontId="0" fillId="18" borderId="1" xfId="2" applyNumberFormat="1" applyFont="1" applyFill="1" applyBorder="1" applyAlignment="1">
      <alignment horizontal="right" vertical="center"/>
    </xf>
    <xf numFmtId="169" fontId="5" fillId="18" borderId="1" xfId="0" applyNumberFormat="1" applyFont="1" applyFill="1" applyBorder="1" applyAlignment="1">
      <alignment horizontal="right" vertical="center"/>
    </xf>
    <xf numFmtId="170" fontId="0" fillId="18" borderId="1" xfId="2" applyNumberFormat="1" applyFont="1" applyFill="1" applyBorder="1" applyAlignment="1">
      <alignment horizontal="right" vertical="center"/>
    </xf>
    <xf numFmtId="169" fontId="0" fillId="18" borderId="1" xfId="2" applyNumberFormat="1" applyFont="1" applyFill="1" applyBorder="1" applyAlignment="1">
      <alignment horizontal="right" vertical="center"/>
    </xf>
    <xf numFmtId="3" fontId="5" fillId="19" borderId="1" xfId="2" applyNumberFormat="1" applyFont="1" applyFill="1" applyBorder="1" applyAlignment="1">
      <alignment horizontal="right" vertical="center"/>
    </xf>
    <xf numFmtId="168" fontId="5" fillId="19" borderId="1" xfId="0" applyNumberFormat="1" applyFont="1" applyFill="1" applyBorder="1" applyAlignment="1">
      <alignment horizontal="right" vertical="center"/>
    </xf>
    <xf numFmtId="167" fontId="0" fillId="19" borderId="1" xfId="2" applyNumberFormat="1" applyFont="1" applyFill="1" applyBorder="1" applyAlignment="1">
      <alignment horizontal="right" vertical="center"/>
    </xf>
    <xf numFmtId="3" fontId="12" fillId="19" borderId="1" xfId="2" applyNumberFormat="1" applyFont="1" applyFill="1" applyBorder="1" applyAlignment="1">
      <alignment horizontal="right" vertical="center"/>
    </xf>
    <xf numFmtId="168" fontId="12" fillId="19" borderId="1" xfId="0" applyNumberFormat="1" applyFont="1" applyFill="1" applyBorder="1" applyAlignment="1">
      <alignment horizontal="right" vertical="center"/>
    </xf>
    <xf numFmtId="3" fontId="0" fillId="19" borderId="1" xfId="2" applyNumberFormat="1" applyFont="1" applyFill="1" applyBorder="1" applyAlignment="1">
      <alignment horizontal="right" vertical="center"/>
    </xf>
    <xf numFmtId="10" fontId="0" fillId="19" borderId="1" xfId="2" applyNumberFormat="1" applyFont="1" applyFill="1" applyBorder="1" applyAlignment="1">
      <alignment horizontal="right" vertical="center"/>
    </xf>
    <xf numFmtId="169" fontId="5" fillId="19" borderId="1" xfId="0" applyNumberFormat="1" applyFont="1" applyFill="1" applyBorder="1" applyAlignment="1">
      <alignment horizontal="right"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quotePrefix="1" applyNumberFormat="1" applyFont="1" applyFill="1" applyBorder="1" applyAlignment="1">
      <alignment vertical="center"/>
    </xf>
    <xf numFmtId="49" fontId="12" fillId="4" borderId="1" xfId="0" quotePrefix="1" applyNumberFormat="1" applyFont="1" applyFill="1" applyBorder="1" applyAlignment="1">
      <alignment horizontal="left" vertical="center"/>
    </xf>
    <xf numFmtId="49" fontId="5" fillId="16" borderId="1" xfId="0" quotePrefix="1" applyNumberFormat="1" applyFont="1" applyFill="1" applyBorder="1" applyAlignment="1">
      <alignment vertical="center"/>
    </xf>
    <xf numFmtId="49" fontId="5" fillId="16" borderId="1" xfId="0" quotePrefix="1" applyNumberFormat="1" applyFont="1" applyFill="1" applyBorder="1" applyAlignment="1">
      <alignment horizontal="left" vertical="center"/>
    </xf>
    <xf numFmtId="49" fontId="5" fillId="16" borderId="1" xfId="0" applyNumberFormat="1" applyFont="1" applyFill="1" applyBorder="1" applyAlignment="1">
      <alignment vertical="center"/>
    </xf>
    <xf numFmtId="168" fontId="5" fillId="5" borderId="1" xfId="0" applyNumberFormat="1" applyFont="1" applyFill="1" applyBorder="1" applyAlignment="1">
      <alignment horizontal="right" vertical="center"/>
    </xf>
    <xf numFmtId="167" fontId="0" fillId="5" borderId="1" xfId="2" applyNumberFormat="1" applyFont="1" applyFill="1" applyBorder="1" applyAlignment="1">
      <alignment horizontal="right" vertical="center"/>
    </xf>
    <xf numFmtId="168" fontId="12" fillId="5" borderId="1" xfId="0" applyNumberFormat="1" applyFont="1" applyFill="1" applyBorder="1" applyAlignment="1">
      <alignment horizontal="right" vertical="center"/>
    </xf>
    <xf numFmtId="167" fontId="11" fillId="5" borderId="1" xfId="2" applyNumberFormat="1" applyFont="1" applyFill="1" applyBorder="1" applyAlignment="1">
      <alignment horizontal="right" vertical="center"/>
    </xf>
    <xf numFmtId="168" fontId="5" fillId="5" borderId="6" xfId="0" applyNumberFormat="1" applyFont="1" applyFill="1" applyBorder="1" applyAlignment="1">
      <alignment horizontal="right" vertical="center"/>
    </xf>
    <xf numFmtId="0" fontId="25" fillId="17" borderId="1" xfId="0" applyFont="1" applyFill="1" applyBorder="1" applyAlignment="1">
      <alignment horizontal="center" vertical="center"/>
    </xf>
    <xf numFmtId="0" fontId="5" fillId="16" borderId="1" xfId="1" applyNumberFormat="1" applyFont="1" applyFill="1" applyBorder="1" applyAlignment="1">
      <alignment horizontal="right" vertical="center"/>
    </xf>
    <xf numFmtId="10" fontId="5" fillId="16" borderId="1" xfId="0" applyNumberFormat="1" applyFont="1" applyFill="1" applyBorder="1" applyAlignment="1">
      <alignment horizontal="right" vertical="center"/>
    </xf>
    <xf numFmtId="10" fontId="6" fillId="10" borderId="10" xfId="1" applyNumberFormat="1" applyFont="1" applyFill="1" applyBorder="1" applyAlignment="1">
      <alignment horizontal="center" vertical="center" wrapText="1"/>
    </xf>
    <xf numFmtId="0" fontId="19" fillId="21" borderId="1" xfId="0" applyFont="1" applyFill="1" applyBorder="1" applyAlignment="1">
      <alignment horizontal="left" vertical="center" wrapText="1"/>
    </xf>
    <xf numFmtId="3" fontId="5" fillId="21" borderId="1" xfId="0" applyNumberFormat="1" applyFont="1" applyFill="1" applyBorder="1" applyAlignment="1">
      <alignment horizontal="right" vertical="center"/>
    </xf>
    <xf numFmtId="0" fontId="0" fillId="21" borderId="0" xfId="0" applyFill="1"/>
    <xf numFmtId="10" fontId="5" fillId="21" borderId="1" xfId="0" applyNumberFormat="1" applyFont="1" applyFill="1" applyBorder="1" applyAlignment="1">
      <alignment horizontal="right" vertical="center"/>
    </xf>
    <xf numFmtId="0" fontId="12" fillId="22" borderId="1" xfId="0" applyFont="1" applyFill="1" applyBorder="1" applyAlignment="1">
      <alignment horizontal="left" vertical="center"/>
    </xf>
    <xf numFmtId="0" fontId="0" fillId="22" borderId="0" xfId="0" applyFill="1"/>
    <xf numFmtId="10" fontId="24" fillId="22" borderId="5" xfId="1" applyNumberFormat="1" applyFont="1" applyFill="1" applyBorder="1" applyAlignment="1">
      <alignment horizontal="center" vertical="center" wrapText="1"/>
    </xf>
    <xf numFmtId="10" fontId="24" fillId="22" borderId="5" xfId="1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left" vertical="center" wrapText="1" indent="1"/>
    </xf>
    <xf numFmtId="2" fontId="5" fillId="4" borderId="1" xfId="0" applyNumberFormat="1" applyFont="1" applyFill="1" applyBorder="1" applyAlignment="1">
      <alignment horizontal="right" vertical="center"/>
    </xf>
    <xf numFmtId="171" fontId="5" fillId="4" borderId="1" xfId="0" applyNumberFormat="1" applyFont="1" applyFill="1" applyBorder="1" applyAlignment="1">
      <alignment horizontal="right" vertical="center"/>
    </xf>
    <xf numFmtId="2" fontId="5" fillId="4" borderId="5" xfId="0" applyNumberFormat="1" applyFont="1" applyFill="1" applyBorder="1" applyAlignment="1">
      <alignment horizontal="right" vertical="center"/>
    </xf>
    <xf numFmtId="0" fontId="27" fillId="4" borderId="1" xfId="0" applyFont="1" applyFill="1" applyBorder="1" applyAlignment="1">
      <alignment horizontal="left" vertical="center" wrapText="1" indent="1"/>
    </xf>
    <xf numFmtId="10" fontId="24" fillId="16" borderId="5" xfId="1" applyNumberFormat="1" applyFont="1" applyFill="1" applyBorder="1" applyAlignment="1">
      <alignment horizontal="right" vertical="center"/>
    </xf>
    <xf numFmtId="0" fontId="28" fillId="23" borderId="1" xfId="0" applyFont="1" applyFill="1" applyBorder="1" applyAlignment="1">
      <alignment horizontal="left" vertical="center" wrapText="1" indent="1"/>
    </xf>
    <xf numFmtId="2" fontId="5" fillId="16" borderId="1" xfId="0" applyNumberFormat="1" applyFont="1" applyFill="1" applyBorder="1" applyAlignment="1">
      <alignment vertical="center"/>
    </xf>
    <xf numFmtId="0" fontId="28" fillId="15" borderId="1" xfId="0" applyFont="1" applyFill="1" applyBorder="1" applyAlignment="1">
      <alignment horizontal="left" vertical="center" wrapText="1" indent="1"/>
    </xf>
    <xf numFmtId="0" fontId="5" fillId="16" borderId="1" xfId="0" applyFont="1" applyFill="1" applyBorder="1"/>
    <xf numFmtId="0" fontId="12" fillId="16" borderId="1" xfId="0" applyFont="1" applyFill="1" applyBorder="1" applyAlignment="1">
      <alignment horizontal="left" vertical="center"/>
    </xf>
    <xf numFmtId="0" fontId="12" fillId="16" borderId="5" xfId="0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left" vertical="center" wrapText="1" indent="1"/>
    </xf>
    <xf numFmtId="10" fontId="12" fillId="4" borderId="1" xfId="0" applyNumberFormat="1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4" fontId="12" fillId="16" borderId="1" xfId="0" applyNumberFormat="1" applyFont="1" applyFill="1" applyBorder="1" applyAlignment="1">
      <alignment horizontal="left" vertical="center"/>
    </xf>
    <xf numFmtId="4" fontId="5" fillId="16" borderId="1" xfId="1" applyNumberFormat="1" applyFont="1" applyFill="1" applyBorder="1" applyAlignment="1">
      <alignment horizontal="right" vertical="center"/>
    </xf>
    <xf numFmtId="0" fontId="5" fillId="16" borderId="5" xfId="1" applyNumberFormat="1" applyFont="1" applyFill="1" applyBorder="1" applyAlignment="1">
      <alignment horizontal="right" vertical="center"/>
    </xf>
    <xf numFmtId="10" fontId="5" fillId="16" borderId="5" xfId="1" applyNumberFormat="1" applyFont="1" applyFill="1" applyBorder="1" applyAlignment="1">
      <alignment horizontal="right" vertical="center"/>
    </xf>
    <xf numFmtId="0" fontId="29" fillId="23" borderId="1" xfId="0" applyFont="1" applyFill="1" applyBorder="1" applyAlignment="1">
      <alignment horizontal="left" vertical="center" wrapText="1" indent="1"/>
    </xf>
    <xf numFmtId="0" fontId="5" fillId="16" borderId="1" xfId="1" applyNumberFormat="1" applyFont="1" applyFill="1" applyBorder="1" applyAlignment="1">
      <alignment vertical="center"/>
    </xf>
    <xf numFmtId="10" fontId="5" fillId="16" borderId="5" xfId="1" applyNumberFormat="1" applyFont="1" applyFill="1" applyBorder="1" applyAlignment="1">
      <alignment vertical="center"/>
    </xf>
    <xf numFmtId="0" fontId="5" fillId="16" borderId="5" xfId="1" applyNumberFormat="1" applyFont="1" applyFill="1" applyBorder="1" applyAlignment="1">
      <alignment vertical="center"/>
    </xf>
    <xf numFmtId="0" fontId="29" fillId="4" borderId="1" xfId="0" applyFont="1" applyFill="1" applyBorder="1" applyAlignment="1">
      <alignment horizontal="left" vertical="center" wrapText="1" indent="1"/>
    </xf>
    <xf numFmtId="0" fontId="19" fillId="20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vertical="center"/>
    </xf>
    <xf numFmtId="2" fontId="5" fillId="18" borderId="1" xfId="0" applyNumberFormat="1" applyFont="1" applyFill="1" applyBorder="1" applyAlignment="1">
      <alignment horizontal="right" vertical="center"/>
    </xf>
    <xf numFmtId="0" fontId="0" fillId="18" borderId="0" xfId="0" applyFill="1"/>
    <xf numFmtId="2" fontId="5" fillId="18" borderId="1" xfId="0" applyNumberFormat="1" applyFont="1" applyFill="1" applyBorder="1" applyAlignment="1">
      <alignment vertical="center"/>
    </xf>
    <xf numFmtId="3" fontId="0" fillId="18" borderId="1" xfId="2" applyNumberFormat="1" applyFont="1" applyFill="1" applyBorder="1" applyAlignment="1">
      <alignment horizontal="right"/>
    </xf>
    <xf numFmtId="3" fontId="3" fillId="18" borderId="1" xfId="2" applyNumberFormat="1" applyFont="1" applyFill="1" applyBorder="1" applyAlignment="1">
      <alignment horizontal="right" vertical="center"/>
    </xf>
    <xf numFmtId="3" fontId="0" fillId="18" borderId="2" xfId="2" applyNumberFormat="1" applyFont="1" applyFill="1" applyBorder="1" applyAlignment="1">
      <alignment horizontal="right"/>
    </xf>
    <xf numFmtId="3" fontId="0" fillId="24" borderId="1" xfId="2" applyNumberFormat="1" applyFont="1" applyFill="1" applyBorder="1" applyAlignment="1">
      <alignment horizontal="right"/>
    </xf>
    <xf numFmtId="173" fontId="5" fillId="16" borderId="1" xfId="0" applyNumberFormat="1" applyFont="1" applyFill="1" applyBorder="1" applyAlignment="1">
      <alignment horizontal="right" vertical="center"/>
    </xf>
    <xf numFmtId="174" fontId="5" fillId="16" borderId="1" xfId="0" applyNumberFormat="1" applyFont="1" applyFill="1" applyBorder="1" applyAlignment="1">
      <alignment horizontal="right" vertical="center"/>
    </xf>
    <xf numFmtId="0" fontId="25" fillId="25" borderId="1" xfId="0" applyFont="1" applyFill="1" applyBorder="1" applyAlignment="1">
      <alignment horizontal="left" vertical="center"/>
    </xf>
    <xf numFmtId="172" fontId="5" fillId="18" borderId="1" xfId="0" applyNumberFormat="1" applyFont="1" applyFill="1" applyBorder="1" applyAlignment="1">
      <alignment horizontal="right" vertical="center"/>
    </xf>
    <xf numFmtId="3" fontId="5" fillId="18" borderId="1" xfId="0" applyNumberFormat="1" applyFont="1" applyFill="1" applyBorder="1" applyAlignment="1">
      <alignment horizontal="right" vertical="center"/>
    </xf>
    <xf numFmtId="3" fontId="5" fillId="16" borderId="1" xfId="1" applyNumberFormat="1" applyFont="1" applyFill="1" applyBorder="1" applyAlignment="1">
      <alignment vertical="center"/>
    </xf>
    <xf numFmtId="10" fontId="12" fillId="4" borderId="1" xfId="1" applyNumberFormat="1" applyFont="1" applyFill="1" applyBorder="1" applyAlignment="1">
      <alignment vertical="center"/>
    </xf>
    <xf numFmtId="10" fontId="12" fillId="4" borderId="5" xfId="1" applyNumberFormat="1" applyFont="1" applyFill="1" applyBorder="1" applyAlignment="1">
      <alignment vertical="center"/>
    </xf>
    <xf numFmtId="10" fontId="12" fillId="4" borderId="1" xfId="0" applyNumberFormat="1" applyFont="1" applyFill="1" applyBorder="1" applyAlignment="1">
      <alignment horizontal="right" vertical="center"/>
    </xf>
    <xf numFmtId="10" fontId="12" fillId="16" borderId="1" xfId="0" applyNumberFormat="1" applyFont="1" applyFill="1" applyBorder="1" applyAlignment="1">
      <alignment horizontal="right" vertical="center"/>
    </xf>
    <xf numFmtId="2" fontId="12" fillId="4" borderId="5" xfId="0" applyNumberFormat="1" applyFont="1" applyFill="1" applyBorder="1" applyAlignment="1">
      <alignment horizontal="right" vertical="center"/>
    </xf>
    <xf numFmtId="10" fontId="12" fillId="4" borderId="1" xfId="0" applyNumberFormat="1" applyFont="1" applyFill="1" applyBorder="1" applyAlignment="1">
      <alignment vertical="center"/>
    </xf>
    <xf numFmtId="2" fontId="12" fillId="4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0" fillId="8" borderId="6" xfId="0" applyNumberFormat="1" applyFill="1" applyBorder="1" applyAlignment="1">
      <alignment horizontal="center" vertical="center"/>
    </xf>
    <xf numFmtId="4" fontId="0" fillId="8" borderId="10" xfId="0" applyNumberFormat="1" applyFill="1" applyBorder="1" applyAlignment="1">
      <alignment horizontal="center" vertical="center"/>
    </xf>
    <xf numFmtId="4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23" fillId="13" borderId="1" xfId="0" applyFont="1" applyFill="1" applyBorder="1" applyAlignment="1">
      <alignment horizontal="center"/>
    </xf>
    <xf numFmtId="0" fontId="23" fillId="12" borderId="1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0" fontId="22" fillId="12" borderId="1" xfId="0" applyFont="1" applyFill="1" applyBorder="1" applyAlignment="1">
      <alignment horizontal="center"/>
    </xf>
  </cellXfs>
  <cellStyles count="83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Millares" xfId="2" builtinId="3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4465320</xdr:colOff>
      <xdr:row>4</xdr:row>
      <xdr:rowOff>262890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9A298E6-9B65-4653-BE55-82A4146320B2}"/>
            </a:ext>
          </a:extLst>
        </xdr:cNvPr>
        <xdr:cNvSpPr txBox="1"/>
      </xdr:nvSpPr>
      <xdr:spPr>
        <a:xfrm>
          <a:off x="16935450" y="216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>
            <a:effectLst/>
          </a:endParaRPr>
        </a:p>
      </xdr:txBody>
    </xdr:sp>
    <xdr:clientData/>
  </xdr:oneCellAnchor>
  <xdr:oneCellAnchor>
    <xdr:from>
      <xdr:col>8</xdr:col>
      <xdr:colOff>525780</xdr:colOff>
      <xdr:row>2</xdr:row>
      <xdr:rowOff>102870</xdr:rowOff>
    </xdr:from>
    <xdr:ext cx="3159904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29049D8-3CB7-4B3F-B8BE-58B2225FBECE}"/>
                </a:ext>
              </a:extLst>
            </xdr:cNvPr>
            <xdr:cNvSpPr txBox="1"/>
          </xdr:nvSpPr>
          <xdr:spPr>
            <a:xfrm>
              <a:off x="12992100" y="862965"/>
              <a:ext cx="3159904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𝐸𝑛𝑣𝑒𝑗𝑒𝑐𝑖𝑚𝑖𝑒𝑛𝑡𝑜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𝐴𝑚𝑜𝑟𝑡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𝐴𝑐𝑐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𝐼𝑚𝑝𝑜𝑟𝑡𝑒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𝐵𝑟𝑢𝑡𝑜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𝐼𝑛𝑚𝑜𝑣𝑖𝑙𝑖𝑧𝑎𝑑𝑜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29049D8-3CB7-4B3F-B8BE-58B2225FBECE}"/>
                </a:ext>
              </a:extLst>
            </xdr:cNvPr>
            <xdr:cNvSpPr txBox="1"/>
          </xdr:nvSpPr>
          <xdr:spPr>
            <a:xfrm>
              <a:off x="12992100" y="862965"/>
              <a:ext cx="3159904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𝐺.𝐸𝑛𝑣𝑒𝑗𝑒𝑐𝑖𝑚𝑖𝑒𝑛𝑡𝑜=(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𝐴𝑚𝑜𝑟𝑡.</a:t>
              </a:r>
              <a:r>
                <a:rPr lang="es-ES" sz="1100" b="0" i="0">
                  <a:latin typeface="Cambria Math" panose="02040503050406030204" pitchFamily="18" charset="0"/>
                </a:rPr>
                <a:t>𝐴𝑐𝑐)/(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𝐼𝑚𝑝𝑜𝑟𝑡𝑒 𝐵𝑟𝑢𝑡𝑜 𝐼𝑛𝑚𝑜𝑣𝑖𝑙𝑖𝑧𝑎𝑑𝑜)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678180</xdr:colOff>
      <xdr:row>3</xdr:row>
      <xdr:rowOff>160020</xdr:rowOff>
    </xdr:from>
    <xdr:ext cx="2669000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C3F037D-07C5-4F10-866E-653434EC83D9}"/>
                </a:ext>
              </a:extLst>
            </xdr:cNvPr>
            <xdr:cNvSpPr txBox="1"/>
          </xdr:nvSpPr>
          <xdr:spPr>
            <a:xfrm>
              <a:off x="13144500" y="1438275"/>
              <a:ext cx="2669000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𝑁𝑖𝑣𝑒𝑙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𝐸𝑛𝑑𝑒𝑢𝑑𝑎𝑚𝑖𝑒𝑛𝑡𝑜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𝑃𝑎𝑠𝑖𝑣𝑜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𝑇𝑜𝑡𝑎𝑙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𝑃𝑎𝑡𝑟𝑖𝑚𝑜𝑛𝑖𝑜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C3F037D-07C5-4F10-866E-653434EC83D9}"/>
                </a:ext>
              </a:extLst>
            </xdr:cNvPr>
            <xdr:cNvSpPr txBox="1"/>
          </xdr:nvSpPr>
          <xdr:spPr>
            <a:xfrm>
              <a:off x="13144500" y="1438275"/>
              <a:ext cx="2669000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𝑁𝑖𝑣𝑒𝑙 𝐸𝑛𝑑𝑒𝑢𝑑𝑎𝑚𝑖𝑒𝑛𝑡𝑜=(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𝑃𝑎𝑠𝑖𝑣𝑜 𝑇𝑜𝑡𝑎𝑙)/(</a:t>
              </a:r>
              <a:r>
                <a:rPr lang="es-ES" sz="1100" b="0" i="0">
                  <a:latin typeface="Cambria Math" panose="02040503050406030204" pitchFamily="18" charset="0"/>
                </a:rPr>
                <a:t>𝑃𝑎𝑡𝑟𝑖𝑚𝑜𝑛𝑖𝑜 𝑁𝑒𝑡𝑜)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624840</xdr:colOff>
      <xdr:row>4</xdr:row>
      <xdr:rowOff>26670</xdr:rowOff>
    </xdr:from>
    <xdr:ext cx="3357906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21D73A4-BF09-4770-BB7F-4E4B664D6C30}"/>
                </a:ext>
              </a:extLst>
            </xdr:cNvPr>
            <xdr:cNvSpPr txBox="1"/>
          </xdr:nvSpPr>
          <xdr:spPr>
            <a:xfrm>
              <a:off x="13096875" y="1929765"/>
              <a:ext cx="335790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𝐶𝑜𝑚𝑝𝑜𝑠𝑖𝑐𝑖𝑜𝑛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𝐸𝑛𝑑𝑒𝑢𝑑𝑎𝑚𝑖𝑒𝑛𝑡𝑜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𝑃𝑎𝑠𝑖𝑣𝑜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𝑁𝑜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𝐶𝑜𝑟𝑟𝑖𝑒𝑛𝑡𝑒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𝐶𝑜𝑟𝑟𝑖𝑒𝑛𝑡𝑒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21D73A4-BF09-4770-BB7F-4E4B664D6C30}"/>
                </a:ext>
              </a:extLst>
            </xdr:cNvPr>
            <xdr:cNvSpPr txBox="1"/>
          </xdr:nvSpPr>
          <xdr:spPr>
            <a:xfrm>
              <a:off x="13096875" y="1929765"/>
              <a:ext cx="335790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𝐶𝑜𝑚𝑝𝑜𝑠𝑖𝑐𝑖𝑜𝑛 𝐸𝑛𝑑𝑒𝑢𝑑𝑎𝑚𝑖𝑒𝑛𝑡𝑜=(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𝑃𝑎𝑠𝑖𝑣𝑜 𝑁𝑜 </a:t>
              </a:r>
              <a:r>
                <a:rPr lang="es-ES" sz="1100" b="0" i="0">
                  <a:latin typeface="Cambria Math" panose="02040503050406030204" pitchFamily="18" charset="0"/>
                </a:rPr>
                <a:t>𝐶𝑜𝑟𝑟𝑖𝑒𝑛𝑡𝑒)/(𝑃𝑎𝑠𝑖𝑣𝑜 𝐶𝑜𝑟𝑟𝑖𝑒𝑛𝑡𝑒)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1318260</xdr:colOff>
      <xdr:row>5</xdr:row>
      <xdr:rowOff>34290</xdr:rowOff>
    </xdr:from>
    <xdr:ext cx="1593450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95FED36-0013-46B7-BF59-27C5B3D04567}"/>
                </a:ext>
              </a:extLst>
            </xdr:cNvPr>
            <xdr:cNvSpPr txBox="1"/>
          </xdr:nvSpPr>
          <xdr:spPr>
            <a:xfrm>
              <a:off x="13782675" y="2320290"/>
              <a:ext cx="1593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𝐺𝑎𝑟𝑎𝑛𝑡𝑖𝑎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𝐴𝑐𝑡𝑖𝑣𝑜𝑇𝑜𝑡𝑎𝑙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95FED36-0013-46B7-BF59-27C5B3D04567}"/>
                </a:ext>
              </a:extLst>
            </xdr:cNvPr>
            <xdr:cNvSpPr txBox="1"/>
          </xdr:nvSpPr>
          <xdr:spPr>
            <a:xfrm>
              <a:off x="13782675" y="2320290"/>
              <a:ext cx="1593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𝐺𝑎𝑟𝑎𝑛𝑡𝑖𝑎=𝐴𝑐𝑡𝑖𝑣𝑜𝑇𝑜𝑡𝑎𝑙/(𝑃.𝑇𝑜𝑡𝑎𝑙)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1104900</xdr:colOff>
      <xdr:row>6</xdr:row>
      <xdr:rowOff>22860</xdr:rowOff>
    </xdr:from>
    <xdr:ext cx="1933543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1F008F2-5F14-443D-8636-FF5EBA7FE81F}"/>
                </a:ext>
              </a:extLst>
            </xdr:cNvPr>
            <xdr:cNvSpPr txBox="1"/>
          </xdr:nvSpPr>
          <xdr:spPr>
            <a:xfrm>
              <a:off x="13573125" y="2686050"/>
              <a:ext cx="1933543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𝑆𝑜𝑙𝑣𝑒𝑛𝑐𝑖𝑎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𝐶𝑜𝑟𝑟𝑖𝑒𝑛𝑡𝑒𝑙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𝐶𝑜𝑟𝑟𝑖𝑒𝑛𝑡𝑒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1F008F2-5F14-443D-8636-FF5EBA7FE81F}"/>
                </a:ext>
              </a:extLst>
            </xdr:cNvPr>
            <xdr:cNvSpPr txBox="1"/>
          </xdr:nvSpPr>
          <xdr:spPr>
            <a:xfrm>
              <a:off x="13573125" y="2686050"/>
              <a:ext cx="1933543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𝑆𝑜𝑙𝑣𝑒𝑛𝑐𝑖𝑎=(𝐴𝑐𝑡𝑖𝑣𝑜 𝐶𝑜𝑟𝑟𝑖𝑒𝑛𝑡𝑒𝑙)/(𝑃.𝐶𝑜𝑟𝑟𝑖𝑒𝑛𝑡𝑒)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7620</xdr:colOff>
      <xdr:row>7</xdr:row>
      <xdr:rowOff>140970</xdr:rowOff>
    </xdr:from>
    <xdr:ext cx="4741876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FD7BB08-F4EF-465F-91FE-3387F93FBAE2}"/>
                </a:ext>
              </a:extLst>
            </xdr:cNvPr>
            <xdr:cNvSpPr txBox="1"/>
          </xdr:nvSpPr>
          <xdr:spPr>
            <a:xfrm>
              <a:off x="12477750" y="3187065"/>
              <a:ext cx="4741876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𝐹𝑜𝑛𝑑𝑜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𝑀𝑎𝑛𝑖𝑜𝑏𝑟𝑎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𝐶𝑜𝑟𝑟𝑖𝑒𝑛𝑡𝑒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𝐶𝑜𝑟𝑟𝑖𝑒𝑛𝑡𝑒</m:t>
                    </m:r>
                  </m:oMath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𝐹𝑜𝑛𝑑𝑜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𝑀𝑎𝑛𝑖𝑜𝑏𝑟𝑎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𝑃𝑎𝑡𝑟𝑖𝑚𝑜𝑛𝑖𝑜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𝐶𝑜𝑟𝑟𝑖𝑒𝑛𝑡𝑒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𝑁𝑜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𝐶𝑜𝑟𝑟𝑖𝑒𝑛𝑡𝑒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FD7BB08-F4EF-465F-91FE-3387F93FBAE2}"/>
                </a:ext>
              </a:extLst>
            </xdr:cNvPr>
            <xdr:cNvSpPr txBox="1"/>
          </xdr:nvSpPr>
          <xdr:spPr>
            <a:xfrm>
              <a:off x="12477750" y="3187065"/>
              <a:ext cx="4741876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𝐹𝑜𝑛𝑑𝑜 𝑀𝑎𝑛𝑖𝑜𝑏𝑟𝑎=𝐴. 𝐶𝑜𝑟𝑟𝑖𝑒𝑛𝑡𝑒 −𝑃. 𝐶𝑜𝑟𝑟𝑖𝑒𝑛𝑡𝑒</a:t>
              </a:r>
              <a:br>
                <a:rPr lang="es-ES" sz="1100" b="0" i="1">
                  <a:latin typeface="Cambria Math" panose="02040503050406030204" pitchFamily="18" charset="0"/>
                </a:rPr>
              </a:b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𝐹𝑜𝑛𝑑𝑜 𝑀𝑎𝑛𝑖𝑜𝑏𝑟𝑎=</a:t>
              </a:r>
              <a:r>
                <a:rPr lang="es-ES" sz="1100" b="0" i="0">
                  <a:latin typeface="Cambria Math" panose="02040503050406030204" pitchFamily="18" charset="0"/>
                </a:rPr>
                <a:t>(𝑃𝑎𝑡𝑟𝑖𝑚𝑜𝑛𝑖𝑜 𝑁𝑒𝑡𝑜+𝑃.𝑁.𝐶𝑜𝑟𝑟𝑖𝑒𝑛𝑡𝑒)−𝐴. 𝑁𝑜. 𝐶𝑜𝑟𝑟𝑖𝑒𝑛𝑡𝑒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182880</xdr:colOff>
      <xdr:row>8</xdr:row>
      <xdr:rowOff>110490</xdr:rowOff>
    </xdr:from>
    <xdr:ext cx="4398127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F2FC624-3AC1-4C47-9576-C54DEFCABF4D}"/>
                </a:ext>
              </a:extLst>
            </xdr:cNvPr>
            <xdr:cNvSpPr txBox="1"/>
          </xdr:nvSpPr>
          <xdr:spPr>
            <a:xfrm>
              <a:off x="12649200" y="3749040"/>
              <a:ext cx="4398127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𝑁𝑂𝐹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𝐷𝑒𝑢𝑑𝑜𝑟𝑒𝑠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𝐶𝑜𝑚𝑒𝑟𝑐𝑖𝑎𝑙𝑒𝑠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𝐸𝑥𝑖𝑠𝑡𝑒𝑛𝑐𝑖𝑎𝑠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𝑃𝑒𝑟𝑖𝑜𝑑𝑖𝑓𝑖𝑐𝑎𝑐𝑖𝑜𝑛𝑒𝑠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−</m:t>
                    </m:r>
                  </m:oMath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𝐴𝑐𝑟𝑒𝑒𝑑𝑜𝑟𝑒𝑠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𝑐𝑜𝑚𝑒𝑟𝑐𝑖𝑎𝑙𝑒𝑠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𝑃𝑒𝑟𝑖𝑜𝑑𝑖𝑓𝑖𝑐𝑎𝑐𝑖𝑜𝑛𝑒𝑠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𝑃𝑟𝑜𝑣𝑖𝑠𝑖𝑜𝑛𝑒𝑠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F2FC624-3AC1-4C47-9576-C54DEFCABF4D}"/>
                </a:ext>
              </a:extLst>
            </xdr:cNvPr>
            <xdr:cNvSpPr txBox="1"/>
          </xdr:nvSpPr>
          <xdr:spPr>
            <a:xfrm>
              <a:off x="12649200" y="3749040"/>
              <a:ext cx="4398127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𝑁𝑂𝐹=(𝐷𝑒𝑢𝑑𝑜𝑟𝑒𝑠 𝐶𝑜𝑚𝑒𝑟𝑐𝑖𝑎𝑙𝑒𝑠+𝐸𝑥𝑖𝑠𝑡𝑒𝑛𝑐𝑖𝑎𝑠+𝑃𝑒𝑟𝑖𝑜𝑑𝑖𝑓𝑖𝑐𝑎𝑐𝑖𝑜𝑛𝑒𝑠)−</a:t>
              </a:r>
              <a:br>
                <a:rPr lang="es-ES" sz="1100" b="0" i="1">
                  <a:latin typeface="Cambria Math" panose="02040503050406030204" pitchFamily="18" charset="0"/>
                </a:rPr>
              </a:br>
              <a:r>
                <a:rPr lang="es-ES" sz="1100" b="0" i="0">
                  <a:latin typeface="Cambria Math" panose="02040503050406030204" pitchFamily="18" charset="0"/>
                </a:rPr>
                <a:t>(𝐴𝑐𝑟𝑒𝑒𝑑𝑜𝑟𝑒𝑠 𝑐𝑜𝑚𝑒𝑟𝑐𝑖𝑎𝑙𝑒𝑠+𝑃𝑒𝑟𝑖𝑜𝑑𝑖𝑓𝑖𝑐𝑎𝑐𝑖𝑜𝑛𝑒𝑠+𝑃𝑟𝑜𝑣𝑖𝑠𝑖𝑜𝑛𝑒𝑠 𝑎 𝑐/𝑝)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91440</xdr:colOff>
      <xdr:row>9</xdr:row>
      <xdr:rowOff>80010</xdr:rowOff>
    </xdr:from>
    <xdr:ext cx="4249753" cy="516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9FE09DFF-8DED-4551-88C1-6A5FFEAF43F7}"/>
                </a:ext>
              </a:extLst>
            </xdr:cNvPr>
            <xdr:cNvSpPr txBox="1"/>
          </xdr:nvSpPr>
          <xdr:spPr>
            <a:xfrm>
              <a:off x="12563475" y="4263390"/>
              <a:ext cx="4249753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𝑅𝐿𝑁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𝐹𝑜𝑛𝑑𝑜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𝑀𝑎𝑛𝑖𝑜𝑏𝑟𝑎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𝑁𝑂𝐹</m:t>
                    </m:r>
                  </m:oMath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𝑅𝐿𝑁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𝐶𝑜𝑟𝑟𝑖𝑒𝑛𝑡𝑒𝑠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𝐹𝑖𝑛𝑎𝑛𝑐𝑖𝑎𝑐𝑖𝑜𝑛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𝐶𝑜𝑟𝑟𝑖𝑒𝑛𝑡𝑒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𝑁𝑜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𝐶𝑜𝑚𝑒𝑟𝑐𝑖𝑎𝑙</m:t>
                    </m:r>
                  </m:oMath>
                </m:oMathPara>
              </a14:m>
              <a:endParaRPr lang="es-ES" sz="1100" b="0"/>
            </a:p>
            <a:p>
              <a:endParaRPr lang="es-ES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9FE09DFF-8DED-4551-88C1-6A5FFEAF43F7}"/>
                </a:ext>
              </a:extLst>
            </xdr:cNvPr>
            <xdr:cNvSpPr txBox="1"/>
          </xdr:nvSpPr>
          <xdr:spPr>
            <a:xfrm>
              <a:off x="12563475" y="4263390"/>
              <a:ext cx="4249753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𝑅𝐿𝑁=𝐹𝑜𝑛𝑑𝑜 𝑀𝑎𝑛𝑖𝑜𝑏𝑟𝑎 −𝑁𝑂𝐹</a:t>
              </a:r>
              <a:br>
                <a:rPr lang="es-ES" sz="1100" b="0" i="1">
                  <a:latin typeface="Cambria Math" panose="02040503050406030204" pitchFamily="18" charset="0"/>
                </a:rPr>
              </a:br>
              <a:r>
                <a:rPr lang="es-ES" sz="1100" b="0" i="0">
                  <a:latin typeface="Cambria Math" panose="02040503050406030204" pitchFamily="18" charset="0"/>
                </a:rPr>
                <a:t>𝑅𝐿𝑁=𝐴. 𝐶𝑜𝑟𝑟𝑖𝑒𝑛𝑡𝑒𝑠 𝑑𝑒 𝐹𝑖𝑛𝑎𝑛𝑐𝑖𝑎𝑐𝑖𝑜𝑛 −𝑃. 𝐶𝑜𝑟𝑟𝑖𝑒𝑛𝑡𝑒 𝑁𝑜 𝐶𝑜𝑚𝑒𝑟𝑐𝑖𝑎𝑙</a:t>
              </a:r>
              <a:endParaRPr lang="es-ES" sz="1100" b="0"/>
            </a:p>
            <a:p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10</xdr:row>
      <xdr:rowOff>293370</xdr:rowOff>
    </xdr:from>
    <xdr:ext cx="4814075" cy="281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23809375-E2F3-4065-81F1-52CB16290A6E}"/>
                </a:ext>
              </a:extLst>
            </xdr:cNvPr>
            <xdr:cNvSpPr txBox="1"/>
          </xdr:nvSpPr>
          <xdr:spPr>
            <a:xfrm>
              <a:off x="12582525" y="4996815"/>
              <a:ext cx="4814075" cy="281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900" b="0" i="1">
                        <a:latin typeface="Cambria Math" panose="02040503050406030204" pitchFamily="18" charset="0"/>
                      </a:rPr>
                      <m:t>𝐹𝐺𝑂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𝑀𝑒𝑡𝑜𝑑𝑜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𝐷𝑖𝑟𝑒𝑐𝑡𝑜</m:t>
                        </m:r>
                      </m:e>
                    </m:d>
                    <m:r>
                      <a:rPr lang="es-ES" sz="9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𝐼𝑛𝑔𝑟𝑒𝑠𝑜𝑠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𝑐𝑜𝑏𝑟𝑜</m:t>
                        </m:r>
                      </m:e>
                    </m:d>
                    <m:r>
                      <a:rPr lang="es-ES" sz="9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𝐺𝑎𝑠𝑡𝑜𝑠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𝑐𝑜𝑏𝑟𝑜</m:t>
                        </m:r>
                      </m:e>
                    </m:d>
                    <m:r>
                      <a:rPr lang="es-ES" sz="900" b="0" i="1">
                        <a:latin typeface="Cambria Math" panose="02040503050406030204" pitchFamily="18" charset="0"/>
                      </a:rPr>
                      <m:t>.</m:t>
                    </m:r>
                  </m:oMath>
                  <m:oMath xmlns:m="http://schemas.openxmlformats.org/officeDocument/2006/math">
                    <m:r>
                      <a:rPr lang="es-ES" sz="900" b="0" i="1">
                        <a:latin typeface="Cambria Math" panose="02040503050406030204" pitchFamily="18" charset="0"/>
                      </a:rPr>
                      <m:t>𝐹𝐺𝑂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𝑀𝑒𝑡𝑜𝑑𝑜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𝐼𝑛𝑑𝑖𝑟𝑒𝑐𝑡𝑜</m:t>
                        </m:r>
                      </m:e>
                    </m:d>
                    <m:r>
                      <a:rPr lang="es-ES" sz="9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𝑅𝑒𝑠𝑢𝑙𝑡𝑎𝑑𝑜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𝐸𝑗𝑒𝑟𝑐𝑖𝑐𝑖𝑜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−[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𝐼𝑛𝑔𝑟𝑒𝑠𝑜𝑠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𝑛𝑜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𝑐𝑜𝑏𝑟𝑜</m:t>
                        </m:r>
                      </m:e>
                    </m:d>
                    <m:r>
                      <a:rPr lang="es-ES" sz="9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𝐺𝑎𝑠𝑡𝑜𝑠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𝑛𝑜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𝑝𝑎𝑔𝑜𝑠</m:t>
                        </m:r>
                      </m:e>
                    </m:d>
                    <m:r>
                      <a:rPr lang="es-ES" sz="9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ES" sz="9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23809375-E2F3-4065-81F1-52CB16290A6E}"/>
                </a:ext>
              </a:extLst>
            </xdr:cNvPr>
            <xdr:cNvSpPr txBox="1"/>
          </xdr:nvSpPr>
          <xdr:spPr>
            <a:xfrm>
              <a:off x="12582525" y="4996815"/>
              <a:ext cx="4814075" cy="281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900" b="0" i="0">
                  <a:latin typeface="Cambria Math" panose="02040503050406030204" pitchFamily="18" charset="0"/>
                </a:rPr>
                <a:t>𝐹𝐺𝑂 (𝑀𝑒𝑡𝑜𝑑𝑜 𝐷𝑖𝑟𝑒𝑐𝑡𝑜)=𝐼𝑛𝑔𝑟𝑒𝑠𝑜𝑠 (𝑐𝑜𝑏𝑟𝑜)−𝐺𝑎𝑠𝑡𝑜𝑠 (𝑐𝑜𝑏𝑟𝑜).</a:t>
              </a:r>
              <a:br>
                <a:rPr lang="es-ES" sz="900" b="0" i="1">
                  <a:latin typeface="Cambria Math" panose="02040503050406030204" pitchFamily="18" charset="0"/>
                </a:rPr>
              </a:br>
              <a:r>
                <a:rPr lang="es-ES" sz="900" b="0" i="0">
                  <a:latin typeface="Cambria Math" panose="02040503050406030204" pitchFamily="18" charset="0"/>
                </a:rPr>
                <a:t>𝐹𝐺𝑂 (𝑀𝑒𝑡𝑜𝑑𝑜 𝐼𝑛𝑑𝑖𝑟𝑒𝑐𝑡𝑜)=𝑅𝑒𝑠𝑢𝑙𝑡𝑎𝑑𝑜 𝐸𝑗𝑒𝑟𝑐𝑖𝑐𝑖𝑜 −[𝐼𝑛𝑔𝑟𝑒𝑠𝑜𝑠 (𝑛𝑜 𝑐𝑜𝑏𝑟𝑜)+𝐺𝑎𝑠𝑡𝑜𝑠 (𝑛𝑜 𝑝𝑎𝑔𝑜𝑠)]</a:t>
              </a:r>
              <a:endParaRPr lang="es-ES" sz="900"/>
            </a:p>
          </xdr:txBody>
        </xdr:sp>
      </mc:Fallback>
    </mc:AlternateContent>
    <xdr:clientData/>
  </xdr:oneCellAnchor>
  <xdr:oneCellAnchor>
    <xdr:from>
      <xdr:col>8</xdr:col>
      <xdr:colOff>904603</xdr:colOff>
      <xdr:row>16</xdr:row>
      <xdr:rowOff>151857</xdr:rowOff>
    </xdr:from>
    <xdr:ext cx="4128053" cy="4548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6A73EEFE-E0F7-434D-B092-C0D2D3FD3E3C}"/>
                </a:ext>
              </a:extLst>
            </xdr:cNvPr>
            <xdr:cNvSpPr txBox="1"/>
          </xdr:nvSpPr>
          <xdr:spPr>
            <a:xfrm>
              <a:off x="12813574" y="9557114"/>
              <a:ext cx="4128053" cy="4548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𝐶𝑎𝑝𝑎𝑐𝑖𝑑𝑎𝑑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𝑑𝑒𝑣𝑜𝑙𝑢𝑐𝑖𝑜𝑛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𝑑𝑒𝑢𝑑𝑎𝑠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=⇒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𝐹𝐺𝑂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𝐷𝑒𝑢𝑑𝑎𝑠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𝑙𝑎𝑠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𝑔𝑟𝑢𝑝𝑜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…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6A73EEFE-E0F7-434D-B092-C0D2D3FD3E3C}"/>
                </a:ext>
              </a:extLst>
            </xdr:cNvPr>
            <xdr:cNvSpPr txBox="1"/>
          </xdr:nvSpPr>
          <xdr:spPr>
            <a:xfrm>
              <a:off x="12813574" y="9557114"/>
              <a:ext cx="4128053" cy="4548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𝐶𝑎𝑝𝑎𝑐𝑖𝑑𝑎𝑑 𝑑𝑒𝑣𝑜𝑙𝑢𝑐𝑖𝑜𝑛 𝑑𝑒𝑢𝑑𝑎𝑠  𝑐/𝑝=⇒𝐹𝐺𝑂/(𝐷𝑒𝑢𝑑𝑎𝑠 𝑎 𝑐/𝑝 𝑦 𝑙𝑎𝑠 𝑑𝑒 𝑔𝑟𝑢𝑝𝑜…)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169817</xdr:colOff>
      <xdr:row>19</xdr:row>
      <xdr:rowOff>216626</xdr:rowOff>
    </xdr:from>
    <xdr:ext cx="4828886" cy="4898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7477EAD-8534-4F23-B2E0-C4650323AF11}"/>
                </a:ext>
              </a:extLst>
            </xdr:cNvPr>
            <xdr:cNvSpPr txBox="1"/>
          </xdr:nvSpPr>
          <xdr:spPr>
            <a:xfrm>
              <a:off x="12078788" y="11679283"/>
              <a:ext cx="4828886" cy="489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𝐶𝑎𝑝𝑎𝑐𝑖𝑑𝑎𝑑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𝑑𝑒𝑣𝑜𝑙𝑢𝑐𝑖𝑜𝑛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𝑑𝑒𝑢𝑑𝑎𝑠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=⇒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𝐹𝐺𝑂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𝐷𝑒𝑢𝑑𝑎𝑠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=⇒(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𝐷𝑒𝑢𝑑𝑎𝑠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7477EAD-8534-4F23-B2E0-C4650323AF11}"/>
                </a:ext>
              </a:extLst>
            </xdr:cNvPr>
            <xdr:cNvSpPr txBox="1"/>
          </xdr:nvSpPr>
          <xdr:spPr>
            <a:xfrm>
              <a:off x="12078788" y="11679283"/>
              <a:ext cx="4828886" cy="489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𝐶𝑎𝑝𝑎𝑐𝑖𝑑𝑎𝑑 𝑑𝑒𝑣𝑜𝑙𝑢𝑐𝑖𝑜𝑛 𝑑𝑒𝑢𝑑𝑎𝑠  𝑙/𝑝=⇒𝐹𝐺𝑂/(𝐷𝑒𝑢𝑑𝑎𝑠 𝑎 𝑙/𝑝=⇒(𝑃.𝑁.𝐶+𝐷𝑒𝑢𝑑𝑎𝑠 𝑎 𝑐/𝑝))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724988</xdr:colOff>
      <xdr:row>22</xdr:row>
      <xdr:rowOff>100693</xdr:rowOff>
    </xdr:from>
    <xdr:ext cx="3768788" cy="3480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9DBFD4F-C29F-4EF5-B1AE-18FF518355A5}"/>
                </a:ext>
              </a:extLst>
            </xdr:cNvPr>
            <xdr:cNvSpPr txBox="1"/>
          </xdr:nvSpPr>
          <xdr:spPr>
            <a:xfrm>
              <a:off x="12633959" y="13849350"/>
              <a:ext cx="3768788" cy="348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𝑇𝑖𝑒𝑚𝑝𝑜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𝐸𝑣𝑜𝑙𝑢𝑐𝑖𝑜𝑛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⇒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𝐹𝐺𝑂</m:t>
                            </m:r>
                          </m:e>
                        </m:d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𝐶𝑎𝑝𝑎𝑐𝑖𝑑𝑎𝑑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𝑑𝑒𝑣𝑜𝑙𝑢𝑐𝑖𝑜𝑛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𝑙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9DBFD4F-C29F-4EF5-B1AE-18FF518355A5}"/>
                </a:ext>
              </a:extLst>
            </xdr:cNvPr>
            <xdr:cNvSpPr txBox="1"/>
          </xdr:nvSpPr>
          <xdr:spPr>
            <a:xfrm>
              <a:off x="12633959" y="13849350"/>
              <a:ext cx="3768788" cy="348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𝑇𝑖𝑒𝑚𝑝𝑜 𝑑𝑒 𝐸𝑣𝑜𝑙𝑢𝑐𝑖𝑜𝑛⇒1/((𝐹𝐺𝑂)𝐶𝑎𝑝𝑎𝑐𝑖𝑑𝑎𝑑 𝑑𝑒 𝑑𝑒𝑣𝑜𝑙𝑢𝑐𝑖𝑜𝑛 𝑙/𝑝)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579120</xdr:colOff>
      <xdr:row>23</xdr:row>
      <xdr:rowOff>119742</xdr:rowOff>
    </xdr:from>
    <xdr:ext cx="3850798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819872FA-D36A-4650-9786-53D35949CEF2}"/>
                </a:ext>
              </a:extLst>
            </xdr:cNvPr>
            <xdr:cNvSpPr txBox="1"/>
          </xdr:nvSpPr>
          <xdr:spPr>
            <a:xfrm>
              <a:off x="12488091" y="14488885"/>
              <a:ext cx="3850798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𝑇𝑖𝑒𝑚𝑝𝑜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𝐸𝑣𝑜𝑙𝑢𝑐𝑖𝑜𝑛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⇒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𝐹𝐸𝐴𝐸</m:t>
                            </m:r>
                          </m:e>
                        </m:d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𝐶𝑎𝑝𝑎𝑐𝑖𝑑𝑎𝑑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𝑑𝑒𝑣𝑜𝑙𝑢𝑐𝑖𝑜𝑛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𝑙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819872FA-D36A-4650-9786-53D35949CEF2}"/>
                </a:ext>
              </a:extLst>
            </xdr:cNvPr>
            <xdr:cNvSpPr txBox="1"/>
          </xdr:nvSpPr>
          <xdr:spPr>
            <a:xfrm>
              <a:off x="12488091" y="14488885"/>
              <a:ext cx="3850798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𝑇𝑖𝑒𝑚𝑝𝑜 𝑑𝑒 𝐸𝑣𝑜𝑙𝑢𝑐𝑖𝑜𝑛⇒1/((𝐹𝐸𝐴𝐸)𝐶𝑎𝑝𝑎𝑐𝑖𝑑𝑎𝑑 𝑑𝑒 𝑑𝑒𝑣𝑜𝑙𝑢𝑐𝑖𝑜𝑛 𝑙/𝑝)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206829</xdr:colOff>
      <xdr:row>13</xdr:row>
      <xdr:rowOff>283029</xdr:rowOff>
    </xdr:from>
    <xdr:ext cx="4814075" cy="281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4F54CDB8-67B4-48F0-BE28-12691A4FD45C}"/>
                </a:ext>
              </a:extLst>
            </xdr:cNvPr>
            <xdr:cNvSpPr txBox="1"/>
          </xdr:nvSpPr>
          <xdr:spPr>
            <a:xfrm>
              <a:off x="12115800" y="7445829"/>
              <a:ext cx="4814075" cy="281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900" b="0" i="1">
                        <a:latin typeface="Cambria Math" panose="02040503050406030204" pitchFamily="18" charset="0"/>
                      </a:rPr>
                      <m:t>𝐹𝐺𝑂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𝑀𝑒𝑡𝑜𝑑𝑜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𝐷𝑖𝑟𝑒𝑐𝑡𝑜</m:t>
                        </m:r>
                      </m:e>
                    </m:d>
                    <m:r>
                      <a:rPr lang="es-ES" sz="9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𝐼𝑛𝑔𝑟𝑒𝑠𝑜𝑠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𝑐𝑜𝑏𝑟𝑜</m:t>
                        </m:r>
                      </m:e>
                    </m:d>
                    <m:r>
                      <a:rPr lang="es-ES" sz="9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𝐺𝑎𝑠𝑡𝑜𝑠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𝑐𝑜𝑏𝑟𝑜</m:t>
                        </m:r>
                      </m:e>
                    </m:d>
                    <m:r>
                      <a:rPr lang="es-ES" sz="900" b="0" i="1">
                        <a:latin typeface="Cambria Math" panose="02040503050406030204" pitchFamily="18" charset="0"/>
                      </a:rPr>
                      <m:t>.</m:t>
                    </m:r>
                  </m:oMath>
                  <m:oMath xmlns:m="http://schemas.openxmlformats.org/officeDocument/2006/math">
                    <m:r>
                      <a:rPr lang="es-ES" sz="900" b="0" i="1">
                        <a:latin typeface="Cambria Math" panose="02040503050406030204" pitchFamily="18" charset="0"/>
                      </a:rPr>
                      <m:t>𝐹𝐺𝑂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𝑀𝑒𝑡𝑜𝑑𝑜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𝐼𝑛𝑑𝑖𝑟𝑒𝑐𝑡𝑜</m:t>
                        </m:r>
                      </m:e>
                    </m:d>
                    <m:r>
                      <a:rPr lang="es-ES" sz="9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𝑅𝑒𝑠𝑢𝑙𝑡𝑎𝑑𝑜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𝐸𝑗𝑒𝑟𝑐𝑖𝑐𝑖𝑜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−[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𝐼𝑛𝑔𝑟𝑒𝑠𝑜𝑠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𝑛𝑜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𝑐𝑜𝑏𝑟𝑜</m:t>
                        </m:r>
                      </m:e>
                    </m:d>
                    <m:r>
                      <a:rPr lang="es-ES" sz="9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𝐺𝑎𝑠𝑡𝑜𝑠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𝑛𝑜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𝑝𝑎𝑔𝑜𝑠</m:t>
                        </m:r>
                      </m:e>
                    </m:d>
                    <m:r>
                      <a:rPr lang="es-ES" sz="9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ES" sz="9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4F54CDB8-67B4-48F0-BE28-12691A4FD45C}"/>
                </a:ext>
              </a:extLst>
            </xdr:cNvPr>
            <xdr:cNvSpPr txBox="1"/>
          </xdr:nvSpPr>
          <xdr:spPr>
            <a:xfrm>
              <a:off x="12115800" y="7445829"/>
              <a:ext cx="4814075" cy="281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900" b="0" i="0">
                  <a:latin typeface="Cambria Math" panose="02040503050406030204" pitchFamily="18" charset="0"/>
                </a:rPr>
                <a:t>𝐹𝐺𝑂 (𝑀𝑒𝑡𝑜𝑑𝑜 𝐷𝑖𝑟𝑒𝑐𝑡𝑜)=𝐼𝑛𝑔𝑟𝑒𝑠𝑜𝑠 (𝑐𝑜𝑏𝑟𝑜)−𝐺𝑎𝑠𝑡𝑜𝑠 (𝑐𝑜𝑏𝑟𝑜).</a:t>
              </a:r>
              <a:br>
                <a:rPr lang="es-ES" sz="900" b="0" i="1">
                  <a:latin typeface="Cambria Math" panose="02040503050406030204" pitchFamily="18" charset="0"/>
                </a:rPr>
              </a:br>
              <a:r>
                <a:rPr lang="es-ES" sz="900" b="0" i="0">
                  <a:latin typeface="Cambria Math" panose="02040503050406030204" pitchFamily="18" charset="0"/>
                </a:rPr>
                <a:t>𝐹𝐺𝑂 (𝑀𝑒𝑡𝑜𝑑𝑜 𝐼𝑛𝑑𝑖𝑟𝑒𝑐𝑡𝑜)=𝑅𝑒𝑠𝑢𝑙𝑡𝑎𝑑𝑜 𝐸𝑗𝑒𝑟𝑐𝑖𝑐𝑖𝑜 −[𝐼𝑛𝑔𝑟𝑒𝑠𝑜𝑠 (𝑛𝑜 𝑐𝑜𝑏𝑟𝑜)+𝐺𝑎𝑠𝑡𝑜𝑠 (𝑛𝑜 𝑝𝑎𝑔𝑜𝑠)]</a:t>
              </a:r>
              <a:endParaRPr lang="es-ES" sz="900"/>
            </a:p>
          </xdr:txBody>
        </xdr:sp>
      </mc:Fallback>
    </mc:AlternateContent>
    <xdr:clientData/>
  </xdr:oneCellAnchor>
  <xdr:oneCellAnchor>
    <xdr:from>
      <xdr:col>8</xdr:col>
      <xdr:colOff>129540</xdr:colOff>
      <xdr:row>42</xdr:row>
      <xdr:rowOff>209550</xdr:rowOff>
    </xdr:from>
    <xdr:ext cx="3754553" cy="3863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46E88E1-0629-4F2D-8247-FA39D26C8826}"/>
                </a:ext>
              </a:extLst>
            </xdr:cNvPr>
            <xdr:cNvSpPr txBox="1"/>
          </xdr:nvSpPr>
          <xdr:spPr>
            <a:xfrm>
              <a:off x="12038511" y="28185836"/>
              <a:ext cx="3754553" cy="386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9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𝐺𝑙𝑜𝑏𝑎𝑙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𝐵𝐴𝐼𝑇</m:t>
                        </m:r>
                      </m:num>
                      <m:den>
                        <m:eqArr>
                          <m:eqArrPr>
                            <m:ctrlPr>
                              <a:rPr lang="es-ES" sz="9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ES" sz="900" b="0" i="1">
                                <a:latin typeface="Cambria Math" panose="02040503050406030204" pitchFamily="18" charset="0"/>
                              </a:rPr>
                              <m:t>𝐴𝑐𝑡𝑖𝑣𝑜</m:t>
                            </m:r>
                            <m:r>
                              <a:rPr lang="es-ES" sz="9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ES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𝑇𝑜𝑡𝑎𝑙</m:t>
                            </m:r>
                            <m:r>
                              <a:rPr lang="es-ES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s-ES" sz="9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eqArr>
                      </m:den>
                    </m:f>
                    <m:r>
                      <a:rPr lang="es-ES" sz="9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𝐵𝐴𝐼𝑇</m:t>
                        </m:r>
                      </m:num>
                      <m:den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𝐼𝑛𝑔𝑟𝑒𝑠𝑜𝑠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𝑒𝑥𝑝𝑙𝑜𝑡𝑎𝑐𝑖𝑜𝑛</m:t>
                        </m:r>
                      </m:den>
                    </m:f>
                    <m:r>
                      <a:rPr lang="es-ES" sz="9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𝐼𝑛𝑔𝑟𝑒𝑠𝑜𝑠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𝑒𝑥𝑝𝑙𝑜𝑡𝑎𝑐𝑖𝑜𝑛</m:t>
                        </m:r>
                      </m:num>
                      <m:den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𝐴𝑐𝑡𝑖𝑣𝑜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𝑇𝑜𝑡𝑎𝑙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46E88E1-0629-4F2D-8247-FA39D26C8826}"/>
                </a:ext>
              </a:extLst>
            </xdr:cNvPr>
            <xdr:cNvSpPr txBox="1"/>
          </xdr:nvSpPr>
          <xdr:spPr>
            <a:xfrm>
              <a:off x="12038511" y="28185836"/>
              <a:ext cx="3754553" cy="386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900" b="0" i="0">
                  <a:latin typeface="Cambria Math" panose="02040503050406030204" pitchFamily="18" charset="0"/>
                </a:rPr>
                <a:t>𝑅. 𝐺𝑙𝑜𝑏𝑎𝑙=𝐵𝐴𝐼𝑇/█(𝐴𝑐𝑡𝑖𝑣𝑜 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@ )</a:t>
              </a:r>
              <a:r>
                <a:rPr lang="es-ES" sz="900" b="0" i="0">
                  <a:latin typeface="Cambria Math" panose="02040503050406030204" pitchFamily="18" charset="0"/>
                </a:rPr>
                <a:t>=𝐵𝐴𝐼𝑇/(𝐼𝑛𝑔𝑟𝑒𝑠𝑜𝑠 𝑒𝑥𝑝𝑙𝑜𝑡𝑎𝑐𝑖𝑜𝑛)∗(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𝐼𝑛𝑔𝑟𝑒𝑠𝑜𝑠 </a:t>
              </a:r>
              <a:r>
                <a:rPr lang="es-ES" sz="900" b="0" i="0">
                  <a:latin typeface="Cambria Math" panose="02040503050406030204" pitchFamily="18" charset="0"/>
                </a:rPr>
                <a:t>𝑒𝑥𝑝𝑙𝑜𝑡𝑎𝑐𝑖𝑜𝑛)/(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𝐴𝑐𝑡𝑖𝑣𝑜 𝑇𝑜𝑡𝑎𝑙 )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8</xdr:col>
      <xdr:colOff>83820</xdr:colOff>
      <xdr:row>36</xdr:row>
      <xdr:rowOff>175260</xdr:rowOff>
    </xdr:from>
    <xdr:ext cx="4044119" cy="2872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228ACC27-2F97-4182-95B8-843482C445F6}"/>
                </a:ext>
              </a:extLst>
            </xdr:cNvPr>
            <xdr:cNvSpPr txBox="1"/>
          </xdr:nvSpPr>
          <xdr:spPr>
            <a:xfrm>
              <a:off x="11992791" y="23568660"/>
              <a:ext cx="4044119" cy="2872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9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𝐸𝑥𝑝</m:t>
                    </m:r>
                    <m:r>
                      <a:rPr lang="es-ES" sz="9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𝑅𝑁𝐸</m:t>
                        </m:r>
                      </m:num>
                      <m:den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𝑇𝑜𝑡𝑎𝑙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exp</m:t>
                        </m:r>
                        <m: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s-ES" sz="9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𝑅𝑁𝐸</m:t>
                        </m:r>
                      </m:num>
                      <m:den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𝐼𝑛𝑔𝑟𝑒𝑠𝑜𝑠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𝑒𝑥𝑝𝑙𝑜𝑡𝑎𝑐𝑖𝑜𝑛</m:t>
                        </m:r>
                      </m:den>
                    </m:f>
                    <m:r>
                      <a:rPr lang="es-ES" sz="9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s-ES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𝐼𝑛𝑔𝑟𝑒𝑠𝑜𝑠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900" b="0" i="1">
                            <a:latin typeface="Cambria Math" panose="02040503050406030204" pitchFamily="18" charset="0"/>
                          </a:rPr>
                          <m:t>𝑒𝑥𝑝𝑙𝑜𝑡𝑎𝑐𝑖𝑜𝑛</m:t>
                        </m:r>
                      </m:num>
                      <m:den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𝐴𝑐𝑡𝑖𝑣𝑜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𝑇𝑜𝑡𝑎𝑙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  <m:r>
                          <a:rPr lang="es-E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𝑒𝑥𝑝</m:t>
                        </m:r>
                      </m:den>
                    </m:f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228ACC27-2F97-4182-95B8-843482C445F6}"/>
                </a:ext>
              </a:extLst>
            </xdr:cNvPr>
            <xdr:cNvSpPr txBox="1"/>
          </xdr:nvSpPr>
          <xdr:spPr>
            <a:xfrm>
              <a:off x="11992791" y="23568660"/>
              <a:ext cx="4044119" cy="2872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900" b="0" i="0">
                  <a:latin typeface="Cambria Math" panose="02040503050406030204" pitchFamily="18" charset="0"/>
                </a:rPr>
                <a:t>𝑅.𝐸 𝐸𝑥𝑝=𝑅𝑁𝐸/(𝐴𝑐𝑡𝑖𝑣𝑜 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 exp )</a:t>
              </a:r>
              <a:r>
                <a:rPr lang="es-ES" sz="900" b="0" i="0">
                  <a:latin typeface="Cambria Math" panose="02040503050406030204" pitchFamily="18" charset="0"/>
                </a:rPr>
                <a:t>=𝑅𝑁𝐸/(𝐼𝑛𝑔𝑟𝑒𝑠𝑜𝑠 𝑒𝑥𝑝𝑙𝑜𝑡𝑎𝑐𝑖𝑜𝑛)∗(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𝐼𝑛𝑔𝑟𝑒𝑠𝑜𝑠 </a:t>
              </a:r>
              <a:r>
                <a:rPr lang="es-ES" sz="900" b="0" i="0">
                  <a:latin typeface="Cambria Math" panose="02040503050406030204" pitchFamily="18" charset="0"/>
                </a:rPr>
                <a:t>𝑒𝑥𝑝𝑙𝑜𝑡𝑎𝑐𝑖𝑜𝑛)/(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𝐴𝑐𝑡𝑖𝑣𝑜 𝑇𝑜𝑡𝑎𝑙  𝑒𝑥𝑝)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8</xdr:col>
      <xdr:colOff>60960</xdr:colOff>
      <xdr:row>47</xdr:row>
      <xdr:rowOff>87630</xdr:rowOff>
    </xdr:from>
    <xdr:ext cx="27808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AA3F4A7B-4DEF-47FF-9B4D-ABEF51385430}"/>
                </a:ext>
              </a:extLst>
            </xdr:cNvPr>
            <xdr:cNvSpPr txBox="1"/>
          </xdr:nvSpPr>
          <xdr:spPr>
            <a:xfrm>
              <a:off x="12525375" y="24561165"/>
              <a:ext cx="2780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𝐹𝑖𝑛𝑎𝑛𝑐𝑖𝑒𝑟𝑎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endChr m:val="]"/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𝐿</m:t>
                        </m:r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𝑅𝐸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</m:d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∗(1−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AA3F4A7B-4DEF-47FF-9B4D-ABEF51385430}"/>
                </a:ext>
              </a:extLst>
            </xdr:cNvPr>
            <xdr:cNvSpPr txBox="1"/>
          </xdr:nvSpPr>
          <xdr:spPr>
            <a:xfrm>
              <a:off x="12525375" y="24561165"/>
              <a:ext cx="2780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𝑅.𝐹𝑖𝑛𝑎𝑛𝑐𝑖𝑒𝑟𝑎=(𝑅.𝐸+𝐿(𝑅𝐸−𝐾)]∗(1−𝑡)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8</xdr:col>
      <xdr:colOff>83820</xdr:colOff>
      <xdr:row>45</xdr:row>
      <xdr:rowOff>179070</xdr:rowOff>
    </xdr:from>
    <xdr:ext cx="3084049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6051B514-B7BB-4520-B241-BD8A4B1A95ED}"/>
                </a:ext>
              </a:extLst>
            </xdr:cNvPr>
            <xdr:cNvSpPr txBox="1"/>
          </xdr:nvSpPr>
          <xdr:spPr>
            <a:xfrm>
              <a:off x="12553950" y="22618065"/>
              <a:ext cx="3084049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𝐶𝑜𝑠𝑡𝑒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𝐸𝑛𝑑𝑢𝑒𝑑𝑎𝑚𝑖𝑒𝑛𝑡𝑜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𝐺𝑎𝑠𝑡𝑜𝑠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𝐹𝑖𝑛𝑎𝑛𝑐𝑖𝑒𝑟𝑜𝑠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𝐹𝑜𝑛𝑑𝑜𝑠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𝑎𝑗𝑒𝑛𝑜𝑠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6051B514-B7BB-4520-B241-BD8A4B1A95ED}"/>
                </a:ext>
              </a:extLst>
            </xdr:cNvPr>
            <xdr:cNvSpPr txBox="1"/>
          </xdr:nvSpPr>
          <xdr:spPr>
            <a:xfrm>
              <a:off x="12553950" y="22618065"/>
              <a:ext cx="3084049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𝐶𝑜𝑠𝑡𝑒 𝐸𝑛𝑑𝑢𝑒𝑑𝑎𝑚𝑖𝑒𝑛𝑡𝑜 (𝐾)=(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𝐺𝑎𝑠𝑡𝑜𝑠 </a:t>
              </a:r>
              <a:r>
                <a:rPr lang="es-ES" sz="1100" b="0" i="0">
                  <a:latin typeface="Cambria Math" panose="02040503050406030204" pitchFamily="18" charset="0"/>
                </a:rPr>
                <a:t>𝐹𝑖𝑛𝑎𝑛𝑐𝑖𝑒𝑟𝑜𝑠)/(𝐹𝑜𝑛𝑑𝑜𝑠 𝑎𝑗𝑒𝑛𝑜𝑠)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160020</xdr:colOff>
      <xdr:row>44</xdr:row>
      <xdr:rowOff>247650</xdr:rowOff>
    </xdr:from>
    <xdr:ext cx="32217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33211485-B6C5-452B-BFB8-70799FB9189A}"/>
                </a:ext>
              </a:extLst>
            </xdr:cNvPr>
            <xdr:cNvSpPr txBox="1"/>
          </xdr:nvSpPr>
          <xdr:spPr>
            <a:xfrm>
              <a:off x="12630150" y="21941790"/>
              <a:ext cx="32217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ES" sz="1100" b="0" i="1">
                      <a:latin typeface="Cambria Math" panose="02040503050406030204" pitchFamily="18" charset="0"/>
                    </a:rPr>
                    <m:t>𝐵𝐴𝐼𝑇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=⇒</m:t>
                  </m:r>
                </m:oMath>
              </a14:m>
              <a:r>
                <a:rPr lang="es-ES" sz="1100"/>
                <a:t> </a:t>
              </a:r>
              <a14:m>
                <m:oMath xmlns:m="http://schemas.openxmlformats.org/officeDocument/2006/math">
                  <m:r>
                    <a:rPr lang="es-E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𝑅</m:t>
                  </m:r>
                  <m:r>
                    <a:rPr lang="es-E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 </m:t>
                  </m:r>
                  <m:r>
                    <a:rPr lang="es-E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𝐴𝑛𝑡𝑒𝑠</m:t>
                  </m:r>
                  <m:r>
                    <a:rPr lang="es-E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E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𝑑𝑒</m:t>
                  </m:r>
                  <m:r>
                    <a:rPr lang="es-E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E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𝐼𝑚𝑝𝑢𝑒𝑠𝑡𝑜𝑠</m:t>
                  </m:r>
                </m:oMath>
              </a14:m>
              <a:r>
                <a:rPr lang="es-ES" sz="1100"/>
                <a:t> + Gastos Financieros</a:t>
              </a:r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33211485-B6C5-452B-BFB8-70799FB9189A}"/>
                </a:ext>
              </a:extLst>
            </xdr:cNvPr>
            <xdr:cNvSpPr txBox="1"/>
          </xdr:nvSpPr>
          <xdr:spPr>
            <a:xfrm>
              <a:off x="12630150" y="21941790"/>
              <a:ext cx="32217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𝐵𝐴𝐼𝑇=⇒</a:t>
              </a:r>
              <a:r>
                <a:rPr lang="es-ES" sz="1100"/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𝑅. 𝐴𝑛𝑡𝑒𝑠 𝑑𝑒 𝐼𝑚𝑝𝑢𝑒𝑠𝑡𝑜𝑠</a:t>
              </a:r>
              <a:r>
                <a:rPr lang="es-ES" sz="1100"/>
                <a:t> + Gastos Financieros</a:t>
              </a:r>
            </a:p>
          </xdr:txBody>
        </xdr:sp>
      </mc:Fallback>
    </mc:AlternateContent>
    <xdr:clientData/>
  </xdr:oneCellAnchor>
  <xdr:oneCellAnchor>
    <xdr:from>
      <xdr:col>8</xdr:col>
      <xdr:colOff>1013460</xdr:colOff>
      <xdr:row>40</xdr:row>
      <xdr:rowOff>118110</xdr:rowOff>
    </xdr:from>
    <xdr:ext cx="2369495" cy="346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8E7E9524-8BAC-467B-BC1B-445F1AE1AE46}"/>
                </a:ext>
              </a:extLst>
            </xdr:cNvPr>
            <xdr:cNvSpPr txBox="1"/>
          </xdr:nvSpPr>
          <xdr:spPr>
            <a:xfrm>
              <a:off x="13477875" y="18398490"/>
              <a:ext cx="2369495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𝑀𝑎𝑟𝑔𝑒𝑛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𝐸𝑥𝑝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𝑅𝑁𝐸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𝐼𝑛𝑔𝑟𝑒𝑠𝑜𝑠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𝑒𝑥𝑝𝑙𝑜𝑡𝑎𝑐𝑖𝑜𝑛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8E7E9524-8BAC-467B-BC1B-445F1AE1AE46}"/>
                </a:ext>
              </a:extLst>
            </xdr:cNvPr>
            <xdr:cNvSpPr txBox="1"/>
          </xdr:nvSpPr>
          <xdr:spPr>
            <a:xfrm>
              <a:off x="13477875" y="18398490"/>
              <a:ext cx="2369495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𝑀𝑎𝑟𝑔𝑒𝑛 𝐸𝑥𝑝=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𝑅𝑁𝐸/(𝐼𝑛𝑔𝑟𝑒𝑠𝑜𝑠 𝑒𝑥𝑝𝑙𝑜𝑡𝑎𝑐𝑖𝑜𝑛)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883920</xdr:colOff>
      <xdr:row>41</xdr:row>
      <xdr:rowOff>163830</xdr:rowOff>
    </xdr:from>
    <xdr:ext cx="2431563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04EDDC78-F0B0-4EA9-8BA4-C17F98F7BACF}"/>
                </a:ext>
              </a:extLst>
            </xdr:cNvPr>
            <xdr:cNvSpPr txBox="1"/>
          </xdr:nvSpPr>
          <xdr:spPr>
            <a:xfrm>
              <a:off x="12792891" y="28161887"/>
              <a:ext cx="2431563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𝑅𝑜𝑡𝑎𝑐𝑖𝑜𝑛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𝐸𝑥𝑝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𝐼𝑛𝑔𝑟𝑒𝑠𝑜𝑠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𝑒𝑥𝑝𝑙𝑜𝑡𝑎𝑐𝑖𝑜𝑛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𝐴𝑐𝑡𝑖𝑣𝑜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𝑇𝑜𝑡𝑎𝑙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𝑒𝑥𝑝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04EDDC78-F0B0-4EA9-8BA4-C17F98F7BACF}"/>
                </a:ext>
              </a:extLst>
            </xdr:cNvPr>
            <xdr:cNvSpPr txBox="1"/>
          </xdr:nvSpPr>
          <xdr:spPr>
            <a:xfrm>
              <a:off x="12792891" y="28161887"/>
              <a:ext cx="2431563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𝑅𝑜𝑡𝑎𝑐𝑖𝑜𝑛 𝐸𝑥𝑝=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(𝐼𝑛𝑔𝑟𝑒𝑠𝑜𝑠 𝑒𝑥𝑝𝑙𝑜𝑡𝑎𝑐𝑖𝑜𝑛)/(𝐴𝑐𝑡𝑖𝑣𝑜 𝑇𝑜𝑡𝑎𝑙  𝑒𝑥𝑝)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83820</xdr:colOff>
      <xdr:row>46</xdr:row>
      <xdr:rowOff>232410</xdr:rowOff>
    </xdr:from>
    <xdr:ext cx="36490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7EF50218-DFF3-4D11-AB17-9E54C70773CD}"/>
                </a:ext>
              </a:extLst>
            </xdr:cNvPr>
            <xdr:cNvSpPr txBox="1"/>
          </xdr:nvSpPr>
          <xdr:spPr>
            <a:xfrm>
              <a:off x="12553950" y="23351490"/>
              <a:ext cx="36490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𝐹𝑜𝑛𝑑𝑜𝑠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𝐴𝑗𝑒𝑛𝑜𝑠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𝐹𝑜𝑛𝑑𝑜𝑠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𝑃𝑟𝑜𝑝𝑖𝑜𝑠</m:t>
                    </m:r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7EF50218-DFF3-4D11-AB17-9E54C70773CD}"/>
                </a:ext>
              </a:extLst>
            </xdr:cNvPr>
            <xdr:cNvSpPr txBox="1"/>
          </xdr:nvSpPr>
          <xdr:spPr>
            <a:xfrm>
              <a:off x="12553950" y="23351490"/>
              <a:ext cx="36490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𝐹𝑜𝑛𝑑𝑜𝑠 𝐴𝑗𝑒𝑛𝑜𝑠=(𝑃.𝑁+𝑃.𝑁.𝐶+𝑃.𝐶)−𝐹𝑜𝑛𝑑𝑜𝑠 𝑃𝑟𝑜𝑝𝑖𝑜𝑠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8</xdr:col>
      <xdr:colOff>243840</xdr:colOff>
      <xdr:row>50</xdr:row>
      <xdr:rowOff>118110</xdr:rowOff>
    </xdr:from>
    <xdr:ext cx="1820435" cy="351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BDC3C07E-43E4-4C67-A4B5-5BF542AC4186}"/>
                </a:ext>
              </a:extLst>
            </xdr:cNvPr>
            <xdr:cNvSpPr txBox="1"/>
          </xdr:nvSpPr>
          <xdr:spPr>
            <a:xfrm>
              <a:off x="12152811" y="33548139"/>
              <a:ext cx="1820435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𝐿𝑒𝑣𝑒𝑟𝑎𝑔𝑒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𝑓𝑜𝑛𝑑𝑜𝑠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𝑎𝑗𝑒𝑛𝑜𝑠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𝑓𝑜𝑛𝑑𝑜𝑠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𝑝𝑟𝑜𝑝𝑖𝑜𝑠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BDC3C07E-43E4-4C67-A4B5-5BF542AC4186}"/>
                </a:ext>
              </a:extLst>
            </xdr:cNvPr>
            <xdr:cNvSpPr txBox="1"/>
          </xdr:nvSpPr>
          <xdr:spPr>
            <a:xfrm>
              <a:off x="12152811" y="33548139"/>
              <a:ext cx="1820435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𝐿𝑒𝑣𝑒𝑟𝑎𝑔𝑒=(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𝑓𝑜𝑛𝑑𝑜𝑠 𝑎𝑗𝑒𝑛𝑜𝑠 )/(</a:t>
              </a:r>
              <a:r>
                <a:rPr lang="es-ES" sz="1100" b="0" i="0">
                  <a:latin typeface="Cambria Math" panose="02040503050406030204" pitchFamily="18" charset="0"/>
                </a:rPr>
                <a:t>𝑓𝑜𝑛𝑑𝑜𝑠 𝑝𝑟𝑜𝑝𝑖𝑜𝑠 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220980</xdr:colOff>
      <xdr:row>49</xdr:row>
      <xdr:rowOff>110490</xdr:rowOff>
    </xdr:from>
    <xdr:ext cx="315323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FD269D70-4361-440A-B1B2-ADD934795399}"/>
                </a:ext>
              </a:extLst>
            </xdr:cNvPr>
            <xdr:cNvSpPr txBox="1"/>
          </xdr:nvSpPr>
          <xdr:spPr>
            <a:xfrm>
              <a:off x="12687300" y="25732740"/>
              <a:ext cx="315323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𝑇𝑎𝑠𝑎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𝐼𝑚𝑝𝑜𝑠𝑖𝑡𝑖𝑣𝑎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𝐼𝑚𝑝𝑢𝑒𝑠𝑡𝑜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𝑠𝑜𝑏𝑟𝑒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𝑏𝑒𝑛𝑒𝑓𝑖𝑐𝑖𝑜𝑠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𝑅𝑒𝑠𝑢𝑙𝑡𝑎𝑑𝑜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𝑎𝑛𝑡𝑒𝑠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𝑖𝑚𝑝𝑢𝑒𝑠𝑡𝑜𝑠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FD269D70-4361-440A-B1B2-ADD934795399}"/>
                </a:ext>
              </a:extLst>
            </xdr:cNvPr>
            <xdr:cNvSpPr txBox="1"/>
          </xdr:nvSpPr>
          <xdr:spPr>
            <a:xfrm>
              <a:off x="12687300" y="25732740"/>
              <a:ext cx="315323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𝑇𝑎𝑠𝑎 𝐼𝑚𝑝𝑜𝑠𝑖𝑡𝑖𝑣𝑎=(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𝐼𝑚𝑝𝑢𝑒𝑠𝑡𝑜 𝑠𝑜𝑏𝑟𝑒 </a:t>
              </a:r>
              <a:r>
                <a:rPr lang="es-ES" sz="1100" b="0" i="0">
                  <a:latin typeface="Cambria Math" panose="02040503050406030204" pitchFamily="18" charset="0"/>
                </a:rPr>
                <a:t>𝑏𝑒𝑛𝑒𝑓𝑖𝑐𝑖𝑜𝑠)/(𝑅𝑒𝑠𝑢𝑙𝑡𝑎𝑑𝑜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𝑎𝑛𝑡𝑒𝑠 𝑑𝑒 𝑖𝑚𝑝𝑢𝑒𝑠𝑡𝑜𝑠)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121920</xdr:colOff>
      <xdr:row>52</xdr:row>
      <xdr:rowOff>114300</xdr:rowOff>
    </xdr:from>
    <xdr:ext cx="2292935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A156F3CD-6743-45A3-9770-4DE740FCD31D}"/>
                </a:ext>
              </a:extLst>
            </xdr:cNvPr>
            <xdr:cNvSpPr txBox="1"/>
          </xdr:nvSpPr>
          <xdr:spPr>
            <a:xfrm>
              <a:off x="12030891" y="34905043"/>
              <a:ext cx="2292935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𝐹𝑖𝑛𝑎𝑛𝑐𝑖𝑒𝑟𝑎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𝑅𝑒𝑠𝑢𝑙𝑡𝑎𝑑𝑜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𝑒𝑗𝑒𝑟𝑐𝑖𝑐𝑖𝑜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𝐹𝑜𝑛𝑑𝑜𝑠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𝑃𝑟𝑜𝑝𝑖𝑜𝑠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A156F3CD-6743-45A3-9770-4DE740FCD31D}"/>
                </a:ext>
              </a:extLst>
            </xdr:cNvPr>
            <xdr:cNvSpPr txBox="1"/>
          </xdr:nvSpPr>
          <xdr:spPr>
            <a:xfrm>
              <a:off x="12030891" y="34905043"/>
              <a:ext cx="2292935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𝑅.𝐹𝑖𝑛𝑎𝑛𝑐𝑖𝑒𝑟𝑎=(𝑅𝑒𝑠𝑢𝑙𝑡𝑎𝑑𝑜 𝑒𝑗𝑒𝑟𝑐𝑖𝑐𝑖𝑜)/(𝐹𝑜𝑛𝑑𝑜𝑠 𝑃𝑟𝑜𝑝𝑖𝑜𝑠 )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8</xdr:col>
      <xdr:colOff>58271</xdr:colOff>
      <xdr:row>38</xdr:row>
      <xdr:rowOff>233082</xdr:rowOff>
    </xdr:from>
    <xdr:ext cx="55905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49111EE7-59FD-4B1A-B1BE-8CA7F88EFD4A}"/>
                </a:ext>
              </a:extLst>
            </xdr:cNvPr>
            <xdr:cNvSpPr txBox="1"/>
          </xdr:nvSpPr>
          <xdr:spPr>
            <a:xfrm>
              <a:off x="12522686" y="16370337"/>
              <a:ext cx="55905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𝐴𝑐𝑡𝑖𝑣𝑜𝑠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𝐸𝑥𝑝𝑙𝑜𝑡𝑎𝑐𝑖𝑜𝑛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𝐼𝑛𝑣𝑒𝑟𝑠𝑖𝑜𝑛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𝑂𝑡𝑟𝑜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𝐼𝑛𝑚𝑜𝑣𝑖𝑙𝑖𝑧𝑎𝑑𝑜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𝑛𝑒𝑡𝑜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𝑂𝑡𝑟𝑎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𝑎𝑐𝑡𝑖𝑣𝑜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𝑐𝑖𝑟𝑐𝑢𝑙𝑎𝑛𝑡𝑒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49111EE7-59FD-4B1A-B1BE-8CA7F88EFD4A}"/>
                </a:ext>
              </a:extLst>
            </xdr:cNvPr>
            <xdr:cNvSpPr txBox="1"/>
          </xdr:nvSpPr>
          <xdr:spPr>
            <a:xfrm>
              <a:off x="12522686" y="16370337"/>
              <a:ext cx="55905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𝐴𝑐𝑡𝑖𝑣𝑜𝑠 𝑑𝑒 𝐸𝑥𝑝𝑙𝑜𝑡𝑎𝑐𝑖𝑜𝑛=𝐼𝑛𝑣𝑒𝑟𝑠𝑖𝑜𝑛 −𝑂𝑡𝑟𝑜 𝐼𝑛𝑚𝑜𝑣𝑖𝑙𝑖𝑧𝑎𝑑𝑜 𝑛𝑒𝑡𝑜 −𝑂𝑡𝑟𝑎 𝑎𝑐𝑡𝑖𝑣𝑜 𝑐𝑖𝑟𝑐𝑢𝑙𝑎𝑛𝑡𝑒</a:t>
              </a:r>
              <a:endParaRPr lang="es-ES" sz="1100"/>
            </a:p>
          </xdr:txBody>
        </xdr:sp>
      </mc:Fallback>
    </mc:AlternateContent>
    <xdr:clientData/>
  </xdr:oneCellAnchor>
  <xdr:twoCellAnchor editAs="oneCell">
    <xdr:from>
      <xdr:col>8</xdr:col>
      <xdr:colOff>936171</xdr:colOff>
      <xdr:row>25</xdr:row>
      <xdr:rowOff>152400</xdr:rowOff>
    </xdr:from>
    <xdr:to>
      <xdr:col>8</xdr:col>
      <xdr:colOff>4013175</xdr:colOff>
      <xdr:row>25</xdr:row>
      <xdr:rowOff>562032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3AA4B7-4899-D90B-4716-9677DFB10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45142" y="15523029"/>
          <a:ext cx="3077004" cy="409632"/>
        </a:xfrm>
        <a:prstGeom prst="rect">
          <a:avLst/>
        </a:prstGeom>
      </xdr:spPr>
    </xdr:pic>
    <xdr:clientData/>
  </xdr:twoCellAnchor>
  <xdr:twoCellAnchor editAs="oneCell">
    <xdr:from>
      <xdr:col>8</xdr:col>
      <xdr:colOff>195942</xdr:colOff>
      <xdr:row>26</xdr:row>
      <xdr:rowOff>130628</xdr:rowOff>
    </xdr:from>
    <xdr:to>
      <xdr:col>8</xdr:col>
      <xdr:colOff>6740530</xdr:colOff>
      <xdr:row>26</xdr:row>
      <xdr:rowOff>635523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885C82C-EFD6-B2EE-D679-7A68E357B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04913" y="16295914"/>
          <a:ext cx="6544588" cy="504895"/>
        </a:xfrm>
        <a:prstGeom prst="rect">
          <a:avLst/>
        </a:prstGeom>
      </xdr:spPr>
    </xdr:pic>
    <xdr:clientData/>
  </xdr:twoCellAnchor>
  <xdr:twoCellAnchor editAs="oneCell">
    <xdr:from>
      <xdr:col>8</xdr:col>
      <xdr:colOff>326572</xdr:colOff>
      <xdr:row>28</xdr:row>
      <xdr:rowOff>130628</xdr:rowOff>
    </xdr:from>
    <xdr:to>
      <xdr:col>8</xdr:col>
      <xdr:colOff>6680634</xdr:colOff>
      <xdr:row>28</xdr:row>
      <xdr:rowOff>625997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791D57E-7B6B-4521-455F-89811B071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35543" y="17090571"/>
          <a:ext cx="6354062" cy="495369"/>
        </a:xfrm>
        <a:prstGeom prst="rect">
          <a:avLst/>
        </a:prstGeom>
      </xdr:spPr>
    </xdr:pic>
    <xdr:clientData/>
  </xdr:twoCellAnchor>
  <xdr:twoCellAnchor editAs="oneCell">
    <xdr:from>
      <xdr:col>8</xdr:col>
      <xdr:colOff>217714</xdr:colOff>
      <xdr:row>29</xdr:row>
      <xdr:rowOff>228600</xdr:rowOff>
    </xdr:from>
    <xdr:to>
      <xdr:col>8</xdr:col>
      <xdr:colOff>5609616</xdr:colOff>
      <xdr:row>29</xdr:row>
      <xdr:rowOff>571548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F7D8F5E-97A9-8F5D-8988-721155AF2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26685" y="17983200"/>
          <a:ext cx="5391902" cy="342948"/>
        </a:xfrm>
        <a:prstGeom prst="rect">
          <a:avLst/>
        </a:prstGeom>
      </xdr:spPr>
    </xdr:pic>
    <xdr:clientData/>
  </xdr:twoCellAnchor>
  <xdr:twoCellAnchor editAs="oneCell">
    <xdr:from>
      <xdr:col>8</xdr:col>
      <xdr:colOff>1088571</xdr:colOff>
      <xdr:row>30</xdr:row>
      <xdr:rowOff>239486</xdr:rowOff>
    </xdr:from>
    <xdr:to>
      <xdr:col>8</xdr:col>
      <xdr:colOff>3508259</xdr:colOff>
      <xdr:row>30</xdr:row>
      <xdr:rowOff>534802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9DB0E848-1694-402B-E5DC-7AD769D51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97542" y="18788743"/>
          <a:ext cx="2419688" cy="295316"/>
        </a:xfrm>
        <a:prstGeom prst="rect">
          <a:avLst/>
        </a:prstGeom>
      </xdr:spPr>
    </xdr:pic>
    <xdr:clientData/>
  </xdr:twoCellAnchor>
  <xdr:oneCellAnchor>
    <xdr:from>
      <xdr:col>8</xdr:col>
      <xdr:colOff>152400</xdr:colOff>
      <xdr:row>27</xdr:row>
      <xdr:rowOff>228600</xdr:rowOff>
    </xdr:from>
    <xdr:ext cx="7723075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B3E0571C-A8A3-976B-3A12-065022862B2A}"/>
                </a:ext>
              </a:extLst>
            </xdr:cNvPr>
            <xdr:cNvSpPr txBox="1"/>
          </xdr:nvSpPr>
          <xdr:spPr>
            <a:xfrm>
              <a:off x="12061371" y="17188543"/>
              <a:ext cx="7723075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𝐶𝑜𝑠𝑡𝑒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𝑃𝑟𝑜𝑑𝑢𝑐𝑐𝑖𝑜𝑛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𝑇𝑒𝑟𝑚𝑖𝑛𝑎𝑑𝑎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𝐶𝑜𝑛𝑠𝑢𝑚𝑜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𝑀𝑃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𝑇𝑟𝑎𝑏𝑎𝑗𝑜𝑠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𝑜𝑡𝑟𝑎𝑠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𝑒𝑚𝑝𝑟𝑒𝑠𝑎𝑠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𝑆𝑢𝑒𝑙𝑑𝑜𝑠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𝑠𝑎𝑙𝑎𝑟𝑖𝑜𝑠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𝐶𝑎𝑟𝑔𝑜𝑠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𝑠𝑜𝑐𝑖𝑎𝑙𝑒𝑠</m:t>
                    </m:r>
                  </m:oMath>
                </m:oMathPara>
              </a14:m>
              <a:endParaRPr lang="es-E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𝑆𝑒𝑟𝑣𝑖𝑐𝑖𝑜𝑠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𝑒𝑥𝑡𝑒𝑟𝑖𝑜𝑟𝑒𝑠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𝑂𝑡𝑟𝑜𝑠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𝑔𝑎𝑠𝑡𝑜𝑠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𝑔𝑒𝑠𝑡𝑖𝑜𝑛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𝐺𝑎𝑠𝑡𝑜𝑠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𝑒𝑚𝑖𝑠𝑖𝑜𝑛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𝐴𝑚𝑜𝑟𝑡𝑖𝑧𝑎𝑐𝑖𝑜𝑛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𝑉𝑎𝑟𝑖𝑎𝑐𝑖𝑜𝑛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𝑃𝑟𝑜𝑑𝑢𝑐𝑜𝑡𝑠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𝑒𝑛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𝑐𝑢𝑟𝑠𝑜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B3E0571C-A8A3-976B-3A12-065022862B2A}"/>
                </a:ext>
              </a:extLst>
            </xdr:cNvPr>
            <xdr:cNvSpPr txBox="1"/>
          </xdr:nvSpPr>
          <xdr:spPr>
            <a:xfrm>
              <a:off x="12061371" y="17188543"/>
              <a:ext cx="7723075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𝐶𝑜𝑠𝑡𝑒 𝑃𝑟𝑜𝑑𝑢𝑐𝑐𝑖𝑜𝑛 𝑇𝑒𝑟𝑚𝑖𝑛𝑎𝑑𝑎=𝐶𝑜𝑛𝑠𝑢𝑚𝑜 𝑀𝑃+𝑇𝑟𝑎𝑏𝑎𝑗𝑜𝑠 𝑜𝑡𝑟𝑎𝑠 𝑒𝑚𝑝𝑟𝑒𝑠𝑎𝑠+𝑆𝑢𝑒𝑙𝑑𝑜𝑠 𝑠𝑎𝑙𝑎𝑟𝑖𝑜𝑠+𝐶𝑎𝑟𝑔𝑜𝑠 𝑠𝑜𝑐𝑖𝑎𝑙𝑒𝑠</a:t>
              </a:r>
              <a:endParaRPr lang="es-ES" sz="1100" b="0" i="1">
                <a:latin typeface="Cambria Math" panose="02040503050406030204" pitchFamily="18" charset="0"/>
              </a:endParaRPr>
            </a:p>
            <a:p>
              <a:r>
                <a:rPr lang="es-ES" sz="1100" b="0" i="0">
                  <a:latin typeface="Cambria Math" panose="02040503050406030204" pitchFamily="18" charset="0"/>
                </a:rPr>
                <a:t>+𝑆𝑒𝑟𝑣𝑖𝑐𝑖𝑜𝑠 𝑒𝑥𝑡𝑒𝑟𝑖𝑜𝑟𝑒𝑠+𝑂𝑡𝑟𝑜𝑠 𝑔𝑎𝑠𝑡𝑜𝑠 𝑑𝑒 𝑔𝑒𝑠𝑡𝑖𝑜𝑛+𝐺𝑎𝑠𝑡𝑜𝑠 𝑑𝑒 𝑒𝑚𝑖𝑠𝑖𝑜𝑛+𝐴𝑚𝑜𝑟𝑡𝑖𝑧𝑎𝑐𝑖𝑜𝑛 −𝑉𝑎𝑟𝑖𝑎𝑐𝑖𝑜𝑛 𝑑𝑒 𝑃𝑟𝑜𝑑𝑢𝑐𝑜𝑡𝑠 𝑒𝑛 𝑐𝑢𝑟𝑠𝑜</a:t>
              </a:r>
              <a:endParaRPr lang="es-ES" sz="1100"/>
            </a:p>
          </xdr:txBody>
        </xdr:sp>
      </mc:Fallback>
    </mc:AlternateContent>
    <xdr:clientData/>
  </xdr:oneCellAnchor>
  <xdr:twoCellAnchor editAs="oneCell">
    <xdr:from>
      <xdr:col>8</xdr:col>
      <xdr:colOff>304800</xdr:colOff>
      <xdr:row>31</xdr:row>
      <xdr:rowOff>195942</xdr:rowOff>
    </xdr:from>
    <xdr:to>
      <xdr:col>8</xdr:col>
      <xdr:colOff>6630283</xdr:colOff>
      <xdr:row>31</xdr:row>
      <xdr:rowOff>538890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6368822D-72BB-06C2-4B39-98DFE4DB1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13771" y="20334513"/>
          <a:ext cx="6325483" cy="342948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32</xdr:row>
      <xdr:rowOff>108857</xdr:rowOff>
    </xdr:from>
    <xdr:to>
      <xdr:col>8</xdr:col>
      <xdr:colOff>6611241</xdr:colOff>
      <xdr:row>32</xdr:row>
      <xdr:rowOff>604226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986971A7-D9FB-AA80-0D0F-3BCAD02A7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37571" y="21042086"/>
          <a:ext cx="6382641" cy="495369"/>
        </a:xfrm>
        <a:prstGeom prst="rect">
          <a:avLst/>
        </a:prstGeom>
      </xdr:spPr>
    </xdr:pic>
    <xdr:clientData/>
  </xdr:twoCellAnchor>
  <xdr:twoCellAnchor editAs="oneCell">
    <xdr:from>
      <xdr:col>8</xdr:col>
      <xdr:colOff>163286</xdr:colOff>
      <xdr:row>37</xdr:row>
      <xdr:rowOff>65314</xdr:rowOff>
    </xdr:from>
    <xdr:to>
      <xdr:col>8</xdr:col>
      <xdr:colOff>6669769</xdr:colOff>
      <xdr:row>38</xdr:row>
      <xdr:rowOff>108942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E61A3309-7A22-DE42-6131-0896FAF10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072257" y="24079200"/>
          <a:ext cx="6506483" cy="609685"/>
        </a:xfrm>
        <a:prstGeom prst="rect">
          <a:avLst/>
        </a:prstGeom>
      </xdr:spPr>
    </xdr:pic>
    <xdr:clientData/>
  </xdr:twoCellAnchor>
  <xdr:oneCellAnchor>
    <xdr:from>
      <xdr:col>8</xdr:col>
      <xdr:colOff>130628</xdr:colOff>
      <xdr:row>48</xdr:row>
      <xdr:rowOff>130628</xdr:rowOff>
    </xdr:from>
    <xdr:ext cx="3762761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3D42491A-E03F-46C5-995D-65E3CF3B5444}"/>
                </a:ext>
              </a:extLst>
            </xdr:cNvPr>
            <xdr:cNvSpPr txBox="1"/>
          </xdr:nvSpPr>
          <xdr:spPr>
            <a:xfrm>
              <a:off x="12039599" y="32330571"/>
              <a:ext cx="3762761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𝐶𝑜𝑠𝑡𝑒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𝐸𝑛𝑑𝑢𝑒𝑑𝑎𝑚𝑖𝑒𝑛𝑡𝑜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𝑁𝑜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𝑃𝑟𝑜𝑝𝑖𝑎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𝐺𝑎𝑠𝑡𝑜𝑠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𝐹𝑖𝑛𝑎𝑛𝑐𝑖𝑒𝑟𝑜𝑠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𝐹𝑜𝑛𝑑𝑜𝑠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𝑎𝑗𝑒𝑛𝑜𝑠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3D42491A-E03F-46C5-995D-65E3CF3B5444}"/>
                </a:ext>
              </a:extLst>
            </xdr:cNvPr>
            <xdr:cNvSpPr txBox="1"/>
          </xdr:nvSpPr>
          <xdr:spPr>
            <a:xfrm>
              <a:off x="12039599" y="32330571"/>
              <a:ext cx="3762761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𝐶𝑜𝑠𝑡𝑒 𝐸𝑛𝑑𝑢𝑒𝑑𝑎𝑚𝑖𝑒𝑛𝑡𝑜 𝑁𝑜 𝑃𝑟𝑜𝑝𝑖𝑎 (𝐾)=(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𝐺𝑎𝑠𝑡𝑜𝑠 </a:t>
              </a:r>
              <a:r>
                <a:rPr lang="es-ES" sz="1100" b="0" i="0">
                  <a:latin typeface="Cambria Math" panose="02040503050406030204" pitchFamily="18" charset="0"/>
                </a:rPr>
                <a:t>𝐹𝑖𝑛𝑎𝑛𝑐𝑖𝑒𝑟𝑜𝑠)/(𝐹𝑜𝑛𝑑𝑜𝑠 𝑎𝑗𝑒𝑛𝑜𝑠)</a:t>
              </a:r>
              <a:endParaRPr lang="es-ES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sabel Román Martínez" id="{14290B0C-58F7-4BA6-9D69-EE96C5F9FC3C}" userId="S::iroman@ms.ugr.es::675f46ad-e298-4f20-b572-8b29f51fa0d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1" dT="2021-11-11T09:11:55.86" personId="{14290B0C-58F7-4BA6-9D69-EE96C5F9FC3C}" id="{0149081F-A732-41DB-B5C1-5543219CABA1}">
    <text>En el modelo del PGC se incluye en 
6."Otro inmovilizado intangible"</text>
  </threadedComment>
  <threadedComment ref="A26" dT="2021-11-11T09:19:55.02" personId="{14290B0C-58F7-4BA6-9D69-EE96C5F9FC3C}" id="{313BCF69-3E1E-4BB4-A2EB-161566FCF831}">
    <text>En el modelo del PGC se incluye en 5.Otros activos financieros</text>
  </threadedComment>
  <threadedComment ref="A33" dT="2021-11-11T09:20:01.78" personId="{14290B0C-58F7-4BA6-9D69-EE96C5F9FC3C}" id="{E4CECE99-68F1-48A4-8CE9-A334189AA7C9}">
    <text>En el modelo del PGC se incluye en 5.Otros activos financieros</text>
  </threadedComment>
  <threadedComment ref="A35" dT="2021-11-11T09:23:12.38" personId="{14290B0C-58F7-4BA6-9D69-EE96C5F9FC3C}" id="{46BBE22E-4DFE-479A-8604-CB28C8D98D13}">
    <text>Esta no aparece en el modelo de PGC</text>
  </threadedComment>
  <threadedComment ref="A59" dT="2021-11-11T09:33:33.15" personId="{14290B0C-58F7-4BA6-9D69-EE96C5F9FC3C}" id="{B17C355D-9D3C-40BD-A2E9-EE56B18D0A0D}">
    <text>En el modelo del PGC se incluye en 5.Otros activos financieros</text>
  </threadedComment>
  <threadedComment ref="A66" dT="2021-11-11T09:33:33.15" personId="{14290B0C-58F7-4BA6-9D69-EE96C5F9FC3C}" id="{9D32D88B-EEE9-4CC7-9960-28777C52248E}">
    <text>En el modelo del PGC se incluye en 5.Otros activos financieros</text>
  </threadedComment>
  <threadedComment ref="A92" dT="2021-11-11T09:07:22.19" personId="{14290B0C-58F7-4BA6-9D69-EE96C5F9FC3C}" id="{2AD2C4EA-3454-4CBA-9117-45BE4DB5D035}">
    <text>Se modifica en 2021 por "Activos financieros a valor razonable con cambios en patrimonio neto"</text>
  </threadedComment>
  <threadedComment ref="A96" dT="2021-11-11T09:08:08.95" personId="{14290B0C-58F7-4BA6-9D69-EE96C5F9FC3C}" id="{407946BA-8F53-4071-8CD2-C604B7FE238C}">
    <text>En 2021 se unifican los 3 últimos epígrafes en "III.Otros"</text>
  </threadedComment>
  <threadedComment ref="A113" dT="2021-11-11T09:41:02.59" personId="{14290B0C-58F7-4BA6-9D69-EE96C5F9FC3C}" id="{00FFED8C-6D63-47F9-BACD-831AFC6A4A37}">
    <text>Esta no aparece en el modelo de PGC</text>
  </threadedComment>
  <threadedComment ref="A114" dT="2021-11-11T09:41:36.55" personId="{14290B0C-58F7-4BA6-9D69-EE96C5F9FC3C}" id="{1EE6A6DF-33CD-4DB1-BCC1-B52322FB1294}">
    <text>Esta partida no aparece en el modelo del PGC</text>
  </threadedComment>
  <threadedComment ref="A134" dT="2021-11-11T09:43:03.12" personId="{14290B0C-58F7-4BA6-9D69-EE96C5F9FC3C}" id="{EFB70A62-E820-4B5F-AB37-5D295C70F893}">
    <text>Esta partida no aparece en el modelo del PGC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2" dT="2021-11-11T09:48:56.49" personId="{14290B0C-58F7-4BA6-9D69-EE96C5F9FC3C}" id="{3B395834-503F-4B77-A0A2-E6C0BC959165}">
    <text>No aparece en el modelo del PGC, aunque en el texto se dice que debe aparecer</text>
  </threadedComment>
  <threadedComment ref="A42" dT="2021-11-11T09:49:40.77" personId="{14290B0C-58F7-4BA6-9D69-EE96C5F9FC3C}" id="{55D702C3-8BBE-40FD-9681-00CB2B808FCD}">
    <text>No aparece en el modelo del PGC</text>
  </threadedComment>
  <threadedComment ref="A47" dT="2021-11-11T10:13:20.51" personId="{14290B0C-58F7-4BA6-9D69-EE96C5F9FC3C}" id="{C1D151B9-A4F3-4F65-812C-DE9B9D68093C}">
    <text>En la actualización de 2021 se desglosa en:
a) Valor razonable con cambios en pérdidas y ganancias.
b) Transferencia de ajustes de valor razonable con cambios en el patrimonio neto.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41"/>
  <sheetViews>
    <sheetView topLeftCell="A71" workbookViewId="0">
      <selection activeCell="D42" sqref="D42"/>
    </sheetView>
  </sheetViews>
  <sheetFormatPr baseColWidth="10" defaultColWidth="11.44140625" defaultRowHeight="14.4" x14ac:dyDescent="0.3"/>
  <cols>
    <col min="1" max="1" width="52" customWidth="1"/>
    <col min="2" max="2" width="15.6640625" style="4" customWidth="1"/>
    <col min="3" max="3" width="10" style="4" customWidth="1"/>
    <col min="4" max="4" width="15.5546875" style="4" customWidth="1"/>
    <col min="5" max="5" width="10" style="4" customWidth="1"/>
    <col min="6" max="6" width="13.109375" customWidth="1"/>
  </cols>
  <sheetData>
    <row r="1" spans="1:10" ht="15.6" x14ac:dyDescent="0.3">
      <c r="A1" s="10"/>
    </row>
    <row r="2" spans="1:10" ht="28.95" customHeight="1" x14ac:dyDescent="0.3">
      <c r="A2" s="12" t="s">
        <v>207</v>
      </c>
      <c r="B2" s="17" t="s">
        <v>206</v>
      </c>
    </row>
    <row r="3" spans="1:10" s="6" customFormat="1" ht="27.75" customHeight="1" x14ac:dyDescent="0.3">
      <c r="A3" s="10" t="s">
        <v>130</v>
      </c>
      <c r="B3" s="55">
        <v>43646</v>
      </c>
      <c r="C3" s="11" t="s">
        <v>137</v>
      </c>
      <c r="D3" s="55">
        <v>43281</v>
      </c>
      <c r="E3" s="11" t="s">
        <v>137</v>
      </c>
      <c r="F3" s="11" t="s">
        <v>138</v>
      </c>
    </row>
    <row r="4" spans="1:10" s="5" customFormat="1" ht="27" customHeight="1" x14ac:dyDescent="0.3">
      <c r="A4" s="30" t="s">
        <v>0</v>
      </c>
      <c r="B4" s="83">
        <f>B5+B13+B17+B20+B27+B34+B35</f>
        <v>24159315</v>
      </c>
      <c r="C4" s="38">
        <f t="shared" ref="C4:C35" si="0">B4/B$71</f>
        <v>0.25825795749962605</v>
      </c>
      <c r="D4" s="83">
        <f>D5+D13+D17+D20+D27+D34+D35</f>
        <v>22522353</v>
      </c>
      <c r="E4" s="38">
        <f t="shared" ref="E4:E35" si="1">D4/D$71</f>
        <v>0.25873300083795692</v>
      </c>
      <c r="F4" s="38">
        <f>B4/D4-1</f>
        <v>7.2681659860317493E-2</v>
      </c>
      <c r="J4" s="94" t="s">
        <v>243</v>
      </c>
    </row>
    <row r="5" spans="1:10" x14ac:dyDescent="0.3">
      <c r="A5" s="7" t="s">
        <v>139</v>
      </c>
      <c r="B5" s="84">
        <f>SUM(B6:B12)</f>
        <v>2671173</v>
      </c>
      <c r="C5" s="32">
        <f t="shared" si="0"/>
        <v>2.8554273294095826E-2</v>
      </c>
      <c r="D5" s="84">
        <f>SUM(D6:D12)</f>
        <v>3245959</v>
      </c>
      <c r="E5" s="32">
        <f t="shared" si="1"/>
        <v>3.7289030709489981E-2</v>
      </c>
      <c r="F5" s="32">
        <f t="shared" ref="F5:F68" si="2">B5/D5-1</f>
        <v>-0.17707740609169742</v>
      </c>
      <c r="I5" s="233" t="s">
        <v>244</v>
      </c>
      <c r="J5" s="98" t="s">
        <v>245</v>
      </c>
    </row>
    <row r="6" spans="1:10" ht="14.4" hidden="1" customHeight="1" x14ac:dyDescent="0.3">
      <c r="A6" s="53" t="s">
        <v>1</v>
      </c>
      <c r="B6" s="85"/>
      <c r="C6" s="33">
        <f t="shared" si="0"/>
        <v>0</v>
      </c>
      <c r="D6" s="85"/>
      <c r="E6" s="33">
        <f t="shared" si="1"/>
        <v>0</v>
      </c>
      <c r="F6" s="33" t="e">
        <f t="shared" si="2"/>
        <v>#DIV/0!</v>
      </c>
      <c r="I6" s="233"/>
      <c r="J6" s="98"/>
    </row>
    <row r="7" spans="1:10" ht="14.4" hidden="1" customHeight="1" x14ac:dyDescent="0.3">
      <c r="A7" s="53" t="s">
        <v>202</v>
      </c>
      <c r="B7" s="85"/>
      <c r="C7" s="34">
        <f t="shared" si="0"/>
        <v>0</v>
      </c>
      <c r="D7" s="86"/>
      <c r="E7" s="34">
        <f t="shared" si="1"/>
        <v>0</v>
      </c>
      <c r="F7" s="34" t="e">
        <f t="shared" si="2"/>
        <v>#DIV/0!</v>
      </c>
      <c r="I7" s="233"/>
      <c r="J7" s="98"/>
    </row>
    <row r="8" spans="1:10" ht="28.8" x14ac:dyDescent="0.3">
      <c r="A8" s="53" t="s">
        <v>173</v>
      </c>
      <c r="B8" s="86">
        <v>2636317</v>
      </c>
      <c r="C8" s="34">
        <f t="shared" si="0"/>
        <v>2.8181670040791376E-2</v>
      </c>
      <c r="D8" s="86">
        <v>3012517</v>
      </c>
      <c r="E8" s="34">
        <f t="shared" si="1"/>
        <v>3.4607288300887544E-2</v>
      </c>
      <c r="F8" s="34">
        <f t="shared" si="2"/>
        <v>-0.12487896333863013</v>
      </c>
      <c r="I8" s="233"/>
      <c r="J8" s="98" t="s">
        <v>247</v>
      </c>
    </row>
    <row r="9" spans="1:10" ht="14.4" hidden="1" customHeight="1" x14ac:dyDescent="0.3">
      <c r="A9" s="53" t="s">
        <v>174</v>
      </c>
      <c r="B9" s="85"/>
      <c r="C9" s="34">
        <f t="shared" si="0"/>
        <v>0</v>
      </c>
      <c r="D9" s="85"/>
      <c r="E9" s="34">
        <f t="shared" si="1"/>
        <v>0</v>
      </c>
      <c r="F9" s="34" t="e">
        <f t="shared" si="2"/>
        <v>#DIV/0!</v>
      </c>
      <c r="I9" s="233"/>
      <c r="J9" s="95"/>
    </row>
    <row r="10" spans="1:10" x14ac:dyDescent="0.3">
      <c r="A10" s="53" t="s">
        <v>140</v>
      </c>
      <c r="B10" s="86">
        <v>34856</v>
      </c>
      <c r="C10" s="34">
        <f t="shared" si="0"/>
        <v>3.7260325330444865E-4</v>
      </c>
      <c r="D10" s="86">
        <v>233442</v>
      </c>
      <c r="E10" s="34">
        <f t="shared" si="1"/>
        <v>2.6817424086024375E-3</v>
      </c>
      <c r="F10" s="34">
        <f t="shared" si="2"/>
        <v>-0.85068668020321958</v>
      </c>
      <c r="I10" s="233"/>
      <c r="J10" s="96" t="s">
        <v>248</v>
      </c>
    </row>
    <row r="11" spans="1:10" ht="14.4" hidden="1" customHeight="1" x14ac:dyDescent="0.3">
      <c r="A11" s="53" t="s">
        <v>2</v>
      </c>
      <c r="B11" s="87"/>
      <c r="C11" s="35">
        <f t="shared" si="0"/>
        <v>0</v>
      </c>
      <c r="D11" s="87"/>
      <c r="E11" s="35">
        <f t="shared" si="1"/>
        <v>0</v>
      </c>
      <c r="F11" s="35" t="e">
        <f t="shared" si="2"/>
        <v>#DIV/0!</v>
      </c>
      <c r="I11" s="233"/>
      <c r="J11" s="97"/>
    </row>
    <row r="12" spans="1:10" ht="14.4" hidden="1" customHeight="1" x14ac:dyDescent="0.3">
      <c r="A12" s="53" t="s">
        <v>175</v>
      </c>
      <c r="B12" s="87"/>
      <c r="C12" s="35">
        <f t="shared" si="0"/>
        <v>0</v>
      </c>
      <c r="D12" s="87"/>
      <c r="E12" s="35">
        <f t="shared" si="1"/>
        <v>0</v>
      </c>
      <c r="F12" s="35" t="e">
        <f t="shared" si="2"/>
        <v>#DIV/0!</v>
      </c>
      <c r="I12" s="233"/>
      <c r="J12" s="97"/>
    </row>
    <row r="13" spans="1:10" ht="28.8" x14ac:dyDescent="0.3">
      <c r="A13" s="7" t="s">
        <v>176</v>
      </c>
      <c r="B13" s="84">
        <f>B14+B15+B16</f>
        <v>19676624</v>
      </c>
      <c r="C13" s="32">
        <f t="shared" si="0"/>
        <v>0.21033894068305009</v>
      </c>
      <c r="D13" s="84">
        <f>D14+D15+D16</f>
        <v>16969917</v>
      </c>
      <c r="E13" s="32">
        <f t="shared" si="1"/>
        <v>0.1949475505237423</v>
      </c>
      <c r="F13" s="32">
        <f t="shared" si="2"/>
        <v>0.15950030869331888</v>
      </c>
      <c r="I13" s="233"/>
      <c r="J13" s="96" t="s">
        <v>246</v>
      </c>
    </row>
    <row r="14" spans="1:10" x14ac:dyDescent="0.3">
      <c r="A14" s="53" t="s">
        <v>177</v>
      </c>
      <c r="B14" s="86">
        <v>2355064</v>
      </c>
      <c r="C14" s="33">
        <f t="shared" si="0"/>
        <v>2.5175135074024219E-2</v>
      </c>
      <c r="D14" s="85">
        <v>2507642</v>
      </c>
      <c r="E14" s="33">
        <f t="shared" si="1"/>
        <v>2.8807369269422956E-2</v>
      </c>
      <c r="F14" s="33">
        <f t="shared" si="2"/>
        <v>-6.084520836706353E-2</v>
      </c>
    </row>
    <row r="15" spans="1:10" x14ac:dyDescent="0.3">
      <c r="A15" s="53" t="s">
        <v>178</v>
      </c>
      <c r="B15" s="85">
        <v>14473758</v>
      </c>
      <c r="C15" s="34">
        <f t="shared" si="0"/>
        <v>0.15472140573620871</v>
      </c>
      <c r="D15" s="86">
        <v>13794904</v>
      </c>
      <c r="E15" s="34">
        <f t="shared" si="1"/>
        <v>0.15847353552231133</v>
      </c>
      <c r="F15" s="34">
        <f t="shared" si="2"/>
        <v>4.9210491062496642E-2</v>
      </c>
      <c r="J15" s="97" t="s">
        <v>249</v>
      </c>
    </row>
    <row r="16" spans="1:10" x14ac:dyDescent="0.3">
      <c r="A16" s="53" t="s">
        <v>141</v>
      </c>
      <c r="B16" s="86">
        <v>2847802</v>
      </c>
      <c r="C16" s="34">
        <f t="shared" si="0"/>
        <v>3.0442399872817178E-2</v>
      </c>
      <c r="D16" s="86">
        <v>667371</v>
      </c>
      <c r="E16" s="34">
        <f t="shared" si="1"/>
        <v>7.6666457320080251E-3</v>
      </c>
      <c r="F16" s="34">
        <f t="shared" si="2"/>
        <v>3.2671947087901634</v>
      </c>
    </row>
    <row r="17" spans="1:6" x14ac:dyDescent="0.3">
      <c r="A17" s="7" t="s">
        <v>179</v>
      </c>
      <c r="B17" s="84">
        <f>B18+B19</f>
        <v>1154859</v>
      </c>
      <c r="C17" s="32">
        <f t="shared" si="0"/>
        <v>1.2345197971882094E-2</v>
      </c>
      <c r="D17" s="84">
        <f>D18+D19</f>
        <v>1230562</v>
      </c>
      <c r="E17" s="32">
        <f t="shared" si="1"/>
        <v>1.41364891571124E-2</v>
      </c>
      <c r="F17" s="32">
        <f t="shared" si="2"/>
        <v>-6.1519045769331426E-2</v>
      </c>
    </row>
    <row r="18" spans="1:6" x14ac:dyDescent="0.3">
      <c r="A18" s="53" t="s">
        <v>142</v>
      </c>
      <c r="B18" s="86">
        <v>1154859</v>
      </c>
      <c r="C18" s="34">
        <f t="shared" si="0"/>
        <v>1.2345197971882094E-2</v>
      </c>
      <c r="D18" s="86">
        <v>1230562</v>
      </c>
      <c r="E18" s="34">
        <f t="shared" si="1"/>
        <v>1.41364891571124E-2</v>
      </c>
      <c r="F18" s="34">
        <f t="shared" si="2"/>
        <v>-6.1519045769331426E-2</v>
      </c>
    </row>
    <row r="19" spans="1:6" hidden="1" x14ac:dyDescent="0.3">
      <c r="A19" s="53" t="s">
        <v>143</v>
      </c>
      <c r="B19" s="86"/>
      <c r="C19" s="34">
        <f t="shared" si="0"/>
        <v>0</v>
      </c>
      <c r="D19" s="86"/>
      <c r="E19" s="34">
        <f t="shared" si="1"/>
        <v>0</v>
      </c>
      <c r="F19" s="34" t="e">
        <f t="shared" si="2"/>
        <v>#DIV/0!</v>
      </c>
    </row>
    <row r="20" spans="1:6" x14ac:dyDescent="0.3">
      <c r="A20" s="7" t="s">
        <v>180</v>
      </c>
      <c r="B20" s="84">
        <f>SUM(B21:B26)</f>
        <v>40000</v>
      </c>
      <c r="C20" s="32">
        <f t="shared" si="0"/>
        <v>4.2759152318619311E-4</v>
      </c>
      <c r="D20" s="84">
        <f>SUM(D21:D26)</f>
        <v>0</v>
      </c>
      <c r="E20" s="32">
        <f t="shared" si="1"/>
        <v>0</v>
      </c>
      <c r="F20" s="32" t="e">
        <f t="shared" si="2"/>
        <v>#DIV/0!</v>
      </c>
    </row>
    <row r="21" spans="1:6" hidden="1" x14ac:dyDescent="0.3">
      <c r="A21" s="53" t="s">
        <v>144</v>
      </c>
      <c r="B21" s="86"/>
      <c r="C21" s="34">
        <f t="shared" si="0"/>
        <v>0</v>
      </c>
      <c r="D21" s="86"/>
      <c r="E21" s="34">
        <f t="shared" si="1"/>
        <v>0</v>
      </c>
      <c r="F21" s="34" t="e">
        <f t="shared" si="2"/>
        <v>#DIV/0!</v>
      </c>
    </row>
    <row r="22" spans="1:6" x14ac:dyDescent="0.3">
      <c r="A22" s="53" t="s">
        <v>3</v>
      </c>
      <c r="B22" s="86">
        <v>40000</v>
      </c>
      <c r="C22" s="34">
        <f t="shared" si="0"/>
        <v>4.2759152318619311E-4</v>
      </c>
      <c r="D22" s="86"/>
      <c r="E22" s="34">
        <f t="shared" si="1"/>
        <v>0</v>
      </c>
      <c r="F22" s="34" t="e">
        <f t="shared" si="2"/>
        <v>#DIV/0!</v>
      </c>
    </row>
    <row r="23" spans="1:6" hidden="1" x14ac:dyDescent="0.3">
      <c r="A23" s="53" t="s">
        <v>4</v>
      </c>
      <c r="B23" s="86"/>
      <c r="C23" s="34">
        <f t="shared" si="0"/>
        <v>0</v>
      </c>
      <c r="D23" s="86"/>
      <c r="E23" s="34">
        <f t="shared" si="1"/>
        <v>0</v>
      </c>
      <c r="F23" s="34" t="e">
        <f t="shared" si="2"/>
        <v>#DIV/0!</v>
      </c>
    </row>
    <row r="24" spans="1:6" hidden="1" x14ac:dyDescent="0.3">
      <c r="A24" s="53" t="s">
        <v>5</v>
      </c>
      <c r="B24" s="86"/>
      <c r="C24" s="34">
        <f t="shared" si="0"/>
        <v>0</v>
      </c>
      <c r="D24" s="86"/>
      <c r="E24" s="34">
        <f t="shared" si="1"/>
        <v>0</v>
      </c>
      <c r="F24" s="34" t="e">
        <f t="shared" si="2"/>
        <v>#DIV/0!</v>
      </c>
    </row>
    <row r="25" spans="1:6" hidden="1" x14ac:dyDescent="0.3">
      <c r="A25" s="53" t="s">
        <v>6</v>
      </c>
      <c r="B25" s="86"/>
      <c r="C25" s="34">
        <f t="shared" si="0"/>
        <v>0</v>
      </c>
      <c r="D25" s="86"/>
      <c r="E25" s="34">
        <f t="shared" si="1"/>
        <v>0</v>
      </c>
      <c r="F25" s="34" t="e">
        <f t="shared" si="2"/>
        <v>#DIV/0!</v>
      </c>
    </row>
    <row r="26" spans="1:6" hidden="1" x14ac:dyDescent="0.3">
      <c r="A26" s="53" t="s">
        <v>7</v>
      </c>
      <c r="B26" s="86"/>
      <c r="C26" s="34">
        <f t="shared" si="0"/>
        <v>0</v>
      </c>
      <c r="D26" s="86"/>
      <c r="E26" s="34">
        <f t="shared" si="1"/>
        <v>0</v>
      </c>
      <c r="F26" s="34" t="e">
        <f t="shared" si="2"/>
        <v>#DIV/0!</v>
      </c>
    </row>
    <row r="27" spans="1:6" x14ac:dyDescent="0.3">
      <c r="A27" s="7" t="s">
        <v>181</v>
      </c>
      <c r="B27" s="84">
        <f>SUM(B28:B33)</f>
        <v>105520</v>
      </c>
      <c r="C27" s="32">
        <f t="shared" si="0"/>
        <v>1.1279864381651774E-3</v>
      </c>
      <c r="D27" s="84">
        <f>SUM(D28:D33)</f>
        <v>610628</v>
      </c>
      <c r="E27" s="32">
        <f t="shared" si="1"/>
        <v>7.0147916976383397E-3</v>
      </c>
      <c r="F27" s="32">
        <f t="shared" si="2"/>
        <v>-0.82719429832893354</v>
      </c>
    </row>
    <row r="28" spans="1:6" x14ac:dyDescent="0.3">
      <c r="A28" s="53" t="s">
        <v>144</v>
      </c>
      <c r="B28" s="85">
        <v>78007</v>
      </c>
      <c r="C28" s="33">
        <f t="shared" si="0"/>
        <v>8.3387829872963416E-4</v>
      </c>
      <c r="D28" s="85">
        <v>78007</v>
      </c>
      <c r="E28" s="33">
        <f t="shared" si="1"/>
        <v>8.961312877196492E-4</v>
      </c>
      <c r="F28" s="33">
        <f t="shared" si="2"/>
        <v>0</v>
      </c>
    </row>
    <row r="29" spans="1:6" hidden="1" x14ac:dyDescent="0.3">
      <c r="A29" s="53" t="s">
        <v>8</v>
      </c>
      <c r="B29" s="86"/>
      <c r="C29" s="34">
        <f t="shared" si="0"/>
        <v>0</v>
      </c>
      <c r="D29" s="86"/>
      <c r="E29" s="34">
        <f t="shared" si="1"/>
        <v>0</v>
      </c>
      <c r="F29" s="34" t="e">
        <f t="shared" si="2"/>
        <v>#DIV/0!</v>
      </c>
    </row>
    <row r="30" spans="1:6" hidden="1" x14ac:dyDescent="0.3">
      <c r="A30" s="53" t="s">
        <v>4</v>
      </c>
      <c r="B30" s="86"/>
      <c r="C30" s="34">
        <f t="shared" si="0"/>
        <v>0</v>
      </c>
      <c r="D30" s="86"/>
      <c r="E30" s="34">
        <f t="shared" si="1"/>
        <v>0</v>
      </c>
      <c r="F30" s="34" t="e">
        <f t="shared" si="2"/>
        <v>#DIV/0!</v>
      </c>
    </row>
    <row r="31" spans="1:6" hidden="1" x14ac:dyDescent="0.3">
      <c r="A31" s="53" t="s">
        <v>5</v>
      </c>
      <c r="B31" s="86"/>
      <c r="C31" s="34">
        <f t="shared" si="0"/>
        <v>0</v>
      </c>
      <c r="D31" s="86"/>
      <c r="E31" s="34">
        <f t="shared" si="1"/>
        <v>0</v>
      </c>
      <c r="F31" s="34" t="e">
        <f t="shared" si="2"/>
        <v>#DIV/0!</v>
      </c>
    </row>
    <row r="32" spans="1:6" x14ac:dyDescent="0.3">
      <c r="A32" s="53" t="s">
        <v>6</v>
      </c>
      <c r="B32" s="86">
        <v>27513</v>
      </c>
      <c r="C32" s="34">
        <f t="shared" si="0"/>
        <v>2.9410813943554325E-4</v>
      </c>
      <c r="D32" s="86">
        <v>532621</v>
      </c>
      <c r="E32" s="34">
        <f t="shared" si="1"/>
        <v>6.1186604099186907E-3</v>
      </c>
      <c r="F32" s="34">
        <f t="shared" si="2"/>
        <v>-0.94834413213147806</v>
      </c>
    </row>
    <row r="33" spans="1:6" hidden="1" x14ac:dyDescent="0.3">
      <c r="A33" s="53" t="s">
        <v>7</v>
      </c>
      <c r="B33" s="86"/>
      <c r="C33" s="34">
        <f t="shared" si="0"/>
        <v>0</v>
      </c>
      <c r="D33" s="86"/>
      <c r="E33" s="34">
        <f t="shared" si="1"/>
        <v>0</v>
      </c>
      <c r="F33" s="34" t="e">
        <f t="shared" si="2"/>
        <v>#DIV/0!</v>
      </c>
    </row>
    <row r="34" spans="1:6" x14ac:dyDescent="0.3">
      <c r="A34" s="7" t="s">
        <v>9</v>
      </c>
      <c r="B34" s="84">
        <v>511139</v>
      </c>
      <c r="C34" s="32">
        <f t="shared" si="0"/>
        <v>5.4639675892466889E-3</v>
      </c>
      <c r="D34" s="84">
        <v>465287</v>
      </c>
      <c r="E34" s="32">
        <f t="shared" si="1"/>
        <v>5.3451387499738792E-3</v>
      </c>
      <c r="F34" s="32">
        <f t="shared" si="2"/>
        <v>9.8545628826939069E-2</v>
      </c>
    </row>
    <row r="35" spans="1:6" hidden="1" x14ac:dyDescent="0.3">
      <c r="A35" s="7" t="s">
        <v>10</v>
      </c>
      <c r="B35" s="88"/>
      <c r="C35" s="36">
        <f t="shared" si="0"/>
        <v>0</v>
      </c>
      <c r="D35" s="88"/>
      <c r="E35" s="36">
        <f t="shared" si="1"/>
        <v>0</v>
      </c>
      <c r="F35" s="36" t="e">
        <f t="shared" si="2"/>
        <v>#DIV/0!</v>
      </c>
    </row>
    <row r="36" spans="1:6" s="5" customFormat="1" ht="27" customHeight="1" x14ac:dyDescent="0.3">
      <c r="A36" s="30" t="s">
        <v>11</v>
      </c>
      <c r="B36" s="83">
        <f>B37+B38+B45+B53+B60+B67+B68</f>
        <v>69387909</v>
      </c>
      <c r="C36" s="38">
        <f t="shared" ref="C36:C67" si="3">B36/B$71</f>
        <v>0.7417420425003739</v>
      </c>
      <c r="D36" s="83">
        <f>D37+D38+D45+D53+D60+D67+D68</f>
        <v>64526276</v>
      </c>
      <c r="E36" s="38">
        <f t="shared" ref="E36:E67" si="4">D36/D$71</f>
        <v>0.74126699916204308</v>
      </c>
      <c r="F36" s="101">
        <f t="shared" si="2"/>
        <v>7.5343461631041553E-2</v>
      </c>
    </row>
    <row r="37" spans="1:6" x14ac:dyDescent="0.3">
      <c r="A37" s="7" t="s">
        <v>182</v>
      </c>
      <c r="B37" s="79"/>
      <c r="C37" s="32">
        <f t="shared" si="3"/>
        <v>0</v>
      </c>
      <c r="D37" s="84"/>
      <c r="E37" s="32">
        <f t="shared" si="4"/>
        <v>0</v>
      </c>
      <c r="F37" s="32" t="e">
        <f t="shared" si="2"/>
        <v>#DIV/0!</v>
      </c>
    </row>
    <row r="38" spans="1:6" x14ac:dyDescent="0.3">
      <c r="A38" s="7" t="s">
        <v>131</v>
      </c>
      <c r="B38" s="79">
        <f>B39+B40+B41+B42+B43+B44</f>
        <v>12437164</v>
      </c>
      <c r="C38" s="99">
        <f t="shared" si="3"/>
        <v>0.13295064747191215</v>
      </c>
      <c r="D38" s="84">
        <f>D39+D40+D41+D42+D43+D44</f>
        <v>9255539</v>
      </c>
      <c r="E38" s="99">
        <f t="shared" si="4"/>
        <v>0.10632607436011428</v>
      </c>
      <c r="F38" s="99">
        <f t="shared" si="2"/>
        <v>0.34375361607789667</v>
      </c>
    </row>
    <row r="39" spans="1:6" x14ac:dyDescent="0.3">
      <c r="A39" s="53" t="s">
        <v>183</v>
      </c>
      <c r="B39" s="74">
        <v>133427</v>
      </c>
      <c r="C39" s="34">
        <f t="shared" si="3"/>
        <v>1.4263063541041048E-3</v>
      </c>
      <c r="D39" s="86">
        <v>85703</v>
      </c>
      <c r="E39" s="34">
        <f t="shared" si="4"/>
        <v>9.8454164051222444E-4</v>
      </c>
      <c r="F39" s="34">
        <f t="shared" si="2"/>
        <v>0.55685331902033774</v>
      </c>
    </row>
    <row r="40" spans="1:6" x14ac:dyDescent="0.3">
      <c r="A40" s="53" t="s">
        <v>184</v>
      </c>
      <c r="B40" s="74">
        <v>4619824</v>
      </c>
      <c r="C40" s="34">
        <f t="shared" si="3"/>
        <v>4.9384939525303283E-2</v>
      </c>
      <c r="D40" s="86">
        <v>3150927</v>
      </c>
      <c r="E40" s="34">
        <f t="shared" si="4"/>
        <v>3.6197319087012847E-2</v>
      </c>
      <c r="F40" s="34">
        <f t="shared" si="2"/>
        <v>0.46617931802291834</v>
      </c>
    </row>
    <row r="41" spans="1:6" x14ac:dyDescent="0.3">
      <c r="A41" s="53" t="s">
        <v>185</v>
      </c>
      <c r="B41" s="74">
        <v>1247084</v>
      </c>
      <c r="C41" s="34">
        <f t="shared" si="3"/>
        <v>1.3331063677528262E-2</v>
      </c>
      <c r="D41" s="86">
        <v>986592</v>
      </c>
      <c r="E41" s="34">
        <f t="shared" si="4"/>
        <v>1.1333802856332178E-2</v>
      </c>
      <c r="F41" s="34">
        <f t="shared" si="2"/>
        <v>0.26403214297298172</v>
      </c>
    </row>
    <row r="42" spans="1:6" x14ac:dyDescent="0.3">
      <c r="A42" s="53" t="s">
        <v>186</v>
      </c>
      <c r="B42" s="74">
        <v>6436829</v>
      </c>
      <c r="C42" s="34">
        <f t="shared" si="3"/>
        <v>6.8808337914976508E-2</v>
      </c>
      <c r="D42" s="86">
        <v>5030860</v>
      </c>
      <c r="E42" s="34">
        <f t="shared" si="4"/>
        <v>5.7793673005464563E-2</v>
      </c>
      <c r="F42" s="34">
        <f t="shared" si="2"/>
        <v>0.279468917839097</v>
      </c>
    </row>
    <row r="43" spans="1:6" hidden="1" x14ac:dyDescent="0.3">
      <c r="A43" s="53" t="s">
        <v>12</v>
      </c>
      <c r="B43" s="74"/>
      <c r="C43" s="34">
        <f t="shared" si="3"/>
        <v>0</v>
      </c>
      <c r="D43" s="86"/>
      <c r="E43" s="34">
        <f t="shared" si="4"/>
        <v>0</v>
      </c>
      <c r="F43" s="34" t="e">
        <f t="shared" si="2"/>
        <v>#DIV/0!</v>
      </c>
    </row>
    <row r="44" spans="1:6" x14ac:dyDescent="0.3">
      <c r="A44" s="53" t="s">
        <v>187</v>
      </c>
      <c r="B44" s="61"/>
      <c r="C44" s="37">
        <f t="shared" si="3"/>
        <v>0</v>
      </c>
      <c r="D44" s="89">
        <v>1457</v>
      </c>
      <c r="E44" s="37">
        <f t="shared" si="4"/>
        <v>1.6737770792461303E-5</v>
      </c>
      <c r="F44" s="37">
        <f t="shared" si="2"/>
        <v>-1</v>
      </c>
    </row>
    <row r="45" spans="1:6" x14ac:dyDescent="0.3">
      <c r="A45" s="7" t="s">
        <v>132</v>
      </c>
      <c r="B45" s="79">
        <f>B46+B47+B48+B49+B51+B50+B52</f>
        <v>22144152</v>
      </c>
      <c r="C45" s="99">
        <f t="shared" si="3"/>
        <v>0.2367162920836646</v>
      </c>
      <c r="D45" s="84">
        <f>D46+D47+D48+D49+D51+D50+D52</f>
        <v>21282734</v>
      </c>
      <c r="E45" s="99">
        <f t="shared" si="4"/>
        <v>0.24449246638910305</v>
      </c>
      <c r="F45" s="32">
        <f t="shared" si="2"/>
        <v>4.047496905237824E-2</v>
      </c>
    </row>
    <row r="46" spans="1:6" x14ac:dyDescent="0.3">
      <c r="A46" s="53" t="s">
        <v>13</v>
      </c>
      <c r="B46" s="76">
        <v>21738557</v>
      </c>
      <c r="C46" s="33">
        <f t="shared" si="3"/>
        <v>0.232380567487497</v>
      </c>
      <c r="D46" s="85">
        <v>20885950</v>
      </c>
      <c r="E46" s="33">
        <f t="shared" si="4"/>
        <v>0.23993427857433572</v>
      </c>
      <c r="F46" s="33">
        <f t="shared" si="2"/>
        <v>4.0822035866216355E-2</v>
      </c>
    </row>
    <row r="47" spans="1:6" x14ac:dyDescent="0.3">
      <c r="A47" s="53" t="s">
        <v>14</v>
      </c>
      <c r="B47" s="74">
        <v>146083</v>
      </c>
      <c r="C47" s="34">
        <f t="shared" si="3"/>
        <v>1.5615963120402161E-3</v>
      </c>
      <c r="D47" s="86">
        <v>239299</v>
      </c>
      <c r="E47" s="34">
        <f t="shared" si="4"/>
        <v>2.7490266388916934E-3</v>
      </c>
      <c r="F47" s="34">
        <f t="shared" si="2"/>
        <v>-0.38953777491757169</v>
      </c>
    </row>
    <row r="48" spans="1:6" x14ac:dyDescent="0.3">
      <c r="A48" s="53" t="s">
        <v>188</v>
      </c>
      <c r="B48" s="74">
        <v>11061</v>
      </c>
      <c r="C48" s="34">
        <f t="shared" si="3"/>
        <v>1.1823974594906205E-4</v>
      </c>
      <c r="D48" s="86">
        <v>4730</v>
      </c>
      <c r="E48" s="34">
        <f t="shared" si="4"/>
        <v>5.4337443959054196E-5</v>
      </c>
      <c r="F48" s="34">
        <f t="shared" si="2"/>
        <v>1.3384778012684988</v>
      </c>
    </row>
    <row r="49" spans="1:6" x14ac:dyDescent="0.3">
      <c r="A49" s="53" t="s">
        <v>145</v>
      </c>
      <c r="B49" s="80">
        <v>25367</v>
      </c>
      <c r="C49" s="35">
        <f t="shared" si="3"/>
        <v>2.7116785421660403E-4</v>
      </c>
      <c r="D49" s="87">
        <v>9705</v>
      </c>
      <c r="E49" s="35">
        <f t="shared" si="4"/>
        <v>1.1148940668554355E-4</v>
      </c>
      <c r="F49" s="35">
        <f t="shared" si="2"/>
        <v>1.6138073158165893</v>
      </c>
    </row>
    <row r="50" spans="1:6" hidden="1" x14ac:dyDescent="0.3">
      <c r="A50" s="53" t="s">
        <v>146</v>
      </c>
      <c r="B50" s="74"/>
      <c r="C50" s="34">
        <f t="shared" si="3"/>
        <v>0</v>
      </c>
      <c r="D50" s="86"/>
      <c r="E50" s="34">
        <f t="shared" si="4"/>
        <v>0</v>
      </c>
      <c r="F50" s="34" t="e">
        <f t="shared" si="2"/>
        <v>#DIV/0!</v>
      </c>
    </row>
    <row r="51" spans="1:6" x14ac:dyDescent="0.3">
      <c r="A51" s="53" t="s">
        <v>147</v>
      </c>
      <c r="B51" s="76">
        <v>223084</v>
      </c>
      <c r="C51" s="33">
        <f t="shared" si="3"/>
        <v>2.3847206839617175E-3</v>
      </c>
      <c r="D51" s="85">
        <v>143050</v>
      </c>
      <c r="E51" s="33">
        <f t="shared" si="4"/>
        <v>1.6433343252310155E-3</v>
      </c>
      <c r="F51" s="33">
        <f t="shared" si="2"/>
        <v>0.55948269835721787</v>
      </c>
    </row>
    <row r="52" spans="1:6" hidden="1" x14ac:dyDescent="0.3">
      <c r="A52" s="53" t="s">
        <v>189</v>
      </c>
      <c r="B52" s="74"/>
      <c r="C52" s="34">
        <f t="shared" si="3"/>
        <v>0</v>
      </c>
      <c r="D52" s="86"/>
      <c r="E52" s="34">
        <f t="shared" si="4"/>
        <v>0</v>
      </c>
      <c r="F52" s="34" t="e">
        <f t="shared" si="2"/>
        <v>#DIV/0!</v>
      </c>
    </row>
    <row r="53" spans="1:6" x14ac:dyDescent="0.3">
      <c r="A53" s="7" t="s">
        <v>190</v>
      </c>
      <c r="B53" s="79">
        <f>SUM(B54:B59)</f>
        <v>60000</v>
      </c>
      <c r="C53" s="32">
        <f t="shared" si="3"/>
        <v>6.4138728477928966E-4</v>
      </c>
      <c r="D53" s="84">
        <f>SUM(D54:D59)</f>
        <v>0</v>
      </c>
      <c r="E53" s="32">
        <f t="shared" si="4"/>
        <v>0</v>
      </c>
      <c r="F53" s="32" t="e">
        <f t="shared" si="2"/>
        <v>#DIV/0!</v>
      </c>
    </row>
    <row r="54" spans="1:6" hidden="1" x14ac:dyDescent="0.3">
      <c r="A54" s="53" t="s">
        <v>144</v>
      </c>
      <c r="B54" s="74"/>
      <c r="C54" s="34">
        <f t="shared" si="3"/>
        <v>0</v>
      </c>
      <c r="D54" s="86"/>
      <c r="E54" s="34">
        <f t="shared" si="4"/>
        <v>0</v>
      </c>
      <c r="F54" s="34" t="e">
        <f t="shared" si="2"/>
        <v>#DIV/0!</v>
      </c>
    </row>
    <row r="55" spans="1:6" x14ac:dyDescent="0.3">
      <c r="A55" s="53" t="s">
        <v>3</v>
      </c>
      <c r="B55" s="81">
        <v>60000</v>
      </c>
      <c r="C55" s="34">
        <f t="shared" si="3"/>
        <v>6.4138728477928966E-4</v>
      </c>
      <c r="D55" s="90"/>
      <c r="E55" s="34">
        <f t="shared" si="4"/>
        <v>0</v>
      </c>
      <c r="F55" s="34" t="e">
        <f t="shared" si="2"/>
        <v>#DIV/0!</v>
      </c>
    </row>
    <row r="56" spans="1:6" hidden="1" x14ac:dyDescent="0.3">
      <c r="A56" s="53" t="s">
        <v>4</v>
      </c>
      <c r="B56" s="81"/>
      <c r="C56" s="34">
        <f t="shared" si="3"/>
        <v>0</v>
      </c>
      <c r="D56" s="90"/>
      <c r="E56" s="34">
        <f t="shared" si="4"/>
        <v>0</v>
      </c>
      <c r="F56" s="34" t="e">
        <f t="shared" si="2"/>
        <v>#DIV/0!</v>
      </c>
    </row>
    <row r="57" spans="1:6" hidden="1" x14ac:dyDescent="0.3">
      <c r="A57" s="53" t="s">
        <v>5</v>
      </c>
      <c r="B57" s="74"/>
      <c r="C57" s="34">
        <f t="shared" si="3"/>
        <v>0</v>
      </c>
      <c r="D57" s="86"/>
      <c r="E57" s="34">
        <f t="shared" si="4"/>
        <v>0</v>
      </c>
      <c r="F57" s="34" t="e">
        <f t="shared" si="2"/>
        <v>#DIV/0!</v>
      </c>
    </row>
    <row r="58" spans="1:6" hidden="1" x14ac:dyDescent="0.3">
      <c r="A58" s="53" t="s">
        <v>6</v>
      </c>
      <c r="B58" s="74"/>
      <c r="C58" s="34">
        <f t="shared" si="3"/>
        <v>0</v>
      </c>
      <c r="D58" s="86"/>
      <c r="E58" s="34">
        <f t="shared" si="4"/>
        <v>0</v>
      </c>
      <c r="F58" s="34" t="e">
        <f t="shared" si="2"/>
        <v>#DIV/0!</v>
      </c>
    </row>
    <row r="59" spans="1:6" hidden="1" x14ac:dyDescent="0.3">
      <c r="A59" s="53" t="s">
        <v>7</v>
      </c>
      <c r="B59" s="74"/>
      <c r="C59" s="34">
        <f t="shared" si="3"/>
        <v>0</v>
      </c>
      <c r="D59" s="86"/>
      <c r="E59" s="34">
        <f t="shared" si="4"/>
        <v>0</v>
      </c>
      <c r="F59" s="34" t="e">
        <f t="shared" si="2"/>
        <v>#DIV/0!</v>
      </c>
    </row>
    <row r="60" spans="1:6" x14ac:dyDescent="0.3">
      <c r="A60" s="7" t="s">
        <v>133</v>
      </c>
      <c r="B60" s="79">
        <f>SUM(B61:B66)</f>
        <v>2494109</v>
      </c>
      <c r="C60" s="32">
        <f t="shared" si="3"/>
        <v>2.6661496657559822E-2</v>
      </c>
      <c r="D60" s="84">
        <f>SUM(D61:D66)</f>
        <v>2525934</v>
      </c>
      <c r="E60" s="32">
        <f t="shared" si="4"/>
        <v>2.9017504686949178E-2</v>
      </c>
      <c r="F60" s="32">
        <f t="shared" si="2"/>
        <v>-1.2599299902531058E-2</v>
      </c>
    </row>
    <row r="61" spans="1:6" x14ac:dyDescent="0.3">
      <c r="A61" s="53" t="s">
        <v>144</v>
      </c>
      <c r="B61" s="74">
        <v>2483640</v>
      </c>
      <c r="C61" s="34">
        <f t="shared" si="3"/>
        <v>2.6549585266153915E-2</v>
      </c>
      <c r="D61" s="86">
        <v>2494809</v>
      </c>
      <c r="E61" s="34">
        <f t="shared" si="4"/>
        <v>2.8659945925167872E-2</v>
      </c>
      <c r="F61" s="34">
        <f t="shared" si="2"/>
        <v>-4.4768958264941316E-3</v>
      </c>
    </row>
    <row r="62" spans="1:6" hidden="1" x14ac:dyDescent="0.3">
      <c r="A62" s="53" t="s">
        <v>3</v>
      </c>
      <c r="B62" s="74"/>
      <c r="C62" s="34">
        <f t="shared" si="3"/>
        <v>0</v>
      </c>
      <c r="D62" s="86"/>
      <c r="E62" s="34">
        <f t="shared" si="4"/>
        <v>0</v>
      </c>
      <c r="F62" s="34" t="e">
        <f t="shared" si="2"/>
        <v>#DIV/0!</v>
      </c>
    </row>
    <row r="63" spans="1:6" hidden="1" x14ac:dyDescent="0.3">
      <c r="A63" s="53" t="s">
        <v>4</v>
      </c>
      <c r="B63" s="74"/>
      <c r="C63" s="34">
        <f t="shared" si="3"/>
        <v>0</v>
      </c>
      <c r="D63" s="86"/>
      <c r="E63" s="34">
        <f t="shared" si="4"/>
        <v>0</v>
      </c>
      <c r="F63" s="34" t="e">
        <f t="shared" si="2"/>
        <v>#DIV/0!</v>
      </c>
    </row>
    <row r="64" spans="1:6" hidden="1" x14ac:dyDescent="0.3">
      <c r="A64" s="53" t="s">
        <v>5</v>
      </c>
      <c r="B64" s="74"/>
      <c r="C64" s="34">
        <f t="shared" si="3"/>
        <v>0</v>
      </c>
      <c r="D64" s="86"/>
      <c r="E64" s="34">
        <f t="shared" si="4"/>
        <v>0</v>
      </c>
      <c r="F64" s="34" t="e">
        <f t="shared" si="2"/>
        <v>#DIV/0!</v>
      </c>
    </row>
    <row r="65" spans="1:6" x14ac:dyDescent="0.3">
      <c r="A65" s="53" t="s">
        <v>6</v>
      </c>
      <c r="B65" s="74">
        <v>10469</v>
      </c>
      <c r="C65" s="34">
        <f t="shared" si="3"/>
        <v>1.1191139140590639E-4</v>
      </c>
      <c r="D65" s="86">
        <v>31125</v>
      </c>
      <c r="E65" s="34">
        <f t="shared" si="4"/>
        <v>3.5755876178130271E-4</v>
      </c>
      <c r="F65" s="34">
        <f t="shared" si="2"/>
        <v>-0.66364658634538154</v>
      </c>
    </row>
    <row r="66" spans="1:6" hidden="1" x14ac:dyDescent="0.3">
      <c r="A66" s="53" t="s">
        <v>7</v>
      </c>
      <c r="B66" s="74"/>
      <c r="C66" s="34">
        <f t="shared" si="3"/>
        <v>0</v>
      </c>
      <c r="D66" s="86"/>
      <c r="E66" s="34">
        <f t="shared" si="4"/>
        <v>0</v>
      </c>
      <c r="F66" s="34" t="e">
        <f t="shared" si="2"/>
        <v>#DIV/0!</v>
      </c>
    </row>
    <row r="67" spans="1:6" hidden="1" x14ac:dyDescent="0.3">
      <c r="A67" s="7" t="s">
        <v>134</v>
      </c>
      <c r="B67" s="79"/>
      <c r="C67" s="32">
        <f t="shared" si="3"/>
        <v>0</v>
      </c>
      <c r="D67" s="84"/>
      <c r="E67" s="32">
        <f t="shared" si="4"/>
        <v>0</v>
      </c>
      <c r="F67" s="32" t="e">
        <f t="shared" si="2"/>
        <v>#DIV/0!</v>
      </c>
    </row>
    <row r="68" spans="1:6" x14ac:dyDescent="0.3">
      <c r="A68" s="7" t="s">
        <v>135</v>
      </c>
      <c r="B68" s="79">
        <f>B69+B70</f>
        <v>32252484</v>
      </c>
      <c r="C68" s="99">
        <f t="shared" ref="C68" si="5">B68/B$71</f>
        <v>0.34477221900245808</v>
      </c>
      <c r="D68" s="84">
        <f t="shared" ref="D68" si="6">D69+D70</f>
        <v>31462069</v>
      </c>
      <c r="E68" s="99">
        <f t="shared" ref="E68" si="7">D68/D$71</f>
        <v>0.36143095372587658</v>
      </c>
      <c r="F68" s="32">
        <f t="shared" si="2"/>
        <v>2.5122791511263953E-2</v>
      </c>
    </row>
    <row r="69" spans="1:6" x14ac:dyDescent="0.3">
      <c r="A69" s="53" t="s">
        <v>148</v>
      </c>
      <c r="B69" s="74">
        <v>32252484</v>
      </c>
      <c r="C69" s="34">
        <f t="shared" ref="C69:C71" si="8">B69/B$71</f>
        <v>0.34477221900245808</v>
      </c>
      <c r="D69" s="86">
        <v>31462069</v>
      </c>
      <c r="E69" s="34">
        <f t="shared" ref="E69:E71" si="9">D69/D$71</f>
        <v>0.36143095372587658</v>
      </c>
      <c r="F69" s="34">
        <f t="shared" ref="F69:F71" si="10">B69/D69-1</f>
        <v>2.5122791511263953E-2</v>
      </c>
    </row>
    <row r="70" spans="1:6" hidden="1" x14ac:dyDescent="0.3">
      <c r="A70" s="53" t="s">
        <v>191</v>
      </c>
      <c r="B70" s="74"/>
      <c r="C70" s="34">
        <f t="shared" si="8"/>
        <v>0</v>
      </c>
      <c r="D70" s="86"/>
      <c r="E70" s="34">
        <f t="shared" si="9"/>
        <v>0</v>
      </c>
      <c r="F70" s="34" t="e">
        <f t="shared" si="10"/>
        <v>#DIV/0!</v>
      </c>
    </row>
    <row r="71" spans="1:6" s="5" customFormat="1" ht="23.4" customHeight="1" x14ac:dyDescent="0.3">
      <c r="A71" s="56" t="s">
        <v>15</v>
      </c>
      <c r="B71" s="82">
        <f>B36+B4</f>
        <v>93547224</v>
      </c>
      <c r="C71" s="57">
        <f t="shared" si="8"/>
        <v>1</v>
      </c>
      <c r="D71" s="91">
        <f>D36+D4</f>
        <v>87048629</v>
      </c>
      <c r="E71" s="57">
        <f t="shared" si="9"/>
        <v>1</v>
      </c>
      <c r="F71" s="100">
        <f t="shared" si="10"/>
        <v>7.4654765671266388E-2</v>
      </c>
    </row>
    <row r="72" spans="1:6" ht="18" customHeight="1" x14ac:dyDescent="0.3">
      <c r="A72" s="3"/>
      <c r="B72" s="20"/>
      <c r="C72" s="14"/>
      <c r="D72" s="20"/>
      <c r="E72" s="14"/>
    </row>
    <row r="73" spans="1:6" s="6" customFormat="1" ht="28.8" customHeight="1" x14ac:dyDescent="0.3">
      <c r="A73" s="51" t="str">
        <f>A2</f>
        <v xml:space="preserve">CHOCOLATES VALOR, S.A. </v>
      </c>
      <c r="B73" s="55">
        <f>B3</f>
        <v>43646</v>
      </c>
      <c r="C73" s="52" t="str">
        <f>C3</f>
        <v>Peso (%)</v>
      </c>
      <c r="D73" s="55">
        <f>D3</f>
        <v>43281</v>
      </c>
      <c r="E73" s="52" t="str">
        <f>E3</f>
        <v>Peso (%)</v>
      </c>
      <c r="F73" s="11" t="s">
        <v>138</v>
      </c>
    </row>
    <row r="74" spans="1:6" s="5" customFormat="1" ht="27" customHeight="1" x14ac:dyDescent="0.3">
      <c r="A74" s="30" t="s">
        <v>16</v>
      </c>
      <c r="B74" s="78">
        <f>B75+B91+B97</f>
        <v>74740161</v>
      </c>
      <c r="C74" s="38">
        <f>B74/B$135</f>
        <v>0.79895648212928261</v>
      </c>
      <c r="D74" s="78">
        <f>D75+D91+D97</f>
        <v>70041099</v>
      </c>
      <c r="E74" s="38">
        <f>D74/D$135</f>
        <v>0.80462035766238205</v>
      </c>
      <c r="F74" s="38">
        <f t="shared" ref="F74:F135" si="11">B74/D74-1</f>
        <v>6.7090066647869095E-2</v>
      </c>
    </row>
    <row r="75" spans="1:6" x14ac:dyDescent="0.3">
      <c r="A75" s="2" t="s">
        <v>17</v>
      </c>
      <c r="B75" s="74">
        <f>B76+B79+B80+B83+B84+B87+B88+B89+B90</f>
        <v>74726111</v>
      </c>
      <c r="C75" s="41">
        <f t="shared" ref="C75:C135" si="12">B75/B$135</f>
        <v>0.79880629060676345</v>
      </c>
      <c r="D75" s="74">
        <f>D76+D79+D80+D83+D84+D87+D88+D89+D90</f>
        <v>70005668</v>
      </c>
      <c r="E75" s="41">
        <f t="shared" ref="E75:E135" si="13">D75/D$135</f>
        <v>0.80421333229728409</v>
      </c>
      <c r="F75" s="41">
        <f t="shared" si="11"/>
        <v>6.7429440141903996E-2</v>
      </c>
    </row>
    <row r="76" spans="1:6" x14ac:dyDescent="0.3">
      <c r="A76" s="7" t="s">
        <v>18</v>
      </c>
      <c r="B76" s="79">
        <f>+B77+B78</f>
        <v>6003089</v>
      </c>
      <c r="C76" s="39">
        <f t="shared" si="12"/>
        <v>6.4171749233307013E-2</v>
      </c>
      <c r="D76" s="79">
        <f t="shared" ref="D76" si="14">+D77+D78</f>
        <v>6003089</v>
      </c>
      <c r="E76" s="39">
        <f t="shared" si="13"/>
        <v>6.8962476135034825E-2</v>
      </c>
      <c r="F76" s="39">
        <f t="shared" si="11"/>
        <v>0</v>
      </c>
    </row>
    <row r="77" spans="1:6" x14ac:dyDescent="0.3">
      <c r="A77" s="53" t="s">
        <v>19</v>
      </c>
      <c r="B77" s="74">
        <v>6003089</v>
      </c>
      <c r="C77" s="41">
        <f t="shared" si="12"/>
        <v>6.4171749233307013E-2</v>
      </c>
      <c r="D77" s="74">
        <v>6003089</v>
      </c>
      <c r="E77" s="41">
        <f t="shared" si="13"/>
        <v>6.8962476135034825E-2</v>
      </c>
      <c r="F77" s="41">
        <f t="shared" si="11"/>
        <v>0</v>
      </c>
    </row>
    <row r="78" spans="1:6" hidden="1" x14ac:dyDescent="0.3">
      <c r="A78" s="53" t="s">
        <v>20</v>
      </c>
      <c r="B78" s="74"/>
      <c r="C78" s="41">
        <f t="shared" si="12"/>
        <v>0</v>
      </c>
      <c r="D78" s="74"/>
      <c r="E78" s="41">
        <f t="shared" si="13"/>
        <v>0</v>
      </c>
      <c r="F78" s="41" t="e">
        <f t="shared" si="11"/>
        <v>#DIV/0!</v>
      </c>
    </row>
    <row r="79" spans="1:6" hidden="1" x14ac:dyDescent="0.3">
      <c r="A79" s="7" t="s">
        <v>21</v>
      </c>
      <c r="B79" s="79"/>
      <c r="C79" s="39">
        <f t="shared" si="12"/>
        <v>0</v>
      </c>
      <c r="D79" s="79"/>
      <c r="E79" s="39">
        <f t="shared" si="13"/>
        <v>0</v>
      </c>
      <c r="F79" s="39" t="e">
        <f t="shared" si="11"/>
        <v>#DIV/0!</v>
      </c>
    </row>
    <row r="80" spans="1:6" x14ac:dyDescent="0.3">
      <c r="A80" s="7" t="s">
        <v>22</v>
      </c>
      <c r="B80" s="104">
        <f>B81+B82</f>
        <v>56802588</v>
      </c>
      <c r="C80" s="39">
        <f t="shared" si="12"/>
        <v>0.60720762809594431</v>
      </c>
      <c r="D80" s="104">
        <f t="shared" ref="D80" si="15">D81+D82</f>
        <v>51796954</v>
      </c>
      <c r="E80" s="39">
        <f t="shared" si="13"/>
        <v>0.59503469032234846</v>
      </c>
      <c r="F80" s="39">
        <f t="shared" si="11"/>
        <v>9.6639543707531583E-2</v>
      </c>
    </row>
    <row r="81" spans="1:6" x14ac:dyDescent="0.3">
      <c r="A81" s="53" t="s">
        <v>23</v>
      </c>
      <c r="B81" s="92">
        <v>1200618</v>
      </c>
      <c r="C81" s="40">
        <f t="shared" si="12"/>
        <v>1.2834351984619019E-2</v>
      </c>
      <c r="D81" s="92">
        <v>1200618</v>
      </c>
      <c r="E81" s="40">
        <f t="shared" si="13"/>
        <v>1.3792497524573306E-2</v>
      </c>
      <c r="F81" s="40">
        <f t="shared" si="11"/>
        <v>0</v>
      </c>
    </row>
    <row r="82" spans="1:6" x14ac:dyDescent="0.3">
      <c r="A82" s="53" t="s">
        <v>149</v>
      </c>
      <c r="B82" s="92">
        <v>55601970</v>
      </c>
      <c r="C82" s="40">
        <f t="shared" si="12"/>
        <v>0.59437327611132529</v>
      </c>
      <c r="D82" s="92">
        <v>50596336</v>
      </c>
      <c r="E82" s="40">
        <f t="shared" si="13"/>
        <v>0.58124219279777511</v>
      </c>
      <c r="F82" s="40">
        <f t="shared" si="11"/>
        <v>9.8932736947592304E-2</v>
      </c>
    </row>
    <row r="83" spans="1:6" hidden="1" x14ac:dyDescent="0.3">
      <c r="A83" s="7" t="s">
        <v>24</v>
      </c>
      <c r="B83" s="79"/>
      <c r="C83" s="39">
        <f t="shared" si="12"/>
        <v>0</v>
      </c>
      <c r="D83" s="79"/>
      <c r="E83" s="39">
        <f t="shared" si="13"/>
        <v>0</v>
      </c>
      <c r="F83" s="39" t="e">
        <f t="shared" si="11"/>
        <v>#DIV/0!</v>
      </c>
    </row>
    <row r="84" spans="1:6" hidden="1" x14ac:dyDescent="0.3">
      <c r="A84" s="7" t="s">
        <v>192</v>
      </c>
      <c r="B84" s="79">
        <f>B85+B86</f>
        <v>0</v>
      </c>
      <c r="C84" s="39">
        <f t="shared" si="12"/>
        <v>0</v>
      </c>
      <c r="D84" s="79">
        <f>D85+D86</f>
        <v>0</v>
      </c>
      <c r="E84" s="39">
        <f t="shared" si="13"/>
        <v>0</v>
      </c>
      <c r="F84" s="39" t="e">
        <f t="shared" si="11"/>
        <v>#DIV/0!</v>
      </c>
    </row>
    <row r="85" spans="1:6" hidden="1" x14ac:dyDescent="0.3">
      <c r="A85" s="53" t="s">
        <v>193</v>
      </c>
      <c r="B85" s="92"/>
      <c r="C85" s="40">
        <f t="shared" si="12"/>
        <v>0</v>
      </c>
      <c r="D85" s="92"/>
      <c r="E85" s="40">
        <f t="shared" si="13"/>
        <v>0</v>
      </c>
      <c r="F85" s="40" t="e">
        <f t="shared" si="11"/>
        <v>#DIV/0!</v>
      </c>
    </row>
    <row r="86" spans="1:6" hidden="1" x14ac:dyDescent="0.3">
      <c r="A86" s="53" t="s">
        <v>194</v>
      </c>
      <c r="B86" s="92"/>
      <c r="C86" s="40">
        <f t="shared" si="12"/>
        <v>0</v>
      </c>
      <c r="D86" s="92"/>
      <c r="E86" s="40">
        <f t="shared" si="13"/>
        <v>0</v>
      </c>
      <c r="F86" s="40" t="e">
        <f t="shared" si="11"/>
        <v>#DIV/0!</v>
      </c>
    </row>
    <row r="87" spans="1:6" hidden="1" x14ac:dyDescent="0.3">
      <c r="A87" s="7" t="s">
        <v>195</v>
      </c>
      <c r="B87" s="79"/>
      <c r="C87" s="39">
        <f t="shared" si="12"/>
        <v>0</v>
      </c>
      <c r="D87" s="79"/>
      <c r="E87" s="39">
        <f t="shared" si="13"/>
        <v>0</v>
      </c>
      <c r="F87" s="39" t="e">
        <f t="shared" si="11"/>
        <v>#DIV/0!</v>
      </c>
    </row>
    <row r="88" spans="1:6" x14ac:dyDescent="0.3">
      <c r="A88" s="7" t="s">
        <v>196</v>
      </c>
      <c r="B88" s="79">
        <v>11920434</v>
      </c>
      <c r="C88" s="39">
        <f t="shared" si="12"/>
        <v>0.12742691327751213</v>
      </c>
      <c r="D88" s="104">
        <v>12205625</v>
      </c>
      <c r="E88" s="39">
        <f t="shared" si="13"/>
        <v>0.14021616583990082</v>
      </c>
      <c r="F88" s="39">
        <f t="shared" si="11"/>
        <v>-2.3365538430027089E-2</v>
      </c>
    </row>
    <row r="89" spans="1:6" hidden="1" x14ac:dyDescent="0.3">
      <c r="A89" s="7" t="s">
        <v>197</v>
      </c>
      <c r="B89" s="79"/>
      <c r="C89" s="39">
        <f t="shared" si="12"/>
        <v>0</v>
      </c>
      <c r="D89" s="79"/>
      <c r="E89" s="39">
        <f t="shared" si="13"/>
        <v>0</v>
      </c>
      <c r="F89" s="39" t="e">
        <f t="shared" si="11"/>
        <v>#DIV/0!</v>
      </c>
    </row>
    <row r="90" spans="1:6" hidden="1" x14ac:dyDescent="0.3">
      <c r="A90" s="7" t="s">
        <v>198</v>
      </c>
      <c r="B90" s="79"/>
      <c r="C90" s="39">
        <f t="shared" si="12"/>
        <v>0</v>
      </c>
      <c r="D90" s="79"/>
      <c r="E90" s="39">
        <f t="shared" si="13"/>
        <v>0</v>
      </c>
      <c r="F90" s="39" t="e">
        <f t="shared" si="11"/>
        <v>#DIV/0!</v>
      </c>
    </row>
    <row r="91" spans="1:6" hidden="1" x14ac:dyDescent="0.3">
      <c r="A91" s="2" t="s">
        <v>25</v>
      </c>
      <c r="B91" s="92">
        <f>B92+B93+B94+B95+B96</f>
        <v>0</v>
      </c>
      <c r="C91" s="40">
        <f t="shared" si="12"/>
        <v>0</v>
      </c>
      <c r="D91" s="92">
        <f t="shared" ref="D91" si="16">D92+D93+D94+D95+D96</f>
        <v>0</v>
      </c>
      <c r="E91" s="40">
        <f t="shared" si="13"/>
        <v>0</v>
      </c>
      <c r="F91" s="40" t="e">
        <f t="shared" si="11"/>
        <v>#DIV/0!</v>
      </c>
    </row>
    <row r="92" spans="1:6" hidden="1" x14ac:dyDescent="0.3">
      <c r="A92" s="7" t="s">
        <v>26</v>
      </c>
      <c r="B92" s="79"/>
      <c r="C92" s="39">
        <f t="shared" si="12"/>
        <v>0</v>
      </c>
      <c r="D92" s="79"/>
      <c r="E92" s="39">
        <f t="shared" si="13"/>
        <v>0</v>
      </c>
      <c r="F92" s="39" t="e">
        <f t="shared" si="11"/>
        <v>#DIV/0!</v>
      </c>
    </row>
    <row r="93" spans="1:6" hidden="1" x14ac:dyDescent="0.3">
      <c r="A93" s="7" t="s">
        <v>199</v>
      </c>
      <c r="B93" s="79"/>
      <c r="C93" s="39">
        <f t="shared" si="12"/>
        <v>0</v>
      </c>
      <c r="D93" s="79"/>
      <c r="E93" s="39">
        <f t="shared" si="13"/>
        <v>0</v>
      </c>
      <c r="F93" s="39" t="e">
        <f t="shared" si="11"/>
        <v>#DIV/0!</v>
      </c>
    </row>
    <row r="94" spans="1:6" hidden="1" x14ac:dyDescent="0.3">
      <c r="A94" s="7" t="s">
        <v>27</v>
      </c>
      <c r="B94" s="93"/>
      <c r="C94" s="42">
        <f t="shared" si="12"/>
        <v>0</v>
      </c>
      <c r="D94" s="93"/>
      <c r="E94" s="42">
        <f t="shared" si="13"/>
        <v>0</v>
      </c>
      <c r="F94" s="42" t="e">
        <f t="shared" si="11"/>
        <v>#DIV/0!</v>
      </c>
    </row>
    <row r="95" spans="1:6" hidden="1" x14ac:dyDescent="0.3">
      <c r="A95" s="7" t="s">
        <v>200</v>
      </c>
      <c r="B95" s="93"/>
      <c r="C95" s="42">
        <f t="shared" si="12"/>
        <v>0</v>
      </c>
      <c r="D95" s="93"/>
      <c r="E95" s="42">
        <f t="shared" si="13"/>
        <v>0</v>
      </c>
      <c r="F95" s="42" t="e">
        <f t="shared" si="11"/>
        <v>#DIV/0!</v>
      </c>
    </row>
    <row r="96" spans="1:6" hidden="1" x14ac:dyDescent="0.3">
      <c r="A96" s="7" t="s">
        <v>201</v>
      </c>
      <c r="B96" s="93"/>
      <c r="C96" s="42">
        <f t="shared" si="12"/>
        <v>0</v>
      </c>
      <c r="D96" s="93"/>
      <c r="E96" s="42">
        <f t="shared" si="13"/>
        <v>0</v>
      </c>
      <c r="F96" s="42" t="e">
        <f t="shared" si="11"/>
        <v>#DIV/0!</v>
      </c>
    </row>
    <row r="97" spans="1:7" x14ac:dyDescent="0.3">
      <c r="A97" s="2" t="s">
        <v>28</v>
      </c>
      <c r="B97" s="92">
        <v>14050</v>
      </c>
      <c r="C97" s="40">
        <f t="shared" si="12"/>
        <v>1.5019152251915033E-4</v>
      </c>
      <c r="D97" s="92">
        <v>35431</v>
      </c>
      <c r="E97" s="40">
        <f t="shared" si="13"/>
        <v>4.0702536509793852E-4</v>
      </c>
      <c r="F97" s="40">
        <f t="shared" si="11"/>
        <v>-0.60345460190228895</v>
      </c>
    </row>
    <row r="98" spans="1:7" s="5" customFormat="1" ht="24" customHeight="1" x14ac:dyDescent="0.3">
      <c r="A98" s="30" t="s">
        <v>29</v>
      </c>
      <c r="B98" s="78">
        <f>B99+B104+B110+B111+B112+B113+B114</f>
        <v>1917706</v>
      </c>
      <c r="C98" s="44">
        <f t="shared" si="12"/>
        <v>2.0499870739082542E-2</v>
      </c>
      <c r="D98" s="78">
        <f>D99+D104+D110+D111+D112+D113+D114</f>
        <v>1782879</v>
      </c>
      <c r="E98" s="44">
        <f t="shared" si="13"/>
        <v>2.048141390026947E-2</v>
      </c>
      <c r="F98" s="44">
        <f t="shared" si="11"/>
        <v>7.5623191478501939E-2</v>
      </c>
    </row>
    <row r="99" spans="1:7" x14ac:dyDescent="0.3">
      <c r="A99" s="7" t="s">
        <v>150</v>
      </c>
      <c r="B99" s="79">
        <f>SUM(B100:B103)</f>
        <v>483674</v>
      </c>
      <c r="C99" s="45">
        <f t="shared" si="12"/>
        <v>5.1703725596389692E-3</v>
      </c>
      <c r="D99" s="79">
        <f>SUM(D100:D103)</f>
        <v>300000</v>
      </c>
      <c r="E99" s="45">
        <f t="shared" si="13"/>
        <v>3.4463495111450864E-3</v>
      </c>
      <c r="F99" s="45">
        <f t="shared" si="11"/>
        <v>0.61224666666666661</v>
      </c>
      <c r="G99" t="s">
        <v>250</v>
      </c>
    </row>
    <row r="100" spans="1:7" x14ac:dyDescent="0.3">
      <c r="A100" s="53" t="s">
        <v>159</v>
      </c>
      <c r="B100" s="92">
        <v>113333</v>
      </c>
      <c r="C100" s="46">
        <f t="shared" si="12"/>
        <v>1.2115057524315206E-3</v>
      </c>
      <c r="D100" s="92"/>
      <c r="E100" s="46">
        <f t="shared" si="13"/>
        <v>0</v>
      </c>
      <c r="F100" s="46" t="e">
        <f t="shared" si="11"/>
        <v>#DIV/0!</v>
      </c>
    </row>
    <row r="101" spans="1:7" hidden="1" x14ac:dyDescent="0.3">
      <c r="A101" s="53" t="s">
        <v>160</v>
      </c>
      <c r="B101" s="92"/>
      <c r="C101" s="46">
        <f t="shared" si="12"/>
        <v>0</v>
      </c>
      <c r="D101" s="92"/>
      <c r="E101" s="46">
        <f t="shared" si="13"/>
        <v>0</v>
      </c>
      <c r="F101" s="46" t="e">
        <f t="shared" si="11"/>
        <v>#DIV/0!</v>
      </c>
    </row>
    <row r="102" spans="1:7" hidden="1" x14ac:dyDescent="0.3">
      <c r="A102" s="53" t="s">
        <v>161</v>
      </c>
      <c r="B102" s="92"/>
      <c r="C102" s="46">
        <f t="shared" si="12"/>
        <v>0</v>
      </c>
      <c r="D102" s="92"/>
      <c r="E102" s="46">
        <f t="shared" si="13"/>
        <v>0</v>
      </c>
      <c r="F102" s="46" t="e">
        <f t="shared" si="11"/>
        <v>#DIV/0!</v>
      </c>
    </row>
    <row r="103" spans="1:7" x14ac:dyDescent="0.3">
      <c r="A103" s="53" t="s">
        <v>151</v>
      </c>
      <c r="B103" s="92">
        <v>370341</v>
      </c>
      <c r="C103" s="46">
        <f t="shared" si="12"/>
        <v>3.9588668072074486E-3</v>
      </c>
      <c r="D103" s="92">
        <v>300000</v>
      </c>
      <c r="E103" s="46">
        <f t="shared" si="13"/>
        <v>3.4463495111450864E-3</v>
      </c>
      <c r="F103" s="46">
        <f t="shared" si="11"/>
        <v>0.23446999999999996</v>
      </c>
    </row>
    <row r="104" spans="1:7" x14ac:dyDescent="0.3">
      <c r="A104" s="7" t="s">
        <v>162</v>
      </c>
      <c r="B104" s="79">
        <f>SUM(B105:B109)</f>
        <v>1310733</v>
      </c>
      <c r="C104" s="45">
        <f t="shared" si="12"/>
        <v>1.4011457999010211E-2</v>
      </c>
      <c r="D104" s="79">
        <f t="shared" ref="D104" si="17">SUM(D105:D109)</f>
        <v>1291662</v>
      </c>
      <c r="E104" s="45">
        <f t="shared" si="13"/>
        <v>1.4838395674215616E-2</v>
      </c>
      <c r="F104" s="45">
        <f t="shared" si="11"/>
        <v>1.4764698504717177E-2</v>
      </c>
      <c r="G104" t="s">
        <v>251</v>
      </c>
    </row>
    <row r="105" spans="1:7" hidden="1" x14ac:dyDescent="0.3">
      <c r="A105" s="53" t="s">
        <v>163</v>
      </c>
      <c r="B105" s="92"/>
      <c r="C105" s="46">
        <f t="shared" si="12"/>
        <v>0</v>
      </c>
      <c r="D105" s="92"/>
      <c r="E105" s="46">
        <f t="shared" si="13"/>
        <v>0</v>
      </c>
      <c r="F105" s="46" t="e">
        <f t="shared" si="11"/>
        <v>#DIV/0!</v>
      </c>
    </row>
    <row r="106" spans="1:7" x14ac:dyDescent="0.3">
      <c r="A106" s="53" t="s">
        <v>152</v>
      </c>
      <c r="B106" s="92">
        <v>380729</v>
      </c>
      <c r="C106" s="46">
        <f t="shared" si="12"/>
        <v>4.0699123257789032E-3</v>
      </c>
      <c r="D106" s="92">
        <v>883862</v>
      </c>
      <c r="E106" s="46">
        <f t="shared" si="13"/>
        <v>1.0153657905399061E-2</v>
      </c>
      <c r="F106" s="46">
        <f t="shared" si="11"/>
        <v>-0.56924384123313365</v>
      </c>
    </row>
    <row r="107" spans="1:7" hidden="1" x14ac:dyDescent="0.3">
      <c r="A107" s="53" t="s">
        <v>30</v>
      </c>
      <c r="B107" s="92"/>
      <c r="C107" s="46">
        <f t="shared" si="12"/>
        <v>0</v>
      </c>
      <c r="D107" s="92"/>
      <c r="E107" s="46">
        <f t="shared" si="13"/>
        <v>0</v>
      </c>
      <c r="F107" s="46" t="e">
        <f t="shared" si="11"/>
        <v>#DIV/0!</v>
      </c>
    </row>
    <row r="108" spans="1:7" hidden="1" x14ac:dyDescent="0.3">
      <c r="A108" s="53" t="s">
        <v>5</v>
      </c>
      <c r="B108" s="92"/>
      <c r="C108" s="46">
        <f t="shared" si="12"/>
        <v>0</v>
      </c>
      <c r="D108" s="92"/>
      <c r="E108" s="46">
        <f t="shared" si="13"/>
        <v>0</v>
      </c>
      <c r="F108" s="46" t="e">
        <f t="shared" si="11"/>
        <v>#DIV/0!</v>
      </c>
    </row>
    <row r="109" spans="1:7" x14ac:dyDescent="0.3">
      <c r="A109" s="53" t="s">
        <v>31</v>
      </c>
      <c r="B109" s="92">
        <v>930004</v>
      </c>
      <c r="C109" s="46">
        <f t="shared" si="12"/>
        <v>9.9415456732313088E-3</v>
      </c>
      <c r="D109" s="92">
        <v>407800</v>
      </c>
      <c r="E109" s="46">
        <f t="shared" si="13"/>
        <v>4.6847377688165543E-3</v>
      </c>
      <c r="F109" s="46">
        <f t="shared" si="11"/>
        <v>1.280539480137322</v>
      </c>
    </row>
    <row r="110" spans="1:7" hidden="1" x14ac:dyDescent="0.3">
      <c r="A110" s="7" t="s">
        <v>164</v>
      </c>
      <c r="B110" s="79"/>
      <c r="C110" s="45">
        <f t="shared" si="12"/>
        <v>0</v>
      </c>
      <c r="D110" s="79"/>
      <c r="E110" s="45">
        <f t="shared" si="13"/>
        <v>0</v>
      </c>
      <c r="F110" s="45" t="e">
        <f t="shared" si="11"/>
        <v>#DIV/0!</v>
      </c>
    </row>
    <row r="111" spans="1:7" x14ac:dyDescent="0.3">
      <c r="A111" s="7" t="s">
        <v>153</v>
      </c>
      <c r="B111" s="79">
        <v>123299</v>
      </c>
      <c r="C111" s="45">
        <f t="shared" si="12"/>
        <v>1.3180401804333607E-3</v>
      </c>
      <c r="D111" s="79">
        <v>191217</v>
      </c>
      <c r="E111" s="45">
        <f t="shared" si="13"/>
        <v>2.1966687149087669E-3</v>
      </c>
      <c r="F111" s="45">
        <f t="shared" si="11"/>
        <v>-0.35518808474141939</v>
      </c>
    </row>
    <row r="112" spans="1:7" hidden="1" x14ac:dyDescent="0.3">
      <c r="A112" s="7" t="s">
        <v>32</v>
      </c>
      <c r="B112" s="79"/>
      <c r="C112" s="45">
        <f t="shared" si="12"/>
        <v>0</v>
      </c>
      <c r="D112" s="79"/>
      <c r="E112" s="45">
        <f t="shared" si="13"/>
        <v>0</v>
      </c>
      <c r="F112" s="45" t="e">
        <f t="shared" si="11"/>
        <v>#DIV/0!</v>
      </c>
    </row>
    <row r="113" spans="1:6" hidden="1" x14ac:dyDescent="0.3">
      <c r="A113" s="7" t="s">
        <v>33</v>
      </c>
      <c r="B113" s="79"/>
      <c r="C113" s="45">
        <f t="shared" si="12"/>
        <v>0</v>
      </c>
      <c r="D113" s="79"/>
      <c r="E113" s="45">
        <f t="shared" si="13"/>
        <v>0</v>
      </c>
      <c r="F113" s="45" t="e">
        <f t="shared" si="11"/>
        <v>#DIV/0!</v>
      </c>
    </row>
    <row r="114" spans="1:6" hidden="1" x14ac:dyDescent="0.3">
      <c r="A114" s="7" t="s">
        <v>34</v>
      </c>
      <c r="B114" s="79"/>
      <c r="C114" s="45">
        <f t="shared" si="12"/>
        <v>0</v>
      </c>
      <c r="D114" s="79"/>
      <c r="E114" s="45">
        <f t="shared" si="13"/>
        <v>0</v>
      </c>
      <c r="F114" s="45" t="e">
        <f t="shared" si="11"/>
        <v>#DIV/0!</v>
      </c>
    </row>
    <row r="115" spans="1:6" s="5" customFormat="1" ht="27" customHeight="1" x14ac:dyDescent="0.3">
      <c r="A115" s="30" t="s">
        <v>35</v>
      </c>
      <c r="B115" s="78">
        <f>B116+B117+B118+B124+B125+B133+B134</f>
        <v>16889357</v>
      </c>
      <c r="C115" s="44">
        <f t="shared" si="12"/>
        <v>0.18054364713163482</v>
      </c>
      <c r="D115" s="78">
        <f>D116+D117+D118+D124+D125+D133+D134</f>
        <v>15224651</v>
      </c>
      <c r="E115" s="44">
        <f t="shared" si="13"/>
        <v>0.17489822843734851</v>
      </c>
      <c r="F115" s="44">
        <f t="shared" si="11"/>
        <v>0.1093428020123417</v>
      </c>
    </row>
    <row r="116" spans="1:6" hidden="1" x14ac:dyDescent="0.3">
      <c r="A116" s="7" t="s">
        <v>165</v>
      </c>
      <c r="B116" s="79"/>
      <c r="C116" s="45">
        <f t="shared" si="12"/>
        <v>0</v>
      </c>
      <c r="D116" s="79"/>
      <c r="E116" s="45">
        <f t="shared" si="13"/>
        <v>0</v>
      </c>
      <c r="F116" s="45" t="e">
        <f t="shared" si="11"/>
        <v>#DIV/0!</v>
      </c>
    </row>
    <row r="117" spans="1:6" hidden="1" x14ac:dyDescent="0.3">
      <c r="A117" s="7" t="s">
        <v>166</v>
      </c>
      <c r="B117" s="79"/>
      <c r="C117" s="45">
        <f t="shared" si="12"/>
        <v>0</v>
      </c>
      <c r="D117" s="79"/>
      <c r="E117" s="45">
        <f t="shared" si="13"/>
        <v>0</v>
      </c>
      <c r="F117" s="45" t="e">
        <f t="shared" si="11"/>
        <v>#DIV/0!</v>
      </c>
    </row>
    <row r="118" spans="1:6" x14ac:dyDescent="0.3">
      <c r="A118" s="7" t="s">
        <v>167</v>
      </c>
      <c r="B118" s="79">
        <f>SUM(B119:B123)</f>
        <v>2062510</v>
      </c>
      <c r="C118" s="45">
        <f t="shared" si="12"/>
        <v>2.204779481216888E-2</v>
      </c>
      <c r="D118" s="79">
        <f>SUM(D119:D123)</f>
        <v>1287496</v>
      </c>
      <c r="E118" s="45">
        <f t="shared" si="13"/>
        <v>1.4790537367337514E-2</v>
      </c>
      <c r="F118" s="45">
        <f t="shared" si="11"/>
        <v>0.60195449150909974</v>
      </c>
    </row>
    <row r="119" spans="1:6" hidden="1" x14ac:dyDescent="0.3">
      <c r="A119" s="53" t="s">
        <v>163</v>
      </c>
      <c r="B119" s="92"/>
      <c r="C119" s="46">
        <f t="shared" si="12"/>
        <v>0</v>
      </c>
      <c r="D119" s="92"/>
      <c r="E119" s="46">
        <f t="shared" si="13"/>
        <v>0</v>
      </c>
      <c r="F119" s="46" t="e">
        <f t="shared" si="11"/>
        <v>#DIV/0!</v>
      </c>
    </row>
    <row r="120" spans="1:6" x14ac:dyDescent="0.3">
      <c r="A120" s="53" t="s">
        <v>152</v>
      </c>
      <c r="B120" s="92">
        <v>502895</v>
      </c>
      <c r="C120" s="46">
        <f t="shared" si="12"/>
        <v>5.3758409763180149E-3</v>
      </c>
      <c r="D120" s="92">
        <v>918593</v>
      </c>
      <c r="E120" s="46">
        <f t="shared" si="13"/>
        <v>1.0552641788304328E-2</v>
      </c>
      <c r="F120" s="46">
        <f t="shared" si="11"/>
        <v>-0.45253773978247169</v>
      </c>
    </row>
    <row r="121" spans="1:6" hidden="1" x14ac:dyDescent="0.3">
      <c r="A121" s="53" t="s">
        <v>30</v>
      </c>
      <c r="B121" s="92"/>
      <c r="C121" s="46">
        <f t="shared" si="12"/>
        <v>0</v>
      </c>
      <c r="D121" s="92"/>
      <c r="E121" s="46">
        <f t="shared" si="13"/>
        <v>0</v>
      </c>
      <c r="F121" s="46" t="e">
        <f t="shared" si="11"/>
        <v>#DIV/0!</v>
      </c>
    </row>
    <row r="122" spans="1:6" hidden="1" x14ac:dyDescent="0.3">
      <c r="A122" s="53" t="s">
        <v>5</v>
      </c>
      <c r="B122" s="92"/>
      <c r="C122" s="46">
        <f t="shared" si="12"/>
        <v>0</v>
      </c>
      <c r="D122" s="92"/>
      <c r="E122" s="46">
        <f t="shared" si="13"/>
        <v>0</v>
      </c>
      <c r="F122" s="46" t="e">
        <f t="shared" si="11"/>
        <v>#DIV/0!</v>
      </c>
    </row>
    <row r="123" spans="1:6" x14ac:dyDescent="0.3">
      <c r="A123" s="53" t="s">
        <v>31</v>
      </c>
      <c r="B123" s="92">
        <v>1559615</v>
      </c>
      <c r="C123" s="46">
        <f t="shared" si="12"/>
        <v>1.6671953835850864E-2</v>
      </c>
      <c r="D123" s="92">
        <v>368903</v>
      </c>
      <c r="E123" s="46">
        <f t="shared" si="13"/>
        <v>4.2378955790331862E-3</v>
      </c>
      <c r="F123" s="105">
        <f t="shared" si="11"/>
        <v>3.2277102653000922</v>
      </c>
    </row>
    <row r="124" spans="1:6" x14ac:dyDescent="0.3">
      <c r="A124" s="7" t="s">
        <v>168</v>
      </c>
      <c r="B124" s="79">
        <v>1308292</v>
      </c>
      <c r="C124" s="45">
        <f t="shared" si="12"/>
        <v>1.3985364226307773E-2</v>
      </c>
      <c r="D124" s="79">
        <v>925330</v>
      </c>
      <c r="E124" s="45">
        <f t="shared" si="13"/>
        <v>1.0630035310492943E-2</v>
      </c>
      <c r="F124" s="45">
        <f t="shared" si="11"/>
        <v>0.41386532372234774</v>
      </c>
    </row>
    <row r="125" spans="1:6" x14ac:dyDescent="0.3">
      <c r="A125" s="7" t="s">
        <v>136</v>
      </c>
      <c r="B125" s="103">
        <f>+B126+B127+B128+B129+B130+B131+B132</f>
        <v>13518555</v>
      </c>
      <c r="C125" s="102">
        <f t="shared" si="12"/>
        <v>0.14451048809315817</v>
      </c>
      <c r="D125" s="79">
        <f>+D126+D127+D128+D129+D130+D131+D132</f>
        <v>13011825</v>
      </c>
      <c r="E125" s="47">
        <f t="shared" si="13"/>
        <v>0.14947765575951805</v>
      </c>
      <c r="F125" s="47">
        <f t="shared" si="11"/>
        <v>3.8943806883354082E-2</v>
      </c>
    </row>
    <row r="126" spans="1:6" x14ac:dyDescent="0.3">
      <c r="A126" s="53" t="s">
        <v>36</v>
      </c>
      <c r="B126" s="92">
        <v>6346475</v>
      </c>
      <c r="C126" s="48">
        <f t="shared" si="12"/>
        <v>6.7842472802827375E-2</v>
      </c>
      <c r="D126" s="92">
        <v>5670944</v>
      </c>
      <c r="E126" s="48">
        <f t="shared" si="13"/>
        <v>6.514685027377054E-2</v>
      </c>
      <c r="F126" s="48">
        <f t="shared" si="11"/>
        <v>0.11912143727746205</v>
      </c>
    </row>
    <row r="127" spans="1:6" x14ac:dyDescent="0.3">
      <c r="A127" s="53" t="s">
        <v>169</v>
      </c>
      <c r="B127" s="92">
        <v>249701</v>
      </c>
      <c r="C127" s="48">
        <f t="shared" si="12"/>
        <v>2.6692507732778903E-3</v>
      </c>
      <c r="D127" s="92">
        <v>180430</v>
      </c>
      <c r="E127" s="48">
        <f t="shared" si="13"/>
        <v>2.0727494743196934E-3</v>
      </c>
      <c r="F127" s="48">
        <f t="shared" si="11"/>
        <v>0.38392174250401823</v>
      </c>
    </row>
    <row r="128" spans="1:6" x14ac:dyDescent="0.3">
      <c r="A128" s="53" t="s">
        <v>154</v>
      </c>
      <c r="B128" s="92">
        <v>5742981</v>
      </c>
      <c r="C128" s="48">
        <f t="shared" si="12"/>
        <v>6.1391249835484163E-2</v>
      </c>
      <c r="D128" s="92">
        <v>5423467</v>
      </c>
      <c r="E128" s="48">
        <f t="shared" si="13"/>
        <v>6.2303876147205027E-2</v>
      </c>
      <c r="F128" s="48">
        <f t="shared" si="11"/>
        <v>5.8913237602441493E-2</v>
      </c>
    </row>
    <row r="129" spans="1:6" x14ac:dyDescent="0.3">
      <c r="A129" s="53" t="s">
        <v>155</v>
      </c>
      <c r="B129" s="92">
        <v>781458</v>
      </c>
      <c r="C129" s="48">
        <f t="shared" si="12"/>
        <v>8.3536204131509015E-3</v>
      </c>
      <c r="D129" s="92">
        <v>1323207</v>
      </c>
      <c r="E129" s="48">
        <f t="shared" si="13"/>
        <v>1.5200779325312521E-2</v>
      </c>
      <c r="F129" s="48">
        <f t="shared" si="11"/>
        <v>-0.40942120167139384</v>
      </c>
    </row>
    <row r="130" spans="1:6" hidden="1" x14ac:dyDescent="0.3">
      <c r="A130" s="53" t="s">
        <v>170</v>
      </c>
      <c r="B130" s="92"/>
      <c r="C130" s="48">
        <f t="shared" si="12"/>
        <v>0</v>
      </c>
      <c r="D130" s="92"/>
      <c r="E130" s="48">
        <f t="shared" si="13"/>
        <v>0</v>
      </c>
      <c r="F130" s="48" t="e">
        <f t="shared" si="11"/>
        <v>#DIV/0!</v>
      </c>
    </row>
    <row r="131" spans="1:6" x14ac:dyDescent="0.3">
      <c r="A131" s="53" t="s">
        <v>171</v>
      </c>
      <c r="B131" s="62">
        <v>379852</v>
      </c>
      <c r="C131" s="49">
        <f t="shared" si="12"/>
        <v>4.0605373816330458E-3</v>
      </c>
      <c r="D131" s="62">
        <v>369284</v>
      </c>
      <c r="E131" s="49">
        <f t="shared" si="13"/>
        <v>4.2422724429123405E-3</v>
      </c>
      <c r="F131" s="49">
        <f t="shared" si="11"/>
        <v>2.8617540971176636E-2</v>
      </c>
    </row>
    <row r="132" spans="1:6" x14ac:dyDescent="0.3">
      <c r="A132" s="53" t="s">
        <v>172</v>
      </c>
      <c r="B132" s="62">
        <v>18088</v>
      </c>
      <c r="C132" s="50">
        <f t="shared" si="12"/>
        <v>1.9335688678479652E-4</v>
      </c>
      <c r="D132" s="62">
        <v>44493</v>
      </c>
      <c r="E132" s="50">
        <f t="shared" si="13"/>
        <v>5.1112809599792783E-4</v>
      </c>
      <c r="F132" s="49">
        <f t="shared" si="11"/>
        <v>-0.59346414042658391</v>
      </c>
    </row>
    <row r="133" spans="1:6" hidden="1" x14ac:dyDescent="0.3">
      <c r="A133" s="7" t="s">
        <v>134</v>
      </c>
      <c r="B133" s="93"/>
      <c r="C133" s="67">
        <f t="shared" si="12"/>
        <v>0</v>
      </c>
      <c r="D133" s="93"/>
      <c r="E133" s="67">
        <f t="shared" si="13"/>
        <v>0</v>
      </c>
      <c r="F133" s="68" t="e">
        <f t="shared" si="11"/>
        <v>#DIV/0!</v>
      </c>
    </row>
    <row r="134" spans="1:6" hidden="1" x14ac:dyDescent="0.3">
      <c r="A134" s="7" t="s">
        <v>37</v>
      </c>
      <c r="B134" s="93"/>
      <c r="C134" s="67">
        <f t="shared" si="12"/>
        <v>0</v>
      </c>
      <c r="D134" s="93"/>
      <c r="E134" s="67">
        <f t="shared" si="13"/>
        <v>0</v>
      </c>
      <c r="F134" s="68" t="e">
        <f t="shared" si="11"/>
        <v>#DIV/0!</v>
      </c>
    </row>
    <row r="135" spans="1:6" s="5" customFormat="1" ht="30" customHeight="1" x14ac:dyDescent="0.3">
      <c r="A135" s="31" t="s">
        <v>38</v>
      </c>
      <c r="B135" s="82">
        <f>B115+B98+B74</f>
        <v>93547224</v>
      </c>
      <c r="C135" s="43">
        <f t="shared" si="12"/>
        <v>1</v>
      </c>
      <c r="D135" s="82">
        <f>D115+D98+D74</f>
        <v>87048629</v>
      </c>
      <c r="E135" s="43">
        <f t="shared" si="13"/>
        <v>1</v>
      </c>
      <c r="F135" s="43">
        <f t="shared" si="11"/>
        <v>7.4654765671266388E-2</v>
      </c>
    </row>
    <row r="136" spans="1:6" x14ac:dyDescent="0.3">
      <c r="B136" s="21"/>
      <c r="C136" s="13"/>
      <c r="D136" s="21"/>
      <c r="E136" s="13"/>
    </row>
    <row r="137" spans="1:6" x14ac:dyDescent="0.3">
      <c r="B137" s="21">
        <f>B135-B71</f>
        <v>0</v>
      </c>
      <c r="C137" s="13">
        <f t="shared" ref="C137" si="18">C135-C71</f>
        <v>0</v>
      </c>
      <c r="D137" s="21">
        <f t="shared" ref="D137:E137" si="19">D135-D71</f>
        <v>0</v>
      </c>
      <c r="E137" s="13">
        <f t="shared" si="19"/>
        <v>0</v>
      </c>
    </row>
    <row r="139" spans="1:6" x14ac:dyDescent="0.3">
      <c r="A139" s="65" t="s">
        <v>216</v>
      </c>
      <c r="B139" s="66">
        <f>B140+B141</f>
        <v>48133370</v>
      </c>
      <c r="C139" s="64"/>
      <c r="D139" s="66">
        <f>D140+D141</f>
        <v>44856479</v>
      </c>
    </row>
    <row r="140" spans="1:6" x14ac:dyDescent="0.3">
      <c r="A140" s="2" t="s">
        <v>217</v>
      </c>
      <c r="B140" s="63">
        <v>3347509</v>
      </c>
      <c r="D140" s="63">
        <v>2750650</v>
      </c>
    </row>
    <row r="141" spans="1:6" x14ac:dyDescent="0.3">
      <c r="A141" s="2" t="s">
        <v>218</v>
      </c>
      <c r="B141" s="63">
        <v>44785861</v>
      </c>
      <c r="D141" s="63">
        <v>42105829</v>
      </c>
    </row>
  </sheetData>
  <mergeCells count="1">
    <mergeCell ref="I5:I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  <ignoredErrors>
    <ignoredError sqref="C13" formula="1"/>
    <ignoredError sqref="D27 B27 B104 B60 D60" formulaRange="1"/>
    <ignoredError sqref="F6 F7:F11 F22:F70 F78:F96 F100:F116 F119:F131" evalError="1"/>
  </ignoredError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75"/>
  <sheetViews>
    <sheetView topLeftCell="A43" workbookViewId="0">
      <selection activeCell="A10" sqref="A10"/>
    </sheetView>
  </sheetViews>
  <sheetFormatPr baseColWidth="10" defaultColWidth="11.44140625" defaultRowHeight="14.4" x14ac:dyDescent="0.3"/>
  <cols>
    <col min="1" max="1" width="64.33203125" customWidth="1"/>
    <col min="2" max="2" width="15.33203125" style="4" bestFit="1" customWidth="1"/>
    <col min="3" max="3" width="14.88671875" style="4" hidden="1" customWidth="1"/>
    <col min="4" max="4" width="16.44140625" style="4" customWidth="1"/>
    <col min="5" max="5" width="14.88671875" customWidth="1"/>
    <col min="6" max="6" width="13.33203125" bestFit="1" customWidth="1"/>
  </cols>
  <sheetData>
    <row r="1" spans="1:6" ht="34.200000000000003" customHeight="1" x14ac:dyDescent="0.3">
      <c r="A1" s="58" t="str">
        <f>BalanceRM!A2</f>
        <v xml:space="preserve">CHOCOLATES VALOR, S.A. </v>
      </c>
      <c r="B1" s="17" t="str">
        <f>BalanceRM!B2</f>
        <v>Datos en Euros</v>
      </c>
    </row>
    <row r="2" spans="1:6" s="6" customFormat="1" ht="34.5" customHeight="1" x14ac:dyDescent="0.3">
      <c r="A2" s="27" t="s">
        <v>129</v>
      </c>
      <c r="B2" s="55">
        <f>BalanceRM!B3</f>
        <v>43646</v>
      </c>
      <c r="C2" s="11"/>
      <c r="D2" s="55">
        <f>BalanceRM!D3</f>
        <v>43281</v>
      </c>
      <c r="E2" s="55" t="s">
        <v>293</v>
      </c>
      <c r="F2" s="55" t="s">
        <v>293</v>
      </c>
    </row>
    <row r="3" spans="1:6" x14ac:dyDescent="0.3">
      <c r="A3" s="25" t="s">
        <v>39</v>
      </c>
      <c r="B3" s="73">
        <f>B4+B5</f>
        <v>125509500</v>
      </c>
      <c r="C3" s="22"/>
      <c r="D3" s="73">
        <f>D4+D5</f>
        <v>122728475</v>
      </c>
      <c r="E3" s="216">
        <f>B3</f>
        <v>125509500</v>
      </c>
      <c r="F3" s="216">
        <f>D3</f>
        <v>122728475</v>
      </c>
    </row>
    <row r="4" spans="1:6" x14ac:dyDescent="0.3">
      <c r="A4" s="26" t="s">
        <v>40</v>
      </c>
      <c r="B4" s="74">
        <v>125509365</v>
      </c>
      <c r="D4" s="74">
        <v>122714860</v>
      </c>
      <c r="E4" s="216"/>
      <c r="F4" s="216"/>
    </row>
    <row r="5" spans="1:6" x14ac:dyDescent="0.3">
      <c r="A5" s="26" t="s">
        <v>41</v>
      </c>
      <c r="B5" s="74">
        <v>135</v>
      </c>
      <c r="C5" s="19"/>
      <c r="D5" s="74">
        <v>13615</v>
      </c>
      <c r="E5" s="216"/>
      <c r="F5" s="216"/>
    </row>
    <row r="6" spans="1:6" x14ac:dyDescent="0.3">
      <c r="A6" s="25" t="s">
        <v>203</v>
      </c>
      <c r="B6" s="73">
        <v>2585633</v>
      </c>
      <c r="C6" s="22"/>
      <c r="D6" s="73">
        <v>-1492760</v>
      </c>
      <c r="E6" s="216">
        <f>B6</f>
        <v>2585633</v>
      </c>
      <c r="F6" s="216">
        <f>D6</f>
        <v>-1492760</v>
      </c>
    </row>
    <row r="7" spans="1:6" x14ac:dyDescent="0.3">
      <c r="A7" s="25" t="s">
        <v>42</v>
      </c>
      <c r="B7" s="73"/>
      <c r="C7" s="22"/>
      <c r="D7" s="73"/>
      <c r="E7" s="216"/>
      <c r="F7" s="216"/>
    </row>
    <row r="8" spans="1:6" x14ac:dyDescent="0.3">
      <c r="A8" s="25" t="s">
        <v>43</v>
      </c>
      <c r="B8" s="73">
        <f>SUM(B9:B12)</f>
        <v>-64585664</v>
      </c>
      <c r="C8" s="22"/>
      <c r="D8" s="73">
        <f>SUM(D9:D12)</f>
        <v>-60498194</v>
      </c>
      <c r="E8" s="216">
        <f>B8</f>
        <v>-64585664</v>
      </c>
      <c r="F8" s="216">
        <f>D8</f>
        <v>-60498194</v>
      </c>
    </row>
    <row r="9" spans="1:6" x14ac:dyDescent="0.3">
      <c r="A9" s="26" t="s">
        <v>44</v>
      </c>
      <c r="B9" s="74">
        <v>-10326637</v>
      </c>
      <c r="C9" s="19"/>
      <c r="D9" s="74">
        <v>-9964006</v>
      </c>
      <c r="E9" s="216"/>
      <c r="F9" s="216"/>
    </row>
    <row r="10" spans="1:6" x14ac:dyDescent="0.3">
      <c r="A10" s="115" t="s">
        <v>45</v>
      </c>
      <c r="B10" s="103">
        <v>-53610932</v>
      </c>
      <c r="C10" s="116"/>
      <c r="D10" s="103">
        <v>-49886953</v>
      </c>
      <c r="E10" s="216"/>
      <c r="F10" s="216"/>
    </row>
    <row r="11" spans="1:6" x14ac:dyDescent="0.3">
      <c r="A11" s="115" t="s">
        <v>46</v>
      </c>
      <c r="B11" s="103">
        <v>-648095</v>
      </c>
      <c r="C11" s="116"/>
      <c r="D11" s="103">
        <v>-647235</v>
      </c>
      <c r="E11" s="216"/>
      <c r="F11" s="216"/>
    </row>
    <row r="12" spans="1:6" x14ac:dyDescent="0.3">
      <c r="A12" s="26" t="s">
        <v>47</v>
      </c>
      <c r="B12" s="74"/>
      <c r="C12" s="19"/>
      <c r="D12" s="74"/>
      <c r="E12" s="219"/>
      <c r="F12" s="219"/>
    </row>
    <row r="13" spans="1:6" x14ac:dyDescent="0.3">
      <c r="A13" s="25" t="s">
        <v>48</v>
      </c>
      <c r="B13" s="73">
        <f>B14+B15</f>
        <v>1028477</v>
      </c>
      <c r="C13" s="22"/>
      <c r="D13" s="73">
        <f>D14+D15</f>
        <v>949278</v>
      </c>
      <c r="E13" s="216">
        <f>B13</f>
        <v>1028477</v>
      </c>
      <c r="F13" s="216">
        <f>D13</f>
        <v>949278</v>
      </c>
    </row>
    <row r="14" spans="1:6" x14ac:dyDescent="0.3">
      <c r="A14" s="26" t="s">
        <v>49</v>
      </c>
      <c r="B14" s="74">
        <v>1010567</v>
      </c>
      <c r="C14" s="19"/>
      <c r="D14" s="74">
        <v>925811</v>
      </c>
      <c r="E14" s="216"/>
      <c r="F14" s="216"/>
    </row>
    <row r="15" spans="1:6" x14ac:dyDescent="0.3">
      <c r="A15" s="26" t="s">
        <v>50</v>
      </c>
      <c r="B15" s="74">
        <v>17910</v>
      </c>
      <c r="C15" s="19"/>
      <c r="D15" s="74">
        <v>23467</v>
      </c>
      <c r="E15" s="216"/>
      <c r="F15" s="216"/>
    </row>
    <row r="16" spans="1:6" x14ac:dyDescent="0.3">
      <c r="A16" s="25" t="s">
        <v>51</v>
      </c>
      <c r="B16" s="73">
        <f>SUM(B17:B19)</f>
        <v>-10783608</v>
      </c>
      <c r="C16" s="22"/>
      <c r="D16" s="73">
        <f>SUM(D17:D19)</f>
        <v>-10852763</v>
      </c>
      <c r="E16" s="216">
        <f>B16</f>
        <v>-10783608</v>
      </c>
      <c r="F16" s="216">
        <f>D16</f>
        <v>-10852763</v>
      </c>
    </row>
    <row r="17" spans="1:6" ht="15.75" customHeight="1" x14ac:dyDescent="0.3">
      <c r="A17" s="115" t="s">
        <v>52</v>
      </c>
      <c r="B17" s="103">
        <v>-8035532</v>
      </c>
      <c r="C17" s="116"/>
      <c r="D17" s="103">
        <v>-8302446</v>
      </c>
      <c r="E17" s="216"/>
      <c r="F17" s="216"/>
    </row>
    <row r="18" spans="1:6" x14ac:dyDescent="0.3">
      <c r="A18" s="115" t="s">
        <v>53</v>
      </c>
      <c r="B18" s="103">
        <v>-2748076</v>
      </c>
      <c r="C18" s="116"/>
      <c r="D18" s="103">
        <v>-2550317</v>
      </c>
      <c r="E18" s="216"/>
      <c r="F18" s="216"/>
    </row>
    <row r="19" spans="1:6" x14ac:dyDescent="0.3">
      <c r="A19" s="26" t="s">
        <v>54</v>
      </c>
      <c r="B19" s="74"/>
      <c r="C19" s="19"/>
      <c r="D19" s="74"/>
      <c r="E19" s="219"/>
      <c r="F19" s="219"/>
    </row>
    <row r="20" spans="1:6" x14ac:dyDescent="0.3">
      <c r="A20" s="25" t="s">
        <v>55</v>
      </c>
      <c r="B20" s="73">
        <f>SUM(B21:B25)</f>
        <v>-34509201</v>
      </c>
      <c r="C20" s="22"/>
      <c r="D20" s="73">
        <f>SUM(D21:D25)</f>
        <v>-31728280</v>
      </c>
      <c r="E20" s="216"/>
      <c r="F20" s="216"/>
    </row>
    <row r="21" spans="1:6" x14ac:dyDescent="0.3">
      <c r="A21" s="26" t="s">
        <v>56</v>
      </c>
      <c r="B21" s="74">
        <v>-34380922</v>
      </c>
      <c r="C21" s="19"/>
      <c r="D21" s="74">
        <v>-31585807</v>
      </c>
      <c r="E21" s="216">
        <f>B21</f>
        <v>-34380922</v>
      </c>
      <c r="F21" s="216">
        <f>D21</f>
        <v>-31585807</v>
      </c>
    </row>
    <row r="22" spans="1:6" x14ac:dyDescent="0.3">
      <c r="A22" s="26" t="s">
        <v>57</v>
      </c>
      <c r="B22" s="74">
        <v>-104187</v>
      </c>
      <c r="C22" s="19"/>
      <c r="D22" s="74">
        <v>-130095</v>
      </c>
      <c r="E22" s="216">
        <f>B22</f>
        <v>-104187</v>
      </c>
      <c r="F22" s="216">
        <f>D22</f>
        <v>-130095</v>
      </c>
    </row>
    <row r="23" spans="1:6" x14ac:dyDescent="0.3">
      <c r="A23" s="26" t="s">
        <v>58</v>
      </c>
      <c r="B23" s="74">
        <v>-24092</v>
      </c>
      <c r="C23" s="19"/>
      <c r="D23" s="74">
        <v>-12378</v>
      </c>
      <c r="E23" s="219"/>
      <c r="F23" s="219"/>
    </row>
    <row r="24" spans="1:6" x14ac:dyDescent="0.3">
      <c r="A24" s="26" t="s">
        <v>59</v>
      </c>
      <c r="B24" s="74"/>
      <c r="C24" s="19"/>
      <c r="D24" s="74"/>
      <c r="E24" s="216"/>
      <c r="F24" s="216"/>
    </row>
    <row r="25" spans="1:6" x14ac:dyDescent="0.3">
      <c r="A25" s="26" t="s">
        <v>231</v>
      </c>
      <c r="B25" s="74"/>
      <c r="C25" s="19"/>
      <c r="D25" s="74"/>
      <c r="E25" s="216"/>
      <c r="F25" s="216"/>
    </row>
    <row r="26" spans="1:6" x14ac:dyDescent="0.3">
      <c r="A26" s="25" t="s">
        <v>60</v>
      </c>
      <c r="B26" s="73">
        <v>-3309716</v>
      </c>
      <c r="C26" s="22"/>
      <c r="D26" s="73">
        <v>-2971312</v>
      </c>
      <c r="E26" s="216"/>
      <c r="F26" s="216"/>
    </row>
    <row r="27" spans="1:6" x14ac:dyDescent="0.3">
      <c r="A27" s="25" t="s">
        <v>61</v>
      </c>
      <c r="B27" s="73">
        <v>28509</v>
      </c>
      <c r="C27" s="22"/>
      <c r="D27" s="73">
        <v>28509</v>
      </c>
      <c r="E27" s="216"/>
      <c r="F27" s="216"/>
    </row>
    <row r="28" spans="1:6" x14ac:dyDescent="0.3">
      <c r="A28" s="25" t="s">
        <v>62</v>
      </c>
      <c r="B28" s="73"/>
      <c r="C28" s="22"/>
      <c r="D28" s="73"/>
      <c r="E28" s="216"/>
      <c r="F28" s="216"/>
    </row>
    <row r="29" spans="1:6" x14ac:dyDescent="0.3">
      <c r="A29" s="25" t="s">
        <v>63</v>
      </c>
      <c r="B29" s="73">
        <f>B30+B31</f>
        <v>-61703</v>
      </c>
      <c r="C29" s="22"/>
      <c r="D29" s="73">
        <f>D30+D31</f>
        <v>-20224</v>
      </c>
      <c r="E29" s="216"/>
      <c r="F29" s="216"/>
    </row>
    <row r="30" spans="1:6" x14ac:dyDescent="0.3">
      <c r="A30" s="26" t="s">
        <v>64</v>
      </c>
      <c r="B30" s="74">
        <v>-75703</v>
      </c>
      <c r="C30" s="19"/>
      <c r="D30" s="74">
        <v>-20224</v>
      </c>
      <c r="E30" s="216"/>
      <c r="F30" s="216"/>
    </row>
    <row r="31" spans="1:6" x14ac:dyDescent="0.3">
      <c r="A31" s="26" t="s">
        <v>65</v>
      </c>
      <c r="B31" s="74">
        <v>14000</v>
      </c>
      <c r="C31" s="19"/>
      <c r="D31" s="74"/>
      <c r="E31" s="216"/>
      <c r="F31" s="216"/>
    </row>
    <row r="32" spans="1:6" x14ac:dyDescent="0.3">
      <c r="A32" s="25" t="s">
        <v>66</v>
      </c>
      <c r="B32" s="73"/>
      <c r="C32" s="22"/>
      <c r="D32" s="73"/>
      <c r="E32" s="216"/>
      <c r="F32" s="216"/>
    </row>
    <row r="33" spans="1:6" x14ac:dyDescent="0.3">
      <c r="A33" s="25" t="s">
        <v>67</v>
      </c>
      <c r="B33" s="73">
        <v>-198646</v>
      </c>
      <c r="C33" s="22"/>
      <c r="D33" s="73">
        <v>31559</v>
      </c>
      <c r="E33" s="216">
        <f>B33</f>
        <v>-198646</v>
      </c>
      <c r="F33" s="216">
        <f>D33</f>
        <v>31559</v>
      </c>
    </row>
    <row r="34" spans="1:6" s="6" customFormat="1" ht="27.9" customHeight="1" x14ac:dyDescent="0.3">
      <c r="A34" s="28" t="s">
        <v>208</v>
      </c>
      <c r="B34" s="75">
        <f>B3+B6+B7+B8+B13+B16+B20+B26+B27+B28+B29+B32+B33</f>
        <v>15703581</v>
      </c>
      <c r="C34" s="23">
        <f t="shared" ref="C34:D34" si="0">C3+C6+C7+C8+C13+C16+C20+C26+C27+C28+C29+C32+C33</f>
        <v>0</v>
      </c>
      <c r="D34" s="75">
        <f t="shared" si="0"/>
        <v>16174288</v>
      </c>
      <c r="E34" s="217"/>
      <c r="F34" s="217"/>
    </row>
    <row r="35" spans="1:6" x14ac:dyDescent="0.3">
      <c r="A35" s="25" t="s">
        <v>68</v>
      </c>
      <c r="B35" s="73">
        <f>B36+B39+B42</f>
        <v>3246</v>
      </c>
      <c r="C35" s="22"/>
      <c r="D35" s="73">
        <f>D36+D39+D42</f>
        <v>8809</v>
      </c>
      <c r="E35" s="216">
        <f>B35</f>
        <v>3246</v>
      </c>
      <c r="F35" s="216">
        <f>D35</f>
        <v>8809</v>
      </c>
    </row>
    <row r="36" spans="1:6" x14ac:dyDescent="0.3">
      <c r="A36" s="26" t="s">
        <v>69</v>
      </c>
      <c r="B36" s="76"/>
      <c r="C36" s="18"/>
      <c r="D36" s="76"/>
      <c r="E36" s="218"/>
      <c r="F36" s="218"/>
    </row>
    <row r="37" spans="1:6" x14ac:dyDescent="0.3">
      <c r="A37" s="29" t="s">
        <v>70</v>
      </c>
      <c r="B37" s="74"/>
      <c r="C37" s="19"/>
      <c r="D37" s="74"/>
      <c r="E37" s="216"/>
      <c r="F37" s="216"/>
    </row>
    <row r="38" spans="1:6" x14ac:dyDescent="0.3">
      <c r="A38" s="29" t="s">
        <v>71</v>
      </c>
      <c r="B38" s="74"/>
      <c r="C38" s="19"/>
      <c r="D38" s="74"/>
      <c r="E38" s="216"/>
      <c r="F38" s="216"/>
    </row>
    <row r="39" spans="1:6" x14ac:dyDescent="0.3">
      <c r="A39" s="26" t="s">
        <v>72</v>
      </c>
      <c r="B39" s="74">
        <f>B40+B41</f>
        <v>3246</v>
      </c>
      <c r="C39" s="19">
        <f t="shared" ref="C39:D39" si="1">C40+C41</f>
        <v>0</v>
      </c>
      <c r="D39" s="74">
        <f t="shared" si="1"/>
        <v>8809</v>
      </c>
      <c r="E39" s="216"/>
      <c r="F39" s="216"/>
    </row>
    <row r="40" spans="1:6" x14ac:dyDescent="0.3">
      <c r="A40" s="29" t="s">
        <v>73</v>
      </c>
      <c r="B40" s="74"/>
      <c r="C40" s="19"/>
      <c r="D40" s="74"/>
      <c r="E40" s="216"/>
      <c r="F40" s="216"/>
    </row>
    <row r="41" spans="1:6" x14ac:dyDescent="0.3">
      <c r="A41" s="29" t="s">
        <v>74</v>
      </c>
      <c r="B41" s="74">
        <v>3246</v>
      </c>
      <c r="C41" s="19"/>
      <c r="D41" s="74">
        <v>8809</v>
      </c>
      <c r="E41" s="216"/>
      <c r="F41" s="216"/>
    </row>
    <row r="42" spans="1:6" x14ac:dyDescent="0.3">
      <c r="A42" s="26" t="s">
        <v>75</v>
      </c>
      <c r="B42" s="74"/>
      <c r="C42" s="19"/>
      <c r="D42" s="74"/>
      <c r="E42" s="216"/>
      <c r="F42" s="216"/>
    </row>
    <row r="43" spans="1:6" x14ac:dyDescent="0.3">
      <c r="A43" s="25" t="s">
        <v>76</v>
      </c>
      <c r="B43" s="73">
        <f>B44+B45+B46</f>
        <v>-14744</v>
      </c>
      <c r="C43" s="22"/>
      <c r="D43" s="73">
        <f>D44+D45+D46</f>
        <v>-23602</v>
      </c>
      <c r="E43" s="216">
        <f>B43</f>
        <v>-14744</v>
      </c>
      <c r="F43" s="216">
        <f>D43</f>
        <v>-23602</v>
      </c>
    </row>
    <row r="44" spans="1:6" x14ac:dyDescent="0.3">
      <c r="A44" s="26" t="s">
        <v>77</v>
      </c>
      <c r="B44" s="74"/>
      <c r="C44" s="19"/>
      <c r="D44" s="74"/>
      <c r="E44" s="216"/>
      <c r="F44" s="216"/>
    </row>
    <row r="45" spans="1:6" x14ac:dyDescent="0.3">
      <c r="A45" s="26" t="s">
        <v>78</v>
      </c>
      <c r="B45" s="74">
        <v>-14744</v>
      </c>
      <c r="C45" s="19"/>
      <c r="D45" s="74">
        <v>-23602</v>
      </c>
      <c r="E45" s="216"/>
      <c r="F45" s="216"/>
    </row>
    <row r="46" spans="1:6" x14ac:dyDescent="0.3">
      <c r="A46" s="26" t="s">
        <v>79</v>
      </c>
      <c r="B46" s="74"/>
      <c r="C46" s="19"/>
      <c r="D46" s="74"/>
      <c r="E46" s="216"/>
      <c r="F46" s="216"/>
    </row>
    <row r="47" spans="1:6" x14ac:dyDescent="0.3">
      <c r="A47" s="25" t="s">
        <v>80</v>
      </c>
      <c r="B47" s="73">
        <f>B48+B49</f>
        <v>-2810</v>
      </c>
      <c r="C47" s="22"/>
      <c r="D47" s="73">
        <f>D48+D49</f>
        <v>-22272</v>
      </c>
      <c r="E47" s="216"/>
      <c r="F47" s="216"/>
    </row>
    <row r="48" spans="1:6" x14ac:dyDescent="0.3">
      <c r="A48" s="26" t="s">
        <v>81</v>
      </c>
      <c r="B48" s="74">
        <v>-2810</v>
      </c>
      <c r="C48" s="19"/>
      <c r="D48" s="74">
        <v>-22272</v>
      </c>
      <c r="E48" s="216"/>
      <c r="F48" s="216"/>
    </row>
    <row r="49" spans="1:9" x14ac:dyDescent="0.3">
      <c r="A49" s="26" t="s">
        <v>204</v>
      </c>
      <c r="B49" s="74"/>
      <c r="C49" s="19"/>
      <c r="D49" s="74"/>
      <c r="E49" s="216"/>
      <c r="F49" s="216"/>
    </row>
    <row r="50" spans="1:9" x14ac:dyDescent="0.3">
      <c r="A50" s="25" t="s">
        <v>82</v>
      </c>
      <c r="B50" s="73">
        <v>45583</v>
      </c>
      <c r="C50" s="22"/>
      <c r="D50" s="73">
        <v>34269</v>
      </c>
      <c r="E50" s="216"/>
      <c r="F50" s="216"/>
    </row>
    <row r="51" spans="1:9" x14ac:dyDescent="0.3">
      <c r="A51" s="25" t="s">
        <v>158</v>
      </c>
      <c r="B51" s="73">
        <f>B52+B53</f>
        <v>0</v>
      </c>
      <c r="C51" s="22"/>
      <c r="D51" s="73">
        <f>D52+D53</f>
        <v>0</v>
      </c>
      <c r="E51" s="216"/>
      <c r="F51" s="216"/>
    </row>
    <row r="52" spans="1:9" x14ac:dyDescent="0.3">
      <c r="A52" s="26" t="s">
        <v>83</v>
      </c>
      <c r="B52" s="74"/>
      <c r="C52" s="19"/>
      <c r="D52" s="74"/>
      <c r="E52" s="216"/>
      <c r="F52" s="216"/>
    </row>
    <row r="53" spans="1:9" x14ac:dyDescent="0.3">
      <c r="A53" s="26" t="s">
        <v>65</v>
      </c>
      <c r="B53" s="74"/>
      <c r="C53" s="19"/>
      <c r="D53" s="74"/>
      <c r="E53" s="216"/>
      <c r="F53" s="216"/>
    </row>
    <row r="54" spans="1:9" s="6" customFormat="1" ht="27.9" customHeight="1" x14ac:dyDescent="0.3">
      <c r="A54" s="28" t="s">
        <v>84</v>
      </c>
      <c r="B54" s="75">
        <f>+B35+B43+B47+B50+B51</f>
        <v>31275</v>
      </c>
      <c r="C54" s="23" t="e">
        <f>+C35+C43+C47+#REF!+C50+C51</f>
        <v>#REF!</v>
      </c>
      <c r="D54" s="75">
        <f>+D35+D43+D47+D50+D51</f>
        <v>-2796</v>
      </c>
      <c r="E54" s="217"/>
      <c r="F54" s="217"/>
    </row>
    <row r="55" spans="1:9" s="6" customFormat="1" ht="27.9" customHeight="1" x14ac:dyDescent="0.3">
      <c r="A55" s="28" t="s">
        <v>85</v>
      </c>
      <c r="B55" s="75">
        <f>B34+B54</f>
        <v>15734856</v>
      </c>
      <c r="C55" s="23"/>
      <c r="D55" s="75">
        <f>D34+D54</f>
        <v>16171492</v>
      </c>
      <c r="E55" s="217"/>
      <c r="F55" s="217"/>
    </row>
    <row r="56" spans="1:9" x14ac:dyDescent="0.3">
      <c r="A56" s="25" t="s">
        <v>205</v>
      </c>
      <c r="B56" s="73">
        <v>-3814422</v>
      </c>
      <c r="C56" s="22"/>
      <c r="D56" s="73">
        <v>-3965867</v>
      </c>
      <c r="E56" s="216">
        <f>B56</f>
        <v>-3814422</v>
      </c>
      <c r="F56" s="216">
        <f>D56</f>
        <v>-3965867</v>
      </c>
    </row>
    <row r="57" spans="1:9" s="6" customFormat="1" ht="27.9" customHeight="1" x14ac:dyDescent="0.3">
      <c r="A57" s="28" t="s">
        <v>86</v>
      </c>
      <c r="B57" s="75">
        <f>B55+B56</f>
        <v>11920434</v>
      </c>
      <c r="C57" s="23"/>
      <c r="D57" s="75">
        <f>D55+D56</f>
        <v>12205625</v>
      </c>
      <c r="E57" s="90">
        <f>SUM(E3:E22)</f>
        <v>19269229</v>
      </c>
      <c r="F57" s="90">
        <f>SUM(F3:F22)</f>
        <v>19118134</v>
      </c>
      <c r="G57" s="234" t="s">
        <v>294</v>
      </c>
      <c r="H57" s="235"/>
      <c r="I57" s="236"/>
    </row>
    <row r="58" spans="1:9" x14ac:dyDescent="0.3">
      <c r="A58" s="25" t="s">
        <v>87</v>
      </c>
      <c r="B58" s="73">
        <v>0</v>
      </c>
      <c r="C58" s="22"/>
      <c r="D58" s="73">
        <v>0</v>
      </c>
      <c r="E58" s="90">
        <f>SUM(E3:E56)</f>
        <v>15244663</v>
      </c>
      <c r="F58" s="90">
        <f>SUM(F3:F56)</f>
        <v>15169033</v>
      </c>
      <c r="G58" s="234" t="s">
        <v>295</v>
      </c>
      <c r="H58" s="235"/>
      <c r="I58" s="236"/>
    </row>
    <row r="59" spans="1:9" s="6" customFormat="1" ht="27.9" customHeight="1" x14ac:dyDescent="0.3">
      <c r="A59" s="28" t="s">
        <v>88</v>
      </c>
      <c r="B59" s="75">
        <f>B57+B58</f>
        <v>11920434</v>
      </c>
      <c r="C59" s="23"/>
      <c r="D59" s="75">
        <f>D57+D58</f>
        <v>12205625</v>
      </c>
      <c r="E59"/>
    </row>
    <row r="60" spans="1:9" x14ac:dyDescent="0.3">
      <c r="A60" s="24"/>
    </row>
    <row r="61" spans="1:9" x14ac:dyDescent="0.3">
      <c r="A61" s="59" t="s">
        <v>211</v>
      </c>
      <c r="B61" s="60">
        <f>BalanceRM!B88-B59</f>
        <v>0</v>
      </c>
      <c r="C61" s="60"/>
      <c r="D61" s="77">
        <f>BalanceRM!D88-D59</f>
        <v>0</v>
      </c>
      <c r="E61" s="71"/>
    </row>
    <row r="62" spans="1:9" x14ac:dyDescent="0.3">
      <c r="A62" s="24"/>
      <c r="D62" s="13"/>
      <c r="E62" s="71"/>
    </row>
    <row r="63" spans="1:9" x14ac:dyDescent="0.3">
      <c r="A63" s="24"/>
      <c r="B63" s="21"/>
      <c r="C63" s="21"/>
      <c r="D63" s="13"/>
      <c r="E63" s="71"/>
    </row>
    <row r="64" spans="1:9" x14ac:dyDescent="0.3">
      <c r="D64" s="13"/>
      <c r="E64" s="71"/>
    </row>
    <row r="65" spans="1:5" x14ac:dyDescent="0.3">
      <c r="D65" s="13"/>
      <c r="E65" s="71"/>
    </row>
    <row r="66" spans="1:5" x14ac:dyDescent="0.3">
      <c r="B66" s="21"/>
      <c r="D66" s="13"/>
      <c r="E66" s="71"/>
    </row>
    <row r="67" spans="1:5" x14ac:dyDescent="0.3">
      <c r="D67" s="13"/>
      <c r="E67" s="71"/>
    </row>
    <row r="68" spans="1:5" x14ac:dyDescent="0.3">
      <c r="D68" s="13"/>
      <c r="E68" s="71"/>
    </row>
    <row r="75" spans="1:5" ht="15" x14ac:dyDescent="0.3">
      <c r="A75" s="54"/>
      <c r="B75"/>
      <c r="C75"/>
      <c r="D75"/>
    </row>
  </sheetData>
  <mergeCells count="2">
    <mergeCell ref="G57:I57"/>
    <mergeCell ref="G58:I58"/>
  </mergeCells>
  <phoneticPr fontId="0" type="noConversion"/>
  <pageMargins left="0.70866141732283472" right="0.70866141732283472" top="0.43307086614173229" bottom="0.35433070866141736" header="0.31496062992125984" footer="0.31496062992125984"/>
  <pageSetup paperSize="9" scale="91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2"/>
  <sheetViews>
    <sheetView tabSelected="1" topLeftCell="A4" zoomScale="85" zoomScaleNormal="85" workbookViewId="0">
      <selection activeCell="K11" sqref="K11"/>
    </sheetView>
  </sheetViews>
  <sheetFormatPr baseColWidth="10" defaultColWidth="11.44140625" defaultRowHeight="14.4" x14ac:dyDescent="0.3"/>
  <cols>
    <col min="1" max="1" width="69.109375" customWidth="1"/>
    <col min="2" max="2" width="15.5546875" bestFit="1" customWidth="1"/>
    <col min="3" max="3" width="8.6640625" style="5" customWidth="1"/>
    <col min="4" max="4" width="13.6640625" bestFit="1" customWidth="1"/>
    <col min="5" max="5" width="8.6640625" style="9" customWidth="1"/>
    <col min="6" max="6" width="13.33203125" style="9" bestFit="1" customWidth="1"/>
    <col min="9" max="9" width="12.77734375" customWidth="1"/>
    <col min="10" max="10" width="17.6640625" customWidth="1"/>
    <col min="11" max="11" width="16.5546875" customWidth="1"/>
    <col min="12" max="12" width="16.21875" customWidth="1"/>
    <col min="13" max="13" width="16.33203125" customWidth="1"/>
  </cols>
  <sheetData>
    <row r="1" spans="1:13" ht="36" customHeight="1" x14ac:dyDescent="0.3">
      <c r="A1" s="15" t="str">
        <f>BalanceRM!A2</f>
        <v xml:space="preserve">CHOCOLATES VALOR, S.A. </v>
      </c>
    </row>
    <row r="2" spans="1:13" ht="40.5" customHeight="1" x14ac:dyDescent="0.3">
      <c r="A2" s="143" t="s">
        <v>213</v>
      </c>
      <c r="B2" s="144">
        <f>PyGRM!B2</f>
        <v>43646</v>
      </c>
      <c r="C2" s="145" t="s">
        <v>212</v>
      </c>
      <c r="D2" s="144">
        <f>PyGRM!D2</f>
        <v>43281</v>
      </c>
      <c r="E2" s="145" t="s">
        <v>212</v>
      </c>
      <c r="F2" s="132" t="s">
        <v>214</v>
      </c>
    </row>
    <row r="3" spans="1:13" s="6" customFormat="1" ht="20.100000000000001" customHeight="1" x14ac:dyDescent="0.3">
      <c r="A3" s="164" t="s">
        <v>89</v>
      </c>
      <c r="B3" s="146">
        <f>PyGRM!B3</f>
        <v>125509500</v>
      </c>
      <c r="C3" s="147">
        <f>B3/B$6</f>
        <v>0.97201046346210429</v>
      </c>
      <c r="D3" s="156">
        <f>PyGRM!D3</f>
        <v>122728475</v>
      </c>
      <c r="E3" s="157">
        <f>D3/D$6</f>
        <v>1.0044480257898776</v>
      </c>
      <c r="F3" s="170">
        <f t="shared" ref="F3:F20" si="0">(B3-D3)/D3</f>
        <v>2.2659981719808708E-2</v>
      </c>
      <c r="J3"/>
      <c r="K3"/>
      <c r="L3"/>
      <c r="M3"/>
    </row>
    <row r="4" spans="1:13" s="6" customFormat="1" ht="20.100000000000001" customHeight="1" x14ac:dyDescent="0.3">
      <c r="A4" s="167" t="s">
        <v>90</v>
      </c>
      <c r="B4" s="146">
        <f>PyGRM!B13</f>
        <v>1028477</v>
      </c>
      <c r="C4" s="147">
        <f>B4/B$6</f>
        <v>7.9650576683845814E-3</v>
      </c>
      <c r="D4" s="156">
        <f>PyGRM!D13</f>
        <v>949278</v>
      </c>
      <c r="E4" s="157">
        <f>D4/D$6</f>
        <v>7.7691865154012815E-3</v>
      </c>
      <c r="F4" s="170">
        <f t="shared" si="0"/>
        <v>8.3430775810668739E-2</v>
      </c>
      <c r="J4"/>
      <c r="K4"/>
      <c r="L4"/>
      <c r="M4"/>
    </row>
    <row r="5" spans="1:13" s="6" customFormat="1" ht="20.100000000000001" customHeight="1" x14ac:dyDescent="0.3">
      <c r="A5" s="167" t="s">
        <v>215</v>
      </c>
      <c r="B5" s="146">
        <f>PyGRM!B6</f>
        <v>2585633</v>
      </c>
      <c r="C5" s="147">
        <f>B5/B$6</f>
        <v>2.0024478869511159E-2</v>
      </c>
      <c r="D5" s="156">
        <f>PyGRM!D6</f>
        <v>-1492760</v>
      </c>
      <c r="E5" s="158">
        <f>D5/D$6</f>
        <v>-1.2217212305278767E-2</v>
      </c>
      <c r="F5" s="171">
        <f t="shared" si="0"/>
        <v>-2.7321156783407914</v>
      </c>
      <c r="J5"/>
      <c r="K5"/>
      <c r="L5"/>
      <c r="M5"/>
    </row>
    <row r="6" spans="1:13" s="6" customFormat="1" ht="20.100000000000001" customHeight="1" x14ac:dyDescent="0.3">
      <c r="A6" s="166" t="s">
        <v>107</v>
      </c>
      <c r="B6" s="148">
        <f>SUM(B3:B5)</f>
        <v>129123610</v>
      </c>
      <c r="C6" s="149">
        <f>B6/B$6</f>
        <v>1</v>
      </c>
      <c r="D6" s="159">
        <f>SUM(D3:D5)</f>
        <v>122184993</v>
      </c>
      <c r="E6" s="160">
        <f>D6/D$6</f>
        <v>1</v>
      </c>
      <c r="F6" s="172">
        <f t="shared" si="0"/>
        <v>5.6787800446164445E-2</v>
      </c>
      <c r="J6"/>
      <c r="K6"/>
      <c r="L6"/>
      <c r="M6"/>
    </row>
    <row r="7" spans="1:13" s="6" customFormat="1" ht="20.100000000000001" customHeight="1" x14ac:dyDescent="0.3">
      <c r="A7" s="167" t="s">
        <v>91</v>
      </c>
      <c r="B7" s="150">
        <f>PyGRM!B8</f>
        <v>-64585664</v>
      </c>
      <c r="C7" s="151">
        <f t="shared" ref="C7:E29" si="1">B7/B$6</f>
        <v>-0.5001847764324433</v>
      </c>
      <c r="D7" s="161">
        <f>PyGRM!D8</f>
        <v>-60498194</v>
      </c>
      <c r="E7" s="158">
        <f t="shared" si="1"/>
        <v>-0.49513604342556211</v>
      </c>
      <c r="F7" s="170">
        <f t="shared" si="0"/>
        <v>6.7563504457670259E-2</v>
      </c>
      <c r="J7"/>
      <c r="K7"/>
      <c r="L7"/>
      <c r="M7"/>
    </row>
    <row r="8" spans="1:13" s="6" customFormat="1" ht="20.100000000000001" customHeight="1" x14ac:dyDescent="0.3">
      <c r="A8" s="167" t="s">
        <v>92</v>
      </c>
      <c r="B8" s="146">
        <f>PyGRM!B20</f>
        <v>-34509201</v>
      </c>
      <c r="C8" s="151">
        <f t="shared" si="1"/>
        <v>-0.26725709573950107</v>
      </c>
      <c r="D8" s="156">
        <f>PyGRM!D20</f>
        <v>-31728280</v>
      </c>
      <c r="E8" s="158">
        <f t="shared" si="1"/>
        <v>-0.25967411562563991</v>
      </c>
      <c r="F8" s="170">
        <f t="shared" si="0"/>
        <v>8.7648022521233424E-2</v>
      </c>
      <c r="J8"/>
      <c r="K8"/>
      <c r="L8"/>
      <c r="M8"/>
    </row>
    <row r="9" spans="1:13" s="6" customFormat="1" ht="20.100000000000001" customHeight="1" x14ac:dyDescent="0.3">
      <c r="A9" s="166" t="s">
        <v>108</v>
      </c>
      <c r="B9" s="148">
        <f>SUM(B6:B8)</f>
        <v>30028745</v>
      </c>
      <c r="C9" s="149">
        <f t="shared" si="1"/>
        <v>0.2325581278280556</v>
      </c>
      <c r="D9" s="159">
        <f>SUM(D6:D8)</f>
        <v>29958519</v>
      </c>
      <c r="E9" s="160">
        <f t="shared" si="1"/>
        <v>0.24518984094879803</v>
      </c>
      <c r="F9" s="172">
        <f t="shared" si="0"/>
        <v>2.3441078646110644E-3</v>
      </c>
      <c r="J9"/>
      <c r="K9"/>
      <c r="L9"/>
      <c r="M9"/>
    </row>
    <row r="10" spans="1:13" s="6" customFormat="1" ht="20.100000000000001" customHeight="1" x14ac:dyDescent="0.3">
      <c r="A10" s="167" t="s">
        <v>93</v>
      </c>
      <c r="B10" s="146">
        <f>PyGRM!B16</f>
        <v>-10783608</v>
      </c>
      <c r="C10" s="151">
        <f t="shared" si="1"/>
        <v>-8.3513836083114468E-2</v>
      </c>
      <c r="D10" s="156">
        <f>PyGRM!D16</f>
        <v>-10852763</v>
      </c>
      <c r="E10" s="158">
        <f t="shared" si="1"/>
        <v>-8.8822389178350239E-2</v>
      </c>
      <c r="F10" s="171">
        <f t="shared" si="0"/>
        <v>-6.3721100331777265E-3</v>
      </c>
      <c r="J10"/>
      <c r="K10"/>
      <c r="L10"/>
      <c r="M10"/>
    </row>
    <row r="11" spans="1:13" s="6" customFormat="1" ht="20.100000000000001" customHeight="1" x14ac:dyDescent="0.3">
      <c r="A11" s="166" t="s">
        <v>157</v>
      </c>
      <c r="B11" s="148">
        <f>B9+B10</f>
        <v>19245137</v>
      </c>
      <c r="C11" s="149">
        <f t="shared" si="1"/>
        <v>0.14904429174494116</v>
      </c>
      <c r="D11" s="159">
        <f>D9+D10</f>
        <v>19105756</v>
      </c>
      <c r="E11" s="160">
        <f t="shared" si="1"/>
        <v>0.15636745177044778</v>
      </c>
      <c r="F11" s="172">
        <f t="shared" si="0"/>
        <v>7.2952360534699594E-3</v>
      </c>
      <c r="J11"/>
      <c r="K11"/>
      <c r="L11"/>
      <c r="M11"/>
    </row>
    <row r="12" spans="1:13" s="6" customFormat="1" ht="20.100000000000001" customHeight="1" thickBot="1" x14ac:dyDescent="0.35">
      <c r="A12" s="167" t="s">
        <v>94</v>
      </c>
      <c r="B12" s="146">
        <f>PyGRM!B26</f>
        <v>-3309716</v>
      </c>
      <c r="C12" s="151">
        <f t="shared" si="1"/>
        <v>-2.5632152013098146E-2</v>
      </c>
      <c r="D12" s="156">
        <f>PyGRM!D26</f>
        <v>-2971312</v>
      </c>
      <c r="E12" s="158">
        <f t="shared" si="1"/>
        <v>-2.4318141917804913E-2</v>
      </c>
      <c r="F12" s="170">
        <f t="shared" si="0"/>
        <v>0.11389042954762071</v>
      </c>
      <c r="J12"/>
      <c r="K12"/>
      <c r="L12"/>
      <c r="M12"/>
    </row>
    <row r="13" spans="1:13" s="6" customFormat="1" ht="20.100000000000001" customHeight="1" thickBot="1" x14ac:dyDescent="0.35">
      <c r="A13" s="168" t="s">
        <v>95</v>
      </c>
      <c r="B13" s="146">
        <f>PyGRM!B29</f>
        <v>-61703</v>
      </c>
      <c r="C13" s="152">
        <f t="shared" si="1"/>
        <v>-4.7785993591721918E-4</v>
      </c>
      <c r="D13" s="156">
        <f>PyGRM!D29</f>
        <v>-20224</v>
      </c>
      <c r="E13" s="162">
        <f t="shared" si="1"/>
        <v>-1.6551950860282816E-4</v>
      </c>
      <c r="F13" s="174">
        <f t="shared" si="0"/>
        <v>2.0509790348101267</v>
      </c>
      <c r="G13" s="237" t="s">
        <v>289</v>
      </c>
      <c r="H13" s="238"/>
      <c r="I13" s="239"/>
      <c r="J13"/>
      <c r="K13"/>
      <c r="L13"/>
      <c r="M13"/>
    </row>
    <row r="14" spans="1:13" s="6" customFormat="1" ht="20.100000000000001" customHeight="1" x14ac:dyDescent="0.3">
      <c r="A14" s="166" t="s">
        <v>109</v>
      </c>
      <c r="B14" s="148">
        <f>SUM(B11:B13)</f>
        <v>15873718</v>
      </c>
      <c r="C14" s="149">
        <f t="shared" si="1"/>
        <v>0.12293427979592578</v>
      </c>
      <c r="D14" s="159">
        <f>SUM(D11:D13)</f>
        <v>16114220</v>
      </c>
      <c r="E14" s="160">
        <f t="shared" si="1"/>
        <v>0.13188379034404005</v>
      </c>
      <c r="F14" s="173">
        <f t="shared" si="0"/>
        <v>-1.4924830367216037E-2</v>
      </c>
      <c r="J14"/>
      <c r="K14"/>
      <c r="L14"/>
      <c r="M14"/>
    </row>
    <row r="15" spans="1:13" s="6" customFormat="1" ht="20.100000000000001" customHeight="1" x14ac:dyDescent="0.3">
      <c r="A15" s="167" t="s">
        <v>96</v>
      </c>
      <c r="B15" s="146">
        <f>PyGRM!B35</f>
        <v>3246</v>
      </c>
      <c r="C15" s="153">
        <f t="shared" si="1"/>
        <v>2.5138702364346844E-5</v>
      </c>
      <c r="D15" s="156">
        <f>PyGRM!D35</f>
        <v>8809</v>
      </c>
      <c r="E15" s="163">
        <f t="shared" si="1"/>
        <v>7.2095596879070088E-5</v>
      </c>
      <c r="F15" s="171">
        <f t="shared" si="0"/>
        <v>-0.63151322511068231</v>
      </c>
      <c r="J15"/>
      <c r="K15"/>
      <c r="L15"/>
      <c r="M15"/>
    </row>
    <row r="16" spans="1:13" s="6" customFormat="1" ht="20.100000000000001" customHeight="1" x14ac:dyDescent="0.3">
      <c r="A16" s="167" t="s">
        <v>97</v>
      </c>
      <c r="B16" s="146">
        <f>PyGRM!B43</f>
        <v>-14744</v>
      </c>
      <c r="C16" s="152">
        <f t="shared" si="1"/>
        <v>-1.141851594762569E-4</v>
      </c>
      <c r="D16" s="156">
        <f>PyGRM!D43</f>
        <v>-23602</v>
      </c>
      <c r="E16" s="162">
        <f t="shared" si="1"/>
        <v>-1.9316611165169851E-4</v>
      </c>
      <c r="F16" s="171">
        <f t="shared" si="0"/>
        <v>-0.37530717735785102</v>
      </c>
      <c r="J16"/>
      <c r="K16"/>
      <c r="L16"/>
      <c r="M16"/>
    </row>
    <row r="17" spans="1:13" s="6" customFormat="1" ht="20.100000000000001" customHeight="1" x14ac:dyDescent="0.3">
      <c r="A17" s="169" t="s">
        <v>99</v>
      </c>
      <c r="B17" s="146">
        <f>PyGRM!B47</f>
        <v>-2810</v>
      </c>
      <c r="C17" s="154">
        <f>B17/B$6</f>
        <v>-2.1762092927854169E-5</v>
      </c>
      <c r="D17" s="156">
        <f>PyGRM!D47</f>
        <v>-22272</v>
      </c>
      <c r="E17" s="162">
        <f>D17/D$6</f>
        <v>-1.8228097782843102E-4</v>
      </c>
      <c r="F17" s="171">
        <f t="shared" si="0"/>
        <v>-0.87383261494252873</v>
      </c>
      <c r="J17"/>
      <c r="K17"/>
      <c r="L17"/>
      <c r="M17"/>
    </row>
    <row r="18" spans="1:13" s="6" customFormat="1" ht="20.100000000000001" customHeight="1" x14ac:dyDescent="0.3">
      <c r="A18" s="167" t="s">
        <v>98</v>
      </c>
      <c r="B18" s="146">
        <f>PyGRM!B50</f>
        <v>45583</v>
      </c>
      <c r="C18" s="153">
        <f t="shared" si="1"/>
        <v>3.5301832097166426E-4</v>
      </c>
      <c r="D18" s="156">
        <f>PyGRM!D50</f>
        <v>34269</v>
      </c>
      <c r="E18" s="163">
        <f t="shared" si="1"/>
        <v>2.8046815863876182E-4</v>
      </c>
      <c r="F18" s="170">
        <f t="shared" si="0"/>
        <v>0.3301526160669993</v>
      </c>
      <c r="J18"/>
      <c r="K18"/>
      <c r="L18"/>
      <c r="M18"/>
    </row>
    <row r="19" spans="1:13" s="6" customFormat="1" ht="20.100000000000001" customHeight="1" x14ac:dyDescent="0.3">
      <c r="A19" s="166" t="s">
        <v>110</v>
      </c>
      <c r="B19" s="148">
        <f>SUM(B14:B18)</f>
        <v>15904993</v>
      </c>
      <c r="C19" s="149">
        <f t="shared" si="1"/>
        <v>0.12317648956685769</v>
      </c>
      <c r="D19" s="159">
        <f>SUM(D14:D18)</f>
        <v>16111424</v>
      </c>
      <c r="E19" s="160">
        <f t="shared" si="1"/>
        <v>0.13186090701007774</v>
      </c>
      <c r="F19" s="173">
        <f t="shared" si="0"/>
        <v>-1.28127097890292E-2</v>
      </c>
      <c r="J19"/>
      <c r="K19"/>
      <c r="L19"/>
      <c r="M19"/>
    </row>
    <row r="20" spans="1:13" s="6" customFormat="1" ht="20.100000000000001" customHeight="1" x14ac:dyDescent="0.3">
      <c r="A20" s="169" t="s">
        <v>100</v>
      </c>
      <c r="B20" s="146">
        <f>PyGRM!B27</f>
        <v>28509</v>
      </c>
      <c r="C20" s="153">
        <f t="shared" si="1"/>
        <v>2.2078843675451762E-4</v>
      </c>
      <c r="D20" s="156">
        <f>PyGRM!D27</f>
        <v>28509</v>
      </c>
      <c r="E20" s="163">
        <f t="shared" si="1"/>
        <v>2.3332652644175378E-4</v>
      </c>
      <c r="F20" s="170">
        <f t="shared" si="0"/>
        <v>0</v>
      </c>
      <c r="J20"/>
      <c r="K20"/>
      <c r="L20"/>
      <c r="M20"/>
    </row>
    <row r="21" spans="1:13" s="6" customFormat="1" ht="20.100000000000001" hidden="1" customHeight="1" x14ac:dyDescent="0.3">
      <c r="A21" s="169" t="s">
        <v>101</v>
      </c>
      <c r="B21" s="146"/>
      <c r="C21" s="153">
        <f t="shared" si="1"/>
        <v>0</v>
      </c>
      <c r="D21" s="156"/>
      <c r="E21" s="163">
        <f t="shared" si="1"/>
        <v>0</v>
      </c>
      <c r="F21" s="170"/>
      <c r="J21"/>
      <c r="K21"/>
      <c r="L21"/>
      <c r="M21"/>
    </row>
    <row r="22" spans="1:13" s="6" customFormat="1" ht="20.100000000000001" customHeight="1" x14ac:dyDescent="0.3">
      <c r="A22" s="169" t="s">
        <v>102</v>
      </c>
      <c r="B22" s="146">
        <f>PyGRM!B29</f>
        <v>-61703</v>
      </c>
      <c r="C22" s="152">
        <f t="shared" si="1"/>
        <v>-4.7785993591721918E-4</v>
      </c>
      <c r="D22" s="156">
        <f>PyGRM!D29</f>
        <v>-20224</v>
      </c>
      <c r="E22" s="162">
        <f t="shared" si="1"/>
        <v>-1.6551950860282816E-4</v>
      </c>
      <c r="F22" s="170">
        <f>(B22-D22)/D22</f>
        <v>2.0509790348101267</v>
      </c>
      <c r="J22"/>
      <c r="K22"/>
      <c r="L22"/>
      <c r="M22"/>
    </row>
    <row r="23" spans="1:13" s="6" customFormat="1" ht="20.100000000000001" hidden="1" customHeight="1" x14ac:dyDescent="0.3">
      <c r="A23" s="169" t="s">
        <v>103</v>
      </c>
      <c r="B23" s="146"/>
      <c r="C23" s="155">
        <f t="shared" si="1"/>
        <v>0</v>
      </c>
      <c r="D23" s="156"/>
      <c r="E23" s="163">
        <f t="shared" si="1"/>
        <v>0</v>
      </c>
      <c r="F23" s="170"/>
      <c r="J23"/>
      <c r="K23"/>
      <c r="L23"/>
      <c r="M23"/>
    </row>
    <row r="24" spans="1:13" s="6" customFormat="1" ht="20.100000000000001" customHeight="1" x14ac:dyDescent="0.3">
      <c r="A24" s="169" t="s">
        <v>104</v>
      </c>
      <c r="B24" s="146">
        <f>PyGRM!B33</f>
        <v>-198646</v>
      </c>
      <c r="C24" s="151">
        <f t="shared" si="1"/>
        <v>-1.5384173351411102E-3</v>
      </c>
      <c r="D24" s="156">
        <f>PyGRM!D33</f>
        <v>31559</v>
      </c>
      <c r="E24" s="163">
        <f t="shared" si="1"/>
        <v>2.5828867543496113E-4</v>
      </c>
      <c r="F24" s="171">
        <f>(B24-D24)/D24</f>
        <v>-7.2944326499572227</v>
      </c>
      <c r="J24"/>
      <c r="K24"/>
      <c r="L24"/>
      <c r="M24"/>
    </row>
    <row r="25" spans="1:13" s="6" customFormat="1" ht="20.100000000000001" customHeight="1" x14ac:dyDescent="0.3">
      <c r="A25" s="166" t="s">
        <v>111</v>
      </c>
      <c r="B25" s="148">
        <f>SUM(B19:B24)</f>
        <v>15673153</v>
      </c>
      <c r="C25" s="149">
        <f t="shared" si="1"/>
        <v>0.12138100073255387</v>
      </c>
      <c r="D25" s="159">
        <f>SUM(D19:D24)</f>
        <v>16151268</v>
      </c>
      <c r="E25" s="160">
        <f t="shared" si="1"/>
        <v>0.13218700270335162</v>
      </c>
      <c r="F25" s="173">
        <f>(B25-D25)/D25</f>
        <v>-2.9602319768330262E-2</v>
      </c>
      <c r="J25"/>
      <c r="K25"/>
      <c r="L25"/>
      <c r="M25"/>
    </row>
    <row r="26" spans="1:13" s="6" customFormat="1" ht="20.100000000000001" customHeight="1" x14ac:dyDescent="0.3">
      <c r="A26" s="167" t="s">
        <v>105</v>
      </c>
      <c r="B26" s="146">
        <f>PyGRM!B56</f>
        <v>-3814422</v>
      </c>
      <c r="C26" s="151">
        <f t="shared" si="1"/>
        <v>-2.9540856238452443E-2</v>
      </c>
      <c r="D26" s="156">
        <f>PyGRM!D56</f>
        <v>-3965867</v>
      </c>
      <c r="E26" s="158">
        <f t="shared" si="1"/>
        <v>-3.2457889488932572E-2</v>
      </c>
      <c r="F26" s="171">
        <f>(B26-D26)/D26</f>
        <v>-3.8187110157753654E-2</v>
      </c>
      <c r="J26"/>
      <c r="K26"/>
      <c r="L26"/>
      <c r="M26"/>
    </row>
    <row r="27" spans="1:13" s="6" customFormat="1" ht="20.100000000000001" hidden="1" customHeight="1" x14ac:dyDescent="0.3">
      <c r="A27" s="166" t="s">
        <v>112</v>
      </c>
      <c r="B27" s="148">
        <f>B25+B26</f>
        <v>11858731</v>
      </c>
      <c r="C27" s="149">
        <f t="shared" si="1"/>
        <v>9.1840144494101425E-2</v>
      </c>
      <c r="D27" s="159">
        <f>D25+D26</f>
        <v>12185401</v>
      </c>
      <c r="E27" s="160">
        <f t="shared" si="1"/>
        <v>9.972911321441906E-2</v>
      </c>
      <c r="F27" s="173">
        <f>(B27-D27)/D27</f>
        <v>-2.680830938596112E-2</v>
      </c>
      <c r="J27"/>
      <c r="K27"/>
      <c r="L27"/>
      <c r="M27"/>
    </row>
    <row r="28" spans="1:13" s="6" customFormat="1" ht="20.100000000000001" hidden="1" customHeight="1" x14ac:dyDescent="0.3">
      <c r="A28" s="165" t="s">
        <v>106</v>
      </c>
      <c r="B28" s="146">
        <f>PyGRM!B58</f>
        <v>0</v>
      </c>
      <c r="C28" s="147">
        <f t="shared" si="1"/>
        <v>0</v>
      </c>
      <c r="D28" s="156">
        <f>PyGRM!D58</f>
        <v>0</v>
      </c>
      <c r="E28" s="157">
        <f t="shared" si="1"/>
        <v>0</v>
      </c>
      <c r="F28" s="170">
        <v>0</v>
      </c>
      <c r="J28"/>
      <c r="K28"/>
      <c r="L28"/>
      <c r="M28"/>
    </row>
    <row r="29" spans="1:13" s="6" customFormat="1" ht="20.100000000000001" customHeight="1" x14ac:dyDescent="0.3">
      <c r="A29" s="166" t="s">
        <v>113</v>
      </c>
      <c r="B29" s="148">
        <f>B27+B28</f>
        <v>11858731</v>
      </c>
      <c r="C29" s="149">
        <f t="shared" si="1"/>
        <v>9.1840144494101425E-2</v>
      </c>
      <c r="D29" s="159">
        <f>D27+D28</f>
        <v>12185401</v>
      </c>
      <c r="E29" s="160">
        <f t="shared" si="1"/>
        <v>9.972911321441906E-2</v>
      </c>
      <c r="F29" s="173">
        <f>(B29-D29)/D29</f>
        <v>-2.680830938596112E-2</v>
      </c>
      <c r="G29"/>
      <c r="H29"/>
      <c r="I29"/>
      <c r="J29"/>
      <c r="K29"/>
      <c r="L29"/>
      <c r="M29"/>
    </row>
    <row r="30" spans="1:13" x14ac:dyDescent="0.3">
      <c r="A30" s="1"/>
      <c r="B30" s="16"/>
      <c r="C30" s="16"/>
      <c r="D30" s="16"/>
      <c r="E30" s="8"/>
      <c r="F30" s="8"/>
    </row>
    <row r="32" spans="1:13" x14ac:dyDescent="0.3">
      <c r="B32" s="71"/>
      <c r="D32" s="71"/>
    </row>
  </sheetData>
  <mergeCells count="1">
    <mergeCell ref="G13:I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/>
  <ignoredErrors>
    <ignoredError sqref="E6 E9 E11 E14 E19 E25 E27 E29 C6:C29 D6 D9 D11 D14 D19 D25 D27:D2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53"/>
  <sheetViews>
    <sheetView zoomScale="70" zoomScaleNormal="70" workbookViewId="0">
      <selection activeCell="I51" sqref="I51"/>
    </sheetView>
  </sheetViews>
  <sheetFormatPr baseColWidth="10" defaultColWidth="11.44140625" defaultRowHeight="14.4" x14ac:dyDescent="0.3"/>
  <cols>
    <col min="1" max="1" width="9.77734375" customWidth="1"/>
    <col min="2" max="2" width="51" customWidth="1"/>
    <col min="3" max="3" width="17.44140625" customWidth="1"/>
    <col min="4" max="4" width="12.44140625" hidden="1" customWidth="1"/>
    <col min="5" max="5" width="15.5546875" customWidth="1"/>
    <col min="6" max="6" width="11.44140625" hidden="1" customWidth="1"/>
    <col min="7" max="7" width="23.33203125" customWidth="1"/>
    <col min="8" max="8" width="56.44140625" customWidth="1"/>
    <col min="9" max="9" width="116.33203125" customWidth="1"/>
  </cols>
  <sheetData>
    <row r="1" spans="1:13" ht="30" customHeight="1" x14ac:dyDescent="0.3">
      <c r="A1" s="69"/>
      <c r="B1" s="70" t="str">
        <f>BalanceRM!A2</f>
        <v xml:space="preserve">CHOCOLATES VALOR, S.A. </v>
      </c>
      <c r="C1" s="70"/>
      <c r="D1" s="70"/>
      <c r="E1" s="70"/>
    </row>
    <row r="2" spans="1:13" ht="30" customHeight="1" thickBot="1" x14ac:dyDescent="0.35">
      <c r="A2" s="69"/>
      <c r="B2" s="129" t="s">
        <v>123</v>
      </c>
      <c r="C2" s="130">
        <f>BalanceRM!B3</f>
        <v>43646</v>
      </c>
      <c r="D2" s="130"/>
      <c r="E2" s="130">
        <f>BalanceRM!D3</f>
        <v>43281</v>
      </c>
      <c r="F2" s="131"/>
      <c r="G2" s="132" t="s">
        <v>214</v>
      </c>
      <c r="H2" s="118" t="s">
        <v>275</v>
      </c>
      <c r="I2" s="118" t="s">
        <v>276</v>
      </c>
    </row>
    <row r="3" spans="1:13" ht="51" customHeight="1" thickBot="1" x14ac:dyDescent="0.35">
      <c r="A3" s="72">
        <v>1</v>
      </c>
      <c r="B3" s="175" t="s">
        <v>114</v>
      </c>
      <c r="C3" s="176">
        <f>-'PyG funcional'!B12/(BalanceRM!B15+BalanceRM!B15)</f>
        <v>0.11433506073543581</v>
      </c>
      <c r="D3" s="176"/>
      <c r="E3" s="176">
        <f>-'PyG funcional'!D12/(BalanceRM!D15+BalanceRM!D16)</f>
        <v>0.20545259995401829</v>
      </c>
      <c r="F3" s="134"/>
      <c r="G3" s="177">
        <f t="shared" ref="G3:G10" si="0">(C3-E3)/E3</f>
        <v>-0.44349664710485637</v>
      </c>
      <c r="H3" s="119" t="s">
        <v>277</v>
      </c>
      <c r="I3" s="178"/>
      <c r="J3" s="240" t="s">
        <v>290</v>
      </c>
      <c r="K3" s="241"/>
      <c r="L3" s="242"/>
    </row>
    <row r="4" spans="1:13" ht="55.2" customHeight="1" x14ac:dyDescent="0.3">
      <c r="A4" s="72">
        <v>2</v>
      </c>
      <c r="B4" s="140" t="s">
        <v>115</v>
      </c>
      <c r="C4" s="135">
        <f>(BalanceRM!B98+BalanceRM!B115)/BalanceRM!B74</f>
        <v>0.2516326262663523</v>
      </c>
      <c r="D4" s="135"/>
      <c r="E4" s="135">
        <f>(BalanceRM!D98+BalanceRM!D115)/BalanceRM!D74</f>
        <v>0.24282214646574862</v>
      </c>
      <c r="F4" s="134"/>
      <c r="G4" s="177">
        <f t="shared" si="0"/>
        <v>3.6283674816483195E-2</v>
      </c>
      <c r="H4" s="119" t="s">
        <v>291</v>
      </c>
      <c r="I4" s="120"/>
    </row>
    <row r="5" spans="1:13" ht="30" customHeight="1" x14ac:dyDescent="0.3">
      <c r="A5" s="72">
        <v>3</v>
      </c>
      <c r="B5" s="140" t="s">
        <v>116</v>
      </c>
      <c r="C5" s="135">
        <f>BalanceRM!B98/BalanceRM!B115</f>
        <v>0.11354523443373243</v>
      </c>
      <c r="D5" s="135"/>
      <c r="E5" s="135">
        <f>BalanceRM!D98/BalanceRM!D115</f>
        <v>0.11710475333720294</v>
      </c>
      <c r="F5" s="134"/>
      <c r="G5" s="177">
        <f t="shared" si="0"/>
        <v>-3.0396024089823885E-2</v>
      </c>
      <c r="H5" s="119" t="s">
        <v>292</v>
      </c>
      <c r="I5" s="120"/>
    </row>
    <row r="6" spans="1:13" ht="30" customHeight="1" x14ac:dyDescent="0.3">
      <c r="A6" s="72">
        <v>4</v>
      </c>
      <c r="B6" s="140" t="s">
        <v>117</v>
      </c>
      <c r="C6" s="135">
        <f>BalanceRM!B71/(BalanceRM!B98+BalanceRM!B115)</f>
        <v>4.9740474629132683</v>
      </c>
      <c r="D6" s="135"/>
      <c r="E6" s="135">
        <f>BalanceRM!D71/(BalanceRM!D98+BalanceRM!D115)</f>
        <v>5.1182405087628835</v>
      </c>
      <c r="F6" s="134"/>
      <c r="G6" s="177">
        <f t="shared" si="0"/>
        <v>-2.8172385725669574E-2</v>
      </c>
      <c r="H6" s="119" t="s">
        <v>278</v>
      </c>
      <c r="I6" s="120"/>
    </row>
    <row r="7" spans="1:13" ht="30" customHeight="1" x14ac:dyDescent="0.3">
      <c r="A7" s="72">
        <v>5</v>
      </c>
      <c r="B7" s="140" t="s">
        <v>118</v>
      </c>
      <c r="C7" s="135">
        <f>BalanceRM!B36/BalanceRM!B115</f>
        <v>4.1083807394206895</v>
      </c>
      <c r="D7" s="135"/>
      <c r="E7" s="135">
        <f>BalanceRM!D36/BalanceRM!D115</f>
        <v>4.2382762008797439</v>
      </c>
      <c r="F7" s="134"/>
      <c r="G7" s="177">
        <f t="shared" si="0"/>
        <v>-3.0648182256760862E-2</v>
      </c>
      <c r="H7" s="119" t="s">
        <v>279</v>
      </c>
      <c r="I7" s="120"/>
    </row>
    <row r="8" spans="1:13" ht="48" customHeight="1" x14ac:dyDescent="0.3">
      <c r="A8" s="72">
        <v>6</v>
      </c>
      <c r="B8" s="140" t="s">
        <v>119</v>
      </c>
      <c r="C8" s="136">
        <f>BalanceRM!B36-BalanceRM!B115</f>
        <v>52498552</v>
      </c>
      <c r="D8" s="136"/>
      <c r="E8" s="136">
        <f>BalanceRM!D36-BalanceRM!D115</f>
        <v>49301625</v>
      </c>
      <c r="F8" s="134"/>
      <c r="G8" s="177">
        <f t="shared" si="0"/>
        <v>6.4844252091082188E-2</v>
      </c>
      <c r="H8" s="119" t="s">
        <v>280</v>
      </c>
      <c r="I8" s="119"/>
    </row>
    <row r="9" spans="1:13" ht="57.6" customHeight="1" x14ac:dyDescent="0.3">
      <c r="A9" s="72">
        <v>7</v>
      </c>
      <c r="B9" s="140" t="s">
        <v>120</v>
      </c>
      <c r="C9" s="136">
        <f>(BalanceRM!B45+BalanceRM!B38)-(BalanceRM!B125)</f>
        <v>21062761</v>
      </c>
      <c r="D9" s="136">
        <f>(BalanceRM!C45+BalanceRM!C38)-(BalanceRM!C125)</f>
        <v>0.22515645146241856</v>
      </c>
      <c r="E9" s="136">
        <f>(BalanceRM!D45+BalanceRM!D38)-(BalanceRM!D125)</f>
        <v>17526448</v>
      </c>
      <c r="F9" s="134"/>
      <c r="G9" s="177">
        <f t="shared" si="0"/>
        <v>0.20177009055114875</v>
      </c>
      <c r="H9" s="119" t="s">
        <v>281</v>
      </c>
      <c r="I9" s="119"/>
    </row>
    <row r="10" spans="1:13" ht="63.6" customHeight="1" thickBot="1" x14ac:dyDescent="0.35">
      <c r="A10" s="72">
        <v>8</v>
      </c>
      <c r="B10" s="140" t="s">
        <v>121</v>
      </c>
      <c r="C10" s="136">
        <f>C8-C9</f>
        <v>31435791</v>
      </c>
      <c r="D10" s="136"/>
      <c r="E10" s="136">
        <f>E8-E9</f>
        <v>31775177</v>
      </c>
      <c r="F10" s="134"/>
      <c r="G10" s="177">
        <f t="shared" si="0"/>
        <v>-1.0680853170385172E-2</v>
      </c>
      <c r="H10" s="119" t="s">
        <v>282</v>
      </c>
      <c r="I10" s="119"/>
    </row>
    <row r="11" spans="1:13" ht="49.8" customHeight="1" thickBot="1" x14ac:dyDescent="0.35">
      <c r="A11" s="72">
        <v>9</v>
      </c>
      <c r="B11" s="179" t="s">
        <v>232</v>
      </c>
      <c r="C11" s="180"/>
      <c r="D11" s="180"/>
      <c r="E11" s="180"/>
      <c r="F11" s="181"/>
      <c r="G11" s="182"/>
      <c r="H11" s="119"/>
      <c r="I11" s="178"/>
      <c r="J11" s="240" t="s">
        <v>296</v>
      </c>
      <c r="K11" s="241"/>
      <c r="L11" s="241"/>
      <c r="M11" s="242"/>
    </row>
    <row r="12" spans="1:13" ht="46.8" customHeight="1" x14ac:dyDescent="0.3">
      <c r="A12" s="72">
        <v>10</v>
      </c>
      <c r="B12" s="179" t="s">
        <v>240</v>
      </c>
      <c r="C12" s="180"/>
      <c r="D12" s="180"/>
      <c r="E12" s="180"/>
      <c r="F12" s="181"/>
      <c r="G12" s="182"/>
      <c r="H12" s="119"/>
      <c r="I12" s="121"/>
    </row>
    <row r="13" spans="1:13" ht="42" customHeight="1" x14ac:dyDescent="0.3">
      <c r="A13" s="72">
        <v>11</v>
      </c>
      <c r="B13" s="179" t="s">
        <v>241</v>
      </c>
      <c r="C13" s="180"/>
      <c r="D13" s="180"/>
      <c r="E13" s="180"/>
      <c r="F13" s="181"/>
      <c r="G13" s="182"/>
      <c r="H13" s="122"/>
      <c r="I13" s="120" t="s">
        <v>283</v>
      </c>
    </row>
    <row r="14" spans="1:13" ht="67.8" customHeight="1" x14ac:dyDescent="0.3">
      <c r="A14" s="72">
        <v>12</v>
      </c>
      <c r="B14" s="142" t="s">
        <v>238</v>
      </c>
      <c r="C14" s="137">
        <f>PyGRM!E57</f>
        <v>19269229</v>
      </c>
      <c r="D14" s="137">
        <f>PyGRM!F57</f>
        <v>19118134</v>
      </c>
      <c r="E14" s="137">
        <f>PyGRM!F57</f>
        <v>19118134</v>
      </c>
      <c r="F14" s="134"/>
      <c r="G14" s="177">
        <f t="shared" ref="G14:G33" si="1">(C14-E14)/E14</f>
        <v>7.9032294678968145E-3</v>
      </c>
      <c r="H14" s="119" t="s">
        <v>284</v>
      </c>
      <c r="I14" s="120"/>
    </row>
    <row r="15" spans="1:13" ht="57.6" customHeight="1" x14ac:dyDescent="0.3">
      <c r="A15" s="72">
        <v>13</v>
      </c>
      <c r="B15" s="142" t="s">
        <v>239</v>
      </c>
      <c r="C15" s="137">
        <f>PyGRM!E58</f>
        <v>15244663</v>
      </c>
      <c r="D15" s="137"/>
      <c r="E15" s="137">
        <f>PyGRM!F58</f>
        <v>15169033</v>
      </c>
      <c r="F15" s="134"/>
      <c r="G15" s="177">
        <f t="shared" si="1"/>
        <v>4.9858155097955159E-3</v>
      </c>
      <c r="H15" s="119" t="s">
        <v>285</v>
      </c>
      <c r="I15" s="119"/>
    </row>
    <row r="16" spans="1:13" ht="51" customHeight="1" x14ac:dyDescent="0.3">
      <c r="A16" s="72">
        <v>14</v>
      </c>
      <c r="B16" s="141" t="s">
        <v>242</v>
      </c>
      <c r="C16" s="137">
        <f>C15-(C9-E9)</f>
        <v>11708350</v>
      </c>
      <c r="D16" s="137"/>
      <c r="E16" s="138" t="s">
        <v>304</v>
      </c>
      <c r="F16" s="134"/>
      <c r="G16" s="177"/>
      <c r="H16" s="119" t="s">
        <v>286</v>
      </c>
      <c r="I16" s="119"/>
    </row>
    <row r="17" spans="1:9" ht="61.2" customHeight="1" x14ac:dyDescent="0.3">
      <c r="A17" s="72">
        <v>15</v>
      </c>
      <c r="B17" s="141" t="s">
        <v>235</v>
      </c>
      <c r="C17" s="139">
        <f>C14/(BalanceRM!B118+BalanceRM!B124)</f>
        <v>5.7165116788230224</v>
      </c>
      <c r="D17" s="139">
        <f>D14/(BalanceRM!C118+BalanceRM!C124)</f>
        <v>530570577.49461877</v>
      </c>
      <c r="E17" s="139">
        <f>E14/(BalanceRM!D118+BalanceRM!D124)</f>
        <v>8.6396915076015919</v>
      </c>
      <c r="F17" s="134"/>
      <c r="G17" s="177">
        <f t="shared" si="1"/>
        <v>-0.33834307928779905</v>
      </c>
      <c r="H17" s="119" t="s">
        <v>305</v>
      </c>
      <c r="I17" s="119"/>
    </row>
    <row r="18" spans="1:9" ht="53.4" customHeight="1" x14ac:dyDescent="0.3">
      <c r="A18" s="72">
        <v>16</v>
      </c>
      <c r="B18" s="141" t="s">
        <v>236</v>
      </c>
      <c r="C18" s="139">
        <f>C15/(BalanceRM!B118+BalanceRM!B124)</f>
        <v>4.5225625830292016</v>
      </c>
      <c r="D18" s="139">
        <f>D15/(BalanceRM!C118+BalanceRM!C124)</f>
        <v>0</v>
      </c>
      <c r="E18" s="139">
        <f>E15/(BalanceRM!D118+BalanceRM!D124)</f>
        <v>6.8550500581609217</v>
      </c>
      <c r="F18" s="134"/>
      <c r="G18" s="177">
        <f t="shared" si="1"/>
        <v>-0.34025827023026611</v>
      </c>
      <c r="H18" s="119"/>
      <c r="I18" s="119"/>
    </row>
    <row r="19" spans="1:9" ht="48" customHeight="1" x14ac:dyDescent="0.3">
      <c r="A19" s="72">
        <v>17</v>
      </c>
      <c r="B19" s="141" t="s">
        <v>237</v>
      </c>
      <c r="C19" s="139">
        <f>C16/(BalanceRM!B118+BalanceRM!B124)</f>
        <v>3.4734612119014998</v>
      </c>
      <c r="D19" s="139"/>
      <c r="E19" s="139" t="s">
        <v>304</v>
      </c>
      <c r="F19" s="134"/>
      <c r="G19" s="177"/>
      <c r="H19" s="119"/>
      <c r="I19" s="119"/>
    </row>
    <row r="20" spans="1:9" ht="65.400000000000006" customHeight="1" x14ac:dyDescent="0.3">
      <c r="A20" s="72">
        <v>18</v>
      </c>
      <c r="B20" s="141" t="s">
        <v>220</v>
      </c>
      <c r="C20" s="139">
        <f>C14/(BalanceRM!B104+BalanceRM!B118+BalanceRM!B124)</f>
        <v>4.116006608943434</v>
      </c>
      <c r="D20" s="139">
        <f>D14/(BalanceRM!C104+BalanceRM!C118+BalanceRM!C124)</f>
        <v>382021786.39271438</v>
      </c>
      <c r="E20" s="139">
        <f>E14/(BalanceRM!D104+BalanceRM!D118+BalanceRM!D124)</f>
        <v>5.4553287099285264</v>
      </c>
      <c r="F20" s="134"/>
      <c r="G20" s="177">
        <f t="shared" si="1"/>
        <v>-0.24550713113722522</v>
      </c>
      <c r="H20" s="119"/>
      <c r="I20" s="119"/>
    </row>
    <row r="21" spans="1:9" ht="61.8" customHeight="1" x14ac:dyDescent="0.3">
      <c r="A21" s="72">
        <v>19</v>
      </c>
      <c r="B21" s="141" t="s">
        <v>221</v>
      </c>
      <c r="C21" s="139">
        <f>C15/(BalanceRM!B104+BalanceRM!B118+BalanceRM!B124)</f>
        <v>3.2563385727117282</v>
      </c>
      <c r="D21" s="139">
        <f>D15/(BalanceRM!C104+BalanceRM!C118+BalanceRM!C124)</f>
        <v>0</v>
      </c>
      <c r="E21" s="139">
        <f>E15/(BalanceRM!D104+BalanceRM!D118+BalanceRM!D124)</f>
        <v>4.3284591072932761</v>
      </c>
      <c r="F21" s="134"/>
      <c r="G21" s="177">
        <f t="shared" si="1"/>
        <v>-0.24769103923728164</v>
      </c>
      <c r="H21" s="119"/>
      <c r="I21" s="119"/>
    </row>
    <row r="22" spans="1:9" ht="52.8" customHeight="1" x14ac:dyDescent="0.3">
      <c r="A22" s="72">
        <v>20</v>
      </c>
      <c r="B22" s="141" t="s">
        <v>222</v>
      </c>
      <c r="C22" s="135">
        <f>C16/(BalanceRM!B104+BalanceRM!B118+BalanceRM!B124)</f>
        <v>2.500963893252961</v>
      </c>
      <c r="D22" s="135"/>
      <c r="E22" s="135" t="s">
        <v>304</v>
      </c>
      <c r="F22" s="134"/>
      <c r="G22" s="177"/>
      <c r="H22" s="123"/>
      <c r="I22" s="121"/>
    </row>
    <row r="23" spans="1:9" ht="49.2" customHeight="1" x14ac:dyDescent="0.3">
      <c r="A23" s="72">
        <v>21</v>
      </c>
      <c r="B23" s="142" t="s">
        <v>233</v>
      </c>
      <c r="C23" s="220">
        <f>1/C15*360</f>
        <v>2.3614821790419373E-5</v>
      </c>
      <c r="D23" s="220" t="e">
        <f t="shared" ref="D23:E23" si="2">1/D15*360</f>
        <v>#DIV/0!</v>
      </c>
      <c r="E23" s="220">
        <f t="shared" si="2"/>
        <v>2.3732560935163105E-5</v>
      </c>
      <c r="F23" s="134"/>
      <c r="G23" s="177">
        <f t="shared" si="1"/>
        <v>-4.9610804778040044E-3</v>
      </c>
      <c r="H23" s="123"/>
      <c r="I23" s="121"/>
    </row>
    <row r="24" spans="1:9" ht="54" customHeight="1" x14ac:dyDescent="0.3">
      <c r="A24" s="72">
        <v>22</v>
      </c>
      <c r="B24" s="141" t="s">
        <v>234</v>
      </c>
      <c r="C24" s="221">
        <f>1/C16*360</f>
        <v>3.074728719247375E-5</v>
      </c>
      <c r="D24" s="221" t="e">
        <f t="shared" ref="D24:F24" si="3">1/D16*360</f>
        <v>#DIV/0!</v>
      </c>
      <c r="E24" s="221" t="s">
        <v>304</v>
      </c>
      <c r="F24" s="221" t="e">
        <f t="shared" si="3"/>
        <v>#DIV/0!</v>
      </c>
      <c r="G24" s="177"/>
      <c r="H24" s="123"/>
      <c r="I24" s="121"/>
    </row>
    <row r="25" spans="1:9" ht="25.05" customHeight="1" x14ac:dyDescent="0.3">
      <c r="A25" s="69"/>
      <c r="B25" s="183"/>
      <c r="C25" s="183"/>
      <c r="D25" s="183"/>
      <c r="E25" s="183"/>
      <c r="F25" s="184"/>
      <c r="G25" s="183"/>
      <c r="H25" s="185"/>
      <c r="I25" s="186"/>
    </row>
    <row r="26" spans="1:9" ht="62.4" customHeight="1" x14ac:dyDescent="0.3">
      <c r="A26" s="72">
        <v>23</v>
      </c>
      <c r="B26" s="211" t="s">
        <v>124</v>
      </c>
      <c r="C26" s="213">
        <f>BalanceRM!B40/-PyGRM!B10*360</f>
        <v>31.022341488112911</v>
      </c>
      <c r="D26" s="213" t="e">
        <f>BalanceRM!C40/-PyGRM!C10*360</f>
        <v>#DIV/0!</v>
      </c>
      <c r="E26" s="213">
        <f>BalanceRM!D40/-PyGRM!D10*360</f>
        <v>22.738083843284635</v>
      </c>
      <c r="F26" s="214"/>
      <c r="G26" s="147">
        <f t="shared" si="1"/>
        <v>0.36433402664556153</v>
      </c>
      <c r="H26" s="123"/>
      <c r="I26" s="123"/>
    </row>
    <row r="27" spans="1:9" ht="62.4" customHeight="1" x14ac:dyDescent="0.3">
      <c r="A27" s="72">
        <v>24</v>
      </c>
      <c r="B27" s="211" t="s">
        <v>125</v>
      </c>
      <c r="C27" s="213">
        <f>BalanceRM!B41/((-PyGRM!B10)+(-PyGRM!B11)+(-PyGRM!B17)+(-PyGRM!B18)+(-PyGRM!B21)+(PyGRM!B24)+(PyGRM!B25)+(-PyGRM!B26)-(BalanceRM!B41-BalanceRM!D41))*360</f>
        <v>4.3811657653752949</v>
      </c>
      <c r="D27" s="213">
        <f>BalanceRM!C41/((-PyGRM!C10)+(-PyGRM!C11)+(-PyGRM!C17)+(-PyGRM!C18)+(-PyGRM!C21)+(PyGRM!C24)+(PyGRM!C25)+(-PyGRM!C26)-(BalanceRM!C41-BalanceRM!E41))*360</f>
        <v>-2402.882424257501</v>
      </c>
      <c r="E27" s="213">
        <f>BalanceRM!D41/((-PyGRM!D10)+(-PyGRM!D11)+(-PyGRM!D17)+(-PyGRM!D18)+(-PyGRM!D21)+(PyGRM!D24)+(PyGRM!D25)+(-PyGRM!D26)-(0))*360</f>
        <v>3.7018767288066892</v>
      </c>
      <c r="F27" s="214"/>
      <c r="G27" s="147">
        <f t="shared" si="1"/>
        <v>0.18349855663280731</v>
      </c>
      <c r="H27" s="126"/>
      <c r="I27" s="127"/>
    </row>
    <row r="28" spans="1:9" ht="62.4" customHeight="1" x14ac:dyDescent="0.3">
      <c r="A28" s="72"/>
      <c r="B28" s="222" t="s">
        <v>306</v>
      </c>
      <c r="C28" s="224">
        <f>((-PyGRM!B10)+(-PyGRM!B11)+(-PyGRM!B17)+(-PyGRM!B18)+(-PyGRM!B21)+(-PyGRM!B24)+(-PyGRM!B25)+(-PyGRM!B26)-(BalanceRM!B41-BalanceRM!D41))</f>
        <v>102472781</v>
      </c>
      <c r="D28" s="224">
        <f>((-PyGRM!C10)+(-PyGRM!C11)+(-PyGRM!C17)+(-PyGRM!C18)+(-PyGRM!C21)+(-PyGRM!C24)+(-PyGRM!C25)+(-PyGRM!C26)-(BalanceRM!C41-BalanceRM!E41))</f>
        <v>-1.9972608211960841E-3</v>
      </c>
      <c r="E28" s="224">
        <f>((-PyGRM!D10)+(-PyGRM!D11)+(-PyGRM!D17)+(-PyGRM!D18)+(-PyGRM!D21)+(-PyGRM!D24)+(-PyGRM!D25)+(-PyGRM!D26)-(0))</f>
        <v>95944070</v>
      </c>
      <c r="F28" s="214"/>
      <c r="G28" s="147">
        <f t="shared" si="1"/>
        <v>6.8047050745293589E-2</v>
      </c>
      <c r="H28" s="126"/>
      <c r="I28" s="127"/>
    </row>
    <row r="29" spans="1:9" ht="62.4" customHeight="1" x14ac:dyDescent="0.3">
      <c r="A29" s="72">
        <v>25</v>
      </c>
      <c r="B29" s="211" t="s">
        <v>219</v>
      </c>
      <c r="C29" s="213">
        <f>(BalanceRM!B42+BalanceRM!B39)/('Indicadores '!C28-(BalanceRM!B42-BalanceRM!D42)+(-PyGRM!B9))*360</f>
        <v>21.233673804282692</v>
      </c>
      <c r="D29" s="213">
        <f>(BalanceRM!C42+BalanceRM!C39)/('Indicadores '!D28-(BalanceRM!C42-BalanceRM!E42)+(-PyGRM!C9))*360</f>
        <v>-1943.1767795290971</v>
      </c>
      <c r="E29" s="213">
        <f>(BalanceRM!D42+BalanceRM!D39)/('Indicadores '!E28-(0)+(-PyGRM!D9))*360</f>
        <v>17.392088965906623</v>
      </c>
      <c r="F29" s="214"/>
      <c r="G29" s="147">
        <f t="shared" si="1"/>
        <v>0.22088116303375938</v>
      </c>
      <c r="H29" s="126"/>
      <c r="I29" s="127"/>
    </row>
    <row r="30" spans="1:9" ht="62.4" customHeight="1" x14ac:dyDescent="0.3">
      <c r="A30" s="72">
        <v>26</v>
      </c>
      <c r="B30" s="211" t="s">
        <v>209</v>
      </c>
      <c r="C30" s="213">
        <f>BalanceRM!B42/('Indicadores '!C28-(BalanceRM!B42-BalanceRM!D42))*360</f>
        <v>22.927985895112634</v>
      </c>
      <c r="D30" s="213">
        <f>BalanceRM!C42/('Indicadores '!D28-(BalanceRM!C42-BalanceRM!E42))*360</f>
        <v>-1903.715265676025</v>
      </c>
      <c r="E30" s="213">
        <f>BalanceRM!D42/('Indicadores '!E28-(0))*360</f>
        <v>18.876722657273138</v>
      </c>
      <c r="F30" s="214"/>
      <c r="G30" s="147">
        <f t="shared" si="1"/>
        <v>0.21461687557710438</v>
      </c>
      <c r="H30" s="126"/>
      <c r="I30" s="127"/>
    </row>
    <row r="31" spans="1:9" ht="62.4" customHeight="1" x14ac:dyDescent="0.3">
      <c r="A31" s="72">
        <v>27</v>
      </c>
      <c r="B31" s="211" t="s">
        <v>210</v>
      </c>
      <c r="C31" s="213">
        <f>BalanceRM!B39/-PyGRM!B9*360</f>
        <v>4.6514387985168844</v>
      </c>
      <c r="D31" s="213" t="e">
        <f>BalanceRM!C39/-PyGRM!C9*360</f>
        <v>#DIV/0!</v>
      </c>
      <c r="E31" s="213">
        <f>BalanceRM!D39/-PyGRM!D9*360</f>
        <v>3.0964533742753666</v>
      </c>
      <c r="F31" s="214"/>
      <c r="G31" s="147">
        <f t="shared" si="1"/>
        <v>0.50218273498318577</v>
      </c>
      <c r="H31" s="126"/>
      <c r="I31" s="127"/>
    </row>
    <row r="32" spans="1:9" ht="62.4" customHeight="1" x14ac:dyDescent="0.3">
      <c r="A32" s="72">
        <v>28</v>
      </c>
      <c r="B32" s="211" t="s">
        <v>126</v>
      </c>
      <c r="C32" s="223">
        <f>(BalanceRM!B46+BalanceRM!B47-BalanceRM!B132)/(PyGRM!B3-((BalanceRM!B46+BalanceRM!B47-BalanceRM!B132)-(BalanceRM!D46+BalanceRM!D47-BalanceRM!D132)))*360</f>
        <v>63.115177528723812</v>
      </c>
      <c r="D32" s="213">
        <f>(BalanceRM!C46+BalanceRM!C47-BalanceRM!C132)/(PyGRM!C3-((BalanceRM!C46+BalanceRM!C47-BalanceRM!C132)-(BalanceRM!E46+BalanceRM!E47-BalanceRM!E132)))*360</f>
        <v>9990.0121264841237</v>
      </c>
      <c r="E32" s="213">
        <f>(BalanceRM!D46+BalanceRM!D47-BalanceRM!D132)/(PyGRM!D3-((0)-(0)))*360</f>
        <v>61.836278500160617</v>
      </c>
      <c r="F32" s="214"/>
      <c r="G32" s="147">
        <f t="shared" si="1"/>
        <v>2.0682018057730844E-2</v>
      </c>
      <c r="H32" s="126"/>
      <c r="I32" s="127"/>
    </row>
    <row r="33" spans="1:9" ht="62.4" customHeight="1" x14ac:dyDescent="0.3">
      <c r="A33" s="72">
        <v>29</v>
      </c>
      <c r="B33" s="211" t="s">
        <v>127</v>
      </c>
      <c r="C33" s="213">
        <f>(BalanceRM!B126+BalanceRM!B127-BalanceRM!B44)/((-PyGRM!B9)+(-PyGRM!B10)+(-PyGRM!B11)+(BalanceRM!B39-BalanceRM!D39)+(BalanceRM!B40-BalanceRM!D40)-((BalanceRM!B126+BalanceRM!B127-BalanceRM!B44)-(BalanceRM!D126+BalanceRM!D127-BalanceRM!D44)))*360</f>
        <v>36.333655904965823</v>
      </c>
      <c r="D33" s="213">
        <f>(BalanceRM!C126+BalanceRM!C127-BalanceRM!C44)/((-PyGRM!C9)+(-PyGRM!C10)+(-PyGRM!C11)-(BalanceRM!C39-BalanceRM!E39)-(BalanceRM!C40-BalanceRM!E40)-((BalanceRM!C126+BalanceRM!C127-BalanceRM!C44)-(BalanceRM!E126+BalanceRM!E127-BalanceRM!E44)))*360</f>
        <v>-1498.6332919234474</v>
      </c>
      <c r="E33" s="213">
        <f>(BalanceRM!D126+BalanceRM!D127-BalanceRM!D44)/((-PyGRM!D9)+(-PyGRM!D10)+(-PyGRM!D11)-(0)-(0)-(0))*360</f>
        <v>34.810462606536653</v>
      </c>
      <c r="F33" s="214"/>
      <c r="G33" s="147">
        <f t="shared" si="1"/>
        <v>4.3756766913610259E-2</v>
      </c>
      <c r="H33" s="126"/>
      <c r="I33" s="128"/>
    </row>
    <row r="34" spans="1:9" ht="62.4" customHeight="1" x14ac:dyDescent="0.3">
      <c r="A34" s="72">
        <v>30</v>
      </c>
      <c r="B34" s="212" t="s">
        <v>156</v>
      </c>
      <c r="C34" s="215"/>
      <c r="D34" s="215"/>
      <c r="E34" s="215"/>
      <c r="F34" s="214"/>
      <c r="G34" s="147"/>
      <c r="H34" s="123"/>
      <c r="I34" s="121"/>
    </row>
    <row r="35" spans="1:9" ht="43.8" customHeight="1" x14ac:dyDescent="0.3">
      <c r="A35" s="69"/>
      <c r="C35" s="24"/>
      <c r="D35" s="24"/>
      <c r="E35" s="24"/>
    </row>
    <row r="36" spans="1:9" ht="25.05" customHeight="1" x14ac:dyDescent="0.3">
      <c r="A36" s="69"/>
      <c r="B36" s="187" t="s">
        <v>128</v>
      </c>
      <c r="C36" s="188"/>
      <c r="D36" s="189"/>
      <c r="E36" s="188"/>
      <c r="F36" s="190"/>
      <c r="G36" s="188"/>
      <c r="H36" s="124"/>
      <c r="I36" s="125"/>
    </row>
    <row r="37" spans="1:9" ht="48.6" customHeight="1" x14ac:dyDescent="0.3">
      <c r="A37" s="72">
        <v>31</v>
      </c>
      <c r="B37" s="191" t="s">
        <v>223</v>
      </c>
      <c r="C37" s="231">
        <f>C38/C39</f>
        <v>0.17697885813183356</v>
      </c>
      <c r="D37" s="231">
        <f t="shared" ref="D37:E37" si="4">D38/D39</f>
        <v>0</v>
      </c>
      <c r="E37" s="231">
        <f t="shared" si="4"/>
        <v>0.19489509776098052</v>
      </c>
      <c r="F37" s="232"/>
      <c r="G37" s="38">
        <f>(C37-E37)/E37</f>
        <v>-9.1927605337305332E-2</v>
      </c>
      <c r="H37" s="126"/>
      <c r="I37" s="127"/>
    </row>
    <row r="38" spans="1:9" ht="44.4" customHeight="1" x14ac:dyDescent="0.3">
      <c r="A38" s="72">
        <v>32</v>
      </c>
      <c r="B38" s="193" t="s">
        <v>297</v>
      </c>
      <c r="C38" s="194">
        <f>'PyG funcional'!B14</f>
        <v>15873718</v>
      </c>
      <c r="D38" s="194"/>
      <c r="E38" s="194">
        <f>'PyG funcional'!D14</f>
        <v>16114220</v>
      </c>
      <c r="F38" s="194"/>
      <c r="G38" s="192">
        <f>(C38-E38)/E38</f>
        <v>-1.4924830367216037E-2</v>
      </c>
      <c r="H38" s="126"/>
      <c r="I38" s="127"/>
    </row>
    <row r="39" spans="1:9" ht="55.2" customHeight="1" x14ac:dyDescent="0.3">
      <c r="A39" s="72">
        <v>33</v>
      </c>
      <c r="B39" s="193" t="s">
        <v>298</v>
      </c>
      <c r="C39" s="194">
        <f>(BalanceRM!B5+BalanceRM!B13+BalanceRM!B34+BalanceRM!B38+BalanceRM!B45+BalanceRM!B68)</f>
        <v>89692736</v>
      </c>
      <c r="D39" s="194">
        <f>(BalanceRM!C5+BalanceRM!C13+BalanceRM!C34+BalanceRM!C38+BalanceRM!C45+BalanceRM!C68)</f>
        <v>0.95879634012442749</v>
      </c>
      <c r="E39" s="194">
        <f>(BalanceRM!D5+BalanceRM!D13+BalanceRM!D34+BalanceRM!D38+BalanceRM!D45+BalanceRM!D68)</f>
        <v>82681505</v>
      </c>
      <c r="F39" s="194"/>
      <c r="G39" s="192">
        <f>(C39-E39)/E39</f>
        <v>8.4798057316445796E-2</v>
      </c>
      <c r="H39" s="126"/>
      <c r="I39" s="127"/>
    </row>
    <row r="40" spans="1:9" ht="75" customHeight="1" x14ac:dyDescent="0.3">
      <c r="A40" s="72">
        <v>35</v>
      </c>
      <c r="B40" s="193" t="s">
        <v>299</v>
      </c>
      <c r="C40" s="194">
        <f>'PyG funcional'!B6</f>
        <v>129123610</v>
      </c>
      <c r="D40" s="194">
        <f>'PyG funcional'!C6</f>
        <v>1</v>
      </c>
      <c r="E40" s="194">
        <f>'PyG funcional'!D6</f>
        <v>122184993</v>
      </c>
      <c r="F40" s="194"/>
      <c r="G40" s="192">
        <f>(C40-E40)/E40</f>
        <v>5.6787800446164445E-2</v>
      </c>
      <c r="H40" s="126"/>
      <c r="I40" s="127"/>
    </row>
    <row r="41" spans="1:9" ht="72" customHeight="1" x14ac:dyDescent="0.3">
      <c r="A41" s="72">
        <v>36</v>
      </c>
      <c r="B41" s="195" t="s">
        <v>225</v>
      </c>
      <c r="C41" s="196">
        <f>C38/C40</f>
        <v>0.12293427979592578</v>
      </c>
      <c r="D41" s="196">
        <f t="shared" ref="D41:E41" si="5">D38/D40</f>
        <v>0</v>
      </c>
      <c r="E41" s="196">
        <f t="shared" si="5"/>
        <v>0.13188379034404005</v>
      </c>
      <c r="F41" s="196"/>
      <c r="G41" s="192">
        <f t="shared" ref="G41:G53" si="6">(C41-E41)/E41</f>
        <v>-6.7859063837701614E-2</v>
      </c>
      <c r="H41" s="126"/>
      <c r="I41" s="128"/>
    </row>
    <row r="42" spans="1:9" ht="65.400000000000006" customHeight="1" x14ac:dyDescent="0.3">
      <c r="A42" s="72">
        <v>37</v>
      </c>
      <c r="B42" s="195" t="s">
        <v>224</v>
      </c>
      <c r="C42" s="197">
        <f>C40/C39</f>
        <v>1.4396217102798603</v>
      </c>
      <c r="D42" s="197">
        <f t="shared" ref="D42:E42" si="7">D40/D39</f>
        <v>1.0429743608222632</v>
      </c>
      <c r="E42" s="197">
        <f t="shared" si="7"/>
        <v>1.4777790147869225</v>
      </c>
      <c r="F42" s="198"/>
      <c r="G42" s="192">
        <f t="shared" si="6"/>
        <v>-2.5820710759358049E-2</v>
      </c>
      <c r="H42" s="123"/>
      <c r="I42" s="121"/>
    </row>
    <row r="43" spans="1:9" ht="63.6" customHeight="1" x14ac:dyDescent="0.3">
      <c r="A43" s="72">
        <v>38</v>
      </c>
      <c r="B43" s="199" t="s">
        <v>226</v>
      </c>
      <c r="C43" s="200">
        <f>C45/BalanceRM!B71</f>
        <v>0.16835988633933166</v>
      </c>
      <c r="D43" s="200">
        <f>D45/BalanceRM!C71</f>
        <v>0</v>
      </c>
      <c r="E43" s="200">
        <f>E45/BalanceRM!D71</f>
        <v>0.18604651429949576</v>
      </c>
      <c r="F43" s="201"/>
      <c r="G43" s="38">
        <f t="shared" si="6"/>
        <v>-9.5065623920759651E-2</v>
      </c>
      <c r="H43" s="119" t="s">
        <v>287</v>
      </c>
      <c r="I43" s="121"/>
    </row>
    <row r="44" spans="1:9" ht="66" customHeight="1" x14ac:dyDescent="0.3">
      <c r="A44" s="72">
        <v>39</v>
      </c>
      <c r="B44" s="193" t="s">
        <v>299</v>
      </c>
      <c r="C44" s="202">
        <f>C40</f>
        <v>129123610</v>
      </c>
      <c r="D44" s="197"/>
      <c r="E44" s="202">
        <f>E40</f>
        <v>122184993</v>
      </c>
      <c r="F44" s="198"/>
      <c r="G44" s="192">
        <f t="shared" si="6"/>
        <v>5.6787800446164445E-2</v>
      </c>
      <c r="H44" s="123"/>
      <c r="I44" s="121"/>
    </row>
    <row r="45" spans="1:9" ht="55.8" customHeight="1" x14ac:dyDescent="0.3">
      <c r="A45" s="69"/>
      <c r="B45" s="193" t="s">
        <v>300</v>
      </c>
      <c r="C45" s="203">
        <f>PyGRM!B55+(-PyGRM!B43)</f>
        <v>15749600</v>
      </c>
      <c r="D45" s="203">
        <f>PyGRM!C55+(-PyGRM!C43)</f>
        <v>0</v>
      </c>
      <c r="E45" s="203">
        <f>PyGRM!D55+(-PyGRM!D43)</f>
        <v>16195094</v>
      </c>
      <c r="F45" s="204"/>
      <c r="G45" s="192">
        <f t="shared" si="6"/>
        <v>-2.7507960126690219E-2</v>
      </c>
      <c r="H45" s="123"/>
      <c r="I45" s="121"/>
    </row>
    <row r="46" spans="1:9" ht="43.2" x14ac:dyDescent="0.3">
      <c r="B46" s="199" t="s">
        <v>227</v>
      </c>
      <c r="C46" s="133">
        <f>-PyGRM!B43/'Indicadores '!C47</f>
        <v>7.8337556338990157E-4</v>
      </c>
      <c r="D46" s="133">
        <f>-PyGRM!C43/'Indicadores '!D47</f>
        <v>0</v>
      </c>
      <c r="E46" s="133">
        <f>-PyGRM!D43/'Indicadores '!E47</f>
        <v>1.3848532540794995E-3</v>
      </c>
      <c r="F46" s="204"/>
      <c r="G46" s="192">
        <f t="shared" si="6"/>
        <v>-0.43432593953024662</v>
      </c>
      <c r="H46" s="119" t="s">
        <v>288</v>
      </c>
      <c r="I46" s="121"/>
    </row>
    <row r="47" spans="1:9" ht="55.8" customHeight="1" x14ac:dyDescent="0.3">
      <c r="B47" s="193" t="s">
        <v>301</v>
      </c>
      <c r="C47" s="203">
        <f>BalanceRM!B135-BalanceRM!B75</f>
        <v>18821113</v>
      </c>
      <c r="D47" s="203">
        <f>BalanceRM!C135-BalanceRM!C75</f>
        <v>0.20119370939323655</v>
      </c>
      <c r="E47" s="203">
        <f>BalanceRM!D135-BalanceRM!D75</f>
        <v>17042961</v>
      </c>
      <c r="F47" s="204"/>
      <c r="G47" s="192">
        <f t="shared" si="6"/>
        <v>0.10433351340767605</v>
      </c>
      <c r="H47" s="123"/>
      <c r="I47" s="121"/>
    </row>
    <row r="48" spans="1:9" ht="49.2" customHeight="1" x14ac:dyDescent="0.3">
      <c r="B48" s="199" t="s">
        <v>122</v>
      </c>
      <c r="C48" s="228">
        <f>(C43+C51*(C43-C49))*(1-C50)</f>
        <v>0.15952166974138396</v>
      </c>
      <c r="D48" s="229" t="e">
        <f t="shared" ref="D48:E48" si="8">(D43+D51*(D43-D49))*(1-D50)</f>
        <v>#DIV/0!</v>
      </c>
      <c r="E48" s="228">
        <f t="shared" si="8"/>
        <v>0.17435195390178979</v>
      </c>
      <c r="F48" s="230"/>
      <c r="G48" s="38">
        <f t="shared" si="6"/>
        <v>-8.5059466375464507E-2</v>
      </c>
      <c r="H48" s="123"/>
      <c r="I48" s="121"/>
    </row>
    <row r="49" spans="2:9" ht="51" customHeight="1" x14ac:dyDescent="0.3">
      <c r="B49" s="199" t="s">
        <v>230</v>
      </c>
      <c r="C49" s="133">
        <f>-PyGRM!B43/'Indicadores '!C47</f>
        <v>7.8337556338990157E-4</v>
      </c>
      <c r="D49" s="133">
        <f>-PyGRM!C43/'Indicadores '!D47</f>
        <v>0</v>
      </c>
      <c r="E49" s="133">
        <f>-PyGRM!D43/'Indicadores '!E47</f>
        <v>1.3848532540794995E-3</v>
      </c>
      <c r="F49" s="205"/>
      <c r="G49" s="192">
        <f t="shared" si="6"/>
        <v>-0.43432593953024662</v>
      </c>
      <c r="H49" s="123"/>
      <c r="I49" s="121"/>
    </row>
    <row r="50" spans="2:9" ht="45.6" customHeight="1" x14ac:dyDescent="0.3">
      <c r="B50" s="193" t="s">
        <v>229</v>
      </c>
      <c r="C50" s="133">
        <f>-(PyGRM!B56/PyGRM!B55)</f>
        <v>0.24241861507979481</v>
      </c>
      <c r="D50" s="133" t="e">
        <f>-(PyGRM!C56/PyGRM!C55)</f>
        <v>#DIV/0!</v>
      </c>
      <c r="E50" s="133">
        <f>-(PyGRM!D56/PyGRM!D55)</f>
        <v>0.24523816355349279</v>
      </c>
      <c r="F50" s="205"/>
      <c r="G50" s="192">
        <f t="shared" si="6"/>
        <v>-1.1497184748257823E-2</v>
      </c>
      <c r="H50" s="123"/>
      <c r="I50" s="121"/>
    </row>
    <row r="51" spans="2:9" ht="55.8" customHeight="1" x14ac:dyDescent="0.3">
      <c r="B51" s="206" t="s">
        <v>302</v>
      </c>
      <c r="C51" s="207">
        <f>C47/C52</f>
        <v>0.25186795817595808</v>
      </c>
      <c r="D51" s="207">
        <f t="shared" ref="D51:E51" si="9">D47/D52</f>
        <v>0.25186795817595814</v>
      </c>
      <c r="E51" s="207">
        <f t="shared" si="9"/>
        <v>0.24345115884045274</v>
      </c>
      <c r="F51" s="208"/>
      <c r="G51" s="192">
        <f t="shared" si="6"/>
        <v>3.457284564014481E-2</v>
      </c>
      <c r="H51" s="123"/>
      <c r="I51" s="121"/>
    </row>
    <row r="52" spans="2:9" ht="51" customHeight="1" x14ac:dyDescent="0.3">
      <c r="B52" s="206" t="s">
        <v>303</v>
      </c>
      <c r="C52" s="225">
        <f>BalanceRM!B75</f>
        <v>74726111</v>
      </c>
      <c r="D52" s="225">
        <f>BalanceRM!C75</f>
        <v>0.79880629060676345</v>
      </c>
      <c r="E52" s="225">
        <f>BalanceRM!D75</f>
        <v>70005668</v>
      </c>
      <c r="F52" s="209"/>
      <c r="G52" s="192">
        <f t="shared" si="6"/>
        <v>6.742944014190394E-2</v>
      </c>
      <c r="H52" s="123"/>
      <c r="I52" s="121"/>
    </row>
    <row r="53" spans="2:9" ht="45.6" customHeight="1" x14ac:dyDescent="0.3">
      <c r="B53" s="210" t="s">
        <v>228</v>
      </c>
      <c r="C53" s="226">
        <f>PyGRM!B59/'Indicadores '!C52</f>
        <v>0.15952166974138396</v>
      </c>
      <c r="D53" s="226">
        <f>PyGRM!C59/'Indicadores '!D52</f>
        <v>0</v>
      </c>
      <c r="E53" s="226">
        <f>PyGRM!D59/'Indicadores '!E52</f>
        <v>0.17435195390178979</v>
      </c>
      <c r="F53" s="227"/>
      <c r="G53" s="38">
        <f t="shared" si="6"/>
        <v>-8.5059466375464507E-2</v>
      </c>
      <c r="H53" s="123"/>
      <c r="I53" s="121"/>
    </row>
  </sheetData>
  <mergeCells count="2">
    <mergeCell ref="J3:L3"/>
    <mergeCell ref="J11:M11"/>
  </mergeCells>
  <phoneticPr fontId="20" type="noConversion"/>
  <pageMargins left="0.70866141732283472" right="0.70866141732283472" top="0.74803149606299213" bottom="0.74803149606299213" header="0.31496062992125984" footer="0.31496062992125984"/>
  <pageSetup paperSize="8" scale="47" fitToHeight="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EC90-6874-43B4-A5A4-807E1CBBC68C}">
  <dimension ref="A3:G25"/>
  <sheetViews>
    <sheetView workbookViewId="0">
      <selection activeCell="D14" sqref="D14"/>
    </sheetView>
  </sheetViews>
  <sheetFormatPr baseColWidth="10" defaultRowHeight="14.4" x14ac:dyDescent="0.3"/>
  <cols>
    <col min="3" max="3" width="28.6640625" customWidth="1"/>
    <col min="4" max="5" width="14.33203125" bestFit="1" customWidth="1"/>
    <col min="6" max="7" width="11.77734375" bestFit="1" customWidth="1"/>
  </cols>
  <sheetData>
    <row r="3" spans="1:7" ht="36" x14ac:dyDescent="0.35">
      <c r="A3" s="245" t="s">
        <v>252</v>
      </c>
      <c r="B3" s="245"/>
      <c r="C3" s="245"/>
      <c r="D3" s="106">
        <v>43646</v>
      </c>
      <c r="E3" s="106">
        <v>43281</v>
      </c>
      <c r="F3" s="107" t="s">
        <v>253</v>
      </c>
      <c r="G3" s="107" t="s">
        <v>254</v>
      </c>
    </row>
    <row r="4" spans="1:7" ht="18" x14ac:dyDescent="0.35">
      <c r="A4" s="244" t="s">
        <v>255</v>
      </c>
      <c r="B4" s="244"/>
      <c r="C4" s="244"/>
      <c r="D4" s="108">
        <v>31.02</v>
      </c>
      <c r="E4" s="108">
        <v>22.74</v>
      </c>
      <c r="F4" s="109">
        <v>0.36430000000000001</v>
      </c>
      <c r="G4" s="108">
        <v>8.2799999999999994</v>
      </c>
    </row>
    <row r="5" spans="1:7" ht="18" x14ac:dyDescent="0.35">
      <c r="A5" s="243" t="s">
        <v>256</v>
      </c>
      <c r="B5" s="243"/>
      <c r="C5" s="243"/>
      <c r="D5" s="110">
        <v>4619824</v>
      </c>
      <c r="E5" s="110">
        <v>3150927</v>
      </c>
      <c r="F5" s="111">
        <v>0.4662</v>
      </c>
      <c r="G5" s="110">
        <v>1468897</v>
      </c>
    </row>
    <row r="6" spans="1:7" ht="18" x14ac:dyDescent="0.35">
      <c r="A6" s="243" t="s">
        <v>257</v>
      </c>
      <c r="B6" s="243"/>
      <c r="C6" s="243"/>
      <c r="D6" s="110">
        <v>53610932</v>
      </c>
      <c r="E6" s="110">
        <v>49886953</v>
      </c>
      <c r="F6" s="111">
        <v>7.46E-2</v>
      </c>
      <c r="G6" s="110">
        <v>3723979</v>
      </c>
    </row>
    <row r="7" spans="1:7" ht="18" x14ac:dyDescent="0.35">
      <c r="A7" s="244" t="s">
        <v>258</v>
      </c>
      <c r="B7" s="244"/>
      <c r="C7" s="244"/>
      <c r="D7" s="108">
        <v>4.38</v>
      </c>
      <c r="E7" s="108">
        <v>3.7</v>
      </c>
      <c r="F7" s="109">
        <v>0.1835</v>
      </c>
      <c r="G7" s="108">
        <v>0.68</v>
      </c>
    </row>
    <row r="8" spans="1:7" ht="18" x14ac:dyDescent="0.35">
      <c r="A8" s="243" t="s">
        <v>259</v>
      </c>
      <c r="B8" s="243"/>
      <c r="C8" s="243"/>
      <c r="D8" s="110">
        <v>1247084</v>
      </c>
      <c r="E8" s="110">
        <v>986592</v>
      </c>
      <c r="F8" s="111">
        <v>0.26400000000000001</v>
      </c>
      <c r="G8" s="110">
        <v>260492</v>
      </c>
    </row>
    <row r="9" spans="1:7" ht="18" x14ac:dyDescent="0.35">
      <c r="A9" s="243" t="s">
        <v>260</v>
      </c>
      <c r="B9" s="243"/>
      <c r="C9" s="243"/>
      <c r="D9" s="110">
        <v>102472781</v>
      </c>
      <c r="E9" s="110">
        <v>95944070</v>
      </c>
      <c r="F9" s="111">
        <v>6.8000000000000005E-2</v>
      </c>
      <c r="G9" s="110">
        <v>6528711</v>
      </c>
    </row>
    <row r="10" spans="1:7" ht="18" x14ac:dyDescent="0.35">
      <c r="A10" s="244" t="s">
        <v>261</v>
      </c>
      <c r="B10" s="244"/>
      <c r="C10" s="244"/>
      <c r="D10" s="108">
        <v>21.23</v>
      </c>
      <c r="E10" s="108">
        <v>17.39</v>
      </c>
      <c r="F10" s="109">
        <v>0.22090000000000001</v>
      </c>
      <c r="G10" s="108">
        <v>3.84</v>
      </c>
    </row>
    <row r="11" spans="1:7" ht="18" x14ac:dyDescent="0.35">
      <c r="A11" s="243" t="s">
        <v>262</v>
      </c>
      <c r="B11" s="243"/>
      <c r="C11" s="243"/>
      <c r="D11" s="117">
        <v>6570256</v>
      </c>
      <c r="E11" s="110">
        <v>5116563</v>
      </c>
      <c r="F11" s="111">
        <v>0.28410000000000002</v>
      </c>
      <c r="G11" s="110">
        <v>1453693</v>
      </c>
    </row>
    <row r="12" spans="1:7" ht="18" x14ac:dyDescent="0.35">
      <c r="A12" s="243" t="s">
        <v>263</v>
      </c>
      <c r="B12" s="243"/>
      <c r="C12" s="243"/>
      <c r="D12" s="110">
        <v>111393449</v>
      </c>
      <c r="E12" s="110">
        <v>105908076</v>
      </c>
      <c r="F12" s="111">
        <v>5.1799999999999999E-2</v>
      </c>
      <c r="G12" s="110">
        <v>5483373</v>
      </c>
    </row>
    <row r="13" spans="1:7" ht="18" x14ac:dyDescent="0.35">
      <c r="A13" s="244" t="s">
        <v>264</v>
      </c>
      <c r="B13" s="244"/>
      <c r="C13" s="244"/>
      <c r="D13" s="108">
        <v>63.12</v>
      </c>
      <c r="E13" s="108">
        <v>61.84</v>
      </c>
      <c r="F13" s="109">
        <v>2.07E-2</v>
      </c>
      <c r="G13" s="108">
        <v>1.28</v>
      </c>
    </row>
    <row r="14" spans="1:7" ht="18" x14ac:dyDescent="0.35">
      <c r="A14" s="243" t="s">
        <v>265</v>
      </c>
      <c r="B14" s="243"/>
      <c r="C14" s="243"/>
      <c r="D14" s="110">
        <v>21866552</v>
      </c>
      <c r="E14" s="110">
        <v>21080756</v>
      </c>
      <c r="F14" s="111">
        <v>3.73E-2</v>
      </c>
      <c r="G14" s="110">
        <v>785796</v>
      </c>
    </row>
    <row r="15" spans="1:7" ht="18" x14ac:dyDescent="0.35">
      <c r="A15" s="243" t="s">
        <v>266</v>
      </c>
      <c r="B15" s="243"/>
      <c r="C15" s="243"/>
      <c r="D15" s="110">
        <v>124723704</v>
      </c>
      <c r="E15" s="110">
        <v>122728475</v>
      </c>
      <c r="F15" s="111">
        <v>1.6299999999999999E-2</v>
      </c>
      <c r="G15" s="110">
        <v>1995229</v>
      </c>
    </row>
    <row r="16" spans="1:7" ht="18" x14ac:dyDescent="0.35">
      <c r="A16" s="246" t="s">
        <v>267</v>
      </c>
      <c r="B16" s="246"/>
      <c r="C16" s="246"/>
      <c r="D16" s="113">
        <v>119.75</v>
      </c>
      <c r="E16" s="113">
        <v>105.67</v>
      </c>
      <c r="F16" s="113">
        <v>0.1333</v>
      </c>
      <c r="G16" s="113">
        <v>14.08</v>
      </c>
    </row>
    <row r="17" spans="1:7" ht="18" x14ac:dyDescent="0.35">
      <c r="A17" s="114"/>
      <c r="B17" s="114"/>
      <c r="C17" s="114"/>
      <c r="D17" s="114"/>
      <c r="E17" s="114"/>
      <c r="F17" s="114"/>
      <c r="G17" s="114"/>
    </row>
    <row r="18" spans="1:7" ht="18" x14ac:dyDescent="0.35">
      <c r="A18" s="244" t="s">
        <v>268</v>
      </c>
      <c r="B18" s="244"/>
      <c r="C18" s="244"/>
      <c r="D18" s="108">
        <v>36.33</v>
      </c>
      <c r="E18" s="108">
        <v>34.81</v>
      </c>
      <c r="F18" s="109">
        <v>4.3799999999999999E-2</v>
      </c>
      <c r="G18" s="108">
        <v>1.52</v>
      </c>
    </row>
    <row r="19" spans="1:7" ht="18" x14ac:dyDescent="0.35">
      <c r="A19" s="243" t="s">
        <v>269</v>
      </c>
      <c r="B19" s="243"/>
      <c r="C19" s="243"/>
      <c r="D19" s="110">
        <v>6596176</v>
      </c>
      <c r="E19" s="110">
        <v>5849917</v>
      </c>
      <c r="F19" s="111">
        <v>0.12759999999999999</v>
      </c>
      <c r="G19" s="110">
        <v>746259</v>
      </c>
    </row>
    <row r="20" spans="1:7" ht="18" x14ac:dyDescent="0.35">
      <c r="A20" s="243" t="s">
        <v>270</v>
      </c>
      <c r="B20" s="243"/>
      <c r="C20" s="243"/>
      <c r="D20" s="110">
        <v>65356026</v>
      </c>
      <c r="E20" s="110">
        <v>60498194</v>
      </c>
      <c r="F20" s="111">
        <v>8.0299999999999996E-2</v>
      </c>
      <c r="G20" s="110">
        <v>4857832</v>
      </c>
    </row>
    <row r="21" spans="1:7" ht="18" x14ac:dyDescent="0.35">
      <c r="A21" s="114"/>
      <c r="B21" s="114"/>
      <c r="C21" s="114"/>
      <c r="D21" s="114"/>
      <c r="E21" s="114"/>
      <c r="F21" s="114"/>
      <c r="G21" s="114"/>
    </row>
    <row r="22" spans="1:7" ht="18" x14ac:dyDescent="0.35">
      <c r="A22" s="244" t="s">
        <v>271</v>
      </c>
      <c r="B22" s="244"/>
      <c r="C22" s="244"/>
      <c r="D22" s="108">
        <v>83.42</v>
      </c>
      <c r="E22" s="108">
        <v>70.86</v>
      </c>
      <c r="F22" s="109">
        <v>0.17730000000000001</v>
      </c>
      <c r="G22" s="108">
        <v>12.56</v>
      </c>
    </row>
    <row r="23" spans="1:7" ht="18" x14ac:dyDescent="0.35">
      <c r="A23" s="243" t="s">
        <v>272</v>
      </c>
      <c r="B23" s="243"/>
      <c r="C23" s="243"/>
      <c r="D23" s="112">
        <v>60.7</v>
      </c>
      <c r="E23" s="112">
        <v>61.81</v>
      </c>
      <c r="F23" s="111">
        <v>-1.7999999999999999E-2</v>
      </c>
      <c r="G23" s="112">
        <v>-1.1100000000000001</v>
      </c>
    </row>
    <row r="24" spans="1:7" ht="18" x14ac:dyDescent="0.35">
      <c r="A24" s="243" t="s">
        <v>273</v>
      </c>
      <c r="B24" s="243"/>
      <c r="C24" s="243"/>
      <c r="D24" s="110">
        <v>5742981</v>
      </c>
      <c r="E24" s="110">
        <v>5423467</v>
      </c>
      <c r="F24" s="111">
        <v>5.8900000000000001E-2</v>
      </c>
      <c r="G24" s="110">
        <v>319514</v>
      </c>
    </row>
    <row r="25" spans="1:7" ht="18" x14ac:dyDescent="0.35">
      <c r="A25" s="243" t="s">
        <v>274</v>
      </c>
      <c r="B25" s="243"/>
      <c r="C25" s="243"/>
      <c r="D25" s="110">
        <v>34061408</v>
      </c>
      <c r="E25" s="110">
        <v>31585807</v>
      </c>
      <c r="F25" s="111">
        <v>7.8399999999999997E-2</v>
      </c>
      <c r="G25" s="110">
        <v>2475601</v>
      </c>
    </row>
  </sheetData>
  <mergeCells count="21">
    <mergeCell ref="A24:C24"/>
    <mergeCell ref="A25:C25"/>
    <mergeCell ref="A3:C3"/>
    <mergeCell ref="A16:C16"/>
    <mergeCell ref="A18:C18"/>
    <mergeCell ref="A19:C19"/>
    <mergeCell ref="A20:C20"/>
    <mergeCell ref="A22:C22"/>
    <mergeCell ref="A23:C23"/>
    <mergeCell ref="A10:C10"/>
    <mergeCell ref="A11:C11"/>
    <mergeCell ref="A12:C12"/>
    <mergeCell ref="A14:C14"/>
    <mergeCell ref="A13:C13"/>
    <mergeCell ref="A15:C15"/>
    <mergeCell ref="A4:C4"/>
    <mergeCell ref="A5:C5"/>
    <mergeCell ref="A6:C6"/>
    <mergeCell ref="A7:C7"/>
    <mergeCell ref="A8:C8"/>
    <mergeCell ref="A9:C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BalanceRM</vt:lpstr>
      <vt:lpstr>PyGRM</vt:lpstr>
      <vt:lpstr>PyG funcional</vt:lpstr>
      <vt:lpstr>Indicadores </vt:lpstr>
      <vt:lpstr>PMM</vt:lpstr>
    </vt:vector>
  </TitlesOfParts>
  <Company>axesor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rsantiago</dc:creator>
  <cp:lastModifiedBy>Usuario</cp:lastModifiedBy>
  <cp:revision/>
  <cp:lastPrinted>2023-05-26T14:20:03Z</cp:lastPrinted>
  <dcterms:created xsi:type="dcterms:W3CDTF">2009-07-21T11:45:10Z</dcterms:created>
  <dcterms:modified xsi:type="dcterms:W3CDTF">2023-06-12T18:03:14Z</dcterms:modified>
</cp:coreProperties>
</file>