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E:\Analisis de Estados Financieros\Ejercicios y casos practicos\GECONSA\"/>
    </mc:Choice>
  </mc:AlternateContent>
  <xr:revisionPtr revIDLastSave="0" documentId="13_ncr:1_{FA8AFCAA-290C-4900-B4C2-1DFD9D967656}" xr6:coauthVersionLast="47" xr6:coauthVersionMax="47" xr10:uidLastSave="{00000000-0000-0000-0000-000000000000}"/>
  <bookViews>
    <workbookView xWindow="-120" yWindow="-120" windowWidth="29040" windowHeight="15840" activeTab="4" xr2:uid="{00000000-000D-0000-FFFF-FFFF00000000}"/>
  </bookViews>
  <sheets>
    <sheet name="Enunciado" sheetId="22" r:id="rId1"/>
    <sheet name="Hoja diario A" sheetId="17" r:id="rId2"/>
    <sheet name="Opción A" sheetId="16" r:id="rId3"/>
    <sheet name="Hoja diario B" sheetId="21" r:id="rId4"/>
    <sheet name="Opción B" sheetId="2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4" i="16" l="1"/>
  <c r="M21" i="23" l="1"/>
  <c r="I16" i="23"/>
  <c r="E13" i="16"/>
  <c r="E12" i="16"/>
  <c r="E25" i="23"/>
  <c r="D20" i="23"/>
  <c r="C13" i="23"/>
  <c r="E13" i="23" s="1"/>
  <c r="D36" i="23"/>
  <c r="D35" i="23"/>
  <c r="D34" i="23"/>
  <c r="E21" i="23"/>
  <c r="E17" i="23"/>
  <c r="D14" i="23"/>
  <c r="I12" i="23" s="1"/>
  <c r="E12" i="23"/>
  <c r="C29" i="16"/>
  <c r="C19" i="16" s="1"/>
  <c r="E19" i="16" s="1"/>
  <c r="D36" i="16"/>
  <c r="D35" i="16"/>
  <c r="D34" i="16"/>
  <c r="D28" i="16"/>
  <c r="D14" i="16"/>
  <c r="I12" i="16" s="1"/>
  <c r="D25" i="16"/>
  <c r="E21" i="16"/>
  <c r="E17" i="16"/>
  <c r="M21" i="16" s="1"/>
  <c r="H21" i="21"/>
  <c r="H21" i="17"/>
  <c r="B18" i="21"/>
  <c r="B18" i="17"/>
  <c r="B14" i="17"/>
  <c r="H7" i="21"/>
  <c r="F7" i="21"/>
  <c r="H7" i="17"/>
  <c r="F7" i="17"/>
  <c r="E38" i="23" l="1"/>
  <c r="E37" i="23"/>
  <c r="Q5" i="23" s="1"/>
  <c r="Q4" i="23" s="1"/>
  <c r="D33" i="23"/>
  <c r="Q18" i="23" s="1"/>
  <c r="Q17" i="23" s="1"/>
  <c r="Q19" i="23" s="1"/>
  <c r="D32" i="23"/>
  <c r="Q11" i="23" s="1"/>
  <c r="D31" i="23"/>
  <c r="Q10" i="23" s="1"/>
  <c r="D29" i="23"/>
  <c r="D27" i="23"/>
  <c r="D26" i="23"/>
  <c r="Q13" i="23" s="1"/>
  <c r="D24" i="23"/>
  <c r="Q8" i="23" s="1"/>
  <c r="Q7" i="23" s="1"/>
  <c r="D23" i="23"/>
  <c r="I18" i="23" s="1"/>
  <c r="I17" i="23" s="1"/>
  <c r="E22" i="23"/>
  <c r="M18" i="23" s="1"/>
  <c r="M17" i="23" s="1"/>
  <c r="D18" i="23"/>
  <c r="I15" i="23" s="1"/>
  <c r="I14" i="23" s="1"/>
  <c r="Q15" i="23"/>
  <c r="E15" i="23"/>
  <c r="M20" i="23" s="1"/>
  <c r="Q14" i="23"/>
  <c r="I13" i="23"/>
  <c r="I11" i="23" s="1"/>
  <c r="D11" i="23"/>
  <c r="D10" i="23"/>
  <c r="D9" i="23"/>
  <c r="I9" i="23" s="1"/>
  <c r="I8" i="23" s="1"/>
  <c r="I5" i="23" s="1"/>
  <c r="D8" i="23"/>
  <c r="I7" i="23" s="1"/>
  <c r="I6" i="23" s="1"/>
  <c r="E7" i="23"/>
  <c r="M15" i="23" s="1"/>
  <c r="M14" i="23" s="1"/>
  <c r="M13" i="23" s="1"/>
  <c r="Q6" i="23"/>
  <c r="E6" i="23"/>
  <c r="M11" i="23" s="1"/>
  <c r="E5" i="23"/>
  <c r="M10" i="23" s="1"/>
  <c r="M9" i="23" s="1"/>
  <c r="E4" i="23"/>
  <c r="M8" i="23" s="1"/>
  <c r="M7" i="23" s="1"/>
  <c r="I13" i="16"/>
  <c r="I11" i="16" s="1"/>
  <c r="Q15" i="16"/>
  <c r="Q14" i="16"/>
  <c r="Q12" i="16" l="1"/>
  <c r="Q12" i="23"/>
  <c r="Q9" i="23"/>
  <c r="Q16" i="23" s="1"/>
  <c r="Q20" i="23" s="1"/>
  <c r="M29" i="23" s="1"/>
  <c r="E42" i="23"/>
  <c r="E43" i="23"/>
  <c r="E45" i="23"/>
  <c r="D42" i="23"/>
  <c r="I10" i="23"/>
  <c r="I23" i="23" s="1"/>
  <c r="E38" i="16"/>
  <c r="Q6" i="16" s="1"/>
  <c r="E37" i="16"/>
  <c r="D33" i="16"/>
  <c r="Q18" i="16" s="1"/>
  <c r="Q17" i="16" s="1"/>
  <c r="Q19" i="16" s="1"/>
  <c r="D32" i="16"/>
  <c r="Q11" i="16" s="1"/>
  <c r="D31" i="16"/>
  <c r="Q10" i="16" s="1"/>
  <c r="D30" i="16"/>
  <c r="D27" i="16"/>
  <c r="D26" i="16"/>
  <c r="Q13" i="16" s="1"/>
  <c r="D24" i="16"/>
  <c r="D23" i="16"/>
  <c r="E22" i="16"/>
  <c r="D18" i="16"/>
  <c r="I15" i="16" s="1"/>
  <c r="I14" i="16" s="1"/>
  <c r="E15" i="16"/>
  <c r="M20" i="16" s="1"/>
  <c r="D11" i="16"/>
  <c r="D10" i="16"/>
  <c r="D9" i="16"/>
  <c r="I9" i="16" s="1"/>
  <c r="I8" i="16" s="1"/>
  <c r="I5" i="16" s="1"/>
  <c r="D8" i="16"/>
  <c r="I7" i="16" s="1"/>
  <c r="I6" i="16" s="1"/>
  <c r="E7" i="16"/>
  <c r="M15" i="16" s="1"/>
  <c r="M14" i="16" s="1"/>
  <c r="M13" i="16" s="1"/>
  <c r="E6" i="16"/>
  <c r="M11" i="16" s="1"/>
  <c r="E5" i="16"/>
  <c r="M10" i="16" s="1"/>
  <c r="E4" i="16"/>
  <c r="M8" i="16" s="1"/>
  <c r="M7" i="16" s="1"/>
  <c r="Q20" i="16" l="1"/>
  <c r="D42" i="16"/>
  <c r="Q8" i="16"/>
  <c r="Q7" i="16" s="1"/>
  <c r="M9" i="16"/>
  <c r="Q9" i="16"/>
  <c r="Q5" i="16"/>
  <c r="Q4" i="16" s="1"/>
  <c r="Q16" i="16" s="1"/>
  <c r="E42" i="16"/>
  <c r="C42" i="16" s="1"/>
  <c r="E43" i="16"/>
  <c r="E45" i="16"/>
  <c r="I18" i="16"/>
  <c r="I17" i="16" s="1"/>
  <c r="I10" i="16" s="1"/>
  <c r="M18" i="16"/>
  <c r="M17" i="16" s="1"/>
  <c r="E39" i="16"/>
  <c r="C42" i="23"/>
  <c r="I23" i="16" l="1"/>
  <c r="M30" i="16" s="1"/>
  <c r="D29" i="16"/>
  <c r="Q21" i="16" s="1"/>
  <c r="Q22" i="16" s="1"/>
  <c r="D43" i="16" l="1"/>
  <c r="C43" i="16" s="1"/>
  <c r="M22" i="16"/>
  <c r="M19" i="16" s="1"/>
  <c r="M16" i="16" s="1"/>
  <c r="D39" i="16"/>
  <c r="G38" i="16" s="1"/>
  <c r="D45" i="16"/>
  <c r="C45" i="16" s="1"/>
  <c r="M12" i="16" s="1"/>
  <c r="D30" i="23"/>
  <c r="D45" i="23" s="1"/>
  <c r="C45" i="23" s="1"/>
  <c r="M12" i="23" s="1"/>
  <c r="M6" i="16" l="1"/>
  <c r="M5" i="16" s="1"/>
  <c r="M23" i="16" s="1"/>
  <c r="R22" i="16"/>
  <c r="M29" i="16"/>
  <c r="M28" i="16"/>
  <c r="M6" i="23"/>
  <c r="M5" i="23" s="1"/>
  <c r="M30" i="23"/>
  <c r="D43" i="23"/>
  <c r="C43" i="23" s="1"/>
  <c r="C44" i="23" s="1"/>
  <c r="C19" i="23" s="1"/>
  <c r="E19" i="23" s="1"/>
  <c r="D39" i="23"/>
  <c r="M31" i="16" l="1"/>
  <c r="Q21" i="23"/>
  <c r="Q22" i="23" s="1"/>
  <c r="M22" i="23"/>
  <c r="M19" i="23" s="1"/>
  <c r="M16" i="23" s="1"/>
  <c r="E39" i="23"/>
  <c r="M27" i="23" l="1"/>
  <c r="M28" i="23"/>
  <c r="M23" i="23"/>
  <c r="I24" i="23" s="1"/>
</calcChain>
</file>

<file path=xl/sharedStrings.xml><?xml version="1.0" encoding="utf-8"?>
<sst xmlns="http://schemas.openxmlformats.org/spreadsheetml/2006/main" count="356" uniqueCount="159">
  <si>
    <t>Clientes</t>
  </si>
  <si>
    <t>Tesorería</t>
  </si>
  <si>
    <t>Importe</t>
  </si>
  <si>
    <t>Bancos c/c</t>
  </si>
  <si>
    <t>Capital social</t>
  </si>
  <si>
    <t>Compras de mercaderías</t>
  </si>
  <si>
    <t>Deudas a c/p con entidades de crédito</t>
  </si>
  <si>
    <t>Ventas de mercaderías</t>
  </si>
  <si>
    <t>SALDO DEUDOR</t>
  </si>
  <si>
    <t>SALDO ACREEDOR</t>
  </si>
  <si>
    <t>Aplicaciones informáticas</t>
  </si>
  <si>
    <t>Elementos de transporte</t>
  </si>
  <si>
    <t>Arrendamientos y cánones</t>
  </si>
  <si>
    <t xml:space="preserve">Mercaderías </t>
  </si>
  <si>
    <t>Prestaciones  de servicios</t>
  </si>
  <si>
    <t xml:space="preserve">Proveedores </t>
  </si>
  <si>
    <t>Deudas a l/p con entidades de crédito</t>
  </si>
  <si>
    <t>Núm
cuenta</t>
  </si>
  <si>
    <t>Nombre de la cuenta</t>
  </si>
  <si>
    <t>Reserva legal</t>
  </si>
  <si>
    <t>Equipos para proceso de información</t>
  </si>
  <si>
    <t>Sueldos y salarios</t>
  </si>
  <si>
    <t>Seguridad social a cargo de la empresa</t>
  </si>
  <si>
    <t>Intereses de deudas</t>
  </si>
  <si>
    <t>Amortización acum. inmov.intangible</t>
  </si>
  <si>
    <t>Amortización acum. inmov.material</t>
  </si>
  <si>
    <t>Primas de seguros</t>
  </si>
  <si>
    <t>Reservas voluntarias</t>
  </si>
  <si>
    <t>Mobiliario</t>
  </si>
  <si>
    <t xml:space="preserve">Suministros </t>
  </si>
  <si>
    <t>ACTIVO</t>
  </si>
  <si>
    <t>PATRIMONIO NETO Y PASIVO</t>
  </si>
  <si>
    <t>A) ACTIVO NO CORRIENTE</t>
  </si>
  <si>
    <t>A) PATRIMONIO NETO</t>
  </si>
  <si>
    <t>I. Inmovilizado intangible</t>
  </si>
  <si>
    <t>A-1) Fondos propios</t>
  </si>
  <si>
    <t>I. Capital</t>
  </si>
  <si>
    <t>II. Inmovilizado material</t>
  </si>
  <si>
    <t>II. Reservas</t>
  </si>
  <si>
    <t>VI. Resultado del ejercicio</t>
  </si>
  <si>
    <t>B) ACTIVO CORRIENTE</t>
  </si>
  <si>
    <t>B) PASIVO NO CORRIENTE</t>
  </si>
  <si>
    <t>II. Existencias</t>
  </si>
  <si>
    <t>C) PASIVO CORRIENTE</t>
  </si>
  <si>
    <t>TOTAL ACTIVO</t>
  </si>
  <si>
    <t>V. Acreedores comerciales y otras cuentas pagar</t>
  </si>
  <si>
    <t>VII. Efectivo y otros activos líquidos equivalentes</t>
  </si>
  <si>
    <t>III. Deudores comerciales y otras cuentas cobrar</t>
  </si>
  <si>
    <t>206 (280)</t>
  </si>
  <si>
    <t>216, 217, 218, (281)</t>
  </si>
  <si>
    <t>Comerciales</t>
  </si>
  <si>
    <t>Anticipos a proveedores</t>
  </si>
  <si>
    <t>Clientes por ventas y prestaciones de servicios</t>
  </si>
  <si>
    <t>Instalaciones técnicas y otro inmov. material</t>
  </si>
  <si>
    <t>VI. Periodificaciones a corto plazo</t>
  </si>
  <si>
    <t>Capital escriturado</t>
  </si>
  <si>
    <t>Reserva legal y estatutaria</t>
  </si>
  <si>
    <t>Otras reservas</t>
  </si>
  <si>
    <t>Deudas con entidades de crédito</t>
  </si>
  <si>
    <t>II. Dedudas a largo plazo</t>
  </si>
  <si>
    <t>III. Deudas a corto plazo</t>
  </si>
  <si>
    <t>TOTAL NETO Y PASIVO</t>
  </si>
  <si>
    <t>Otros acreedores</t>
  </si>
  <si>
    <t>430, (490)</t>
  </si>
  <si>
    <t>INDICADORES</t>
  </si>
  <si>
    <t>debe</t>
  </si>
  <si>
    <t>Cuenta de cargo</t>
  </si>
  <si>
    <t>Cuenta de abono</t>
  </si>
  <si>
    <t>haber</t>
  </si>
  <si>
    <t xml:space="preserve">a </t>
  </si>
  <si>
    <t>Nº cuenta</t>
  </si>
  <si>
    <t>1) EXISTENCIAS</t>
  </si>
  <si>
    <t>2) PUBLICIDAD</t>
  </si>
  <si>
    <t>3) DETERIORO</t>
  </si>
  <si>
    <t>4) AMORTIZACIÓN</t>
  </si>
  <si>
    <t>Opción A</t>
  </si>
  <si>
    <t>Opción B</t>
  </si>
  <si>
    <t>DIARIO OPCIÓN B</t>
  </si>
  <si>
    <t>DIARIO OPCIÓN A</t>
  </si>
  <si>
    <t>300</t>
  </si>
  <si>
    <t>407</t>
  </si>
  <si>
    <t>BALANCE DE SUMAS Y SALDOS "GECON,SA" a 31/12/20X1 -OPCIÓN A</t>
  </si>
  <si>
    <t>RESULTADO ANTES DE IMPUESTOS</t>
  </si>
  <si>
    <t>31/12/20X1</t>
  </si>
  <si>
    <t>20/11/20X1</t>
  </si>
  <si>
    <t>BALANCE DE SITUACIÓN A 31/12/20X1 OPCIÓN A</t>
  </si>
  <si>
    <t>Pasivo por impuesto corriente</t>
  </si>
  <si>
    <t>Fondo de maniobra 
= Activo corriente - Pasivo corriente</t>
  </si>
  <si>
    <t>Ratio de Endeudamiento
 = Total Pasivo / Patrimonio neto</t>
  </si>
  <si>
    <t>Rentabilidad Económica 
= (Resultado + Intereses + Impuestos)/Total activo</t>
  </si>
  <si>
    <t>Rentabilidad Financiera 
= Resultado / Fondos propios</t>
  </si>
  <si>
    <t>CUENTA DE PÉRDIDAS Y GANANCIAS A 31/12/20X1 OPCIÓN A</t>
  </si>
  <si>
    <t>A) OPERACIONES CONTINUADAS</t>
  </si>
  <si>
    <t>20X1</t>
  </si>
  <si>
    <t>1. Importe neto de la cifra de negocios</t>
  </si>
  <si>
    <t>700</t>
  </si>
  <si>
    <t>a) Ventas</t>
  </si>
  <si>
    <t>705</t>
  </si>
  <si>
    <t>b) Prestación de servicios</t>
  </si>
  <si>
    <t>4. Aprovisionamientos</t>
  </si>
  <si>
    <t>(600), 610*</t>
  </si>
  <si>
    <t>a) Consumo de mercaderías</t>
  </si>
  <si>
    <t>6. Gastos de personal</t>
  </si>
  <si>
    <t>(640)</t>
  </si>
  <si>
    <t>a) Sueldos, salarios y asimilados</t>
  </si>
  <si>
    <t>(641)</t>
  </si>
  <si>
    <t>b) Cargas sociales</t>
  </si>
  <si>
    <t>7. Otros gastos de explotación</t>
  </si>
  <si>
    <t>(62)</t>
  </si>
  <si>
    <t>a) Servicios exteriores</t>
  </si>
  <si>
    <t>(694)</t>
  </si>
  <si>
    <t>c) Pérdidas, deterioro y variación de provisiones por operaciones comerciales</t>
  </si>
  <si>
    <t>(68)</t>
  </si>
  <si>
    <t>8. Amortización del inmovilizado</t>
  </si>
  <si>
    <t>A.1) RESULTADOS DE EXPLOTACIÓN</t>
  </si>
  <si>
    <t>15. Gastos financieros</t>
  </si>
  <si>
    <t>(662)</t>
  </si>
  <si>
    <t>b) Por deudas con terceros</t>
  </si>
  <si>
    <t>A.2) RESULTADO FINANCIERO</t>
  </si>
  <si>
    <t>A.3) RESULTADO ANTES DE IMPUESTOS</t>
  </si>
  <si>
    <t>(630)</t>
  </si>
  <si>
    <t>20. Impuesto sobre beneficios</t>
  </si>
  <si>
    <t>A.5) RESULTADO DEL EJERCICIO</t>
  </si>
  <si>
    <t>*Su signo puede ser positivo o negativo</t>
  </si>
  <si>
    <t>CUENTA DE PÉRDIDAS Y GANANCIAS A 31/12/20X1 OPCIÓN B</t>
  </si>
  <si>
    <t>BALANCE DE SITUACIÓN A 31/12/20X1 OPCIÓN B</t>
  </si>
  <si>
    <t>BALANCE DE SUMAS Y SALDOS "GECON,SA" a 31/12/20X1 -OPCIÓN B</t>
  </si>
  <si>
    <t>Variación de existencias</t>
  </si>
  <si>
    <t>Mercaderías</t>
  </si>
  <si>
    <t>VARIACIÓN DE EXISTENCIAS TOTAL</t>
  </si>
  <si>
    <t>Publicidad, propaganda y relaciones públicas</t>
  </si>
  <si>
    <t>Acreedores por prestación de servicios</t>
  </si>
  <si>
    <t>NO PROCEDE ASIENTO</t>
  </si>
  <si>
    <t>Gastos anticipados (en el ejercicio X1)</t>
  </si>
  <si>
    <t>Pérdidas por deterioro de créditos por operaciones comerciales</t>
  </si>
  <si>
    <t>a</t>
  </si>
  <si>
    <t>Deterioro de valor de créditos por operaciones comerciales</t>
  </si>
  <si>
    <t>Amortización inmovilizado intangible</t>
  </si>
  <si>
    <t>Amort. Acumulada inmov.intangible</t>
  </si>
  <si>
    <t>Amortización inmovilizado material</t>
  </si>
  <si>
    <t>Amort. Acumulada inmov.material</t>
  </si>
  <si>
    <t>Impuesto sobre beneficios</t>
  </si>
  <si>
    <t>Acreedores varios</t>
  </si>
  <si>
    <t>5) IMPUESTO SOBRE BENEFICIO</t>
  </si>
  <si>
    <t>Impuesto sobre beneficio</t>
  </si>
  <si>
    <t xml:space="preserve">(4752) </t>
  </si>
  <si>
    <t>Gastos anticipados</t>
  </si>
  <si>
    <t>Deterioro valor créditos op. Comerciales</t>
  </si>
  <si>
    <t>Variación de Existencias</t>
  </si>
  <si>
    <t>Publicidad, propaganda y relac. Públicas</t>
  </si>
  <si>
    <t>Amortización Inmovilizado Intangible</t>
  </si>
  <si>
    <t>Amortización Inmovilizado Material</t>
  </si>
  <si>
    <t>Pérdidas por deterioro de créditos comerciales</t>
  </si>
  <si>
    <t>RESULTADO PRELIMINAR (PARTIDAS EN NEGRO)</t>
  </si>
  <si>
    <t>RESULTADO ANTES DE IMPUESTOS (INGRESOS - GASTOS)</t>
  </si>
  <si>
    <t>RESULTADO DEL EJERCICIO = 0,75 x RAT</t>
  </si>
  <si>
    <t>IMPUESTO SOBRE BENEFICIO (25%)</t>
  </si>
  <si>
    <t>total gastos</t>
  </si>
  <si>
    <t>total ingresos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</si>
</sst>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0\ &quot;€&quot;;[Red]\-#,##0\ &quot;€&quot;"/>
    <numFmt numFmtId="44" formatCode="_-* #,##0.00\ &quot;€&quot;_-;\-* #,##0.00\ &quot;€&quot;_-;_-* &quot;-&quot;??\ &quot;€&quot;_-;_-@_-"/>
    <numFmt numFmtId="164" formatCode="#,##0.0"/>
    <numFmt numFmtId="165" formatCode="#,##0.0\ &quot;€&quot;;[Red]\-#,##0.0\ &quot;€&quot;"/>
  </numFmts>
  <fonts count="22" x14ac:knownFonts="1">
    <font>
      <sz val="10"/>
      <name val="Arial"/>
    </font>
    <font>
      <b/>
      <sz val="10"/>
      <name val="Arial"/>
      <family val="2"/>
    </font>
    <font>
      <sz val="10"/>
      <name val="Arial"/>
      <family val="2"/>
    </font>
    <font>
      <b/>
      <i/>
      <sz val="10"/>
      <name val="Arial"/>
      <family val="2"/>
    </font>
    <font>
      <b/>
      <sz val="12"/>
      <name val="Arial"/>
      <family val="2"/>
    </font>
    <font>
      <sz val="10"/>
      <name val="Arial"/>
      <family val="2"/>
    </font>
    <font>
      <b/>
      <sz val="9"/>
      <name val="Calibri"/>
      <family val="2"/>
      <scheme val="minor"/>
    </font>
    <font>
      <sz val="9"/>
      <name val="Calibri"/>
      <family val="2"/>
      <scheme val="minor"/>
    </font>
    <font>
      <sz val="10"/>
      <name val="Calibri"/>
      <family val="2"/>
      <scheme val="minor"/>
    </font>
    <font>
      <i/>
      <sz val="9"/>
      <name val="Calibri"/>
      <family val="2"/>
      <scheme val="minor"/>
    </font>
    <font>
      <b/>
      <sz val="10"/>
      <name val="Calibri"/>
      <family val="2"/>
      <scheme val="minor"/>
    </font>
    <font>
      <sz val="8"/>
      <name val="Arial"/>
      <family val="2"/>
    </font>
    <font>
      <i/>
      <sz val="10"/>
      <name val="Arial"/>
      <family val="2"/>
    </font>
    <font>
      <i/>
      <sz val="9"/>
      <name val="Arial"/>
      <family val="2"/>
    </font>
    <font>
      <sz val="10"/>
      <color rgb="FFFF0000"/>
      <name val="Calibri"/>
      <family val="2"/>
      <scheme val="minor"/>
    </font>
    <font>
      <i/>
      <sz val="10"/>
      <name val="Calibri"/>
      <family val="2"/>
      <scheme val="minor"/>
    </font>
    <font>
      <sz val="12"/>
      <name val="Arial"/>
      <family val="2"/>
    </font>
    <font>
      <sz val="10"/>
      <color rgb="FFFF0000"/>
      <name val="Arial"/>
      <family val="2"/>
    </font>
    <font>
      <sz val="9"/>
      <color rgb="FFFF0000"/>
      <name val="Calibri"/>
      <family val="2"/>
      <scheme val="minor"/>
    </font>
    <font>
      <i/>
      <sz val="9"/>
      <color rgb="FFFF0000"/>
      <name val="Calibri"/>
      <family val="2"/>
      <scheme val="minor"/>
    </font>
    <font>
      <b/>
      <sz val="9"/>
      <color rgb="FFC00000"/>
      <name val="Calibri"/>
      <family val="2"/>
      <scheme val="minor"/>
    </font>
    <font>
      <b/>
      <sz val="9"/>
      <color rgb="FFFF0000"/>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2"/>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rgb="FFFFFF00"/>
        <bgColor indexed="64"/>
      </patternFill>
    </fill>
    <fill>
      <patternFill patternType="solid">
        <fgColor rgb="FFCDFFEB"/>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top/>
      <bottom/>
      <diagonal/>
    </border>
    <border>
      <left/>
      <right/>
      <top/>
      <bottom style="thin">
        <color indexed="64"/>
      </bottom>
      <diagonal/>
    </border>
  </borders>
  <cellStyleXfs count="6">
    <xf numFmtId="0" fontId="0" fillId="0" borderId="0"/>
    <xf numFmtId="0" fontId="2" fillId="0" borderId="0"/>
    <xf numFmtId="44" fontId="2"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cellStyleXfs>
  <cellXfs count="181">
    <xf numFmtId="0" fontId="0" fillId="0" borderId="0" xfId="0"/>
    <xf numFmtId="0" fontId="6" fillId="0" borderId="1" xfId="0" applyFont="1" applyBorder="1" applyAlignment="1">
      <alignment horizontal="center" vertical="center" wrapText="1"/>
    </xf>
    <xf numFmtId="0" fontId="7" fillId="0" borderId="1" xfId="0" applyFont="1" applyBorder="1" applyAlignment="1">
      <alignment vertical="center"/>
    </xf>
    <xf numFmtId="0" fontId="6" fillId="0" borderId="1" xfId="0" applyFont="1" applyBorder="1" applyAlignment="1">
      <alignment vertical="center" wrapText="1"/>
    </xf>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0" fontId="9" fillId="0" borderId="1" xfId="0" applyFont="1" applyBorder="1" applyAlignment="1">
      <alignment vertical="center" wrapText="1"/>
    </xf>
    <xf numFmtId="0" fontId="9" fillId="0" borderId="1" xfId="0" applyFont="1" applyBorder="1" applyAlignment="1">
      <alignment horizontal="right" vertical="center" wrapText="1"/>
    </xf>
    <xf numFmtId="0" fontId="9" fillId="0" borderId="1" xfId="0" applyFont="1" applyBorder="1" applyAlignment="1">
      <alignment horizontal="left" vertical="center" wrapText="1"/>
    </xf>
    <xf numFmtId="0" fontId="6" fillId="0" borderId="1" xfId="0" applyFont="1" applyBorder="1" applyAlignment="1">
      <alignment vertical="center"/>
    </xf>
    <xf numFmtId="1" fontId="9" fillId="0" borderId="1" xfId="0" applyNumberFormat="1" applyFont="1" applyBorder="1" applyAlignment="1">
      <alignment horizontal="right" vertical="center" wrapText="1"/>
    </xf>
    <xf numFmtId="1" fontId="9" fillId="0" borderId="1" xfId="0" applyNumberFormat="1" applyFont="1" applyBorder="1" applyAlignment="1">
      <alignment horizontal="left" vertical="center" wrapText="1"/>
    </xf>
    <xf numFmtId="0" fontId="9" fillId="0" borderId="1" xfId="0" applyFont="1" applyBorder="1" applyAlignment="1">
      <alignment vertical="center"/>
    </xf>
    <xf numFmtId="0" fontId="8" fillId="0" borderId="1" xfId="0" applyFont="1" applyBorder="1" applyAlignment="1">
      <alignment horizontal="center" vertical="center"/>
    </xf>
    <xf numFmtId="0" fontId="9" fillId="0" borderId="1" xfId="0" quotePrefix="1" applyFont="1" applyBorder="1" applyAlignment="1">
      <alignment horizontal="right" vertical="center" wrapText="1"/>
    </xf>
    <xf numFmtId="2" fontId="7" fillId="0" borderId="1" xfId="0" applyNumberFormat="1" applyFont="1" applyBorder="1" applyAlignment="1">
      <alignment vertical="center"/>
    </xf>
    <xf numFmtId="0" fontId="10" fillId="0" borderId="1" xfId="0" applyFont="1" applyBorder="1" applyAlignment="1">
      <alignment horizontal="left" vertical="center"/>
    </xf>
    <xf numFmtId="0" fontId="10" fillId="0" borderId="1" xfId="1" applyFont="1" applyBorder="1" applyAlignment="1">
      <alignment horizontal="center" vertical="center"/>
    </xf>
    <xf numFmtId="3" fontId="0" fillId="0" borderId="0" xfId="0" applyNumberFormat="1"/>
    <xf numFmtId="0" fontId="10" fillId="0" borderId="2" xfId="0" applyFont="1" applyBorder="1" applyAlignment="1">
      <alignment vertical="center"/>
    </xf>
    <xf numFmtId="0" fontId="8" fillId="0" borderId="0" xfId="1" applyFont="1"/>
    <xf numFmtId="0" fontId="2" fillId="0" borderId="0" xfId="1"/>
    <xf numFmtId="0" fontId="7" fillId="0" borderId="1" xfId="1" applyFont="1" applyBorder="1" applyAlignment="1">
      <alignment vertical="center"/>
    </xf>
    <xf numFmtId="0" fontId="7" fillId="0" borderId="1" xfId="1" applyFont="1" applyBorder="1" applyAlignment="1">
      <alignment vertical="center" wrapText="1"/>
    </xf>
    <xf numFmtId="3" fontId="7" fillId="0" borderId="1" xfId="1" applyNumberFormat="1" applyFont="1" applyBorder="1" applyAlignment="1">
      <alignment horizontal="right" vertical="center" wrapText="1"/>
    </xf>
    <xf numFmtId="0" fontId="7" fillId="0" borderId="1" xfId="1" applyFont="1" applyBorder="1" applyAlignment="1">
      <alignment horizontal="right" vertical="center" wrapText="1"/>
    </xf>
    <xf numFmtId="9" fontId="0" fillId="0" borderId="0" xfId="5" applyFont="1"/>
    <xf numFmtId="0" fontId="10" fillId="0" borderId="0" xfId="1" applyFont="1"/>
    <xf numFmtId="0" fontId="10" fillId="0" borderId="2" xfId="0" applyFont="1" applyBorder="1" applyAlignment="1">
      <alignment horizontal="left"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3" fontId="10" fillId="0" borderId="1" xfId="0" applyNumberFormat="1" applyFont="1" applyBorder="1" applyAlignment="1">
      <alignment vertical="center"/>
    </xf>
    <xf numFmtId="3" fontId="6" fillId="0" borderId="1" xfId="0" applyNumberFormat="1" applyFont="1" applyBorder="1" applyAlignment="1">
      <alignment vertical="center"/>
    </xf>
    <xf numFmtId="3" fontId="9" fillId="0" borderId="1" xfId="3" applyNumberFormat="1" applyFont="1" applyBorder="1" applyAlignment="1">
      <alignment vertical="center" wrapText="1"/>
    </xf>
    <xf numFmtId="3" fontId="6" fillId="0" borderId="1" xfId="3" applyNumberFormat="1" applyFont="1" applyBorder="1" applyAlignment="1">
      <alignment vertical="center" wrapText="1"/>
    </xf>
    <xf numFmtId="0" fontId="0" fillId="0" borderId="0" xfId="0" applyAlignment="1">
      <alignment vertical="center"/>
    </xf>
    <xf numFmtId="0" fontId="2" fillId="0" borderId="0" xfId="0" quotePrefix="1" applyFont="1" applyAlignment="1">
      <alignment horizontal="right" vertical="center"/>
    </xf>
    <xf numFmtId="0" fontId="11" fillId="0" borderId="0" xfId="0" applyFont="1" applyAlignment="1">
      <alignment horizontal="center" wrapText="1"/>
    </xf>
    <xf numFmtId="0" fontId="1" fillId="0" borderId="0" xfId="0" applyFont="1" applyAlignment="1">
      <alignment horizontal="center"/>
    </xf>
    <xf numFmtId="14" fontId="2" fillId="0" borderId="0" xfId="0" quotePrefix="1" applyNumberFormat="1" applyFont="1" applyAlignment="1">
      <alignment horizontal="center" vertical="center"/>
    </xf>
    <xf numFmtId="3" fontId="0" fillId="0" borderId="0" xfId="0" applyNumberFormat="1" applyAlignment="1">
      <alignment vertical="center"/>
    </xf>
    <xf numFmtId="0" fontId="13" fillId="0" borderId="0" xfId="0" applyFont="1"/>
    <xf numFmtId="0" fontId="12" fillId="0" borderId="0" xfId="0" applyFont="1"/>
    <xf numFmtId="0" fontId="7" fillId="0" borderId="1" xfId="1" applyFont="1" applyBorder="1" applyAlignment="1">
      <alignment horizontal="center" vertical="center" wrapText="1"/>
    </xf>
    <xf numFmtId="0" fontId="1" fillId="3" borderId="0" xfId="0" applyFont="1" applyFill="1" applyAlignment="1">
      <alignment vertical="center"/>
    </xf>
    <xf numFmtId="3" fontId="0" fillId="3" borderId="0" xfId="0" applyNumberFormat="1" applyFill="1" applyAlignment="1">
      <alignment vertical="center"/>
    </xf>
    <xf numFmtId="0" fontId="2" fillId="3" borderId="3" xfId="0" quotePrefix="1" applyFont="1" applyFill="1" applyBorder="1" applyAlignment="1">
      <alignment horizontal="right" vertical="center"/>
    </xf>
    <xf numFmtId="0" fontId="2" fillId="3" borderId="3" xfId="0" applyFont="1" applyFill="1" applyBorder="1" applyAlignment="1">
      <alignment vertical="center"/>
    </xf>
    <xf numFmtId="0" fontId="0" fillId="3" borderId="0" xfId="0" applyFill="1" applyAlignment="1">
      <alignment horizontal="center" vertical="center"/>
    </xf>
    <xf numFmtId="0" fontId="0" fillId="3" borderId="0" xfId="0" applyFill="1" applyAlignment="1">
      <alignment vertical="center"/>
    </xf>
    <xf numFmtId="0" fontId="2" fillId="3" borderId="0" xfId="0" applyFont="1" applyFill="1" applyAlignment="1">
      <alignment horizontal="center" vertical="center"/>
    </xf>
    <xf numFmtId="0" fontId="1" fillId="5" borderId="0" xfId="0" applyFont="1" applyFill="1" applyAlignment="1">
      <alignment vertical="center"/>
    </xf>
    <xf numFmtId="3" fontId="0" fillId="5" borderId="0" xfId="0" applyNumberFormat="1" applyFill="1" applyAlignment="1">
      <alignment vertical="center"/>
    </xf>
    <xf numFmtId="0" fontId="2" fillId="5" borderId="3" xfId="0" applyFont="1" applyFill="1" applyBorder="1" applyAlignment="1">
      <alignment vertical="center" wrapText="1"/>
    </xf>
    <xf numFmtId="0" fontId="1" fillId="6" borderId="0" xfId="0" applyFont="1" applyFill="1" applyAlignment="1">
      <alignment vertical="center"/>
    </xf>
    <xf numFmtId="3" fontId="0" fillId="6" borderId="0" xfId="0" applyNumberFormat="1" applyFill="1" applyAlignment="1">
      <alignment vertical="center"/>
    </xf>
    <xf numFmtId="0" fontId="2" fillId="6" borderId="3" xfId="0" applyFont="1" applyFill="1" applyBorder="1" applyAlignment="1">
      <alignment vertical="center" wrapText="1"/>
    </xf>
    <xf numFmtId="0" fontId="1" fillId="7" borderId="0" xfId="0" applyFont="1" applyFill="1" applyAlignment="1">
      <alignment vertical="center"/>
    </xf>
    <xf numFmtId="3" fontId="0" fillId="7" borderId="0" xfId="0" applyNumberFormat="1" applyFill="1" applyAlignment="1">
      <alignment vertical="center"/>
    </xf>
    <xf numFmtId="0" fontId="2" fillId="7" borderId="3" xfId="0" applyFont="1" applyFill="1" applyBorder="1" applyAlignment="1">
      <alignment vertical="center" wrapText="1"/>
    </xf>
    <xf numFmtId="0" fontId="0" fillId="7" borderId="0" xfId="0" applyFill="1"/>
    <xf numFmtId="0" fontId="10" fillId="8" borderId="1" xfId="1" applyFont="1" applyFill="1" applyBorder="1" applyAlignment="1">
      <alignment horizontal="center" vertical="center" wrapText="1"/>
    </xf>
    <xf numFmtId="0" fontId="6" fillId="8" borderId="1" xfId="1" applyFont="1" applyFill="1" applyBorder="1" applyAlignment="1">
      <alignment horizontal="center" vertical="center" wrapText="1"/>
    </xf>
    <xf numFmtId="0" fontId="10" fillId="4" borderId="2" xfId="0" applyFont="1" applyFill="1" applyBorder="1" applyAlignment="1">
      <alignment vertical="center"/>
    </xf>
    <xf numFmtId="0" fontId="10" fillId="4" borderId="4" xfId="0" applyFont="1" applyFill="1" applyBorder="1" applyAlignment="1">
      <alignment vertical="center"/>
    </xf>
    <xf numFmtId="0" fontId="0" fillId="5" borderId="0" xfId="0" applyFill="1" applyAlignment="1">
      <alignment vertical="center"/>
    </xf>
    <xf numFmtId="0" fontId="2" fillId="5" borderId="0" xfId="0" quotePrefix="1" applyFont="1" applyFill="1" applyAlignment="1">
      <alignment horizontal="right" vertical="center"/>
    </xf>
    <xf numFmtId="0" fontId="2" fillId="5" borderId="0" xfId="0" applyFont="1" applyFill="1" applyAlignment="1">
      <alignment vertical="center"/>
    </xf>
    <xf numFmtId="14" fontId="2" fillId="5" borderId="0" xfId="0" quotePrefix="1" applyNumberFormat="1" applyFont="1" applyFill="1" applyAlignment="1">
      <alignment horizontal="center" vertical="center"/>
    </xf>
    <xf numFmtId="0" fontId="0" fillId="5" borderId="3" xfId="0" applyFill="1" applyBorder="1" applyAlignment="1">
      <alignment vertical="center"/>
    </xf>
    <xf numFmtId="0" fontId="2" fillId="5" borderId="0" xfId="0" applyFont="1" applyFill="1" applyAlignment="1">
      <alignment horizontal="center" vertical="center"/>
    </xf>
    <xf numFmtId="0" fontId="0" fillId="0" borderId="1" xfId="0" applyBorder="1" applyAlignment="1">
      <alignment horizontal="right"/>
    </xf>
    <xf numFmtId="0" fontId="9" fillId="0" borderId="1" xfId="0" applyFont="1" applyBorder="1" applyAlignment="1">
      <alignment horizontal="right" vertical="center"/>
    </xf>
    <xf numFmtId="0" fontId="7" fillId="0" borderId="1" xfId="0" applyFont="1" applyBorder="1" applyAlignment="1">
      <alignment horizontal="right" vertical="center" wrapText="1"/>
    </xf>
    <xf numFmtId="0" fontId="14" fillId="0" borderId="1" xfId="1" applyFont="1" applyBorder="1" applyAlignment="1">
      <alignment vertical="center"/>
    </xf>
    <xf numFmtId="0" fontId="9" fillId="0" borderId="0" xfId="0" applyFont="1" applyAlignment="1">
      <alignment vertical="center"/>
    </xf>
    <xf numFmtId="0" fontId="1" fillId="8" borderId="1" xfId="1" applyFont="1" applyFill="1" applyBorder="1" applyAlignment="1">
      <alignment horizontal="center" vertical="center"/>
    </xf>
    <xf numFmtId="0" fontId="3" fillId="8" borderId="1" xfId="0" applyFont="1" applyFill="1" applyBorder="1" applyAlignment="1">
      <alignment vertical="center"/>
    </xf>
    <xf numFmtId="0" fontId="2" fillId="0" borderId="1" xfId="0" applyFont="1" applyBorder="1" applyAlignment="1">
      <alignment vertical="center" wrapText="1"/>
    </xf>
    <xf numFmtId="0" fontId="10" fillId="8" borderId="2" xfId="0" applyFont="1" applyFill="1" applyBorder="1" applyAlignment="1">
      <alignment horizontal="left" vertical="center"/>
    </xf>
    <xf numFmtId="0" fontId="8" fillId="8" borderId="3" xfId="0" applyFont="1" applyFill="1" applyBorder="1"/>
    <xf numFmtId="0" fontId="8" fillId="8" borderId="4" xfId="0" applyFont="1" applyFill="1" applyBorder="1"/>
    <xf numFmtId="0" fontId="8" fillId="0" borderId="1" xfId="0" applyFont="1" applyBorder="1" applyAlignment="1">
      <alignment vertical="center"/>
    </xf>
    <xf numFmtId="0" fontId="10" fillId="0" borderId="1" xfId="0" applyFont="1" applyBorder="1" applyAlignment="1">
      <alignment horizontal="center" vertical="center"/>
    </xf>
    <xf numFmtId="6" fontId="10" fillId="0" borderId="1" xfId="4" applyNumberFormat="1" applyFont="1" applyBorder="1" applyAlignment="1">
      <alignment vertical="center" wrapText="1"/>
    </xf>
    <xf numFmtId="0" fontId="9" fillId="0" borderId="1" xfId="0" quotePrefix="1" applyFont="1" applyBorder="1" applyAlignment="1">
      <alignment horizontal="right" vertical="center"/>
    </xf>
    <xf numFmtId="6" fontId="15" fillId="0" borderId="1" xfId="4" applyNumberFormat="1" applyFont="1" applyFill="1" applyBorder="1" applyAlignment="1">
      <alignment vertical="center" wrapText="1"/>
    </xf>
    <xf numFmtId="6" fontId="10" fillId="0" borderId="1" xfId="4" applyNumberFormat="1" applyFont="1" applyFill="1" applyBorder="1" applyAlignment="1">
      <alignment vertical="center" wrapText="1"/>
    </xf>
    <xf numFmtId="0" fontId="9" fillId="0" borderId="5" xfId="0" quotePrefix="1" applyFont="1" applyBorder="1" applyAlignment="1">
      <alignment horizontal="right" vertical="center"/>
    </xf>
    <xf numFmtId="6" fontId="10" fillId="0" borderId="1" xfId="0" applyNumberFormat="1" applyFont="1" applyBorder="1" applyAlignment="1">
      <alignment horizontal="right" vertical="center"/>
    </xf>
    <xf numFmtId="0" fontId="8" fillId="0" borderId="0" xfId="0" applyFont="1"/>
    <xf numFmtId="0" fontId="7" fillId="0" borderId="0" xfId="0" applyFont="1"/>
    <xf numFmtId="0" fontId="16" fillId="0" borderId="0" xfId="0" applyFont="1" applyAlignment="1">
      <alignment vertical="center"/>
    </xf>
    <xf numFmtId="0" fontId="10" fillId="0" borderId="0" xfId="0" applyFont="1" applyAlignment="1">
      <alignment horizontal="left" vertical="center"/>
    </xf>
    <xf numFmtId="6" fontId="10" fillId="0" borderId="0" xfId="0" applyNumberFormat="1" applyFont="1" applyAlignment="1">
      <alignment horizontal="right" vertical="center"/>
    </xf>
    <xf numFmtId="0" fontId="3" fillId="6" borderId="1" xfId="0" applyFont="1" applyFill="1" applyBorder="1" applyAlignment="1">
      <alignment vertical="center"/>
    </xf>
    <xf numFmtId="0" fontId="1" fillId="6" borderId="1" xfId="1" applyFont="1" applyFill="1" applyBorder="1" applyAlignment="1">
      <alignment horizontal="center" vertical="center"/>
    </xf>
    <xf numFmtId="0" fontId="10" fillId="6" borderId="2" xfId="0" applyFont="1" applyFill="1" applyBorder="1" applyAlignment="1">
      <alignment horizontal="left" vertical="center"/>
    </xf>
    <xf numFmtId="0" fontId="8" fillId="6" borderId="3" xfId="0" applyFont="1" applyFill="1" applyBorder="1"/>
    <xf numFmtId="0" fontId="8" fillId="6" borderId="4" xfId="0" applyFont="1" applyFill="1" applyBorder="1"/>
    <xf numFmtId="0" fontId="10" fillId="6" borderId="1" xfId="1" applyFont="1" applyFill="1" applyBorder="1" applyAlignment="1">
      <alignment horizontal="center" vertical="center" wrapText="1"/>
    </xf>
    <xf numFmtId="0" fontId="6" fillId="6" borderId="1" xfId="1" applyFont="1" applyFill="1" applyBorder="1" applyAlignment="1">
      <alignment horizontal="center" vertical="center" wrapText="1"/>
    </xf>
    <xf numFmtId="3" fontId="17" fillId="0" borderId="0" xfId="0" applyNumberFormat="1" applyFont="1" applyAlignment="1">
      <alignment vertical="center"/>
    </xf>
    <xf numFmtId="3" fontId="2" fillId="0" borderId="0" xfId="0" applyNumberFormat="1" applyFont="1" applyAlignment="1">
      <alignment vertical="center"/>
    </xf>
    <xf numFmtId="0" fontId="0" fillId="0" borderId="0" xfId="0" applyAlignment="1">
      <alignment horizontal="center"/>
    </xf>
    <xf numFmtId="0" fontId="2" fillId="3" borderId="3" xfId="0" quotePrefix="1" applyFont="1" applyFill="1" applyBorder="1" applyAlignment="1">
      <alignment horizontal="center" vertical="center"/>
    </xf>
    <xf numFmtId="0" fontId="2" fillId="0" borderId="0" xfId="0" quotePrefix="1" applyFont="1" applyAlignment="1">
      <alignment horizontal="center" vertical="center"/>
    </xf>
    <xf numFmtId="0" fontId="2" fillId="5" borderId="3" xfId="0" quotePrefix="1" applyFont="1" applyFill="1" applyBorder="1" applyAlignment="1">
      <alignment horizontal="center" vertical="center"/>
    </xf>
    <xf numFmtId="0" fontId="2" fillId="5" borderId="0" xfId="0" quotePrefix="1" applyFont="1" applyFill="1" applyAlignment="1">
      <alignment horizontal="center" vertical="center"/>
    </xf>
    <xf numFmtId="0" fontId="0" fillId="5" borderId="3" xfId="0" applyFill="1" applyBorder="1" applyAlignment="1">
      <alignment horizontal="center"/>
    </xf>
    <xf numFmtId="0" fontId="0" fillId="0" borderId="0" xfId="0" applyAlignment="1">
      <alignment horizontal="center" vertical="center"/>
    </xf>
    <xf numFmtId="0" fontId="2" fillId="6" borderId="3" xfId="0" quotePrefix="1" applyFont="1" applyFill="1" applyBorder="1" applyAlignment="1">
      <alignment horizontal="center" vertical="center"/>
    </xf>
    <xf numFmtId="0" fontId="2" fillId="7" borderId="3" xfId="0" quotePrefix="1" applyFont="1" applyFill="1" applyBorder="1" applyAlignment="1">
      <alignment horizontal="center" vertical="center"/>
    </xf>
    <xf numFmtId="3" fontId="17" fillId="0" borderId="0" xfId="0" applyNumberFormat="1" applyFont="1" applyAlignment="1">
      <alignment horizontal="center" vertical="center"/>
    </xf>
    <xf numFmtId="0" fontId="12" fillId="0" borderId="0" xfId="0" applyFont="1" applyAlignment="1">
      <alignment horizontal="center"/>
    </xf>
    <xf numFmtId="0" fontId="2" fillId="6" borderId="0" xfId="0" applyFont="1" applyFill="1" applyAlignment="1">
      <alignment horizontal="center" vertical="center"/>
    </xf>
    <xf numFmtId="0" fontId="2" fillId="7" borderId="0" xfId="0" applyFont="1" applyFill="1" applyAlignment="1">
      <alignment horizontal="center" vertical="center"/>
    </xf>
    <xf numFmtId="0" fontId="18" fillId="0" borderId="1" xfId="1" applyFont="1" applyBorder="1" applyAlignment="1">
      <alignment vertical="center"/>
    </xf>
    <xf numFmtId="0" fontId="1" fillId="8" borderId="4" xfId="1" applyFont="1" applyFill="1" applyBorder="1" applyAlignment="1">
      <alignment horizontal="center" vertical="center"/>
    </xf>
    <xf numFmtId="1" fontId="19" fillId="0" borderId="1" xfId="0" applyNumberFormat="1" applyFont="1" applyBorder="1" applyAlignment="1">
      <alignment horizontal="right" vertical="center" wrapText="1"/>
    </xf>
    <xf numFmtId="1" fontId="19" fillId="0" borderId="1" xfId="0" applyNumberFormat="1" applyFont="1" applyBorder="1" applyAlignment="1">
      <alignment horizontal="left" vertical="center" wrapText="1"/>
    </xf>
    <xf numFmtId="0" fontId="1" fillId="10" borderId="6" xfId="0" applyFont="1" applyFill="1" applyBorder="1" applyAlignment="1">
      <alignment vertical="center" wrapText="1"/>
    </xf>
    <xf numFmtId="3" fontId="0" fillId="10" borderId="0" xfId="0" applyNumberFormat="1" applyFill="1" applyAlignment="1">
      <alignment vertical="center"/>
    </xf>
    <xf numFmtId="0" fontId="2" fillId="10" borderId="3" xfId="0" quotePrefix="1" applyFont="1" applyFill="1" applyBorder="1" applyAlignment="1">
      <alignment horizontal="right" vertical="center"/>
    </xf>
    <xf numFmtId="0" fontId="2" fillId="10" borderId="3" xfId="0" applyFont="1" applyFill="1" applyBorder="1" applyAlignment="1">
      <alignment vertical="center" wrapText="1"/>
    </xf>
    <xf numFmtId="0" fontId="0" fillId="10" borderId="7" xfId="0" applyFill="1" applyBorder="1" applyAlignment="1">
      <alignment horizontal="center" vertical="center"/>
    </xf>
    <xf numFmtId="3" fontId="20" fillId="0" borderId="1" xfId="0" applyNumberFormat="1" applyFont="1" applyBorder="1" applyAlignment="1">
      <alignment horizontal="right" vertical="center" wrapText="1"/>
    </xf>
    <xf numFmtId="3" fontId="6" fillId="0" borderId="1" xfId="0" applyNumberFormat="1" applyFont="1" applyBorder="1" applyAlignment="1">
      <alignment horizontal="right" vertical="center" wrapText="1"/>
    </xf>
    <xf numFmtId="3" fontId="7" fillId="0" borderId="1" xfId="0" applyNumberFormat="1" applyFont="1" applyBorder="1" applyAlignment="1">
      <alignment horizontal="right" vertical="center" wrapText="1"/>
    </xf>
    <xf numFmtId="0" fontId="20" fillId="0" borderId="1" xfId="0" applyFont="1" applyBorder="1" applyAlignment="1">
      <alignment vertical="center" wrapText="1"/>
    </xf>
    <xf numFmtId="3" fontId="18" fillId="0" borderId="1" xfId="0" applyNumberFormat="1" applyFont="1" applyBorder="1" applyAlignment="1">
      <alignment horizontal="right" vertical="center" wrapText="1"/>
    </xf>
    <xf numFmtId="0" fontId="20" fillId="0" borderId="1" xfId="0" applyFont="1" applyBorder="1" applyAlignment="1">
      <alignment vertical="center"/>
    </xf>
    <xf numFmtId="3" fontId="2" fillId="0" borderId="0" xfId="1" applyNumberFormat="1"/>
    <xf numFmtId="0" fontId="8" fillId="0" borderId="1" xfId="1" applyFont="1" applyBorder="1" applyAlignment="1">
      <alignment vertical="center"/>
    </xf>
    <xf numFmtId="0" fontId="18" fillId="10" borderId="1" xfId="1" applyFont="1" applyFill="1" applyBorder="1" applyAlignment="1">
      <alignment vertical="center"/>
    </xf>
    <xf numFmtId="3" fontId="20" fillId="10" borderId="1" xfId="0" applyNumberFormat="1" applyFont="1" applyFill="1" applyBorder="1" applyAlignment="1">
      <alignment horizontal="right" vertical="center" wrapText="1"/>
    </xf>
    <xf numFmtId="0" fontId="21" fillId="10" borderId="1" xfId="1" applyFont="1" applyFill="1" applyBorder="1" applyAlignment="1">
      <alignment vertical="center" wrapText="1"/>
    </xf>
    <xf numFmtId="6" fontId="2" fillId="0" borderId="0" xfId="1" applyNumberFormat="1"/>
    <xf numFmtId="0" fontId="21" fillId="10" borderId="1" xfId="1" applyFont="1" applyFill="1" applyBorder="1" applyAlignment="1">
      <alignment vertical="center"/>
    </xf>
    <xf numFmtId="164" fontId="9" fillId="0" borderId="1" xfId="4" applyNumberFormat="1" applyFont="1" applyBorder="1" applyAlignment="1">
      <alignment vertical="center" wrapText="1"/>
    </xf>
    <xf numFmtId="10" fontId="0" fillId="0" borderId="4" xfId="5" applyNumberFormat="1" applyFont="1" applyBorder="1" applyAlignment="1">
      <alignment vertical="center"/>
    </xf>
    <xf numFmtId="0" fontId="4" fillId="8" borderId="0" xfId="0" applyFont="1" applyFill="1" applyAlignment="1">
      <alignment horizontal="center" vertical="center"/>
    </xf>
    <xf numFmtId="0" fontId="10" fillId="8" borderId="2" xfId="0" applyFont="1" applyFill="1" applyBorder="1" applyAlignment="1">
      <alignment horizontal="center" vertical="center"/>
    </xf>
    <xf numFmtId="0" fontId="10" fillId="8" borderId="3" xfId="0" applyFont="1" applyFill="1" applyBorder="1" applyAlignment="1">
      <alignment horizontal="center" vertical="center"/>
    </xf>
    <xf numFmtId="0" fontId="10" fillId="8" borderId="4" xfId="0" applyFont="1" applyFill="1" applyBorder="1" applyAlignment="1">
      <alignment horizontal="center" vertical="center"/>
    </xf>
    <xf numFmtId="0" fontId="4" fillId="2" borderId="0" xfId="0" applyFont="1" applyFill="1" applyAlignment="1">
      <alignment horizontal="center" vertical="center"/>
    </xf>
    <xf numFmtId="0" fontId="10" fillId="6" borderId="2" xfId="0" applyFont="1" applyFill="1" applyBorder="1" applyAlignment="1">
      <alignment horizontal="center" vertical="center"/>
    </xf>
    <xf numFmtId="0" fontId="10" fillId="6" borderId="3" xfId="0" applyFont="1" applyFill="1" applyBorder="1" applyAlignment="1">
      <alignment horizontal="center" vertical="center"/>
    </xf>
    <xf numFmtId="0" fontId="10" fillId="6" borderId="4" xfId="0" applyFont="1" applyFill="1" applyBorder="1" applyAlignment="1">
      <alignment horizontal="center" vertical="center"/>
    </xf>
    <xf numFmtId="164" fontId="8" fillId="0" borderId="1" xfId="1" applyNumberFormat="1" applyFont="1" applyBorder="1"/>
    <xf numFmtId="164" fontId="8" fillId="9" borderId="1" xfId="1" applyNumberFormat="1" applyFont="1" applyFill="1" applyBorder="1"/>
    <xf numFmtId="164" fontId="8" fillId="10" borderId="1" xfId="1" applyNumberFormat="1" applyFont="1" applyFill="1" applyBorder="1"/>
    <xf numFmtId="164" fontId="8" fillId="0" borderId="0" xfId="1" applyNumberFormat="1" applyFont="1"/>
    <xf numFmtId="164" fontId="10" fillId="0" borderId="1" xfId="0" applyNumberFormat="1" applyFont="1" applyBorder="1" applyAlignment="1">
      <alignment vertical="center"/>
    </xf>
    <xf numFmtId="164" fontId="6" fillId="0" borderId="1" xfId="0" applyNumberFormat="1" applyFont="1" applyBorder="1" applyAlignment="1">
      <alignment vertical="center"/>
    </xf>
    <xf numFmtId="164" fontId="6" fillId="0" borderId="1" xfId="3" applyNumberFormat="1" applyFont="1" applyBorder="1" applyAlignment="1">
      <alignment vertical="center" wrapText="1"/>
    </xf>
    <xf numFmtId="164" fontId="9" fillId="0" borderId="1" xfId="3" applyNumberFormat="1" applyFont="1" applyBorder="1" applyAlignment="1">
      <alignment vertical="center" wrapText="1"/>
    </xf>
    <xf numFmtId="164" fontId="6" fillId="0" borderId="1" xfId="3" applyNumberFormat="1" applyFont="1" applyFill="1" applyBorder="1" applyAlignment="1">
      <alignment vertical="center" wrapText="1"/>
    </xf>
    <xf numFmtId="164" fontId="7" fillId="0" borderId="1" xfId="0" applyNumberFormat="1" applyFont="1" applyBorder="1" applyAlignment="1">
      <alignment vertical="center"/>
    </xf>
    <xf numFmtId="164" fontId="10" fillId="4" borderId="1" xfId="0" applyNumberFormat="1" applyFont="1" applyFill="1" applyBorder="1" applyAlignment="1">
      <alignment vertical="center"/>
    </xf>
    <xf numFmtId="164" fontId="20" fillId="10" borderId="1" xfId="0" applyNumberFormat="1" applyFont="1" applyFill="1" applyBorder="1" applyAlignment="1">
      <alignment horizontal="right" vertical="center" wrapText="1"/>
    </xf>
    <xf numFmtId="164" fontId="21" fillId="10" borderId="1" xfId="1" applyNumberFormat="1" applyFont="1" applyFill="1" applyBorder="1" applyAlignment="1">
      <alignment horizontal="right" vertical="center" wrapText="1"/>
    </xf>
    <xf numFmtId="165" fontId="0" fillId="0" borderId="4" xfId="0" applyNumberFormat="1" applyBorder="1" applyAlignment="1">
      <alignment vertical="center"/>
    </xf>
    <xf numFmtId="165" fontId="10" fillId="4" borderId="1" xfId="0" applyNumberFormat="1" applyFont="1" applyFill="1" applyBorder="1" applyAlignment="1">
      <alignment vertical="center"/>
    </xf>
    <xf numFmtId="165" fontId="9" fillId="0" borderId="1" xfId="4" applyNumberFormat="1" applyFont="1" applyBorder="1" applyAlignment="1">
      <alignment vertical="center" wrapText="1"/>
    </xf>
    <xf numFmtId="165" fontId="6" fillId="0" borderId="1" xfId="3" applyNumberFormat="1" applyFont="1" applyFill="1" applyBorder="1" applyAlignment="1">
      <alignment vertical="center" wrapText="1"/>
    </xf>
    <xf numFmtId="165" fontId="10" fillId="0" borderId="1" xfId="0" applyNumberFormat="1" applyFont="1" applyBorder="1" applyAlignment="1">
      <alignment vertical="center"/>
    </xf>
    <xf numFmtId="165" fontId="6" fillId="0" borderId="1" xfId="0" applyNumberFormat="1" applyFont="1" applyBorder="1" applyAlignment="1">
      <alignment vertical="center"/>
    </xf>
    <xf numFmtId="165" fontId="6" fillId="0" borderId="1" xfId="3" applyNumberFormat="1" applyFont="1" applyBorder="1" applyAlignment="1">
      <alignment vertical="center" wrapText="1"/>
    </xf>
    <xf numFmtId="165" fontId="9" fillId="0" borderId="1" xfId="3" applyNumberFormat="1" applyFont="1" applyBorder="1" applyAlignment="1">
      <alignment vertical="center" wrapText="1"/>
    </xf>
    <xf numFmtId="165" fontId="7" fillId="0" borderId="1" xfId="0" applyNumberFormat="1" applyFont="1" applyBorder="1" applyAlignment="1">
      <alignment vertical="center"/>
    </xf>
    <xf numFmtId="165" fontId="0" fillId="0" borderId="0" xfId="0" applyNumberFormat="1"/>
    <xf numFmtId="165" fontId="10" fillId="0" borderId="1" xfId="4" applyNumberFormat="1" applyFont="1" applyBorder="1" applyAlignment="1">
      <alignment vertical="center" wrapText="1"/>
    </xf>
    <xf numFmtId="165" fontId="15" fillId="0" borderId="1" xfId="4" applyNumberFormat="1" applyFont="1" applyFill="1" applyBorder="1" applyAlignment="1">
      <alignment vertical="center" wrapText="1"/>
    </xf>
    <xf numFmtId="165" fontId="10" fillId="0" borderId="1" xfId="4" applyNumberFormat="1" applyFont="1" applyFill="1" applyBorder="1" applyAlignment="1">
      <alignment vertical="center" wrapText="1"/>
    </xf>
    <xf numFmtId="165" fontId="10" fillId="0" borderId="1" xfId="0" applyNumberFormat="1" applyFont="1" applyBorder="1" applyAlignment="1">
      <alignment horizontal="right" vertical="center"/>
    </xf>
    <xf numFmtId="164" fontId="0" fillId="10" borderId="0" xfId="0" applyNumberFormat="1" applyFill="1" applyAlignment="1">
      <alignment vertical="center"/>
    </xf>
    <xf numFmtId="0" fontId="8" fillId="0" borderId="0" xfId="1" applyFont="1" applyAlignment="1">
      <alignment vertical="center"/>
    </xf>
    <xf numFmtId="164" fontId="8" fillId="0" borderId="1" xfId="1" applyNumberFormat="1" applyFont="1" applyBorder="1" applyAlignment="1">
      <alignment vertical="center"/>
    </xf>
    <xf numFmtId="164" fontId="8" fillId="9" borderId="1" xfId="1" applyNumberFormat="1" applyFont="1" applyFill="1" applyBorder="1" applyAlignment="1">
      <alignment vertical="center"/>
    </xf>
    <xf numFmtId="164" fontId="8" fillId="10" borderId="1" xfId="1" applyNumberFormat="1" applyFont="1" applyFill="1" applyBorder="1" applyAlignment="1">
      <alignment vertical="center"/>
    </xf>
  </cellXfs>
  <cellStyles count="6">
    <cellStyle name="Euro" xfId="2" xr:uid="{00000000-0005-0000-0000-000000000000}"/>
    <cellStyle name="Euro 2" xfId="3" xr:uid="{00000000-0005-0000-0000-000001000000}"/>
    <cellStyle name="Euro 2 2" xfId="4" xr:uid="{00000000-0005-0000-0000-000002000000}"/>
    <cellStyle name="Normal" xfId="0" builtinId="0"/>
    <cellStyle name="Normal 2" xfId="1" xr:uid="{00000000-0005-0000-0000-000004000000}"/>
    <cellStyle name="Porcentual 2" xfId="5" xr:uid="{00000000-0005-0000-0000-000005000000}"/>
  </cellStyles>
  <dxfs count="0"/>
  <tableStyles count="0" defaultTableStyle="TableStyleMedium9" defaultPivotStyle="PivotStyleLight16"/>
  <colors>
    <mruColors>
      <color rgb="FFCDFFEB"/>
      <color rgb="FFA3F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0</xdr:col>
      <xdr:colOff>0</xdr:colOff>
      <xdr:row>2</xdr:row>
      <xdr:rowOff>0</xdr:rowOff>
    </xdr:from>
    <xdr:ext cx="8980714" cy="10406743"/>
    <xdr:sp macro="" textlink="">
      <xdr:nvSpPr>
        <xdr:cNvPr id="2" name="1 CuadroTexto">
          <a:extLst>
            <a:ext uri="{FF2B5EF4-FFF2-40B4-BE49-F238E27FC236}">
              <a16:creationId xmlns:a16="http://schemas.microsoft.com/office/drawing/2014/main" id="{00000000-0008-0000-0000-000002000000}"/>
            </a:ext>
          </a:extLst>
        </xdr:cNvPr>
        <xdr:cNvSpPr txBox="1"/>
      </xdr:nvSpPr>
      <xdr:spPr>
        <a:xfrm>
          <a:off x="0" y="326571"/>
          <a:ext cx="8980714" cy="104067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noAutofit/>
        </a:bodyPr>
        <a:lstStyle/>
        <a:p>
          <a:r>
            <a:rPr lang="es-ES" sz="1400" b="1">
              <a:solidFill>
                <a:schemeClr val="dk1"/>
              </a:solidFill>
              <a:latin typeface="+mn-lt"/>
              <a:ea typeface="+mn-ea"/>
              <a:cs typeface="+mn-cs"/>
            </a:rPr>
            <a:t>ANÁLISIS DE ESTADOS FINANCIEROS/ANÁLISIS CONTABLE 1</a:t>
          </a:r>
          <a:endParaRPr lang="es-ES" sz="1400">
            <a:solidFill>
              <a:schemeClr val="dk1"/>
            </a:solidFill>
            <a:latin typeface="+mn-lt"/>
            <a:ea typeface="+mn-ea"/>
            <a:cs typeface="+mn-cs"/>
          </a:endParaRPr>
        </a:p>
        <a:p>
          <a:r>
            <a:rPr lang="es-ES" sz="1200" b="1">
              <a:solidFill>
                <a:schemeClr val="dk1"/>
              </a:solidFill>
              <a:latin typeface="+mn-lt"/>
              <a:ea typeface="+mn-ea"/>
              <a:cs typeface="+mn-cs"/>
            </a:rPr>
            <a:t>EJERCICIO INICIAL</a:t>
          </a:r>
        </a:p>
        <a:p>
          <a:endParaRPr lang="es-ES" sz="1200">
            <a:solidFill>
              <a:schemeClr val="dk1"/>
            </a:solidFill>
            <a:latin typeface="+mn-lt"/>
            <a:ea typeface="+mn-ea"/>
            <a:cs typeface="+mn-cs"/>
          </a:endParaRPr>
        </a:p>
        <a:p>
          <a:r>
            <a:rPr lang="es-ES" sz="1200">
              <a:solidFill>
                <a:schemeClr val="dk1"/>
              </a:solidFill>
              <a:latin typeface="+mn-lt"/>
              <a:ea typeface="+mn-ea"/>
              <a:cs typeface="+mn-cs"/>
            </a:rPr>
            <a:t>La sociedad GECON, SA dedicada a la compra-venta y reparación de impresoras, presenta a 30 de diciembre de 20X1 los balances</a:t>
          </a:r>
          <a:r>
            <a:rPr lang="es-ES" sz="1200" baseline="0">
              <a:solidFill>
                <a:schemeClr val="dk1"/>
              </a:solidFill>
              <a:latin typeface="+mn-lt"/>
              <a:ea typeface="+mn-ea"/>
              <a:cs typeface="+mn-cs"/>
            </a:rPr>
            <a:t> de Sumas y Saldos que aparecen en la hoja siguiente.</a:t>
          </a:r>
        </a:p>
        <a:p>
          <a:endParaRPr lang="es-ES" sz="1200" baseline="0">
            <a:solidFill>
              <a:schemeClr val="dk1"/>
            </a:solidFill>
            <a:latin typeface="+mn-lt"/>
            <a:ea typeface="+mn-ea"/>
            <a:cs typeface="+mn-cs"/>
          </a:endParaRPr>
        </a:p>
        <a:p>
          <a:r>
            <a:rPr lang="es-ES" sz="1100" b="1">
              <a:solidFill>
                <a:schemeClr val="dk1"/>
              </a:solidFill>
              <a:latin typeface="+mn-lt"/>
              <a:ea typeface="+mn-ea"/>
              <a:cs typeface="+mn-cs"/>
            </a:rPr>
            <a:t>SE PIDE:</a:t>
          </a:r>
          <a:endParaRPr lang="es-ES" sz="1100">
            <a:solidFill>
              <a:schemeClr val="dk1"/>
            </a:solidFill>
            <a:latin typeface="+mn-lt"/>
            <a:ea typeface="+mn-ea"/>
            <a:cs typeface="+mn-cs"/>
          </a:endParaRPr>
        </a:p>
        <a:p>
          <a:r>
            <a:rPr lang="es-ES" sz="1200">
              <a:solidFill>
                <a:schemeClr val="dk1"/>
              </a:solidFill>
              <a:latin typeface="+mn-lt"/>
              <a:ea typeface="+mn-ea"/>
              <a:cs typeface="+mn-cs"/>
            </a:rPr>
            <a:t>1) A partir de la información incluida en el balance de sumas y saldos, calcule el resultado del ejercicio preliminar. </a:t>
          </a:r>
        </a:p>
        <a:p>
          <a:r>
            <a:rPr lang="es-ES" sz="1100">
              <a:solidFill>
                <a:schemeClr val="dk1"/>
              </a:solidFill>
              <a:latin typeface="+mn-lt"/>
              <a:ea typeface="+mn-ea"/>
              <a:cs typeface="+mn-cs"/>
            </a:rPr>
            <a:t> </a:t>
          </a:r>
        </a:p>
        <a:p>
          <a:r>
            <a:rPr lang="es-ES" sz="1200">
              <a:solidFill>
                <a:schemeClr val="dk1"/>
              </a:solidFill>
              <a:latin typeface="+mn-lt"/>
              <a:ea typeface="+mn-ea"/>
              <a:cs typeface="+mn-cs"/>
            </a:rPr>
            <a:t>2) Para determinar el resultado del ejercicio se dispone de la siguiente información, en la que se plantean diversas opciones. Sin tener en cuenta el efecto impositivo, realizar los apuntes contables, calcular el resultado y mostrar el balance de situación a 31/12/20X1, en los siguientes casos:</a:t>
          </a:r>
        </a:p>
        <a:p>
          <a:r>
            <a:rPr lang="es-ES" sz="1200">
              <a:solidFill>
                <a:schemeClr val="dk1"/>
              </a:solidFill>
              <a:latin typeface="+mn-lt"/>
              <a:ea typeface="+mn-ea"/>
              <a:cs typeface="+mn-cs"/>
            </a:rPr>
            <a:t>a) Siempre se opta por la opción A</a:t>
          </a:r>
        </a:p>
        <a:p>
          <a:r>
            <a:rPr lang="es-ES" sz="1200">
              <a:solidFill>
                <a:schemeClr val="dk1"/>
              </a:solidFill>
              <a:latin typeface="+mn-lt"/>
              <a:ea typeface="+mn-ea"/>
              <a:cs typeface="+mn-cs"/>
            </a:rPr>
            <a:t>b) Siempre se opta por la opción B. </a:t>
          </a:r>
        </a:p>
        <a:p>
          <a:endParaRPr lang="es-ES" sz="1100">
            <a:solidFill>
              <a:schemeClr val="dk1"/>
            </a:solidFill>
            <a:latin typeface="+mn-lt"/>
            <a:ea typeface="+mn-ea"/>
            <a:cs typeface="+mn-cs"/>
          </a:endParaRPr>
        </a:p>
        <a:p>
          <a:pPr lvl="0"/>
          <a:r>
            <a:rPr lang="es-ES" sz="1100" b="1">
              <a:solidFill>
                <a:schemeClr val="dk1"/>
              </a:solidFill>
              <a:latin typeface="+mn-lt"/>
              <a:ea typeface="+mn-ea"/>
              <a:cs typeface="+mn-cs"/>
            </a:rPr>
            <a:t>EXISTENCIAS. </a:t>
          </a:r>
          <a:r>
            <a:rPr lang="es-ES" sz="1100">
              <a:solidFill>
                <a:schemeClr val="dk1"/>
              </a:solidFill>
              <a:latin typeface="+mn-lt"/>
              <a:ea typeface="+mn-ea"/>
              <a:cs typeface="+mn-cs"/>
            </a:rPr>
            <a:t>Una vez realizado el inventario, se ha estimado el valor de las existencias finales aplicando dos métodos de valoración: LIFO y el Precio medio ponderado. Los importes resultantes de cada opción son: </a:t>
          </a:r>
        </a:p>
        <a:p>
          <a:r>
            <a:rPr lang="es-ES" sz="1100" b="1" u="none" strike="noStrike">
              <a:solidFill>
                <a:schemeClr val="dk1"/>
              </a:solidFill>
              <a:latin typeface="+mn-lt"/>
              <a:ea typeface="+mn-ea"/>
              <a:cs typeface="+mn-cs"/>
            </a:rPr>
            <a:t> </a:t>
          </a:r>
          <a:r>
            <a:rPr lang="es-ES" sz="1100" b="1">
              <a:solidFill>
                <a:schemeClr val="dk1"/>
              </a:solidFill>
              <a:latin typeface="+mn-lt"/>
              <a:ea typeface="+mn-ea"/>
              <a:cs typeface="+mn-cs"/>
            </a:rPr>
            <a:t>Valor existencias finales</a:t>
          </a:r>
          <a:endParaRPr lang="es-ES" sz="1100">
            <a:solidFill>
              <a:schemeClr val="dk1"/>
            </a:solidFill>
            <a:latin typeface="+mn-lt"/>
            <a:ea typeface="+mn-ea"/>
            <a:cs typeface="+mn-cs"/>
          </a:endParaRPr>
        </a:p>
        <a:p>
          <a:r>
            <a:rPr lang="es-ES" sz="1100" b="1">
              <a:solidFill>
                <a:schemeClr val="dk1"/>
              </a:solidFill>
              <a:latin typeface="+mn-lt"/>
              <a:ea typeface="+mn-ea"/>
              <a:cs typeface="+mn-cs"/>
            </a:rPr>
            <a:t>OPCIÓN A: </a:t>
          </a:r>
          <a:r>
            <a:rPr lang="es-ES" sz="1100" i="1">
              <a:solidFill>
                <a:schemeClr val="dk1"/>
              </a:solidFill>
              <a:latin typeface="+mn-lt"/>
              <a:ea typeface="+mn-ea"/>
              <a:cs typeface="+mn-cs"/>
            </a:rPr>
            <a:t>LIFO : 42.400</a:t>
          </a:r>
          <a:endParaRPr lang="es-ES" sz="1100">
            <a:solidFill>
              <a:schemeClr val="dk1"/>
            </a:solidFill>
            <a:latin typeface="+mn-lt"/>
            <a:ea typeface="+mn-ea"/>
            <a:cs typeface="+mn-cs"/>
          </a:endParaRPr>
        </a:p>
        <a:p>
          <a:r>
            <a:rPr lang="es-ES" sz="1100" b="1">
              <a:solidFill>
                <a:schemeClr val="dk1"/>
              </a:solidFill>
              <a:latin typeface="+mn-lt"/>
              <a:ea typeface="+mn-ea"/>
              <a:cs typeface="+mn-cs"/>
            </a:rPr>
            <a:t>OPCIÓN B: </a:t>
          </a:r>
          <a:r>
            <a:rPr lang="es-ES" sz="1100" i="1">
              <a:solidFill>
                <a:schemeClr val="dk1"/>
              </a:solidFill>
              <a:latin typeface="+mn-lt"/>
              <a:ea typeface="+mn-ea"/>
              <a:cs typeface="+mn-cs"/>
            </a:rPr>
            <a:t>PMP: 46.000</a:t>
          </a:r>
          <a:endParaRPr lang="es-ES" sz="1100">
            <a:solidFill>
              <a:schemeClr val="dk1"/>
            </a:solidFill>
            <a:latin typeface="+mn-lt"/>
            <a:ea typeface="+mn-ea"/>
            <a:cs typeface="+mn-cs"/>
          </a:endParaRPr>
        </a:p>
        <a:p>
          <a:pPr lvl="0"/>
          <a:endParaRPr lang="es-ES" sz="1100" b="1">
            <a:solidFill>
              <a:schemeClr val="dk1"/>
            </a:solidFill>
            <a:latin typeface="+mn-lt"/>
            <a:ea typeface="+mn-ea"/>
            <a:cs typeface="+mn-cs"/>
          </a:endParaRPr>
        </a:p>
        <a:p>
          <a:pPr lvl="0"/>
          <a:r>
            <a:rPr lang="es-ES" sz="1100" b="1">
              <a:solidFill>
                <a:schemeClr val="dk1"/>
              </a:solidFill>
              <a:latin typeface="+mn-lt"/>
              <a:ea typeface="+mn-ea"/>
              <a:cs typeface="+mn-cs"/>
            </a:rPr>
            <a:t>GASTOS EN PUBLICIDAD, PROPAGANDA Y RELACIONES PÚBLICAS. </a:t>
          </a:r>
          <a:r>
            <a:rPr lang="es-ES" sz="1100">
              <a:solidFill>
                <a:schemeClr val="dk1"/>
              </a:solidFill>
              <a:latin typeface="+mn-lt"/>
              <a:ea typeface="+mn-ea"/>
              <a:cs typeface="+mn-cs"/>
            </a:rPr>
            <a:t>El día 20 de noviembre de 20X1 la empresa contrató una campaña de publicidad y propaganda de rebajas valorada en 3.000 euros, que será emitida del 25 al 30 de diciembre (esta operación no está reflejada en el balance de sumas y saldos). El periodo de rebajas comenzará el día 7 de enero, y la campaña se pagará el día 10 de enero.  El director financiero debe decidir entre: </a:t>
          </a:r>
        </a:p>
        <a:p>
          <a:pPr marL="0" marR="0" indent="0" defTabSz="914400" eaLnBrk="1" fontAlgn="auto" latinLnBrk="0" hangingPunct="1">
            <a:lnSpc>
              <a:spcPct val="100000"/>
            </a:lnSpc>
            <a:spcBef>
              <a:spcPts val="0"/>
            </a:spcBef>
            <a:spcAft>
              <a:spcPts val="0"/>
            </a:spcAft>
            <a:buClrTx/>
            <a:buSzTx/>
            <a:buFontTx/>
            <a:buNone/>
            <a:tabLst/>
            <a:defRPr/>
          </a:pPr>
          <a:r>
            <a:rPr lang="es-ES" sz="1100" b="1">
              <a:solidFill>
                <a:schemeClr val="dk1"/>
              </a:solidFill>
              <a:latin typeface="+mn-lt"/>
              <a:ea typeface="+mn-ea"/>
              <a:cs typeface="+mn-cs"/>
            </a:rPr>
            <a:t>Criterio de imputación del gasto al resultado </a:t>
          </a:r>
          <a:endParaRPr lang="es-E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s-ES" sz="1100" b="1">
              <a:solidFill>
                <a:schemeClr val="dk1"/>
              </a:solidFill>
              <a:latin typeface="+mn-lt"/>
              <a:ea typeface="+mn-ea"/>
              <a:cs typeface="+mn-cs"/>
            </a:rPr>
            <a:t>OPCIÓN A: </a:t>
          </a:r>
          <a:r>
            <a:rPr lang="es-ES" sz="1100" i="1">
              <a:solidFill>
                <a:schemeClr val="dk1"/>
              </a:solidFill>
              <a:latin typeface="+mn-lt"/>
              <a:ea typeface="+mn-ea"/>
              <a:cs typeface="+mn-cs"/>
            </a:rPr>
            <a:t>Aplicación estricta del principio de devengo </a:t>
          </a:r>
          <a:endParaRPr lang="es-ES" sz="1100">
            <a:solidFill>
              <a:schemeClr val="dk1"/>
            </a:solidFill>
            <a:latin typeface="+mn-lt"/>
            <a:ea typeface="+mn-ea"/>
            <a:cs typeface="+mn-cs"/>
          </a:endParaRPr>
        </a:p>
        <a:p>
          <a:r>
            <a:rPr lang="es-ES" sz="1100" b="1">
              <a:solidFill>
                <a:schemeClr val="dk1"/>
              </a:solidFill>
              <a:latin typeface="+mn-lt"/>
              <a:ea typeface="+mn-ea"/>
              <a:cs typeface="+mn-cs"/>
            </a:rPr>
            <a:t>OPCIÓN B: </a:t>
          </a:r>
          <a:r>
            <a:rPr lang="es-ES" sz="1100" i="1">
              <a:solidFill>
                <a:schemeClr val="dk1"/>
              </a:solidFill>
              <a:latin typeface="+mn-lt"/>
              <a:ea typeface="+mn-ea"/>
              <a:cs typeface="+mn-cs"/>
            </a:rPr>
            <a:t>Aplicación del principio de devengo, incorporando correlación de ingresos y gastos.  (Apartado 5º  Marco Conceptual del PGC)</a:t>
          </a:r>
        </a:p>
        <a:p>
          <a:endParaRPr lang="es-ES" sz="1100">
            <a:solidFill>
              <a:schemeClr val="dk1"/>
            </a:solidFill>
            <a:latin typeface="+mn-lt"/>
            <a:ea typeface="+mn-ea"/>
            <a:cs typeface="+mn-cs"/>
          </a:endParaRPr>
        </a:p>
        <a:p>
          <a:pPr lvl="0"/>
          <a:r>
            <a:rPr lang="es-ES" sz="1100" b="1">
              <a:solidFill>
                <a:schemeClr val="dk1"/>
              </a:solidFill>
              <a:latin typeface="+mn-lt"/>
              <a:ea typeface="+mn-ea"/>
              <a:cs typeface="+mn-cs"/>
            </a:rPr>
            <a:t>DETERIORO DE VALOR DE CRÉDITOS POR OPERACIONES COMERCIALES. </a:t>
          </a:r>
          <a:r>
            <a:rPr lang="es-ES" sz="1100">
              <a:solidFill>
                <a:schemeClr val="dk1"/>
              </a:solidFill>
              <a:latin typeface="+mn-lt"/>
              <a:ea typeface="+mn-ea"/>
              <a:cs typeface="+mn-cs"/>
            </a:rPr>
            <a:t>Por primera vez en el año 20X1, la empresa estima que el 15% del total de sus créditos por operaciones comerciales resultarán fallidos. Específicamente, a 31 de diciembre de 20X1 la empresa conoce que la empresa SIMUL, SA (uno de sus principales clientes, frente a la que tiene un derecho de cobro de 3.000 euros) ha entrado en concurso de acreedores. El director financiero debe decidir entre: </a:t>
          </a:r>
        </a:p>
        <a:p>
          <a:pPr marL="0" marR="0" lvl="0" indent="0" defTabSz="914400" eaLnBrk="1" fontAlgn="auto" latinLnBrk="0" hangingPunct="1">
            <a:lnSpc>
              <a:spcPct val="100000"/>
            </a:lnSpc>
            <a:spcBef>
              <a:spcPts val="0"/>
            </a:spcBef>
            <a:spcAft>
              <a:spcPts val="0"/>
            </a:spcAft>
            <a:buClrTx/>
            <a:buSzTx/>
            <a:buFontTx/>
            <a:buNone/>
            <a:tabLst/>
            <a:defRPr/>
          </a:pPr>
          <a:r>
            <a:rPr lang="es-ES" sz="1100" b="1">
              <a:solidFill>
                <a:schemeClr val="dk1"/>
              </a:solidFill>
              <a:latin typeface="+mn-lt"/>
              <a:ea typeface="+mn-ea"/>
              <a:cs typeface="+mn-cs"/>
            </a:rPr>
            <a:t>Criterio de reconocimiento del deterioro de créditos incobrables  </a:t>
          </a:r>
          <a:endParaRPr lang="es-E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s-ES" sz="1100" b="1">
              <a:solidFill>
                <a:schemeClr val="dk1"/>
              </a:solidFill>
              <a:latin typeface="+mn-lt"/>
              <a:ea typeface="+mn-ea"/>
              <a:cs typeface="+mn-cs"/>
            </a:rPr>
            <a:t>OPCIÓN A: </a:t>
          </a:r>
          <a:r>
            <a:rPr lang="es-ES" sz="1100" i="1">
              <a:solidFill>
                <a:schemeClr val="dk1"/>
              </a:solidFill>
              <a:latin typeface="+mn-lt"/>
              <a:ea typeface="+mn-ea"/>
              <a:cs typeface="+mn-cs"/>
            </a:rPr>
            <a:t>Estimación global del riesgo de fallidos</a:t>
          </a:r>
          <a:endParaRPr lang="es-ES" sz="1100">
            <a:solidFill>
              <a:schemeClr val="dk1"/>
            </a:solidFill>
            <a:latin typeface="+mn-lt"/>
            <a:ea typeface="+mn-ea"/>
            <a:cs typeface="+mn-cs"/>
          </a:endParaRPr>
        </a:p>
        <a:p>
          <a:r>
            <a:rPr lang="es-ES" sz="1100" b="1">
              <a:solidFill>
                <a:schemeClr val="dk1"/>
              </a:solidFill>
              <a:latin typeface="+mn-lt"/>
              <a:ea typeface="+mn-ea"/>
              <a:cs typeface="+mn-cs"/>
            </a:rPr>
            <a:t>OPCIÓN B: </a:t>
          </a:r>
          <a:r>
            <a:rPr lang="es-ES" sz="1100" i="1">
              <a:solidFill>
                <a:schemeClr val="dk1"/>
              </a:solidFill>
              <a:latin typeface="+mn-lt"/>
              <a:ea typeface="+mn-ea"/>
              <a:cs typeface="+mn-cs"/>
            </a:rPr>
            <a:t>Sistema individualizado de seguimiento de saldos de clientes y deudores</a:t>
          </a:r>
        </a:p>
        <a:p>
          <a:endParaRPr lang="es-ES" sz="1100">
            <a:solidFill>
              <a:schemeClr val="dk1"/>
            </a:solidFill>
            <a:latin typeface="+mn-lt"/>
            <a:ea typeface="+mn-ea"/>
            <a:cs typeface="+mn-cs"/>
          </a:endParaRPr>
        </a:p>
        <a:p>
          <a:pPr lvl="0"/>
          <a:r>
            <a:rPr lang="es-ES" sz="1100" b="1">
              <a:solidFill>
                <a:schemeClr val="dk1"/>
              </a:solidFill>
              <a:latin typeface="+mn-lt"/>
              <a:ea typeface="+mn-ea"/>
              <a:cs typeface="+mn-cs"/>
            </a:rPr>
            <a:t>AMORTIZACIÓN. </a:t>
          </a:r>
          <a:r>
            <a:rPr lang="es-ES" sz="1100">
              <a:solidFill>
                <a:schemeClr val="dk1"/>
              </a:solidFill>
              <a:latin typeface="+mn-lt"/>
              <a:ea typeface="+mn-ea"/>
              <a:cs typeface="+mn-cs"/>
            </a:rPr>
            <a:t>Con respecto a la amortización del inmovilizado, la empresa viene aplicando un método lineal, en base a los siguientes criterios: </a:t>
          </a:r>
        </a:p>
        <a:p>
          <a:r>
            <a:rPr lang="es-ES" sz="1100">
              <a:solidFill>
                <a:schemeClr val="dk1"/>
              </a:solidFill>
              <a:latin typeface="+mn-lt"/>
              <a:ea typeface="+mn-ea"/>
              <a:cs typeface="+mn-cs"/>
            </a:rPr>
            <a:t>Aplicaciones informáticas: 25% anual</a:t>
          </a:r>
        </a:p>
        <a:p>
          <a:r>
            <a:rPr lang="es-ES" sz="1100">
              <a:solidFill>
                <a:schemeClr val="dk1"/>
              </a:solidFill>
              <a:latin typeface="+mn-lt"/>
              <a:ea typeface="+mn-ea"/>
              <a:cs typeface="+mn-cs"/>
            </a:rPr>
            <a:t>Mobiliario: Vida útil: 10 años</a:t>
          </a:r>
        </a:p>
        <a:p>
          <a:r>
            <a:rPr lang="es-ES" sz="1100">
              <a:solidFill>
                <a:schemeClr val="dk1"/>
              </a:solidFill>
              <a:latin typeface="+mn-lt"/>
              <a:ea typeface="+mn-ea"/>
              <a:cs typeface="+mn-cs"/>
            </a:rPr>
            <a:t>Equipos para procesos información: Vida útil: 5 años</a:t>
          </a:r>
        </a:p>
        <a:p>
          <a:endParaRPr lang="es-ES" sz="1100">
            <a:solidFill>
              <a:schemeClr val="dk1"/>
            </a:solidFill>
            <a:latin typeface="+mn-lt"/>
            <a:ea typeface="+mn-ea"/>
            <a:cs typeface="+mn-cs"/>
          </a:endParaRPr>
        </a:p>
        <a:p>
          <a:r>
            <a:rPr lang="es-ES" sz="1100">
              <a:solidFill>
                <a:schemeClr val="dk1"/>
              </a:solidFill>
              <a:latin typeface="+mn-lt"/>
              <a:ea typeface="+mn-ea"/>
              <a:cs typeface="+mn-cs"/>
            </a:rPr>
            <a:t>En relación los elementos de transporte, adquiridos a principios del ejercicio 20X1, el director financiero debe decidir qué criterio adoptar entre los siguientes: </a:t>
          </a:r>
        </a:p>
        <a:p>
          <a:pPr marL="0" marR="0" indent="0" defTabSz="914400" eaLnBrk="1" fontAlgn="auto" latinLnBrk="0" hangingPunct="1">
            <a:lnSpc>
              <a:spcPct val="100000"/>
            </a:lnSpc>
            <a:spcBef>
              <a:spcPts val="0"/>
            </a:spcBef>
            <a:spcAft>
              <a:spcPts val="0"/>
            </a:spcAft>
            <a:buClrTx/>
            <a:buSzTx/>
            <a:buFontTx/>
            <a:buNone/>
            <a:tabLst/>
            <a:defRPr/>
          </a:pPr>
          <a:r>
            <a:rPr lang="es-ES" sz="1100" b="1">
              <a:solidFill>
                <a:schemeClr val="dk1"/>
              </a:solidFill>
              <a:latin typeface="+mn-lt"/>
              <a:ea typeface="+mn-ea"/>
              <a:cs typeface="+mn-cs"/>
            </a:rPr>
            <a:t>Criterio de cálculo de la amortización de los elementos de transporte  </a:t>
          </a:r>
          <a:endParaRPr lang="es-ES" sz="1100">
            <a:solidFill>
              <a:schemeClr val="dk1"/>
            </a:solidFill>
            <a:latin typeface="+mn-lt"/>
            <a:ea typeface="+mn-ea"/>
            <a:cs typeface="+mn-cs"/>
          </a:endParaRPr>
        </a:p>
        <a:p>
          <a:r>
            <a:rPr lang="es-ES" sz="1100" b="1">
              <a:solidFill>
                <a:schemeClr val="dk1"/>
              </a:solidFill>
              <a:latin typeface="+mn-lt"/>
              <a:ea typeface="+mn-ea"/>
              <a:cs typeface="+mn-cs"/>
            </a:rPr>
            <a:t>OPCIÓN A: </a:t>
          </a:r>
          <a:r>
            <a:rPr lang="es-ES" sz="1100" i="1">
              <a:solidFill>
                <a:schemeClr val="dk1"/>
              </a:solidFill>
              <a:latin typeface="+mn-lt"/>
              <a:ea typeface="+mn-ea"/>
              <a:cs typeface="+mn-cs"/>
            </a:rPr>
            <a:t>Método lineal-  </a:t>
          </a:r>
          <a:r>
            <a:rPr lang="es-ES" sz="1100">
              <a:solidFill>
                <a:schemeClr val="dk1"/>
              </a:solidFill>
              <a:latin typeface="+mn-lt"/>
              <a:ea typeface="+mn-ea"/>
              <a:cs typeface="+mn-cs"/>
            </a:rPr>
            <a:t>Valor residual: 1.000 - Vida útil: 5 años</a:t>
          </a:r>
          <a:endParaRPr lang="es-ES"/>
        </a:p>
        <a:p>
          <a:r>
            <a:rPr lang="es-ES" sz="1100" b="1">
              <a:solidFill>
                <a:schemeClr val="dk1"/>
              </a:solidFill>
              <a:latin typeface="+mn-lt"/>
              <a:ea typeface="+mn-ea"/>
              <a:cs typeface="+mn-cs"/>
            </a:rPr>
            <a:t>OPCIÓN B: </a:t>
          </a:r>
          <a:r>
            <a:rPr lang="es-ES" sz="1100" i="1">
              <a:solidFill>
                <a:schemeClr val="dk1"/>
              </a:solidFill>
              <a:latin typeface="+mn-lt"/>
              <a:ea typeface="+mn-ea"/>
              <a:cs typeface="+mn-cs"/>
            </a:rPr>
            <a:t>Kilómetros recorridos - </a:t>
          </a:r>
          <a:r>
            <a:rPr lang="es-ES" sz="1100">
              <a:solidFill>
                <a:schemeClr val="dk1"/>
              </a:solidFill>
              <a:latin typeface="+mn-lt"/>
              <a:ea typeface="+mn-ea"/>
              <a:cs typeface="+mn-cs"/>
            </a:rPr>
            <a:t>Valor residual: 1.000 - Vida útil: 100.000 Km - Km recorridos: 5.000 km </a:t>
          </a:r>
        </a:p>
        <a:p>
          <a:endParaRPr lang="es-ES" sz="1100">
            <a:solidFill>
              <a:schemeClr val="dk1"/>
            </a:solidFill>
            <a:latin typeface="+mn-lt"/>
            <a:ea typeface="+mn-ea"/>
            <a:cs typeface="+mn-cs"/>
          </a:endParaRPr>
        </a:p>
        <a:p>
          <a:r>
            <a:rPr lang="es-ES" sz="1200">
              <a:solidFill>
                <a:schemeClr val="dk1"/>
              </a:solidFill>
              <a:latin typeface="+mn-lt"/>
              <a:ea typeface="+mn-ea"/>
              <a:cs typeface="+mn-cs"/>
            </a:rPr>
            <a:t>3) Calcular los siguientes indicadores a partir del resultado y del balance de situación obtenidos para las opciones A y B:</a:t>
          </a:r>
        </a:p>
        <a:p>
          <a:endParaRPr lang="es-ES" sz="1100">
            <a:solidFill>
              <a:schemeClr val="dk1"/>
            </a:solidFill>
            <a:latin typeface="+mn-lt"/>
            <a:ea typeface="+mn-ea"/>
            <a:cs typeface="+mn-cs"/>
          </a:endParaRPr>
        </a:p>
        <a:p>
          <a:r>
            <a:rPr lang="es-ES" sz="1100">
              <a:solidFill>
                <a:schemeClr val="dk1"/>
              </a:solidFill>
              <a:latin typeface="+mn-lt"/>
              <a:ea typeface="+mn-ea"/>
              <a:cs typeface="+mn-cs"/>
            </a:rPr>
            <a:t>Fondo de maniobra  = Activo corriente - Pasivo corriente</a:t>
          </a:r>
        </a:p>
        <a:p>
          <a:endParaRPr lang="es-ES" sz="1100">
            <a:solidFill>
              <a:schemeClr val="dk1"/>
            </a:solidFill>
            <a:latin typeface="+mn-lt"/>
            <a:ea typeface="+mn-ea"/>
            <a:cs typeface="+mn-cs"/>
          </a:endParaRPr>
        </a:p>
        <a:p>
          <a:r>
            <a:rPr lang="es-ES" sz="1100">
              <a:solidFill>
                <a:schemeClr val="dk1"/>
              </a:solidFill>
              <a:latin typeface="+mn-lt"/>
              <a:ea typeface="+mn-ea"/>
              <a:cs typeface="+mn-cs"/>
            </a:rPr>
            <a:t>Rentabilidad Económica = (Resultado del ejercicio + Intereses + Impuesto)/Total activo </a:t>
          </a:r>
        </a:p>
        <a:p>
          <a:endParaRPr lang="es-ES" sz="1100">
            <a:solidFill>
              <a:schemeClr val="dk1"/>
            </a:solidFill>
            <a:latin typeface="+mn-lt"/>
            <a:ea typeface="+mn-ea"/>
            <a:cs typeface="+mn-cs"/>
          </a:endParaRPr>
        </a:p>
        <a:p>
          <a:r>
            <a:rPr lang="es-ES" sz="1100">
              <a:solidFill>
                <a:schemeClr val="dk1"/>
              </a:solidFill>
              <a:latin typeface="+mn-lt"/>
              <a:ea typeface="+mn-ea"/>
              <a:cs typeface="+mn-cs"/>
            </a:rPr>
            <a:t>Ratio de Endeudamiento = Total Pasivo / Patrimonio Neto</a:t>
          </a:r>
        </a:p>
        <a:p>
          <a:endParaRPr lang="es-ES" sz="1100">
            <a:solidFill>
              <a:schemeClr val="dk1"/>
            </a:solidFill>
            <a:latin typeface="+mn-lt"/>
            <a:ea typeface="+mn-ea"/>
            <a:cs typeface="+mn-cs"/>
          </a:endParaRPr>
        </a:p>
        <a:p>
          <a:r>
            <a:rPr lang="es-ES" sz="1100">
              <a:solidFill>
                <a:schemeClr val="dk1"/>
              </a:solidFill>
              <a:latin typeface="+mn-lt"/>
              <a:ea typeface="+mn-ea"/>
              <a:cs typeface="+mn-cs"/>
            </a:rPr>
            <a:t>Rentabilidad Financiera = Resultado / Fondos propios</a:t>
          </a:r>
        </a:p>
        <a:p>
          <a:endParaRPr lang="es-ES" sz="1200" baseline="0">
            <a:solidFill>
              <a:schemeClr val="dk1"/>
            </a:solidFill>
            <a:latin typeface="+mn-lt"/>
            <a:ea typeface="+mn-ea"/>
            <a:cs typeface="+mn-cs"/>
          </a:endParaRPr>
        </a:p>
        <a:p>
          <a:endParaRPr lang="es-ES" sz="1200" baseline="0">
            <a:solidFill>
              <a:schemeClr val="dk1"/>
            </a:solidFill>
            <a:latin typeface="+mn-lt"/>
            <a:ea typeface="+mn-ea"/>
            <a:cs typeface="+mn-cs"/>
          </a:endParaRPr>
        </a:p>
        <a:p>
          <a:r>
            <a:rPr lang="es-ES" sz="1200">
              <a:solidFill>
                <a:schemeClr val="dk1"/>
              </a:solidFill>
              <a:latin typeface="+mn-lt"/>
              <a:ea typeface="+mn-ea"/>
              <a:cs typeface="+mn-cs"/>
            </a:rPr>
            <a:t> </a:t>
          </a:r>
        </a:p>
        <a:p>
          <a:endParaRPr lang="es-ES" sz="1100"/>
        </a:p>
      </xdr:txBody>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zoomScaleNormal="100" workbookViewId="0">
      <selection activeCell="O44" sqref="O44"/>
    </sheetView>
  </sheetViews>
  <sheetFormatPr baseColWidth="10" defaultRowHeight="12.7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1"/>
  <sheetViews>
    <sheetView topLeftCell="A9" zoomScaleNormal="100" workbookViewId="0">
      <selection activeCell="B21" sqref="B21"/>
    </sheetView>
  </sheetViews>
  <sheetFormatPr baseColWidth="10" defaultRowHeight="12.75" x14ac:dyDescent="0.2"/>
  <cols>
    <col min="1" max="1" width="18.7109375" customWidth="1"/>
    <col min="2" max="2" width="11" customWidth="1"/>
    <col min="3" max="3" width="6.7109375" style="104" customWidth="1"/>
    <col min="4" max="4" width="30.28515625" customWidth="1"/>
    <col min="5" max="5" width="4.85546875" customWidth="1"/>
    <col min="6" max="6" width="7.85546875" style="104" customWidth="1"/>
    <col min="7" max="7" width="35.7109375" customWidth="1"/>
    <col min="8" max="8" width="14.140625" customWidth="1"/>
    <col min="9" max="9" width="5.7109375" customWidth="1"/>
  </cols>
  <sheetData>
    <row r="1" spans="1:9" ht="34.9" customHeight="1" x14ac:dyDescent="0.2">
      <c r="A1" s="141" t="s">
        <v>78</v>
      </c>
      <c r="B1" s="141"/>
      <c r="C1" s="141"/>
      <c r="D1" s="141"/>
      <c r="E1" s="141"/>
      <c r="F1" s="141"/>
      <c r="G1" s="141"/>
      <c r="H1" s="141"/>
    </row>
    <row r="3" spans="1:9" ht="22.9" customHeight="1" x14ac:dyDescent="0.2">
      <c r="B3" s="38" t="s">
        <v>65</v>
      </c>
      <c r="C3" s="37" t="s">
        <v>70</v>
      </c>
      <c r="D3" s="38" t="s">
        <v>66</v>
      </c>
      <c r="E3" s="38"/>
      <c r="F3" s="37" t="s">
        <v>70</v>
      </c>
      <c r="G3" s="38" t="s">
        <v>67</v>
      </c>
      <c r="H3" s="38" t="s">
        <v>68</v>
      </c>
    </row>
    <row r="4" spans="1:9" x14ac:dyDescent="0.2">
      <c r="E4" s="39" t="s">
        <v>83</v>
      </c>
    </row>
    <row r="5" spans="1:9" s="35" customFormat="1" ht="41.45" customHeight="1" x14ac:dyDescent="0.2">
      <c r="A5" s="44" t="s">
        <v>71</v>
      </c>
      <c r="B5" s="45">
        <v>45000</v>
      </c>
      <c r="C5" s="105">
        <v>610</v>
      </c>
      <c r="D5" s="47" t="s">
        <v>127</v>
      </c>
      <c r="E5" s="48" t="s">
        <v>69</v>
      </c>
      <c r="F5" s="105">
        <v>300</v>
      </c>
      <c r="G5" s="47" t="s">
        <v>128</v>
      </c>
      <c r="H5" s="45">
        <v>45000</v>
      </c>
      <c r="I5"/>
    </row>
    <row r="6" spans="1:9" s="35" customFormat="1" ht="42.6" customHeight="1" x14ac:dyDescent="0.2">
      <c r="A6" s="49"/>
      <c r="B6" s="45">
        <v>42400</v>
      </c>
      <c r="C6" s="105">
        <v>300</v>
      </c>
      <c r="D6" s="47" t="s">
        <v>128</v>
      </c>
      <c r="E6" s="50" t="s">
        <v>69</v>
      </c>
      <c r="F6" s="105">
        <v>610</v>
      </c>
      <c r="G6" s="47" t="s">
        <v>127</v>
      </c>
      <c r="H6" s="45">
        <v>42400</v>
      </c>
      <c r="I6"/>
    </row>
    <row r="7" spans="1:9" s="35" customFormat="1" ht="25.15" customHeight="1" x14ac:dyDescent="0.2">
      <c r="B7" s="40"/>
      <c r="C7" s="106"/>
      <c r="D7" s="102" t="s">
        <v>129</v>
      </c>
      <c r="E7" s="102"/>
      <c r="F7" s="113">
        <f>B6-H5</f>
        <v>-2600</v>
      </c>
      <c r="G7" s="103" t="s">
        <v>8</v>
      </c>
      <c r="H7" s="40">
        <f>B5-H6</f>
        <v>2600</v>
      </c>
      <c r="I7"/>
    </row>
    <row r="8" spans="1:9" s="35" customFormat="1" ht="15.6" customHeight="1" x14ac:dyDescent="0.2">
      <c r="C8" s="104"/>
      <c r="E8" s="39" t="s">
        <v>84</v>
      </c>
      <c r="F8" s="110"/>
      <c r="I8"/>
    </row>
    <row r="9" spans="1:9" s="35" customFormat="1" ht="44.45" customHeight="1" x14ac:dyDescent="0.2">
      <c r="A9" s="51" t="s">
        <v>72</v>
      </c>
      <c r="B9" s="52">
        <v>3000</v>
      </c>
      <c r="C9" s="107">
        <v>627</v>
      </c>
      <c r="D9" s="53" t="s">
        <v>130</v>
      </c>
      <c r="E9" s="70" t="s">
        <v>69</v>
      </c>
      <c r="F9" s="107">
        <v>410</v>
      </c>
      <c r="G9" s="53" t="s">
        <v>131</v>
      </c>
      <c r="H9" s="52">
        <v>3000</v>
      </c>
      <c r="I9"/>
    </row>
    <row r="10" spans="1:9" s="35" customFormat="1" ht="25.15" customHeight="1" x14ac:dyDescent="0.2">
      <c r="A10" s="65"/>
      <c r="B10" s="65"/>
      <c r="C10" s="108"/>
      <c r="D10" s="67"/>
      <c r="E10" s="68" t="s">
        <v>83</v>
      </c>
      <c r="F10" s="108"/>
      <c r="G10" s="67"/>
      <c r="H10" s="65"/>
      <c r="I10"/>
    </row>
    <row r="11" spans="1:9" s="35" customFormat="1" ht="46.9" customHeight="1" x14ac:dyDescent="0.2">
      <c r="A11" s="65"/>
      <c r="B11" s="65"/>
      <c r="C11" s="109"/>
      <c r="D11" s="69"/>
      <c r="E11" s="70" t="s">
        <v>132</v>
      </c>
      <c r="F11" s="109"/>
      <c r="G11" s="69"/>
      <c r="H11" s="65"/>
      <c r="I11"/>
    </row>
    <row r="12" spans="1:9" s="35" customFormat="1" ht="25.15" customHeight="1" x14ac:dyDescent="0.2">
      <c r="C12" s="110"/>
      <c r="F12" s="110"/>
      <c r="I12"/>
    </row>
    <row r="13" spans="1:9" s="35" customFormat="1" ht="14.45" customHeight="1" x14ac:dyDescent="0.2">
      <c r="C13" s="104"/>
      <c r="E13" s="39" t="s">
        <v>83</v>
      </c>
      <c r="F13" s="104"/>
      <c r="I13"/>
    </row>
    <row r="14" spans="1:9" s="35" customFormat="1" ht="55.9" customHeight="1" x14ac:dyDescent="0.2">
      <c r="A14" s="54" t="s">
        <v>73</v>
      </c>
      <c r="B14" s="55">
        <f>0.15*23000</f>
        <v>3450</v>
      </c>
      <c r="C14" s="111">
        <v>694</v>
      </c>
      <c r="D14" s="56" t="s">
        <v>134</v>
      </c>
      <c r="E14" s="115" t="s">
        <v>135</v>
      </c>
      <c r="F14" s="111">
        <v>490</v>
      </c>
      <c r="G14" s="56" t="s">
        <v>136</v>
      </c>
      <c r="H14" s="55">
        <v>3450</v>
      </c>
      <c r="I14"/>
    </row>
    <row r="15" spans="1:9" s="35" customFormat="1" ht="25.15" customHeight="1" x14ac:dyDescent="0.2">
      <c r="B15" s="40"/>
      <c r="C15" s="104"/>
      <c r="D15"/>
      <c r="E15"/>
      <c r="F15" s="104"/>
      <c r="G15"/>
      <c r="H15" s="40"/>
      <c r="I15"/>
    </row>
    <row r="16" spans="1:9" x14ac:dyDescent="0.2">
      <c r="A16" s="35"/>
      <c r="B16" s="35"/>
      <c r="D16" s="35"/>
      <c r="E16" s="39" t="s">
        <v>83</v>
      </c>
      <c r="G16" s="35"/>
      <c r="H16" s="35"/>
    </row>
    <row r="17" spans="1:8" ht="38.450000000000003" customHeight="1" x14ac:dyDescent="0.2">
      <c r="A17" s="57" t="s">
        <v>74</v>
      </c>
      <c r="B17" s="58">
        <v>500</v>
      </c>
      <c r="C17" s="112">
        <v>680</v>
      </c>
      <c r="D17" s="59" t="s">
        <v>137</v>
      </c>
      <c r="E17" s="116" t="s">
        <v>135</v>
      </c>
      <c r="F17" s="112">
        <v>280</v>
      </c>
      <c r="G17" s="59" t="s">
        <v>138</v>
      </c>
      <c r="H17" s="58">
        <v>500</v>
      </c>
    </row>
    <row r="18" spans="1:8" ht="40.15" customHeight="1" x14ac:dyDescent="0.2">
      <c r="A18" s="60"/>
      <c r="B18" s="58">
        <f>4000+2000+3800</f>
        <v>9800</v>
      </c>
      <c r="C18" s="112">
        <v>681</v>
      </c>
      <c r="D18" s="59" t="s">
        <v>139</v>
      </c>
      <c r="E18" s="116" t="s">
        <v>135</v>
      </c>
      <c r="F18" s="112">
        <v>281</v>
      </c>
      <c r="G18" s="59" t="s">
        <v>140</v>
      </c>
      <c r="H18" s="58">
        <v>9800</v>
      </c>
    </row>
    <row r="19" spans="1:8" x14ac:dyDescent="0.2">
      <c r="D19" s="41"/>
      <c r="E19" s="42"/>
      <c r="F19" s="114"/>
    </row>
    <row r="20" spans="1:8" x14ac:dyDescent="0.2">
      <c r="D20" s="41"/>
      <c r="E20" s="42"/>
      <c r="F20" s="114"/>
    </row>
    <row r="21" spans="1:8" ht="43.15" customHeight="1" x14ac:dyDescent="0.2">
      <c r="A21" s="121" t="s">
        <v>143</v>
      </c>
      <c r="B21" s="122">
        <v>1562</v>
      </c>
      <c r="C21" s="123" t="s">
        <v>120</v>
      </c>
      <c r="D21" s="124" t="s">
        <v>144</v>
      </c>
      <c r="E21" s="125" t="s">
        <v>69</v>
      </c>
      <c r="F21" s="123" t="s">
        <v>145</v>
      </c>
      <c r="G21" s="124" t="s">
        <v>86</v>
      </c>
      <c r="H21" s="122">
        <f>B21</f>
        <v>1562</v>
      </c>
    </row>
  </sheetData>
  <mergeCells count="1">
    <mergeCell ref="A1:H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50"/>
  <sheetViews>
    <sheetView topLeftCell="A25" zoomScaleNormal="100" workbookViewId="0">
      <selection activeCell="C46" sqref="C46:D46"/>
    </sheetView>
  </sheetViews>
  <sheetFormatPr baseColWidth="10" defaultColWidth="11.5703125" defaultRowHeight="12.75" x14ac:dyDescent="0.2"/>
  <cols>
    <col min="1" max="1" width="8.28515625" style="21" customWidth="1"/>
    <col min="2" max="2" width="43" style="21" customWidth="1"/>
    <col min="3" max="3" width="11.7109375" style="21" customWidth="1"/>
    <col min="4" max="4" width="10.5703125" style="21" customWidth="1"/>
    <col min="5" max="5" width="10.85546875" style="21" customWidth="1"/>
    <col min="6" max="6" width="4.28515625" style="21" customWidth="1"/>
    <col min="7" max="7" width="11.5703125" style="21"/>
    <col min="8" max="8" width="34.7109375" style="21" bestFit="1" customWidth="1"/>
    <col min="9" max="9" width="11.5703125" style="21"/>
    <col min="10" max="10" width="3.140625" style="21" customWidth="1"/>
    <col min="11" max="11" width="6.5703125" style="21" customWidth="1"/>
    <col min="12" max="12" width="44.28515625" style="21" customWidth="1"/>
    <col min="13" max="13" width="11.5703125" style="21"/>
    <col min="14" max="14" width="6.85546875" style="21" customWidth="1"/>
    <col min="15" max="15" width="11.5703125" style="21"/>
    <col min="16" max="16" width="41.28515625" style="21" customWidth="1"/>
    <col min="17" max="16384" width="11.5703125" style="21"/>
  </cols>
  <sheetData>
    <row r="1" spans="1:17" x14ac:dyDescent="0.2">
      <c r="A1" s="27" t="s">
        <v>81</v>
      </c>
    </row>
    <row r="2" spans="1:17" ht="16.899999999999999" customHeight="1" x14ac:dyDescent="0.2">
      <c r="F2" s="20"/>
      <c r="G2" s="28" t="s">
        <v>85</v>
      </c>
      <c r="H2" s="29"/>
      <c r="I2" s="29"/>
      <c r="J2" s="29"/>
      <c r="K2" s="29"/>
      <c r="L2" s="29"/>
      <c r="M2" s="30"/>
      <c r="O2" s="79" t="s">
        <v>91</v>
      </c>
      <c r="P2" s="80"/>
      <c r="Q2" s="81"/>
    </row>
    <row r="3" spans="1:17" ht="33.6" customHeight="1" x14ac:dyDescent="0.2">
      <c r="A3" s="43" t="s">
        <v>17</v>
      </c>
      <c r="B3" s="17" t="s">
        <v>18</v>
      </c>
      <c r="C3" s="61" t="s">
        <v>2</v>
      </c>
      <c r="D3" s="62" t="s">
        <v>8</v>
      </c>
      <c r="E3" s="62" t="s">
        <v>9</v>
      </c>
      <c r="F3" s="20"/>
      <c r="G3" s="142" t="s">
        <v>30</v>
      </c>
      <c r="H3" s="143"/>
      <c r="I3" s="144"/>
      <c r="J3" s="75"/>
      <c r="K3" s="142" t="s">
        <v>31</v>
      </c>
      <c r="L3" s="143"/>
      <c r="M3" s="144"/>
      <c r="O3" s="82"/>
      <c r="P3" s="16" t="s">
        <v>92</v>
      </c>
      <c r="Q3" s="83" t="s">
        <v>93</v>
      </c>
    </row>
    <row r="4" spans="1:17" ht="29.45" customHeight="1" x14ac:dyDescent="0.2">
      <c r="A4" s="22">
        <v>100</v>
      </c>
      <c r="B4" s="23" t="s">
        <v>4</v>
      </c>
      <c r="C4" s="24">
        <v>60000</v>
      </c>
      <c r="D4" s="24"/>
      <c r="E4" s="24">
        <f>C4</f>
        <v>60000</v>
      </c>
      <c r="F4" s="20"/>
      <c r="G4" s="43" t="s">
        <v>17</v>
      </c>
      <c r="H4" s="13" t="s">
        <v>18</v>
      </c>
      <c r="I4" s="5" t="s">
        <v>2</v>
      </c>
      <c r="J4" s="75"/>
      <c r="K4" s="4" t="s">
        <v>17</v>
      </c>
      <c r="L4" s="13" t="s">
        <v>18</v>
      </c>
      <c r="M4" s="5" t="s">
        <v>2</v>
      </c>
      <c r="O4" s="82"/>
      <c r="P4" s="3" t="s">
        <v>94</v>
      </c>
      <c r="Q4" s="172">
        <f>Q5+Q6</f>
        <v>190000</v>
      </c>
    </row>
    <row r="5" spans="1:17" ht="20.100000000000001" customHeight="1" x14ac:dyDescent="0.2">
      <c r="A5" s="22">
        <v>112</v>
      </c>
      <c r="B5" s="23" t="s">
        <v>19</v>
      </c>
      <c r="C5" s="24">
        <v>6000</v>
      </c>
      <c r="D5" s="24"/>
      <c r="E5" s="24">
        <f>C5</f>
        <v>6000</v>
      </c>
      <c r="G5" s="16" t="s">
        <v>32</v>
      </c>
      <c r="H5" s="16"/>
      <c r="I5" s="166">
        <f>I6+I8</f>
        <v>43700</v>
      </c>
      <c r="J5" s="75"/>
      <c r="K5" s="16" t="s">
        <v>33</v>
      </c>
      <c r="L5" s="16"/>
      <c r="M5" s="166">
        <f>M6</f>
        <v>89487.5</v>
      </c>
      <c r="O5" s="85" t="s">
        <v>95</v>
      </c>
      <c r="P5" s="12" t="s">
        <v>96</v>
      </c>
      <c r="Q5" s="173">
        <f>E37</f>
        <v>180000</v>
      </c>
    </row>
    <row r="6" spans="1:17" ht="20.100000000000001" customHeight="1" x14ac:dyDescent="0.2">
      <c r="A6" s="22">
        <v>113</v>
      </c>
      <c r="B6" s="23" t="s">
        <v>27</v>
      </c>
      <c r="C6" s="24">
        <v>18800</v>
      </c>
      <c r="D6" s="24"/>
      <c r="E6" s="24">
        <f>C6</f>
        <v>18800</v>
      </c>
      <c r="G6" s="9"/>
      <c r="H6" s="3" t="s">
        <v>34</v>
      </c>
      <c r="I6" s="167">
        <f>I7</f>
        <v>1000</v>
      </c>
      <c r="J6" s="75"/>
      <c r="K6" s="9"/>
      <c r="L6" s="3" t="s">
        <v>35</v>
      </c>
      <c r="M6" s="167">
        <f>M7+M9+M12</f>
        <v>89487.5</v>
      </c>
      <c r="O6" s="85" t="s">
        <v>97</v>
      </c>
      <c r="P6" s="12" t="s">
        <v>98</v>
      </c>
      <c r="Q6" s="173">
        <f>E38</f>
        <v>10000</v>
      </c>
    </row>
    <row r="7" spans="1:17" ht="20.100000000000001" customHeight="1" x14ac:dyDescent="0.2">
      <c r="A7" s="22">
        <v>171</v>
      </c>
      <c r="B7" s="23" t="s">
        <v>16</v>
      </c>
      <c r="C7" s="24">
        <v>25000</v>
      </c>
      <c r="D7" s="24"/>
      <c r="E7" s="24">
        <f>C7</f>
        <v>25000</v>
      </c>
      <c r="G7" s="14" t="s">
        <v>48</v>
      </c>
      <c r="H7" s="6" t="s">
        <v>10</v>
      </c>
      <c r="I7" s="169">
        <f>D8-E12</f>
        <v>1000</v>
      </c>
      <c r="J7" s="75"/>
      <c r="K7" s="4"/>
      <c r="L7" s="3" t="s">
        <v>36</v>
      </c>
      <c r="M7" s="168">
        <f>+M8</f>
        <v>60000</v>
      </c>
      <c r="O7" s="82"/>
      <c r="P7" s="3" t="s">
        <v>99</v>
      </c>
      <c r="Q7" s="174">
        <f>Q8</f>
        <v>-122600</v>
      </c>
    </row>
    <row r="8" spans="1:17" ht="20.100000000000001" customHeight="1" x14ac:dyDescent="0.2">
      <c r="A8" s="22">
        <v>206</v>
      </c>
      <c r="B8" s="23" t="s">
        <v>10</v>
      </c>
      <c r="C8" s="24">
        <v>2000</v>
      </c>
      <c r="D8" s="24">
        <f t="shared" ref="D8:D11" si="0">C8</f>
        <v>2000</v>
      </c>
      <c r="E8" s="24"/>
      <c r="G8" s="2"/>
      <c r="H8" s="3" t="s">
        <v>37</v>
      </c>
      <c r="I8" s="167">
        <f>+I9</f>
        <v>42700</v>
      </c>
      <c r="J8" s="75"/>
      <c r="K8" s="6">
        <v>100</v>
      </c>
      <c r="L8" s="6" t="s">
        <v>55</v>
      </c>
      <c r="M8" s="169">
        <f>E4</f>
        <v>60000</v>
      </c>
      <c r="O8" s="85" t="s">
        <v>100</v>
      </c>
      <c r="P8" s="12" t="s">
        <v>101</v>
      </c>
      <c r="Q8" s="173">
        <f>-D24-D25</f>
        <v>-122600</v>
      </c>
    </row>
    <row r="9" spans="1:17" ht="31.15" customHeight="1" x14ac:dyDescent="0.2">
      <c r="A9" s="22">
        <v>216</v>
      </c>
      <c r="B9" s="23" t="s">
        <v>28</v>
      </c>
      <c r="C9" s="24">
        <v>40000</v>
      </c>
      <c r="D9" s="24">
        <f t="shared" si="0"/>
        <v>40000</v>
      </c>
      <c r="E9" s="24"/>
      <c r="G9" s="14" t="s">
        <v>49</v>
      </c>
      <c r="H9" s="8" t="s">
        <v>53</v>
      </c>
      <c r="I9" s="169">
        <f>D9+D10+D11-E13</f>
        <v>42700</v>
      </c>
      <c r="J9" s="75"/>
      <c r="K9" s="4"/>
      <c r="L9" s="3" t="s">
        <v>38</v>
      </c>
      <c r="M9" s="168">
        <f>+M10+M11</f>
        <v>24800</v>
      </c>
      <c r="O9" s="12"/>
      <c r="P9" s="9" t="s">
        <v>102</v>
      </c>
      <c r="Q9" s="174">
        <f>+Q10+Q11</f>
        <v>-31200</v>
      </c>
    </row>
    <row r="10" spans="1:17" ht="20.100000000000001" customHeight="1" x14ac:dyDescent="0.2">
      <c r="A10" s="22">
        <v>217</v>
      </c>
      <c r="B10" s="23" t="s">
        <v>20</v>
      </c>
      <c r="C10" s="24">
        <v>10000</v>
      </c>
      <c r="D10" s="24">
        <f t="shared" si="0"/>
        <v>10000</v>
      </c>
      <c r="E10" s="24"/>
      <c r="G10" s="16" t="s">
        <v>40</v>
      </c>
      <c r="H10" s="16"/>
      <c r="I10" s="166">
        <f>I11+I14+I16+I17</f>
        <v>90650</v>
      </c>
      <c r="J10" s="75"/>
      <c r="K10" s="7">
        <v>112</v>
      </c>
      <c r="L10" s="8" t="s">
        <v>56</v>
      </c>
      <c r="M10" s="169">
        <f>E5</f>
        <v>6000</v>
      </c>
      <c r="O10" s="85" t="s">
        <v>103</v>
      </c>
      <c r="P10" s="12" t="s">
        <v>104</v>
      </c>
      <c r="Q10" s="173">
        <f>-D31</f>
        <v>-24000</v>
      </c>
    </row>
    <row r="11" spans="1:17" ht="20.100000000000001" customHeight="1" x14ac:dyDescent="0.2">
      <c r="A11" s="22">
        <v>218</v>
      </c>
      <c r="B11" s="23" t="s">
        <v>11</v>
      </c>
      <c r="C11" s="24">
        <v>20000</v>
      </c>
      <c r="D11" s="24">
        <f t="shared" si="0"/>
        <v>20000</v>
      </c>
      <c r="E11" s="24"/>
      <c r="G11" s="2"/>
      <c r="H11" s="3" t="s">
        <v>42</v>
      </c>
      <c r="I11" s="168">
        <f>I12+I13</f>
        <v>42700</v>
      </c>
      <c r="J11" s="75"/>
      <c r="K11" s="7">
        <v>113</v>
      </c>
      <c r="L11" s="8" t="s">
        <v>57</v>
      </c>
      <c r="M11" s="169">
        <f>E6</f>
        <v>18800</v>
      </c>
      <c r="O11" s="85" t="s">
        <v>105</v>
      </c>
      <c r="P11" s="12" t="s">
        <v>106</v>
      </c>
      <c r="Q11" s="173">
        <f>-D32</f>
        <v>-7200</v>
      </c>
    </row>
    <row r="12" spans="1:17" ht="20.100000000000001" customHeight="1" x14ac:dyDescent="0.2">
      <c r="A12" s="22">
        <v>280</v>
      </c>
      <c r="B12" s="23" t="s">
        <v>24</v>
      </c>
      <c r="C12" s="126">
        <v>1000</v>
      </c>
      <c r="D12" s="127"/>
      <c r="E12" s="126">
        <f>500+500</f>
        <v>1000</v>
      </c>
      <c r="G12" s="14" t="s">
        <v>79</v>
      </c>
      <c r="H12" s="6" t="s">
        <v>50</v>
      </c>
      <c r="I12" s="169">
        <f>D14</f>
        <v>42400</v>
      </c>
      <c r="J12" s="75"/>
      <c r="K12" s="7">
        <v>129</v>
      </c>
      <c r="L12" s="3" t="s">
        <v>39</v>
      </c>
      <c r="M12" s="165">
        <f>C45</f>
        <v>4687.5</v>
      </c>
      <c r="O12" s="85"/>
      <c r="P12" s="9" t="s">
        <v>107</v>
      </c>
      <c r="Q12" s="174">
        <f>+Q13+Q14</f>
        <v>-19050</v>
      </c>
    </row>
    <row r="13" spans="1:17" ht="20.100000000000001" customHeight="1" x14ac:dyDescent="0.2">
      <c r="A13" s="22">
        <v>281</v>
      </c>
      <c r="B13" s="23" t="s">
        <v>25</v>
      </c>
      <c r="C13" s="126">
        <v>27300</v>
      </c>
      <c r="D13" s="126"/>
      <c r="E13" s="126">
        <f>17500+9800</f>
        <v>27300</v>
      </c>
      <c r="G13" s="14" t="s">
        <v>80</v>
      </c>
      <c r="H13" s="8" t="s">
        <v>51</v>
      </c>
      <c r="I13" s="169">
        <f>D16</f>
        <v>300</v>
      </c>
      <c r="J13" s="75"/>
      <c r="K13" s="16" t="s">
        <v>41</v>
      </c>
      <c r="L13" s="16"/>
      <c r="M13" s="166">
        <f>M14</f>
        <v>25000</v>
      </c>
      <c r="O13" s="85" t="s">
        <v>108</v>
      </c>
      <c r="P13" s="12" t="s">
        <v>109</v>
      </c>
      <c r="Q13" s="173">
        <f>-D26-D27-D28-D30</f>
        <v>-15600</v>
      </c>
    </row>
    <row r="14" spans="1:17" ht="20.100000000000001" customHeight="1" x14ac:dyDescent="0.2">
      <c r="A14" s="22">
        <v>300</v>
      </c>
      <c r="B14" s="23" t="s">
        <v>13</v>
      </c>
      <c r="C14" s="126">
        <v>42400</v>
      </c>
      <c r="D14" s="126">
        <f t="shared" ref="D14" si="1">C14</f>
        <v>42400</v>
      </c>
      <c r="E14" s="128"/>
      <c r="G14" s="71"/>
      <c r="H14" s="3" t="s">
        <v>47</v>
      </c>
      <c r="I14" s="168">
        <f>I15</f>
        <v>19550</v>
      </c>
      <c r="J14" s="75"/>
      <c r="K14" s="4"/>
      <c r="L14" s="3" t="s">
        <v>59</v>
      </c>
      <c r="M14" s="168">
        <f>+M15</f>
        <v>25000</v>
      </c>
      <c r="O14" s="88" t="s">
        <v>110</v>
      </c>
      <c r="P14" s="12" t="s">
        <v>111</v>
      </c>
      <c r="Q14" s="173">
        <f>-D36</f>
        <v>-3450</v>
      </c>
    </row>
    <row r="15" spans="1:17" ht="20.100000000000001" customHeight="1" x14ac:dyDescent="0.2">
      <c r="A15" s="22">
        <v>400</v>
      </c>
      <c r="B15" s="23" t="s">
        <v>15</v>
      </c>
      <c r="C15" s="24">
        <v>10300</v>
      </c>
      <c r="D15" s="24"/>
      <c r="E15" s="24">
        <f>C15</f>
        <v>10300</v>
      </c>
      <c r="G15" s="72" t="s">
        <v>63</v>
      </c>
      <c r="H15" s="12" t="s">
        <v>52</v>
      </c>
      <c r="I15" s="169">
        <f>D18-E21</f>
        <v>19550</v>
      </c>
      <c r="J15" s="75"/>
      <c r="K15" s="7">
        <v>171</v>
      </c>
      <c r="L15" s="8" t="s">
        <v>58</v>
      </c>
      <c r="M15" s="169">
        <f>E7</f>
        <v>25000</v>
      </c>
      <c r="O15" s="85" t="s">
        <v>112</v>
      </c>
      <c r="P15" s="9" t="s">
        <v>113</v>
      </c>
      <c r="Q15" s="174">
        <f>-D34-D35</f>
        <v>-10300</v>
      </c>
    </row>
    <row r="16" spans="1:17" ht="20.100000000000001" customHeight="1" x14ac:dyDescent="0.2">
      <c r="A16" s="22">
        <v>407</v>
      </c>
      <c r="B16" s="23" t="s">
        <v>51</v>
      </c>
      <c r="C16" s="24">
        <v>300</v>
      </c>
      <c r="D16" s="24">
        <v>300</v>
      </c>
      <c r="E16" s="24"/>
      <c r="G16" s="73">
        <v>480</v>
      </c>
      <c r="H16" s="3" t="s">
        <v>54</v>
      </c>
      <c r="I16" s="168"/>
      <c r="J16" s="75"/>
      <c r="K16"/>
      <c r="L16" s="19" t="s">
        <v>43</v>
      </c>
      <c r="M16" s="166">
        <f>M17+M19</f>
        <v>19862.5</v>
      </c>
      <c r="O16" s="85"/>
      <c r="P16" s="16" t="s">
        <v>114</v>
      </c>
      <c r="Q16" s="175">
        <f>Q4+Q7+Q9+Q12+Q15</f>
        <v>6850</v>
      </c>
    </row>
    <row r="17" spans="1:18" ht="20.100000000000001" customHeight="1" x14ac:dyDescent="0.2">
      <c r="A17" s="117">
        <v>410</v>
      </c>
      <c r="B17" s="129" t="s">
        <v>131</v>
      </c>
      <c r="C17" s="126">
        <v>3000</v>
      </c>
      <c r="D17" s="126"/>
      <c r="E17" s="126">
        <f>C17</f>
        <v>3000</v>
      </c>
      <c r="G17" s="71"/>
      <c r="H17" s="3" t="s">
        <v>46</v>
      </c>
      <c r="I17" s="168">
        <f>I18</f>
        <v>28400</v>
      </c>
      <c r="J17" s="75"/>
      <c r="K17" s="1"/>
      <c r="L17" s="3" t="s">
        <v>60</v>
      </c>
      <c r="M17" s="168">
        <f>M18</f>
        <v>5000</v>
      </c>
      <c r="O17" s="85"/>
      <c r="P17" s="9" t="s">
        <v>115</v>
      </c>
      <c r="Q17" s="174">
        <f>+Q18</f>
        <v>-600</v>
      </c>
    </row>
    <row r="18" spans="1:18" ht="20.100000000000001" customHeight="1" x14ac:dyDescent="0.2">
      <c r="A18" s="22">
        <v>430</v>
      </c>
      <c r="B18" s="23" t="s">
        <v>0</v>
      </c>
      <c r="C18" s="24">
        <v>23000</v>
      </c>
      <c r="D18" s="24">
        <f>C18</f>
        <v>23000</v>
      </c>
      <c r="E18" s="24"/>
      <c r="G18" s="12">
        <v>572</v>
      </c>
      <c r="H18" s="12" t="s">
        <v>1</v>
      </c>
      <c r="I18" s="169">
        <f>D23</f>
        <v>28400</v>
      </c>
      <c r="J18" s="75"/>
      <c r="K18" s="7">
        <v>520</v>
      </c>
      <c r="L18" s="8" t="s">
        <v>58</v>
      </c>
      <c r="M18" s="170">
        <f>E22</f>
        <v>5000</v>
      </c>
      <c r="O18" s="85" t="s">
        <v>116</v>
      </c>
      <c r="P18" s="12" t="s">
        <v>117</v>
      </c>
      <c r="Q18" s="173">
        <f>-D33</f>
        <v>-600</v>
      </c>
    </row>
    <row r="19" spans="1:18" ht="20.100000000000001" customHeight="1" x14ac:dyDescent="0.2">
      <c r="A19" s="134">
        <v>4752</v>
      </c>
      <c r="B19" s="136" t="s">
        <v>86</v>
      </c>
      <c r="C19" s="160">
        <f>C29</f>
        <v>1562.5</v>
      </c>
      <c r="E19" s="160">
        <f>C19</f>
        <v>1562.5</v>
      </c>
      <c r="G19"/>
      <c r="H19"/>
      <c r="I19" s="171"/>
      <c r="J19" s="75"/>
      <c r="K19" s="15"/>
      <c r="L19" s="3" t="s">
        <v>45</v>
      </c>
      <c r="M19" s="168">
        <f>M20+M21+M22</f>
        <v>14862.5</v>
      </c>
      <c r="O19" s="82"/>
      <c r="P19" s="16" t="s">
        <v>118</v>
      </c>
      <c r="Q19" s="175">
        <f>Q17</f>
        <v>-600</v>
      </c>
    </row>
    <row r="20" spans="1:18" ht="20.100000000000001" customHeight="1" x14ac:dyDescent="0.2">
      <c r="A20" s="117">
        <v>480</v>
      </c>
      <c r="B20" s="129" t="s">
        <v>146</v>
      </c>
      <c r="C20" s="130">
        <v>0</v>
      </c>
      <c r="D20" s="128"/>
      <c r="E20" s="128"/>
      <c r="G20"/>
      <c r="H20"/>
      <c r="I20" s="171"/>
      <c r="J20" s="18"/>
      <c r="K20" s="10">
        <v>400</v>
      </c>
      <c r="L20" s="11" t="s">
        <v>15</v>
      </c>
      <c r="M20" s="169">
        <f>E15</f>
        <v>10300</v>
      </c>
      <c r="O20" s="85"/>
      <c r="P20" s="16" t="s">
        <v>119</v>
      </c>
      <c r="Q20" s="175">
        <f>+Q16+Q19</f>
        <v>6250</v>
      </c>
    </row>
    <row r="21" spans="1:18" ht="20.100000000000001" customHeight="1" x14ac:dyDescent="0.2">
      <c r="A21" s="117">
        <v>494</v>
      </c>
      <c r="B21" s="129" t="s">
        <v>147</v>
      </c>
      <c r="C21" s="126">
        <v>3450</v>
      </c>
      <c r="D21" s="126"/>
      <c r="E21" s="126">
        <f>C21</f>
        <v>3450</v>
      </c>
      <c r="G21"/>
      <c r="H21"/>
      <c r="I21" s="18"/>
      <c r="J21" s="18"/>
      <c r="K21" s="119">
        <v>41</v>
      </c>
      <c r="L21" s="120" t="s">
        <v>142</v>
      </c>
      <c r="M21" s="169">
        <f>E17</f>
        <v>3000</v>
      </c>
      <c r="O21" s="85" t="s">
        <v>120</v>
      </c>
      <c r="P21" s="2" t="s">
        <v>121</v>
      </c>
      <c r="Q21" s="173">
        <f>-D29</f>
        <v>-1562.5</v>
      </c>
    </row>
    <row r="22" spans="1:18" ht="20.100000000000001" customHeight="1" x14ac:dyDescent="0.2">
      <c r="A22" s="22">
        <v>520</v>
      </c>
      <c r="B22" s="23" t="s">
        <v>6</v>
      </c>
      <c r="C22" s="24">
        <v>5000</v>
      </c>
      <c r="D22" s="24"/>
      <c r="E22" s="24">
        <f>C22</f>
        <v>5000</v>
      </c>
      <c r="J22"/>
      <c r="K22" s="10">
        <v>4752</v>
      </c>
      <c r="L22" s="11" t="s">
        <v>86</v>
      </c>
      <c r="M22" s="164">
        <f>D29</f>
        <v>1562.5</v>
      </c>
      <c r="O22" s="90"/>
      <c r="P22" s="16" t="s">
        <v>122</v>
      </c>
      <c r="Q22" s="175">
        <f>Q20+Q21</f>
        <v>4687.5</v>
      </c>
      <c r="R22" s="137">
        <f>M12-Q22</f>
        <v>0</v>
      </c>
    </row>
    <row r="23" spans="1:18" ht="20.100000000000001" customHeight="1" x14ac:dyDescent="0.2">
      <c r="A23" s="22">
        <v>572</v>
      </c>
      <c r="B23" s="23" t="s">
        <v>3</v>
      </c>
      <c r="C23" s="24">
        <v>28400</v>
      </c>
      <c r="D23" s="24">
        <f t="shared" ref="D23:D35" si="2">C23</f>
        <v>28400</v>
      </c>
      <c r="E23" s="24"/>
      <c r="G23" s="63" t="s">
        <v>44</v>
      </c>
      <c r="H23" s="63"/>
      <c r="I23" s="163">
        <f>I5+I10</f>
        <v>134350</v>
      </c>
      <c r="J23" s="18"/>
      <c r="K23" s="63" t="s">
        <v>61</v>
      </c>
      <c r="L23" s="64"/>
      <c r="M23" s="163">
        <f>M5+M13+M16</f>
        <v>134350</v>
      </c>
      <c r="O23" s="75" t="s">
        <v>123</v>
      </c>
      <c r="P23" s="91"/>
      <c r="Q23" s="90"/>
    </row>
    <row r="24" spans="1:18" ht="20.100000000000001" customHeight="1" x14ac:dyDescent="0.2">
      <c r="A24" s="22">
        <v>600</v>
      </c>
      <c r="B24" s="23" t="s">
        <v>5</v>
      </c>
      <c r="C24" s="24">
        <v>120000</v>
      </c>
      <c r="D24" s="24">
        <f t="shared" si="2"/>
        <v>120000</v>
      </c>
      <c r="E24" s="24"/>
      <c r="J24" s="18"/>
      <c r="O24" s="92"/>
      <c r="P24" s="93"/>
      <c r="Q24" s="94"/>
    </row>
    <row r="25" spans="1:18" ht="20.100000000000001" customHeight="1" x14ac:dyDescent="0.2">
      <c r="A25" s="131">
        <v>610</v>
      </c>
      <c r="B25" s="129" t="s">
        <v>148</v>
      </c>
      <c r="C25" s="126">
        <v>2600</v>
      </c>
      <c r="D25" s="126">
        <f t="shared" si="2"/>
        <v>2600</v>
      </c>
      <c r="E25" s="24"/>
      <c r="O25"/>
      <c r="P25"/>
      <c r="Q25"/>
    </row>
    <row r="26" spans="1:18" ht="20.100000000000001" customHeight="1" x14ac:dyDescent="0.2">
      <c r="A26" s="22">
        <v>621</v>
      </c>
      <c r="B26" s="23" t="s">
        <v>12</v>
      </c>
      <c r="C26" s="24">
        <v>2400</v>
      </c>
      <c r="D26" s="24">
        <f t="shared" si="2"/>
        <v>2400</v>
      </c>
      <c r="E26" s="24"/>
      <c r="L26" s="77" t="s">
        <v>64</v>
      </c>
      <c r="M26" s="76" t="s">
        <v>75</v>
      </c>
    </row>
    <row r="27" spans="1:18" ht="20.100000000000001" customHeight="1" x14ac:dyDescent="0.2">
      <c r="A27" s="22">
        <v>625</v>
      </c>
      <c r="B27" s="23" t="s">
        <v>26</v>
      </c>
      <c r="C27" s="24">
        <v>1200</v>
      </c>
      <c r="D27" s="24">
        <f t="shared" si="2"/>
        <v>1200</v>
      </c>
      <c r="E27" s="24"/>
      <c r="L27" s="77"/>
      <c r="M27" s="118"/>
    </row>
    <row r="28" spans="1:18" ht="30" customHeight="1" x14ac:dyDescent="0.2">
      <c r="A28" s="131">
        <v>627</v>
      </c>
      <c r="B28" s="129" t="s">
        <v>149</v>
      </c>
      <c r="C28" s="126">
        <v>3000</v>
      </c>
      <c r="D28" s="126">
        <f t="shared" si="2"/>
        <v>3000</v>
      </c>
      <c r="E28" s="24"/>
      <c r="L28" s="78" t="s">
        <v>87</v>
      </c>
      <c r="M28" s="162">
        <f>I10-M16</f>
        <v>70787.5</v>
      </c>
    </row>
    <row r="29" spans="1:18" ht="30" customHeight="1" x14ac:dyDescent="0.2">
      <c r="A29" s="134">
        <v>630</v>
      </c>
      <c r="B29" s="136" t="s">
        <v>141</v>
      </c>
      <c r="C29" s="161">
        <f>0.25*6250</f>
        <v>1562.5</v>
      </c>
      <c r="D29" s="160">
        <f t="shared" si="2"/>
        <v>1562.5</v>
      </c>
      <c r="E29" s="24"/>
      <c r="L29" s="78" t="s">
        <v>88</v>
      </c>
      <c r="M29" s="140">
        <f>(M13+M16)/M5</f>
        <v>0.50132700097779015</v>
      </c>
    </row>
    <row r="30" spans="1:18" ht="30" customHeight="1" x14ac:dyDescent="0.2">
      <c r="A30" s="22">
        <v>628</v>
      </c>
      <c r="B30" s="23" t="s">
        <v>29</v>
      </c>
      <c r="C30" s="24">
        <v>9000</v>
      </c>
      <c r="D30" s="24">
        <f t="shared" si="2"/>
        <v>9000</v>
      </c>
      <c r="E30" s="24"/>
      <c r="L30" s="78" t="s">
        <v>89</v>
      </c>
      <c r="M30" s="140">
        <f>(Q20-Q19)/I23</f>
        <v>5.098622999627838E-2</v>
      </c>
    </row>
    <row r="31" spans="1:18" ht="30" customHeight="1" x14ac:dyDescent="0.2">
      <c r="A31" s="22">
        <v>640</v>
      </c>
      <c r="B31" s="23" t="s">
        <v>21</v>
      </c>
      <c r="C31" s="24">
        <v>24000</v>
      </c>
      <c r="D31" s="24">
        <f t="shared" si="2"/>
        <v>24000</v>
      </c>
      <c r="E31" s="24"/>
      <c r="L31" s="78" t="s">
        <v>90</v>
      </c>
      <c r="M31" s="140">
        <f>M12/M5</f>
        <v>5.2381617544349772E-2</v>
      </c>
    </row>
    <row r="32" spans="1:18" ht="30" customHeight="1" x14ac:dyDescent="0.2">
      <c r="A32" s="22">
        <v>642</v>
      </c>
      <c r="B32" s="23" t="s">
        <v>22</v>
      </c>
      <c r="C32" s="24">
        <v>7200</v>
      </c>
      <c r="D32" s="24">
        <f t="shared" si="2"/>
        <v>7200</v>
      </c>
      <c r="E32" s="24"/>
    </row>
    <row r="33" spans="1:8" ht="20.100000000000001" customHeight="1" x14ac:dyDescent="0.2">
      <c r="A33" s="22">
        <v>662</v>
      </c>
      <c r="B33" s="23" t="s">
        <v>23</v>
      </c>
      <c r="C33" s="25">
        <v>600</v>
      </c>
      <c r="D33" s="24">
        <f t="shared" si="2"/>
        <v>600</v>
      </c>
      <c r="E33" s="24"/>
      <c r="F33" s="26"/>
    </row>
    <row r="34" spans="1:8" ht="20.100000000000001" customHeight="1" x14ac:dyDescent="0.2">
      <c r="A34" s="131">
        <v>680</v>
      </c>
      <c r="B34" s="129" t="s">
        <v>150</v>
      </c>
      <c r="C34" s="126">
        <v>500</v>
      </c>
      <c r="D34" s="126">
        <f t="shared" si="2"/>
        <v>500</v>
      </c>
      <c r="E34" s="24"/>
      <c r="F34" s="26"/>
    </row>
    <row r="35" spans="1:8" ht="20.100000000000001" customHeight="1" x14ac:dyDescent="0.2">
      <c r="A35" s="131">
        <v>681</v>
      </c>
      <c r="B35" s="129" t="s">
        <v>151</v>
      </c>
      <c r="C35" s="126">
        <v>9800</v>
      </c>
      <c r="D35" s="126">
        <f t="shared" si="2"/>
        <v>9800</v>
      </c>
      <c r="E35" s="24"/>
      <c r="F35" s="26"/>
    </row>
    <row r="36" spans="1:8" ht="20.100000000000001" customHeight="1" x14ac:dyDescent="0.2">
      <c r="A36" s="131">
        <v>694</v>
      </c>
      <c r="B36" s="129" t="s">
        <v>152</v>
      </c>
      <c r="C36" s="126">
        <v>3450</v>
      </c>
      <c r="D36" s="126">
        <f>C36</f>
        <v>3450</v>
      </c>
      <c r="E36" s="24"/>
      <c r="F36" s="26"/>
    </row>
    <row r="37" spans="1:8" ht="20.100000000000001" customHeight="1" x14ac:dyDescent="0.2">
      <c r="A37" s="22">
        <v>700</v>
      </c>
      <c r="B37" s="23" t="s">
        <v>7</v>
      </c>
      <c r="C37" s="24">
        <v>180000</v>
      </c>
      <c r="D37" s="24"/>
      <c r="E37" s="24">
        <f>C37</f>
        <v>180000</v>
      </c>
    </row>
    <row r="38" spans="1:8" ht="18.600000000000001" customHeight="1" x14ac:dyDescent="0.2">
      <c r="A38" s="22">
        <v>705</v>
      </c>
      <c r="B38" s="23" t="s">
        <v>14</v>
      </c>
      <c r="C38" s="24">
        <v>10000</v>
      </c>
      <c r="D38" s="24"/>
      <c r="E38" s="24">
        <f>C38</f>
        <v>10000</v>
      </c>
      <c r="G38" s="132">
        <f>D39-E39</f>
        <v>0</v>
      </c>
    </row>
    <row r="39" spans="1:8" ht="20.45" customHeight="1" x14ac:dyDescent="0.2">
      <c r="A39" s="20"/>
      <c r="B39" s="20"/>
      <c r="C39" s="20"/>
      <c r="D39" s="152">
        <f>SUM(D4:D38)</f>
        <v>351412.5</v>
      </c>
      <c r="E39" s="152">
        <f>SUM(E4:E38)</f>
        <v>351412.5</v>
      </c>
    </row>
    <row r="40" spans="1:8" ht="20.45" customHeight="1" x14ac:dyDescent="0.2">
      <c r="A40" s="20"/>
      <c r="B40" s="20"/>
      <c r="C40" s="20"/>
      <c r="D40" s="152"/>
      <c r="E40" s="152"/>
    </row>
    <row r="41" spans="1:8" x14ac:dyDescent="0.2">
      <c r="A41" s="20"/>
      <c r="B41" s="20"/>
      <c r="C41" s="20"/>
      <c r="D41" s="20" t="s">
        <v>157</v>
      </c>
      <c r="E41" s="20" t="s">
        <v>158</v>
      </c>
      <c r="G41" s="20"/>
      <c r="H41" s="20"/>
    </row>
    <row r="42" spans="1:8" x14ac:dyDescent="0.2">
      <c r="A42" s="20"/>
      <c r="B42" s="133" t="s">
        <v>153</v>
      </c>
      <c r="C42" s="149">
        <f>E42-D42</f>
        <v>25600</v>
      </c>
      <c r="D42" s="149">
        <f>D24+D26+D27+D30+D31+D32+D33</f>
        <v>164400</v>
      </c>
      <c r="E42" s="149">
        <f>E37+E38</f>
        <v>190000</v>
      </c>
      <c r="F42" s="20"/>
      <c r="G42" s="20"/>
      <c r="H42" s="20"/>
    </row>
    <row r="43" spans="1:8" ht="19.149999999999999" customHeight="1" x14ac:dyDescent="0.2">
      <c r="A43" s="20"/>
      <c r="B43" s="74" t="s">
        <v>154</v>
      </c>
      <c r="C43" s="149">
        <f>E43-D43</f>
        <v>6250</v>
      </c>
      <c r="D43" s="150">
        <f>SUM(D24:D38)-D29</f>
        <v>183750</v>
      </c>
      <c r="E43" s="150">
        <f>SUM(E24:E38)</f>
        <v>190000</v>
      </c>
      <c r="F43" s="20"/>
      <c r="G43" s="20"/>
      <c r="H43" s="20"/>
    </row>
    <row r="44" spans="1:8" ht="21.75" customHeight="1" x14ac:dyDescent="0.2">
      <c r="A44" s="20"/>
      <c r="B44" s="133" t="s">
        <v>156</v>
      </c>
      <c r="C44" s="178">
        <f>0.25*C43</f>
        <v>1562.5</v>
      </c>
      <c r="F44" s="20"/>
      <c r="G44" s="20"/>
      <c r="H44" s="20"/>
    </row>
    <row r="45" spans="1:8" x14ac:dyDescent="0.2">
      <c r="A45" s="20"/>
      <c r="B45" s="74" t="s">
        <v>155</v>
      </c>
      <c r="C45" s="149">
        <f>E45-D45</f>
        <v>4687.5</v>
      </c>
      <c r="D45" s="151">
        <f>SUM(D24:D38)</f>
        <v>185312.5</v>
      </c>
      <c r="E45" s="149">
        <f>SUM(E24:E38)</f>
        <v>190000</v>
      </c>
      <c r="F45" s="20"/>
      <c r="G45" s="20"/>
      <c r="H45" s="20"/>
    </row>
    <row r="46" spans="1:8" x14ac:dyDescent="0.2">
      <c r="B46" s="177"/>
      <c r="C46" s="20"/>
      <c r="D46" s="20"/>
      <c r="E46" s="20"/>
      <c r="F46" s="20"/>
      <c r="G46" s="20"/>
      <c r="H46" s="20"/>
    </row>
    <row r="47" spans="1:8" x14ac:dyDescent="0.2">
      <c r="A47" s="20"/>
      <c r="B47" s="20"/>
      <c r="C47" s="20"/>
      <c r="D47" s="20"/>
      <c r="E47" s="20"/>
      <c r="F47" s="20"/>
      <c r="G47" s="20"/>
      <c r="H47" s="20"/>
    </row>
    <row r="48" spans="1:8" x14ac:dyDescent="0.2">
      <c r="A48" s="20"/>
      <c r="B48" s="20"/>
      <c r="C48" s="20"/>
      <c r="D48" s="20"/>
      <c r="E48" s="20"/>
      <c r="F48" s="20"/>
      <c r="G48" s="20"/>
      <c r="H48" s="20"/>
    </row>
    <row r="49" spans="1:8" x14ac:dyDescent="0.2">
      <c r="F49" s="20"/>
      <c r="G49" s="20"/>
      <c r="H49" s="20"/>
    </row>
    <row r="50" spans="1:8" x14ac:dyDescent="0.2">
      <c r="A50" s="20"/>
      <c r="B50" s="20"/>
      <c r="C50" s="20"/>
      <c r="D50" s="20"/>
      <c r="E50" s="20"/>
      <c r="F50" s="20"/>
      <c r="G50" s="20"/>
      <c r="H50" s="20"/>
    </row>
  </sheetData>
  <mergeCells count="2">
    <mergeCell ref="G3:I3"/>
    <mergeCell ref="K3:M3"/>
  </mergeCells>
  <pageMargins left="0.7" right="0.7" top="0.75" bottom="0.75" header="0.3" footer="0.3"/>
  <pageSetup paperSize="9" orientation="portrait" r:id="rId1"/>
  <ignoredErrors>
    <ignoredError sqref="G12:G13"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1"/>
  <sheetViews>
    <sheetView topLeftCell="A10" zoomScaleNormal="100" workbookViewId="0">
      <selection activeCell="D24" sqref="D24"/>
    </sheetView>
  </sheetViews>
  <sheetFormatPr baseColWidth="10" defaultRowHeight="12.75" x14ac:dyDescent="0.2"/>
  <cols>
    <col min="1" max="1" width="18.7109375" customWidth="1"/>
    <col min="2" max="2" width="11" customWidth="1"/>
    <col min="3" max="3" width="6.7109375" customWidth="1"/>
    <col min="4" max="4" width="30.28515625" customWidth="1"/>
    <col min="5" max="5" width="4.85546875" customWidth="1"/>
    <col min="6" max="6" width="7.85546875" customWidth="1"/>
    <col min="7" max="7" width="35.7109375" customWidth="1"/>
    <col min="8" max="8" width="14.140625" customWidth="1"/>
    <col min="9" max="9" width="5.7109375" customWidth="1"/>
  </cols>
  <sheetData>
    <row r="1" spans="1:9" ht="33.6" customHeight="1" x14ac:dyDescent="0.2">
      <c r="A1" s="145" t="s">
        <v>77</v>
      </c>
      <c r="B1" s="145"/>
      <c r="C1" s="145"/>
      <c r="D1" s="145"/>
      <c r="E1" s="145"/>
      <c r="F1" s="145"/>
      <c r="G1" s="145"/>
      <c r="H1" s="145"/>
    </row>
    <row r="3" spans="1:9" ht="22.9" customHeight="1" x14ac:dyDescent="0.2">
      <c r="B3" s="38" t="s">
        <v>65</v>
      </c>
      <c r="C3" s="37" t="s">
        <v>70</v>
      </c>
      <c r="D3" s="38" t="s">
        <v>66</v>
      </c>
      <c r="E3" s="38"/>
      <c r="F3" s="37" t="s">
        <v>70</v>
      </c>
      <c r="G3" s="38" t="s">
        <v>67</v>
      </c>
      <c r="H3" s="38" t="s">
        <v>68</v>
      </c>
    </row>
    <row r="4" spans="1:9" x14ac:dyDescent="0.2">
      <c r="E4" s="39" t="s">
        <v>83</v>
      </c>
    </row>
    <row r="5" spans="1:9" s="35" customFormat="1" ht="41.45" customHeight="1" x14ac:dyDescent="0.2">
      <c r="A5" s="44" t="s">
        <v>71</v>
      </c>
      <c r="B5" s="45">
        <v>45000</v>
      </c>
      <c r="C5" s="46">
        <v>610</v>
      </c>
      <c r="D5" s="47" t="s">
        <v>127</v>
      </c>
      <c r="E5" s="48" t="s">
        <v>69</v>
      </c>
      <c r="F5" s="46">
        <v>300</v>
      </c>
      <c r="G5" s="47" t="s">
        <v>128</v>
      </c>
      <c r="H5" s="45">
        <v>45000</v>
      </c>
      <c r="I5"/>
    </row>
    <row r="6" spans="1:9" s="35" customFormat="1" ht="42.6" customHeight="1" x14ac:dyDescent="0.2">
      <c r="A6" s="49"/>
      <c r="B6" s="45">
        <v>46000</v>
      </c>
      <c r="C6" s="46">
        <v>300</v>
      </c>
      <c r="D6" s="47" t="s">
        <v>128</v>
      </c>
      <c r="E6" s="50" t="s">
        <v>69</v>
      </c>
      <c r="F6" s="46">
        <v>610</v>
      </c>
      <c r="G6" s="47" t="s">
        <v>127</v>
      </c>
      <c r="H6" s="45">
        <v>46000</v>
      </c>
      <c r="I6"/>
    </row>
    <row r="7" spans="1:9" s="35" customFormat="1" ht="38.25" customHeight="1" x14ac:dyDescent="0.2">
      <c r="B7" s="40"/>
      <c r="C7" s="36"/>
      <c r="D7" s="102" t="s">
        <v>129</v>
      </c>
      <c r="E7" s="102"/>
      <c r="F7" s="102">
        <f>B6-H5</f>
        <v>1000</v>
      </c>
      <c r="G7" s="103" t="s">
        <v>9</v>
      </c>
      <c r="H7" s="40">
        <f>B5-H6</f>
        <v>-1000</v>
      </c>
      <c r="I7"/>
    </row>
    <row r="8" spans="1:9" s="35" customFormat="1" ht="15.6" customHeight="1" x14ac:dyDescent="0.2">
      <c r="C8"/>
      <c r="E8" s="39" t="s">
        <v>84</v>
      </c>
      <c r="I8"/>
    </row>
    <row r="9" spans="1:9" s="35" customFormat="1" ht="44.45" customHeight="1" x14ac:dyDescent="0.2">
      <c r="A9" s="51" t="s">
        <v>72</v>
      </c>
      <c r="B9" s="52">
        <v>3000</v>
      </c>
      <c r="C9" s="107">
        <v>627</v>
      </c>
      <c r="D9" s="53" t="s">
        <v>130</v>
      </c>
      <c r="E9" s="70" t="s">
        <v>69</v>
      </c>
      <c r="F9" s="107">
        <v>410</v>
      </c>
      <c r="G9" s="53" t="s">
        <v>131</v>
      </c>
      <c r="H9" s="52">
        <v>3000</v>
      </c>
      <c r="I9"/>
    </row>
    <row r="10" spans="1:9" s="35" customFormat="1" ht="25.15" customHeight="1" x14ac:dyDescent="0.2">
      <c r="A10" s="65"/>
      <c r="B10" s="65"/>
      <c r="C10" s="66"/>
      <c r="D10" s="67"/>
      <c r="E10" s="68" t="s">
        <v>83</v>
      </c>
      <c r="F10" s="66"/>
      <c r="G10" s="67"/>
      <c r="H10" s="65"/>
      <c r="I10"/>
    </row>
    <row r="11" spans="1:9" s="35" customFormat="1" ht="46.9" customHeight="1" x14ac:dyDescent="0.2">
      <c r="A11" s="65"/>
      <c r="B11" s="65">
        <v>3000</v>
      </c>
      <c r="C11" s="107">
        <v>480</v>
      </c>
      <c r="D11" s="53" t="s">
        <v>133</v>
      </c>
      <c r="E11" s="70" t="s">
        <v>69</v>
      </c>
      <c r="F11" s="107">
        <v>627</v>
      </c>
      <c r="G11" s="53" t="s">
        <v>130</v>
      </c>
      <c r="H11" s="65">
        <v>3000</v>
      </c>
      <c r="I11"/>
    </row>
    <row r="12" spans="1:9" s="35" customFormat="1" ht="25.15" customHeight="1" x14ac:dyDescent="0.2">
      <c r="I12"/>
    </row>
    <row r="13" spans="1:9" s="35" customFormat="1" ht="14.45" customHeight="1" x14ac:dyDescent="0.2">
      <c r="C13"/>
      <c r="E13" s="39" t="s">
        <v>83</v>
      </c>
      <c r="F13"/>
      <c r="I13"/>
    </row>
    <row r="14" spans="1:9" s="35" customFormat="1" ht="55.9" customHeight="1" x14ac:dyDescent="0.2">
      <c r="A14" s="54" t="s">
        <v>73</v>
      </c>
      <c r="B14" s="55">
        <v>3000</v>
      </c>
      <c r="C14" s="111">
        <v>694</v>
      </c>
      <c r="D14" s="56" t="s">
        <v>134</v>
      </c>
      <c r="E14" s="115" t="s">
        <v>135</v>
      </c>
      <c r="F14" s="111">
        <v>490</v>
      </c>
      <c r="G14" s="56" t="s">
        <v>136</v>
      </c>
      <c r="H14" s="55">
        <v>3000</v>
      </c>
      <c r="I14"/>
    </row>
    <row r="15" spans="1:9" s="35" customFormat="1" ht="25.15" customHeight="1" x14ac:dyDescent="0.2">
      <c r="B15" s="40"/>
      <c r="C15"/>
      <c r="D15"/>
      <c r="E15"/>
      <c r="F15"/>
      <c r="G15"/>
      <c r="H15" s="40"/>
      <c r="I15"/>
    </row>
    <row r="16" spans="1:9" x14ac:dyDescent="0.2">
      <c r="A16" s="35"/>
      <c r="B16" s="35"/>
      <c r="D16" s="35"/>
      <c r="E16" s="39" t="s">
        <v>83</v>
      </c>
      <c r="G16" s="35"/>
      <c r="H16" s="35"/>
    </row>
    <row r="17" spans="1:8" ht="38.450000000000003" customHeight="1" x14ac:dyDescent="0.2">
      <c r="A17" s="57" t="s">
        <v>74</v>
      </c>
      <c r="B17" s="58">
        <v>500</v>
      </c>
      <c r="C17" s="112">
        <v>680</v>
      </c>
      <c r="D17" s="59" t="s">
        <v>137</v>
      </c>
      <c r="E17" s="116" t="s">
        <v>135</v>
      </c>
      <c r="F17" s="112">
        <v>280</v>
      </c>
      <c r="G17" s="59" t="s">
        <v>138</v>
      </c>
      <c r="H17" s="58">
        <v>500</v>
      </c>
    </row>
    <row r="18" spans="1:8" ht="40.15" customHeight="1" x14ac:dyDescent="0.2">
      <c r="A18" s="60"/>
      <c r="B18" s="58">
        <f>4000+2000+950</f>
        <v>6950</v>
      </c>
      <c r="C18" s="112">
        <v>681</v>
      </c>
      <c r="D18" s="59" t="s">
        <v>139</v>
      </c>
      <c r="E18" s="116" t="s">
        <v>135</v>
      </c>
      <c r="F18" s="112">
        <v>281</v>
      </c>
      <c r="G18" s="59" t="s">
        <v>140</v>
      </c>
      <c r="H18" s="58">
        <v>6950</v>
      </c>
    </row>
    <row r="19" spans="1:8" x14ac:dyDescent="0.2">
      <c r="D19" s="41"/>
      <c r="E19" s="42"/>
      <c r="F19" s="42"/>
    </row>
    <row r="20" spans="1:8" x14ac:dyDescent="0.2">
      <c r="D20" s="41"/>
      <c r="E20" s="42"/>
      <c r="F20" s="42"/>
    </row>
    <row r="21" spans="1:8" ht="25.5" x14ac:dyDescent="0.2">
      <c r="A21" s="121" t="s">
        <v>143</v>
      </c>
      <c r="B21" s="176">
        <v>4037.5</v>
      </c>
      <c r="C21" s="123" t="s">
        <v>120</v>
      </c>
      <c r="D21" s="124" t="s">
        <v>144</v>
      </c>
      <c r="E21" s="125" t="s">
        <v>69</v>
      </c>
      <c r="F21" s="123" t="s">
        <v>145</v>
      </c>
      <c r="G21" s="124" t="s">
        <v>86</v>
      </c>
      <c r="H21" s="176">
        <f>B21</f>
        <v>4037.5</v>
      </c>
    </row>
  </sheetData>
  <mergeCells count="1">
    <mergeCell ref="A1:H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50"/>
  <sheetViews>
    <sheetView tabSelected="1" topLeftCell="A6" zoomScale="85" zoomScaleNormal="85" workbookViewId="0">
      <selection activeCell="H42" sqref="H42"/>
    </sheetView>
  </sheetViews>
  <sheetFormatPr baseColWidth="10" defaultColWidth="11.5703125" defaultRowHeight="12.75" x14ac:dyDescent="0.2"/>
  <cols>
    <col min="1" max="1" width="8.28515625" style="21" customWidth="1"/>
    <col min="2" max="2" width="49.7109375" style="21" customWidth="1"/>
    <col min="3" max="3" width="11.7109375" style="21" customWidth="1"/>
    <col min="4" max="4" width="10.5703125" style="21" customWidth="1"/>
    <col min="5" max="5" width="10.85546875" style="21" customWidth="1"/>
    <col min="6" max="6" width="4.28515625" style="21" customWidth="1"/>
    <col min="7" max="7" width="11.5703125" style="21"/>
    <col min="8" max="8" width="55.42578125" style="21" customWidth="1"/>
    <col min="9" max="9" width="11.5703125" style="21"/>
    <col min="10" max="10" width="3.140625" style="21" customWidth="1"/>
    <col min="11" max="11" width="6.5703125" style="21" customWidth="1"/>
    <col min="12" max="12" width="52" style="21" customWidth="1"/>
    <col min="13" max="13" width="11.5703125" style="21"/>
    <col min="14" max="14" width="6.85546875" style="21" customWidth="1"/>
    <col min="15" max="15" width="11.5703125" style="21"/>
    <col min="16" max="16" width="41.28515625" style="21" customWidth="1"/>
    <col min="17" max="16384" width="11.5703125" style="21"/>
  </cols>
  <sheetData>
    <row r="1" spans="1:17" x14ac:dyDescent="0.2">
      <c r="A1" s="27" t="s">
        <v>126</v>
      </c>
    </row>
    <row r="2" spans="1:17" ht="16.899999999999999" customHeight="1" x14ac:dyDescent="0.2">
      <c r="F2" s="20"/>
      <c r="G2" s="28" t="s">
        <v>125</v>
      </c>
      <c r="H2" s="29"/>
      <c r="I2" s="29"/>
      <c r="J2" s="29"/>
      <c r="K2" s="29"/>
      <c r="L2" s="29"/>
      <c r="M2" s="30"/>
      <c r="O2" s="97" t="s">
        <v>124</v>
      </c>
      <c r="P2" s="98"/>
      <c r="Q2" s="99"/>
    </row>
    <row r="3" spans="1:17" ht="33.6" customHeight="1" x14ac:dyDescent="0.2">
      <c r="A3" s="43" t="s">
        <v>17</v>
      </c>
      <c r="B3" s="17" t="s">
        <v>18</v>
      </c>
      <c r="C3" s="100" t="s">
        <v>2</v>
      </c>
      <c r="D3" s="101" t="s">
        <v>8</v>
      </c>
      <c r="E3" s="101" t="s">
        <v>9</v>
      </c>
      <c r="F3" s="20"/>
      <c r="G3" s="146" t="s">
        <v>30</v>
      </c>
      <c r="H3" s="147"/>
      <c r="I3" s="148"/>
      <c r="J3" s="75"/>
      <c r="K3" s="146" t="s">
        <v>31</v>
      </c>
      <c r="L3" s="147"/>
      <c r="M3" s="148"/>
      <c r="O3" s="82"/>
      <c r="P3" s="16" t="s">
        <v>92</v>
      </c>
      <c r="Q3" s="83" t="s">
        <v>93</v>
      </c>
    </row>
    <row r="4" spans="1:17" ht="29.45" customHeight="1" x14ac:dyDescent="0.2">
      <c r="A4" s="22">
        <v>100</v>
      </c>
      <c r="B4" s="23" t="s">
        <v>4</v>
      </c>
      <c r="C4" s="24">
        <v>60000</v>
      </c>
      <c r="D4" s="24"/>
      <c r="E4" s="24">
        <f>C4</f>
        <v>60000</v>
      </c>
      <c r="F4" s="20"/>
      <c r="G4" s="43" t="s">
        <v>17</v>
      </c>
      <c r="H4" s="13" t="s">
        <v>18</v>
      </c>
      <c r="I4" s="5" t="s">
        <v>2</v>
      </c>
      <c r="J4" s="75"/>
      <c r="K4" s="4" t="s">
        <v>17</v>
      </c>
      <c r="L4" s="13" t="s">
        <v>18</v>
      </c>
      <c r="M4" s="5" t="s">
        <v>2</v>
      </c>
      <c r="O4" s="82"/>
      <c r="P4" s="3" t="s">
        <v>94</v>
      </c>
      <c r="Q4" s="84">
        <f>Q5+Q6</f>
        <v>190000</v>
      </c>
    </row>
    <row r="5" spans="1:17" ht="20.100000000000001" customHeight="1" x14ac:dyDescent="0.2">
      <c r="A5" s="22">
        <v>112</v>
      </c>
      <c r="B5" s="23" t="s">
        <v>19</v>
      </c>
      <c r="C5" s="24">
        <v>6000</v>
      </c>
      <c r="D5" s="24"/>
      <c r="E5" s="24">
        <f>C5</f>
        <v>6000</v>
      </c>
      <c r="G5" s="16" t="s">
        <v>32</v>
      </c>
      <c r="H5" s="16"/>
      <c r="I5" s="31">
        <f>I6+I8</f>
        <v>46550</v>
      </c>
      <c r="J5" s="75"/>
      <c r="K5" s="16" t="s">
        <v>33</v>
      </c>
      <c r="L5" s="16"/>
      <c r="M5" s="153">
        <f>M6</f>
        <v>96912.5</v>
      </c>
      <c r="O5" s="85" t="s">
        <v>95</v>
      </c>
      <c r="P5" s="12" t="s">
        <v>96</v>
      </c>
      <c r="Q5" s="86">
        <f>E37</f>
        <v>180000</v>
      </c>
    </row>
    <row r="6" spans="1:17" ht="20.100000000000001" customHeight="1" x14ac:dyDescent="0.2">
      <c r="A6" s="22">
        <v>113</v>
      </c>
      <c r="B6" s="23" t="s">
        <v>27</v>
      </c>
      <c r="C6" s="24">
        <v>18800</v>
      </c>
      <c r="D6" s="24"/>
      <c r="E6" s="24">
        <f>C6</f>
        <v>18800</v>
      </c>
      <c r="G6" s="9"/>
      <c r="H6" s="3" t="s">
        <v>34</v>
      </c>
      <c r="I6" s="32">
        <f>I7</f>
        <v>1000</v>
      </c>
      <c r="J6" s="75"/>
      <c r="K6" s="9"/>
      <c r="L6" s="3" t="s">
        <v>35</v>
      </c>
      <c r="M6" s="154">
        <f>M7+M9+M12</f>
        <v>96912.5</v>
      </c>
      <c r="O6" s="85" t="s">
        <v>97</v>
      </c>
      <c r="P6" s="12" t="s">
        <v>98</v>
      </c>
      <c r="Q6" s="86">
        <f>E38</f>
        <v>10000</v>
      </c>
    </row>
    <row r="7" spans="1:17" ht="20.100000000000001" customHeight="1" x14ac:dyDescent="0.2">
      <c r="A7" s="22">
        <v>171</v>
      </c>
      <c r="B7" s="23" t="s">
        <v>16</v>
      </c>
      <c r="C7" s="24">
        <v>25000</v>
      </c>
      <c r="D7" s="24"/>
      <c r="E7" s="24">
        <f>C7</f>
        <v>25000</v>
      </c>
      <c r="G7" s="14" t="s">
        <v>48</v>
      </c>
      <c r="H7" s="6" t="s">
        <v>10</v>
      </c>
      <c r="I7" s="33">
        <f>D8-E12</f>
        <v>1000</v>
      </c>
      <c r="J7" s="75"/>
      <c r="K7" s="4"/>
      <c r="L7" s="3" t="s">
        <v>36</v>
      </c>
      <c r="M7" s="155">
        <f>+M8</f>
        <v>60000</v>
      </c>
      <c r="O7" s="82"/>
      <c r="P7" s="3" t="s">
        <v>99</v>
      </c>
      <c r="Q7" s="87">
        <f>Q8</f>
        <v>-119000</v>
      </c>
    </row>
    <row r="8" spans="1:17" ht="20.100000000000001" customHeight="1" x14ac:dyDescent="0.2">
      <c r="A8" s="22">
        <v>206</v>
      </c>
      <c r="B8" s="23" t="s">
        <v>10</v>
      </c>
      <c r="C8" s="24">
        <v>2000</v>
      </c>
      <c r="D8" s="24">
        <f t="shared" ref="D8:D11" si="0">C8</f>
        <v>2000</v>
      </c>
      <c r="E8" s="24"/>
      <c r="G8" s="2"/>
      <c r="H8" s="3" t="s">
        <v>37</v>
      </c>
      <c r="I8" s="32">
        <f>+I9</f>
        <v>45550</v>
      </c>
      <c r="J8" s="75"/>
      <c r="K8" s="6">
        <v>100</v>
      </c>
      <c r="L8" s="6" t="s">
        <v>55</v>
      </c>
      <c r="M8" s="156">
        <f>E4</f>
        <v>60000</v>
      </c>
      <c r="O8" s="85" t="s">
        <v>100</v>
      </c>
      <c r="P8" s="12" t="s">
        <v>101</v>
      </c>
      <c r="Q8" s="86">
        <f>-D24+E25</f>
        <v>-119000</v>
      </c>
    </row>
    <row r="9" spans="1:17" ht="31.15" customHeight="1" x14ac:dyDescent="0.2">
      <c r="A9" s="22">
        <v>216</v>
      </c>
      <c r="B9" s="23" t="s">
        <v>28</v>
      </c>
      <c r="C9" s="24">
        <v>40000</v>
      </c>
      <c r="D9" s="24">
        <f t="shared" si="0"/>
        <v>40000</v>
      </c>
      <c r="E9" s="24"/>
      <c r="G9" s="14" t="s">
        <v>49</v>
      </c>
      <c r="H9" s="8" t="s">
        <v>53</v>
      </c>
      <c r="I9" s="33">
        <f>D9+D10+D11-E13</f>
        <v>45550</v>
      </c>
      <c r="J9" s="75"/>
      <c r="K9" s="4"/>
      <c r="L9" s="3" t="s">
        <v>38</v>
      </c>
      <c r="M9" s="155">
        <f>+M10+M11</f>
        <v>24800</v>
      </c>
      <c r="O9" s="12"/>
      <c r="P9" s="9" t="s">
        <v>102</v>
      </c>
      <c r="Q9" s="87">
        <f>+Q10+Q11</f>
        <v>-31200</v>
      </c>
    </row>
    <row r="10" spans="1:17" ht="20.100000000000001" customHeight="1" x14ac:dyDescent="0.2">
      <c r="A10" s="22">
        <v>217</v>
      </c>
      <c r="B10" s="23" t="s">
        <v>20</v>
      </c>
      <c r="C10" s="24">
        <v>10000</v>
      </c>
      <c r="D10" s="24">
        <f t="shared" si="0"/>
        <v>10000</v>
      </c>
      <c r="E10" s="24"/>
      <c r="G10" s="16" t="s">
        <v>40</v>
      </c>
      <c r="H10" s="16"/>
      <c r="I10" s="31">
        <f>I11+I14+I16+I17</f>
        <v>97700</v>
      </c>
      <c r="J10" s="75"/>
      <c r="K10" s="7">
        <v>112</v>
      </c>
      <c r="L10" s="8" t="s">
        <v>56</v>
      </c>
      <c r="M10" s="156">
        <f>E5</f>
        <v>6000</v>
      </c>
      <c r="O10" s="85" t="s">
        <v>103</v>
      </c>
      <c r="P10" s="12" t="s">
        <v>104</v>
      </c>
      <c r="Q10" s="86">
        <f>-D31</f>
        <v>-24000</v>
      </c>
    </row>
    <row r="11" spans="1:17" ht="20.100000000000001" customHeight="1" x14ac:dyDescent="0.2">
      <c r="A11" s="22">
        <v>218</v>
      </c>
      <c r="B11" s="23" t="s">
        <v>11</v>
      </c>
      <c r="C11" s="24">
        <v>20000</v>
      </c>
      <c r="D11" s="24">
        <f t="shared" si="0"/>
        <v>20000</v>
      </c>
      <c r="E11" s="24"/>
      <c r="G11" s="2"/>
      <c r="H11" s="3" t="s">
        <v>42</v>
      </c>
      <c r="I11" s="34">
        <f>I12+I13</f>
        <v>46300</v>
      </c>
      <c r="J11" s="75"/>
      <c r="K11" s="7">
        <v>113</v>
      </c>
      <c r="L11" s="8" t="s">
        <v>57</v>
      </c>
      <c r="M11" s="156">
        <f>E6</f>
        <v>18800</v>
      </c>
      <c r="O11" s="85" t="s">
        <v>105</v>
      </c>
      <c r="P11" s="12" t="s">
        <v>106</v>
      </c>
      <c r="Q11" s="86">
        <f>-D32</f>
        <v>-7200</v>
      </c>
    </row>
    <row r="12" spans="1:17" ht="20.100000000000001" customHeight="1" x14ac:dyDescent="0.2">
      <c r="A12" s="22">
        <v>280</v>
      </c>
      <c r="B12" s="23" t="s">
        <v>24</v>
      </c>
      <c r="C12" s="126">
        <v>1000</v>
      </c>
      <c r="D12" s="127"/>
      <c r="E12" s="126">
        <f>C12</f>
        <v>1000</v>
      </c>
      <c r="G12" s="14" t="s">
        <v>79</v>
      </c>
      <c r="H12" s="6" t="s">
        <v>50</v>
      </c>
      <c r="I12" s="33">
        <f>D14</f>
        <v>46000</v>
      </c>
      <c r="J12" s="75"/>
      <c r="K12" s="7">
        <v>129</v>
      </c>
      <c r="L12" s="3" t="s">
        <v>39</v>
      </c>
      <c r="M12" s="157">
        <f>C45</f>
        <v>12112.5</v>
      </c>
      <c r="O12" s="85"/>
      <c r="P12" s="9" t="s">
        <v>107</v>
      </c>
      <c r="Q12" s="87">
        <f>+Q13+Q14</f>
        <v>-15600</v>
      </c>
    </row>
    <row r="13" spans="1:17" ht="20.100000000000001" customHeight="1" x14ac:dyDescent="0.2">
      <c r="A13" s="22">
        <v>281</v>
      </c>
      <c r="B13" s="23" t="s">
        <v>25</v>
      </c>
      <c r="C13" s="126">
        <f>22800+1650</f>
        <v>24450</v>
      </c>
      <c r="D13" s="126"/>
      <c r="E13" s="126">
        <f>C13</f>
        <v>24450</v>
      </c>
      <c r="G13" s="14" t="s">
        <v>80</v>
      </c>
      <c r="H13" s="8" t="s">
        <v>51</v>
      </c>
      <c r="I13" s="33">
        <f>D16</f>
        <v>300</v>
      </c>
      <c r="J13" s="75"/>
      <c r="K13" s="16" t="s">
        <v>41</v>
      </c>
      <c r="L13" s="16"/>
      <c r="M13" s="153">
        <f>M14</f>
        <v>25000</v>
      </c>
      <c r="O13" s="85" t="s">
        <v>108</v>
      </c>
      <c r="P13" s="12" t="s">
        <v>109</v>
      </c>
      <c r="Q13" s="86">
        <f>-D26-D27-D29</f>
        <v>-12600</v>
      </c>
    </row>
    <row r="14" spans="1:17" ht="20.100000000000001" customHeight="1" x14ac:dyDescent="0.2">
      <c r="A14" s="22">
        <v>300</v>
      </c>
      <c r="B14" s="23" t="s">
        <v>13</v>
      </c>
      <c r="C14" s="126">
        <v>46000</v>
      </c>
      <c r="D14" s="126">
        <f>C14</f>
        <v>46000</v>
      </c>
      <c r="E14" s="128"/>
      <c r="G14" s="71"/>
      <c r="H14" s="3" t="s">
        <v>47</v>
      </c>
      <c r="I14" s="34">
        <f>I15</f>
        <v>20000</v>
      </c>
      <c r="J14" s="75"/>
      <c r="K14" s="4"/>
      <c r="L14" s="3" t="s">
        <v>59</v>
      </c>
      <c r="M14" s="155">
        <f>+M15</f>
        <v>25000</v>
      </c>
      <c r="O14" s="88" t="s">
        <v>110</v>
      </c>
      <c r="P14" s="12" t="s">
        <v>111</v>
      </c>
      <c r="Q14" s="86">
        <f>-D36</f>
        <v>-3000</v>
      </c>
    </row>
    <row r="15" spans="1:17" ht="20.100000000000001" customHeight="1" x14ac:dyDescent="0.2">
      <c r="A15" s="22">
        <v>400</v>
      </c>
      <c r="B15" s="23" t="s">
        <v>15</v>
      </c>
      <c r="C15" s="24">
        <v>10300</v>
      </c>
      <c r="D15" s="24"/>
      <c r="E15" s="24">
        <f>C15</f>
        <v>10300</v>
      </c>
      <c r="G15" s="72" t="s">
        <v>63</v>
      </c>
      <c r="H15" s="12" t="s">
        <v>52</v>
      </c>
      <c r="I15" s="33">
        <f>D18-E21</f>
        <v>20000</v>
      </c>
      <c r="J15" s="75"/>
      <c r="K15" s="7">
        <v>171</v>
      </c>
      <c r="L15" s="8" t="s">
        <v>58</v>
      </c>
      <c r="M15" s="156">
        <f>E7</f>
        <v>25000</v>
      </c>
      <c r="O15" s="85" t="s">
        <v>112</v>
      </c>
      <c r="P15" s="9" t="s">
        <v>113</v>
      </c>
      <c r="Q15" s="87">
        <f>-D34-D35</f>
        <v>-7450</v>
      </c>
    </row>
    <row r="16" spans="1:17" ht="20.100000000000001" customHeight="1" x14ac:dyDescent="0.2">
      <c r="A16" s="22">
        <v>407</v>
      </c>
      <c r="B16" s="23" t="s">
        <v>51</v>
      </c>
      <c r="C16" s="24">
        <v>300</v>
      </c>
      <c r="D16" s="24">
        <v>300</v>
      </c>
      <c r="E16" s="24"/>
      <c r="G16" s="73">
        <v>480</v>
      </c>
      <c r="H16" s="3" t="s">
        <v>54</v>
      </c>
      <c r="I16" s="34">
        <f>D20</f>
        <v>3000</v>
      </c>
      <c r="J16" s="75"/>
      <c r="K16"/>
      <c r="L16" s="19" t="s">
        <v>43</v>
      </c>
      <c r="M16" s="153">
        <f>M17+M19</f>
        <v>22337.5</v>
      </c>
      <c r="O16" s="85"/>
      <c r="P16" s="16" t="s">
        <v>114</v>
      </c>
      <c r="Q16" s="89">
        <f>Q4+Q7+Q9+Q12+Q15</f>
        <v>16750</v>
      </c>
    </row>
    <row r="17" spans="1:17" ht="20.100000000000001" customHeight="1" x14ac:dyDescent="0.2">
      <c r="A17" s="131">
        <v>410</v>
      </c>
      <c r="B17" s="129" t="s">
        <v>131</v>
      </c>
      <c r="C17" s="126">
        <v>3000</v>
      </c>
      <c r="D17" s="126"/>
      <c r="E17" s="126">
        <f>C17</f>
        <v>3000</v>
      </c>
      <c r="G17" s="71"/>
      <c r="H17" s="3" t="s">
        <v>46</v>
      </c>
      <c r="I17" s="34">
        <f>I18</f>
        <v>28400</v>
      </c>
      <c r="J17" s="75"/>
      <c r="K17" s="1"/>
      <c r="L17" s="3" t="s">
        <v>60</v>
      </c>
      <c r="M17" s="155">
        <f>M18</f>
        <v>5000</v>
      </c>
      <c r="O17" s="85"/>
      <c r="P17" s="9" t="s">
        <v>115</v>
      </c>
      <c r="Q17" s="87">
        <f>+Q18</f>
        <v>-600</v>
      </c>
    </row>
    <row r="18" spans="1:17" ht="20.100000000000001" customHeight="1" x14ac:dyDescent="0.2">
      <c r="A18" s="22">
        <v>430</v>
      </c>
      <c r="B18" s="23" t="s">
        <v>0</v>
      </c>
      <c r="C18" s="24">
        <v>23000</v>
      </c>
      <c r="D18" s="24">
        <f>C18</f>
        <v>23000</v>
      </c>
      <c r="E18" s="24"/>
      <c r="G18" s="12">
        <v>572</v>
      </c>
      <c r="H18" s="12" t="s">
        <v>1</v>
      </c>
      <c r="I18" s="33">
        <f>D23</f>
        <v>28400</v>
      </c>
      <c r="J18" s="75"/>
      <c r="K18" s="7">
        <v>520</v>
      </c>
      <c r="L18" s="8" t="s">
        <v>58</v>
      </c>
      <c r="M18" s="158">
        <f>E22</f>
        <v>5000</v>
      </c>
      <c r="O18" s="85" t="s">
        <v>116</v>
      </c>
      <c r="P18" s="12" t="s">
        <v>117</v>
      </c>
      <c r="Q18" s="86">
        <f>-D33</f>
        <v>-600</v>
      </c>
    </row>
    <row r="19" spans="1:17" ht="20.100000000000001" customHeight="1" x14ac:dyDescent="0.2">
      <c r="A19" s="134">
        <v>4752</v>
      </c>
      <c r="B19" s="136" t="s">
        <v>86</v>
      </c>
      <c r="C19" s="135">
        <f>C44</f>
        <v>4037.5</v>
      </c>
      <c r="E19" s="160">
        <f>C19</f>
        <v>4037.5</v>
      </c>
      <c r="G19"/>
      <c r="H19"/>
      <c r="I19" s="18"/>
      <c r="J19" s="75"/>
      <c r="K19" s="15"/>
      <c r="L19" s="3" t="s">
        <v>45</v>
      </c>
      <c r="M19" s="155">
        <f>M20+M21+M22</f>
        <v>17337.5</v>
      </c>
      <c r="O19" s="82"/>
      <c r="P19" s="16" t="s">
        <v>118</v>
      </c>
      <c r="Q19" s="89">
        <f>Q17</f>
        <v>-600</v>
      </c>
    </row>
    <row r="20" spans="1:17" ht="20.100000000000001" customHeight="1" x14ac:dyDescent="0.2">
      <c r="A20" s="131">
        <v>480</v>
      </c>
      <c r="B20" s="129" t="s">
        <v>146</v>
      </c>
      <c r="C20" s="126">
        <v>3000</v>
      </c>
      <c r="D20" s="126">
        <f>C20</f>
        <v>3000</v>
      </c>
      <c r="E20" s="128"/>
      <c r="G20"/>
      <c r="H20"/>
      <c r="I20" s="18"/>
      <c r="J20" s="18"/>
      <c r="K20" s="10">
        <v>400</v>
      </c>
      <c r="L20" s="11" t="s">
        <v>15</v>
      </c>
      <c r="M20" s="156">
        <f>E15</f>
        <v>10300</v>
      </c>
      <c r="O20" s="85"/>
      <c r="P20" s="16" t="s">
        <v>119</v>
      </c>
      <c r="Q20" s="89">
        <f>+Q16+Q19</f>
        <v>16150</v>
      </c>
    </row>
    <row r="21" spans="1:17" ht="20.100000000000001" customHeight="1" x14ac:dyDescent="0.2">
      <c r="A21" s="131">
        <v>490</v>
      </c>
      <c r="B21" s="129" t="s">
        <v>147</v>
      </c>
      <c r="C21" s="126">
        <v>3000</v>
      </c>
      <c r="D21" s="126"/>
      <c r="E21" s="126">
        <f>C21</f>
        <v>3000</v>
      </c>
      <c r="G21"/>
      <c r="H21"/>
      <c r="I21" s="18"/>
      <c r="J21" s="18"/>
      <c r="K21" s="10">
        <v>410</v>
      </c>
      <c r="L21" s="11" t="s">
        <v>62</v>
      </c>
      <c r="M21" s="156">
        <f>E17</f>
        <v>3000</v>
      </c>
      <c r="O21" s="85" t="s">
        <v>120</v>
      </c>
      <c r="P21" s="2" t="s">
        <v>121</v>
      </c>
      <c r="Q21" s="86">
        <f>-E19</f>
        <v>-4037.5</v>
      </c>
    </row>
    <row r="22" spans="1:17" ht="20.100000000000001" customHeight="1" x14ac:dyDescent="0.2">
      <c r="A22" s="22">
        <v>520</v>
      </c>
      <c r="B22" s="23" t="s">
        <v>6</v>
      </c>
      <c r="C22" s="24">
        <v>5000</v>
      </c>
      <c r="D22" s="24"/>
      <c r="E22" s="24">
        <f>C22</f>
        <v>5000</v>
      </c>
      <c r="J22"/>
      <c r="K22" s="10">
        <v>4752</v>
      </c>
      <c r="L22" s="11" t="s">
        <v>86</v>
      </c>
      <c r="M22" s="139">
        <f>E19</f>
        <v>4037.5</v>
      </c>
      <c r="O22" s="90"/>
      <c r="P22" s="16" t="s">
        <v>122</v>
      </c>
      <c r="Q22" s="89">
        <f>Q20+Q21</f>
        <v>12112.5</v>
      </c>
    </row>
    <row r="23" spans="1:17" ht="20.100000000000001" customHeight="1" x14ac:dyDescent="0.2">
      <c r="A23" s="22">
        <v>572</v>
      </c>
      <c r="B23" s="23" t="s">
        <v>3</v>
      </c>
      <c r="C23" s="24">
        <v>28400</v>
      </c>
      <c r="D23" s="24">
        <f t="shared" ref="D23:D35" si="1">C23</f>
        <v>28400</v>
      </c>
      <c r="E23" s="24"/>
      <c r="G23" s="63" t="s">
        <v>44</v>
      </c>
      <c r="H23" s="63"/>
      <c r="I23" s="159">
        <f>I5+I10</f>
        <v>144250</v>
      </c>
      <c r="J23" s="18"/>
      <c r="K23" s="63" t="s">
        <v>61</v>
      </c>
      <c r="L23" s="64"/>
      <c r="M23" s="159">
        <f>M5+M13+M16</f>
        <v>144250</v>
      </c>
      <c r="O23" s="75" t="s">
        <v>123</v>
      </c>
      <c r="P23" s="91"/>
      <c r="Q23" s="90"/>
    </row>
    <row r="24" spans="1:17" ht="20.100000000000001" customHeight="1" x14ac:dyDescent="0.2">
      <c r="A24" s="22">
        <v>600</v>
      </c>
      <c r="B24" s="23" t="s">
        <v>5</v>
      </c>
      <c r="C24" s="24">
        <v>120000</v>
      </c>
      <c r="D24" s="24">
        <f t="shared" si="1"/>
        <v>120000</v>
      </c>
      <c r="E24" s="24"/>
      <c r="I24" s="132">
        <f>I23-M23</f>
        <v>0</v>
      </c>
      <c r="J24" s="18"/>
      <c r="O24" s="92"/>
      <c r="P24" s="93"/>
      <c r="Q24" s="94"/>
    </row>
    <row r="25" spans="1:17" ht="20.100000000000001" customHeight="1" x14ac:dyDescent="0.2">
      <c r="A25" s="131">
        <v>610</v>
      </c>
      <c r="B25" s="129" t="s">
        <v>148</v>
      </c>
      <c r="C25" s="126">
        <v>1000</v>
      </c>
      <c r="D25" s="126"/>
      <c r="E25" s="126">
        <f>C25</f>
        <v>1000</v>
      </c>
      <c r="O25"/>
      <c r="P25"/>
      <c r="Q25"/>
    </row>
    <row r="26" spans="1:17" ht="20.100000000000001" customHeight="1" x14ac:dyDescent="0.2">
      <c r="A26" s="22">
        <v>621</v>
      </c>
      <c r="B26" s="23" t="s">
        <v>12</v>
      </c>
      <c r="C26" s="24">
        <v>2400</v>
      </c>
      <c r="D26" s="24">
        <f t="shared" si="1"/>
        <v>2400</v>
      </c>
      <c r="E26" s="24"/>
      <c r="L26" s="95" t="s">
        <v>64</v>
      </c>
      <c r="M26" s="96" t="s">
        <v>76</v>
      </c>
    </row>
    <row r="27" spans="1:17" ht="30" customHeight="1" x14ac:dyDescent="0.2">
      <c r="A27" s="22">
        <v>625</v>
      </c>
      <c r="B27" s="23" t="s">
        <v>26</v>
      </c>
      <c r="C27" s="24">
        <v>1200</v>
      </c>
      <c r="D27" s="24">
        <f t="shared" si="1"/>
        <v>1200</v>
      </c>
      <c r="E27" s="24"/>
      <c r="L27" s="78" t="s">
        <v>87</v>
      </c>
      <c r="M27" s="162">
        <f>I10-M16</f>
        <v>75362.5</v>
      </c>
    </row>
    <row r="28" spans="1:17" ht="30" customHeight="1" x14ac:dyDescent="0.2">
      <c r="A28" s="131">
        <v>627</v>
      </c>
      <c r="B28" s="129" t="s">
        <v>149</v>
      </c>
      <c r="C28" s="126"/>
      <c r="D28" s="126"/>
      <c r="E28" s="24"/>
      <c r="L28" s="78" t="s">
        <v>88</v>
      </c>
      <c r="M28" s="140">
        <f>(M13+M16)/M5</f>
        <v>0.48845608151683217</v>
      </c>
    </row>
    <row r="29" spans="1:17" ht="30" customHeight="1" x14ac:dyDescent="0.2">
      <c r="A29" s="22">
        <v>628</v>
      </c>
      <c r="B29" s="23" t="s">
        <v>29</v>
      </c>
      <c r="C29" s="24">
        <v>9000</v>
      </c>
      <c r="D29" s="24">
        <f t="shared" si="1"/>
        <v>9000</v>
      </c>
      <c r="E29" s="24"/>
      <c r="L29" s="78" t="s">
        <v>89</v>
      </c>
      <c r="M29" s="140">
        <f>(Q20-Q17)/I23</f>
        <v>0.11611785095320624</v>
      </c>
    </row>
    <row r="30" spans="1:17" ht="30" customHeight="1" x14ac:dyDescent="0.2">
      <c r="A30" s="138">
        <v>630</v>
      </c>
      <c r="B30" s="136" t="s">
        <v>141</v>
      </c>
      <c r="C30" s="135">
        <v>4037.5</v>
      </c>
      <c r="D30" s="135">
        <f t="shared" si="1"/>
        <v>4037.5</v>
      </c>
      <c r="E30" s="24"/>
      <c r="L30" s="78" t="s">
        <v>90</v>
      </c>
      <c r="M30" s="140">
        <f>M12/M6</f>
        <v>0.1249838772088224</v>
      </c>
    </row>
    <row r="31" spans="1:17" ht="30" customHeight="1" x14ac:dyDescent="0.2">
      <c r="A31" s="22">
        <v>640</v>
      </c>
      <c r="B31" s="23" t="s">
        <v>21</v>
      </c>
      <c r="C31" s="24">
        <v>24000</v>
      </c>
      <c r="D31" s="24">
        <f t="shared" si="1"/>
        <v>24000</v>
      </c>
      <c r="E31" s="24"/>
    </row>
    <row r="32" spans="1:17" ht="30" customHeight="1" x14ac:dyDescent="0.2">
      <c r="A32" s="22">
        <v>642</v>
      </c>
      <c r="B32" s="23" t="s">
        <v>22</v>
      </c>
      <c r="C32" s="24">
        <v>7200</v>
      </c>
      <c r="D32" s="24">
        <f t="shared" si="1"/>
        <v>7200</v>
      </c>
      <c r="E32" s="24"/>
      <c r="F32" s="26"/>
    </row>
    <row r="33" spans="1:8" ht="20.100000000000001" customHeight="1" x14ac:dyDescent="0.2">
      <c r="A33" s="22">
        <v>662</v>
      </c>
      <c r="B33" s="23" t="s">
        <v>23</v>
      </c>
      <c r="C33" s="25">
        <v>600</v>
      </c>
      <c r="D33" s="24">
        <f t="shared" si="1"/>
        <v>600</v>
      </c>
      <c r="E33" s="24"/>
      <c r="F33" s="26"/>
    </row>
    <row r="34" spans="1:8" ht="20.100000000000001" customHeight="1" x14ac:dyDescent="0.2">
      <c r="A34" s="131">
        <v>680</v>
      </c>
      <c r="B34" s="129" t="s">
        <v>150</v>
      </c>
      <c r="C34" s="126">
        <v>500</v>
      </c>
      <c r="D34" s="126">
        <f t="shared" si="1"/>
        <v>500</v>
      </c>
      <c r="E34" s="24"/>
      <c r="F34" s="26"/>
    </row>
    <row r="35" spans="1:8" ht="20.100000000000001" customHeight="1" x14ac:dyDescent="0.2">
      <c r="A35" s="131">
        <v>681</v>
      </c>
      <c r="B35" s="129" t="s">
        <v>151</v>
      </c>
      <c r="C35" s="126">
        <v>6950</v>
      </c>
      <c r="D35" s="126">
        <f t="shared" si="1"/>
        <v>6950</v>
      </c>
      <c r="E35" s="24"/>
      <c r="F35" s="26"/>
    </row>
    <row r="36" spans="1:8" ht="20.100000000000001" customHeight="1" x14ac:dyDescent="0.2">
      <c r="A36" s="131">
        <v>694</v>
      </c>
      <c r="B36" s="129" t="s">
        <v>152</v>
      </c>
      <c r="C36" s="126">
        <v>3000</v>
      </c>
      <c r="D36" s="126">
        <f>C36</f>
        <v>3000</v>
      </c>
      <c r="E36" s="24"/>
    </row>
    <row r="37" spans="1:8" ht="20.100000000000001" customHeight="1" x14ac:dyDescent="0.2">
      <c r="A37" s="22">
        <v>700</v>
      </c>
      <c r="B37" s="23" t="s">
        <v>7</v>
      </c>
      <c r="C37" s="24">
        <v>180000</v>
      </c>
      <c r="D37" s="24"/>
      <c r="E37" s="24">
        <f>C37</f>
        <v>180000</v>
      </c>
    </row>
    <row r="38" spans="1:8" ht="18.600000000000001" customHeight="1" x14ac:dyDescent="0.2">
      <c r="A38" s="22">
        <v>705</v>
      </c>
      <c r="B38" s="23" t="s">
        <v>14</v>
      </c>
      <c r="C38" s="24">
        <v>10000</v>
      </c>
      <c r="D38" s="24"/>
      <c r="E38" s="24">
        <f>C38</f>
        <v>10000</v>
      </c>
    </row>
    <row r="39" spans="1:8" ht="20.45" customHeight="1" x14ac:dyDescent="0.2">
      <c r="A39" s="20"/>
      <c r="B39" s="20"/>
      <c r="C39" s="20"/>
      <c r="D39" s="152">
        <f>SUM(D4:D38)</f>
        <v>351587.5</v>
      </c>
      <c r="E39" s="152">
        <f>SUM(E4:E38)</f>
        <v>351587.5</v>
      </c>
    </row>
    <row r="40" spans="1:8" ht="20.45" customHeight="1" x14ac:dyDescent="0.2">
      <c r="A40" s="20"/>
      <c r="B40" s="20"/>
      <c r="C40" s="20"/>
      <c r="D40" s="152"/>
      <c r="E40" s="152"/>
    </row>
    <row r="41" spans="1:8" x14ac:dyDescent="0.2">
      <c r="A41" s="20"/>
      <c r="B41" s="20"/>
      <c r="C41" s="20"/>
      <c r="D41" s="20" t="s">
        <v>157</v>
      </c>
      <c r="E41" s="20" t="s">
        <v>158</v>
      </c>
      <c r="F41" s="20"/>
      <c r="G41" s="20"/>
      <c r="H41" s="20"/>
    </row>
    <row r="42" spans="1:8" ht="24" customHeight="1" x14ac:dyDescent="0.2">
      <c r="A42" s="20"/>
      <c r="B42" s="133" t="s">
        <v>153</v>
      </c>
      <c r="C42" s="178">
        <f>E42-D42</f>
        <v>25600</v>
      </c>
      <c r="D42" s="178">
        <f>D24+D26+D27+D29+D31+D32+D33</f>
        <v>164400</v>
      </c>
      <c r="E42" s="178">
        <f>E37+E38</f>
        <v>190000</v>
      </c>
      <c r="F42" s="20"/>
      <c r="G42" s="20"/>
      <c r="H42" s="20"/>
    </row>
    <row r="43" spans="1:8" ht="19.149999999999999" customHeight="1" x14ac:dyDescent="0.2">
      <c r="A43" s="20"/>
      <c r="B43" s="74" t="s">
        <v>82</v>
      </c>
      <c r="C43" s="178">
        <f>E43-D43</f>
        <v>16150</v>
      </c>
      <c r="D43" s="179">
        <f>SUM(D24:D38)-D30</f>
        <v>174850</v>
      </c>
      <c r="E43" s="179">
        <f>SUM(E23:E38)</f>
        <v>191000</v>
      </c>
      <c r="F43" s="20"/>
      <c r="G43" s="20"/>
      <c r="H43" s="20"/>
    </row>
    <row r="44" spans="1:8" ht="19.149999999999999" customHeight="1" x14ac:dyDescent="0.2">
      <c r="A44" s="20"/>
      <c r="B44" s="133" t="s">
        <v>156</v>
      </c>
      <c r="C44" s="178">
        <f>0.25*C43</f>
        <v>4037.5</v>
      </c>
      <c r="D44" s="178"/>
      <c r="E44" s="178"/>
      <c r="F44" s="20"/>
      <c r="G44" s="20"/>
      <c r="H44" s="20"/>
    </row>
    <row r="45" spans="1:8" ht="22.5" customHeight="1" x14ac:dyDescent="0.2">
      <c r="A45" s="20"/>
      <c r="B45" s="74" t="s">
        <v>155</v>
      </c>
      <c r="C45" s="178">
        <f>E45-D45</f>
        <v>12112.5</v>
      </c>
      <c r="D45" s="180">
        <f>SUM(D24:D38)</f>
        <v>178887.5</v>
      </c>
      <c r="E45" s="178">
        <f>SUM(E23:E38)</f>
        <v>191000</v>
      </c>
      <c r="F45" s="20"/>
      <c r="G45" s="20"/>
      <c r="H45" s="20"/>
    </row>
    <row r="46" spans="1:8" x14ac:dyDescent="0.2">
      <c r="A46" s="20"/>
      <c r="B46" s="20"/>
      <c r="C46" s="152"/>
      <c r="D46" s="152"/>
      <c r="E46" s="152"/>
      <c r="F46" s="20"/>
      <c r="G46" s="20"/>
      <c r="H46" s="20"/>
    </row>
    <row r="47" spans="1:8" x14ac:dyDescent="0.2">
      <c r="F47" s="20"/>
      <c r="G47" s="20"/>
      <c r="H47" s="20"/>
    </row>
    <row r="48" spans="1:8" x14ac:dyDescent="0.2">
      <c r="A48" s="20"/>
      <c r="B48" s="20"/>
      <c r="C48" s="20"/>
      <c r="D48" s="20"/>
      <c r="E48" s="20"/>
      <c r="F48" s="20"/>
      <c r="G48" s="20"/>
      <c r="H48" s="20"/>
    </row>
    <row r="49" spans="1:8" x14ac:dyDescent="0.2">
      <c r="F49" s="20"/>
      <c r="G49" s="20"/>
      <c r="H49" s="20"/>
    </row>
    <row r="50" spans="1:8" x14ac:dyDescent="0.2">
      <c r="A50" s="20"/>
      <c r="B50" s="20"/>
      <c r="C50" s="20"/>
      <c r="D50" s="20"/>
      <c r="E50" s="20"/>
      <c r="F50" s="20"/>
      <c r="G50" s="20"/>
      <c r="H50" s="20"/>
    </row>
  </sheetData>
  <mergeCells count="2">
    <mergeCell ref="G3:I3"/>
    <mergeCell ref="K3:M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Enunciado</vt:lpstr>
      <vt:lpstr>Hoja diario A</vt:lpstr>
      <vt:lpstr>Opción A</vt:lpstr>
      <vt:lpstr>Hoja diario B</vt:lpstr>
      <vt:lpstr>Opción B</vt:lpstr>
    </vt:vector>
  </TitlesOfParts>
  <Company>aaa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dc:creator>
  <cp:lastModifiedBy>Usuario</cp:lastModifiedBy>
  <cp:lastPrinted>2020-01-16T13:01:59Z</cp:lastPrinted>
  <dcterms:created xsi:type="dcterms:W3CDTF">2007-12-17T15:13:48Z</dcterms:created>
  <dcterms:modified xsi:type="dcterms:W3CDTF">2023-03-09T10:59:32Z</dcterms:modified>
</cp:coreProperties>
</file>