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/>
  <mc:AlternateContent xmlns:mc="http://schemas.openxmlformats.org/markup-compatibility/2006">
    <mc:Choice Requires="x15">
      <x15ac:absPath xmlns:x15ac="http://schemas.microsoft.com/office/spreadsheetml/2010/11/ac" url="D:\Usuario\Desktop\David\Inf + Ade\Carrera\4-curso\2 cuatrimestre\AEF\Practicas\ICR\"/>
    </mc:Choice>
  </mc:AlternateContent>
  <xr:revisionPtr revIDLastSave="0" documentId="13_ncr:1_{DEC23EA8-29A3-4E7D-851D-E8E540FB4BB0}" xr6:coauthVersionLast="47" xr6:coauthVersionMax="47" xr10:uidLastSave="{00000000-0000-0000-0000-000000000000}"/>
  <bookViews>
    <workbookView xWindow="-108" yWindow="-108" windowWidth="23256" windowHeight="12720" activeTab="3" xr2:uid="{5FF2BD4D-25C5-4EEA-853F-C643E8CD96FC}"/>
  </bookViews>
  <sheets>
    <sheet name="BalanceRM" sheetId="17" r:id="rId1"/>
    <sheet name="PyGRM" sheetId="3" r:id="rId2"/>
    <sheet name="PyG funcional" sheetId="5" r:id="rId3"/>
    <sheet name="Indicadores " sheetId="14" r:id="rId4"/>
    <sheet name="PMM" sheetId="18" r:id="rId5"/>
    <sheet name="FM-NOF-RLN" sheetId="10" r:id="rId6"/>
    <sheet name="EFE" sheetId="19" r:id="rId7"/>
  </sheets>
  <calcPr calcId="181029"/>
</workbook>
</file>

<file path=xl/calcChain.xml><?xml version="1.0" encoding="utf-8"?>
<calcChain xmlns="http://schemas.openxmlformats.org/spreadsheetml/2006/main">
  <c r="G36" i="3" l="1"/>
  <c r="G35" i="3"/>
  <c r="G18" i="3"/>
  <c r="G21" i="3"/>
  <c r="G31" i="3"/>
  <c r="E6" i="19"/>
  <c r="E5" i="19"/>
  <c r="F4" i="19"/>
  <c r="G10" i="3"/>
  <c r="G9" i="3"/>
  <c r="G7" i="3"/>
  <c r="G4" i="3"/>
  <c r="G3" i="14"/>
  <c r="D3" i="14"/>
  <c r="E3" i="14"/>
  <c r="C3" i="14"/>
  <c r="C13" i="14"/>
  <c r="D41" i="14" l="1"/>
  <c r="E43" i="14"/>
  <c r="C43" i="14"/>
  <c r="G43" i="14" s="1"/>
  <c r="D27" i="14"/>
  <c r="G28" i="14"/>
  <c r="E29" i="14"/>
  <c r="E30" i="14" s="1"/>
  <c r="C29" i="14"/>
  <c r="C30" i="14" s="1"/>
  <c r="G30" i="14" s="1"/>
  <c r="E28" i="14"/>
  <c r="C28" i="14"/>
  <c r="E12" i="14"/>
  <c r="E15" i="14" s="1"/>
  <c r="C37" i="14"/>
  <c r="E37" i="14"/>
  <c r="D31" i="14"/>
  <c r="D32" i="14" s="1"/>
  <c r="E35" i="14"/>
  <c r="E31" i="14" s="1"/>
  <c r="C35" i="14"/>
  <c r="E36" i="14"/>
  <c r="C36" i="14"/>
  <c r="G36" i="14" s="1"/>
  <c r="E7" i="18"/>
  <c r="F7" i="18"/>
  <c r="C21" i="14"/>
  <c r="D20" i="14"/>
  <c r="E20" i="14"/>
  <c r="C20" i="14"/>
  <c r="G18" i="14"/>
  <c r="C12" i="14"/>
  <c r="C15" i="14" s="1"/>
  <c r="E11" i="14"/>
  <c r="E14" i="14" s="1"/>
  <c r="C11" i="14"/>
  <c r="C17" i="14" s="1"/>
  <c r="G17" i="14" s="1"/>
  <c r="J31" i="5"/>
  <c r="I31" i="5"/>
  <c r="J30" i="5"/>
  <c r="I30" i="5"/>
  <c r="I26" i="5"/>
  <c r="J25" i="5"/>
  <c r="I24" i="5"/>
  <c r="J23" i="5"/>
  <c r="J22" i="5"/>
  <c r="J20" i="5"/>
  <c r="J17" i="5"/>
  <c r="I16" i="5"/>
  <c r="I15" i="5"/>
  <c r="J12" i="5"/>
  <c r="I10" i="5"/>
  <c r="I8" i="5"/>
  <c r="I7" i="5"/>
  <c r="J5" i="5"/>
  <c r="I3" i="5"/>
  <c r="I4" i="5"/>
  <c r="H31" i="5"/>
  <c r="G31" i="5"/>
  <c r="H30" i="5"/>
  <c r="H25" i="5"/>
  <c r="G30" i="5"/>
  <c r="G26" i="5"/>
  <c r="G24" i="5"/>
  <c r="H23" i="5"/>
  <c r="H22" i="5"/>
  <c r="H20" i="5"/>
  <c r="H5" i="5"/>
  <c r="H17" i="5"/>
  <c r="G16" i="5"/>
  <c r="G15" i="5"/>
  <c r="H12" i="5"/>
  <c r="G10" i="5"/>
  <c r="G8" i="5"/>
  <c r="G7" i="5"/>
  <c r="G4" i="5"/>
  <c r="G3" i="5"/>
  <c r="F18" i="10"/>
  <c r="F19" i="10"/>
  <c r="F23" i="10"/>
  <c r="D19" i="10"/>
  <c r="E19" i="10" s="1"/>
  <c r="B19" i="10"/>
  <c r="D23" i="10"/>
  <c r="B23" i="10"/>
  <c r="C23" i="10" s="1"/>
  <c r="D18" i="10"/>
  <c r="E18" i="10" s="1"/>
  <c r="B18" i="10"/>
  <c r="G5" i="10"/>
  <c r="G6" i="10"/>
  <c r="G7" i="10"/>
  <c r="G8" i="10"/>
  <c r="G9" i="10"/>
  <c r="G10" i="10"/>
  <c r="G11" i="10"/>
  <c r="G12" i="10"/>
  <c r="G13" i="10"/>
  <c r="G18" i="10"/>
  <c r="G4" i="10"/>
  <c r="F6" i="10"/>
  <c r="F5" i="10"/>
  <c r="F8" i="10"/>
  <c r="F9" i="10"/>
  <c r="F10" i="10"/>
  <c r="F11" i="10"/>
  <c r="F13" i="10"/>
  <c r="F14" i="10"/>
  <c r="F15" i="10"/>
  <c r="D11" i="10"/>
  <c r="E11" i="10" s="1"/>
  <c r="D10" i="10"/>
  <c r="E10" i="10" s="1"/>
  <c r="D9" i="10"/>
  <c r="E9" i="10" s="1"/>
  <c r="D13" i="10"/>
  <c r="B13" i="10"/>
  <c r="C13" i="10" s="1"/>
  <c r="B11" i="10"/>
  <c r="C11" i="10" s="1"/>
  <c r="B10" i="10"/>
  <c r="C10" i="10" s="1"/>
  <c r="B9" i="10"/>
  <c r="C9" i="10" s="1"/>
  <c r="E5" i="10"/>
  <c r="E6" i="10"/>
  <c r="E13" i="10"/>
  <c r="E14" i="10"/>
  <c r="E15" i="10"/>
  <c r="E23" i="10"/>
  <c r="D6" i="10"/>
  <c r="D5" i="10"/>
  <c r="B6" i="10"/>
  <c r="C14" i="10"/>
  <c r="C15" i="10"/>
  <c r="C18" i="10"/>
  <c r="C5" i="10"/>
  <c r="C6" i="10"/>
  <c r="B5" i="10"/>
  <c r="D10" i="14"/>
  <c r="E9" i="14"/>
  <c r="C9" i="14"/>
  <c r="E8" i="14"/>
  <c r="C8" i="14"/>
  <c r="E7" i="14"/>
  <c r="C7" i="14"/>
  <c r="E6" i="14"/>
  <c r="C6" i="14"/>
  <c r="C5" i="14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4" i="17"/>
  <c r="H21" i="17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5" i="3"/>
  <c r="F26" i="5"/>
  <c r="F24" i="5"/>
  <c r="C24" i="5"/>
  <c r="F23" i="5"/>
  <c r="C21" i="5"/>
  <c r="F20" i="5"/>
  <c r="C20" i="5"/>
  <c r="F18" i="5"/>
  <c r="F17" i="5"/>
  <c r="C17" i="5"/>
  <c r="F16" i="5"/>
  <c r="C16" i="5"/>
  <c r="F15" i="5"/>
  <c r="C15" i="5"/>
  <c r="F13" i="5"/>
  <c r="C13" i="5"/>
  <c r="F12" i="5"/>
  <c r="B11" i="5"/>
  <c r="F10" i="5"/>
  <c r="C10" i="5"/>
  <c r="B9" i="5"/>
  <c r="C9" i="5" s="1"/>
  <c r="F8" i="5"/>
  <c r="C8" i="5"/>
  <c r="F7" i="5"/>
  <c r="C7" i="5"/>
  <c r="D6" i="5"/>
  <c r="E23" i="5" s="1"/>
  <c r="C6" i="5"/>
  <c r="B6" i="5"/>
  <c r="C12" i="5" s="1"/>
  <c r="F5" i="5"/>
  <c r="F4" i="5"/>
  <c r="C4" i="5"/>
  <c r="F3" i="5"/>
  <c r="C3" i="5"/>
  <c r="C27" i="14" l="1"/>
  <c r="E27" i="14"/>
  <c r="D33" i="14"/>
  <c r="E33" i="14"/>
  <c r="C16" i="14"/>
  <c r="E32" i="14"/>
  <c r="G29" i="14"/>
  <c r="G35" i="14"/>
  <c r="C31" i="14"/>
  <c r="E34" i="14"/>
  <c r="C34" i="14"/>
  <c r="G37" i="14"/>
  <c r="E10" i="14"/>
  <c r="G9" i="14"/>
  <c r="G7" i="14"/>
  <c r="C14" i="14"/>
  <c r="G14" i="14" s="1"/>
  <c r="G6" i="14"/>
  <c r="G20" i="14"/>
  <c r="G8" i="14"/>
  <c r="G15" i="14"/>
  <c r="C10" i="14"/>
  <c r="G11" i="14"/>
  <c r="G12" i="14"/>
  <c r="G19" i="10"/>
  <c r="C19" i="10"/>
  <c r="G23" i="10"/>
  <c r="E24" i="5"/>
  <c r="D9" i="5"/>
  <c r="E12" i="5"/>
  <c r="E3" i="5"/>
  <c r="E13" i="5"/>
  <c r="E10" i="5"/>
  <c r="E7" i="5"/>
  <c r="B14" i="5"/>
  <c r="E17" i="5"/>
  <c r="C28" i="5"/>
  <c r="E6" i="5"/>
  <c r="F6" i="5"/>
  <c r="C18" i="5"/>
  <c r="E21" i="5"/>
  <c r="C5" i="5"/>
  <c r="E8" i="5"/>
  <c r="E18" i="5"/>
  <c r="C22" i="5"/>
  <c r="E22" i="5"/>
  <c r="C26" i="5"/>
  <c r="E16" i="5"/>
  <c r="E4" i="5"/>
  <c r="C23" i="5"/>
  <c r="E26" i="5"/>
  <c r="E20" i="5"/>
  <c r="E28" i="5"/>
  <c r="C11" i="5"/>
  <c r="E5" i="5"/>
  <c r="E15" i="5"/>
  <c r="G27" i="14" l="1"/>
  <c r="C32" i="14"/>
  <c r="G32" i="14" s="1"/>
  <c r="G31" i="14"/>
  <c r="C33" i="14"/>
  <c r="G33" i="14" s="1"/>
  <c r="G10" i="14"/>
  <c r="B19" i="5"/>
  <c r="C14" i="5"/>
  <c r="D11" i="5"/>
  <c r="E9" i="5"/>
  <c r="F9" i="5"/>
  <c r="C19" i="5" l="1"/>
  <c r="B25" i="5"/>
  <c r="E11" i="5"/>
  <c r="D14" i="5"/>
  <c r="F11" i="5"/>
  <c r="C25" i="5" l="1"/>
  <c r="B27" i="5"/>
  <c r="E14" i="5"/>
  <c r="D19" i="5"/>
  <c r="F14" i="5"/>
  <c r="B29" i="5" l="1"/>
  <c r="C27" i="5"/>
  <c r="D25" i="5"/>
  <c r="E19" i="5"/>
  <c r="F19" i="5"/>
  <c r="E25" i="5" l="1"/>
  <c r="D27" i="5"/>
  <c r="F25" i="5"/>
  <c r="C29" i="5"/>
  <c r="D29" i="5" l="1"/>
  <c r="E27" i="5"/>
  <c r="F27" i="5"/>
  <c r="E29" i="5" l="1"/>
  <c r="F29" i="5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5" i="3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4" i="17"/>
  <c r="C5" i="17"/>
  <c r="C13" i="17"/>
  <c r="C14" i="17"/>
  <c r="C15" i="17"/>
  <c r="C16" i="17"/>
  <c r="C17" i="17"/>
  <c r="C18" i="17"/>
  <c r="C19" i="17"/>
  <c r="C20" i="17"/>
  <c r="C21" i="17"/>
  <c r="C22" i="17"/>
  <c r="C12" i="17"/>
  <c r="C6" i="17"/>
  <c r="C7" i="17"/>
  <c r="C8" i="17"/>
  <c r="C9" i="17"/>
  <c r="C10" i="17"/>
  <c r="C4" i="17"/>
  <c r="D3" i="10"/>
  <c r="D2" i="10"/>
  <c r="B2" i="10"/>
  <c r="A2" i="10"/>
  <c r="A1" i="10"/>
  <c r="B3" i="10"/>
  <c r="E2" i="14"/>
  <c r="C2" i="14"/>
  <c r="B1" i="14"/>
  <c r="D3" i="3"/>
  <c r="D36" i="3"/>
  <c r="B36" i="3"/>
  <c r="B3" i="3"/>
  <c r="A2" i="3"/>
  <c r="D71" i="17"/>
  <c r="B71" i="17"/>
  <c r="D62" i="17"/>
  <c r="B62" i="17"/>
  <c r="D57" i="17"/>
  <c r="B57" i="17"/>
  <c r="D54" i="17"/>
  <c r="D45" i="17"/>
  <c r="D43" i="17" s="1"/>
  <c r="B45" i="17"/>
  <c r="B43" i="17"/>
  <c r="D32" i="17"/>
  <c r="B32" i="17"/>
  <c r="D28" i="17"/>
  <c r="B28" i="17"/>
  <c r="D25" i="17"/>
  <c r="B25" i="17"/>
  <c r="A25" i="17"/>
  <c r="D15" i="17"/>
  <c r="B15" i="17"/>
  <c r="B12" i="17" s="1"/>
  <c r="D12" i="17"/>
  <c r="D4" i="17"/>
  <c r="B4" i="17"/>
  <c r="B54" i="17" l="1"/>
  <c r="D27" i="17"/>
  <c r="B23" i="17"/>
  <c r="D23" i="17"/>
  <c r="B27" i="17"/>
  <c r="C45" i="14" l="1"/>
  <c r="B26" i="17"/>
  <c r="F27" i="17"/>
  <c r="D26" i="17"/>
  <c r="D67" i="17" l="1"/>
  <c r="E4" i="14"/>
  <c r="E45" i="14"/>
  <c r="E46" i="14" s="1"/>
  <c r="E47" i="14" s="1"/>
  <c r="F26" i="17"/>
  <c r="C4" i="14"/>
  <c r="B67" i="17"/>
  <c r="C46" i="14" l="1"/>
  <c r="G45" i="14"/>
  <c r="G4" i="14"/>
  <c r="G46" i="14"/>
  <c r="C47" i="14"/>
  <c r="G47" i="14" s="1"/>
  <c r="E39" i="14"/>
  <c r="E28" i="17"/>
  <c r="E40" i="17"/>
  <c r="E52" i="17"/>
  <c r="E64" i="17"/>
  <c r="E43" i="17"/>
  <c r="E55" i="17"/>
  <c r="E32" i="17"/>
  <c r="E56" i="17"/>
  <c r="E46" i="17"/>
  <c r="E47" i="17"/>
  <c r="E39" i="17"/>
  <c r="E29" i="17"/>
  <c r="E41" i="17"/>
  <c r="E53" i="17"/>
  <c r="E45" i="17"/>
  <c r="E57" i="17"/>
  <c r="E59" i="17"/>
  <c r="E63" i="17"/>
  <c r="E30" i="17"/>
  <c r="E42" i="17"/>
  <c r="E54" i="17"/>
  <c r="E31" i="17"/>
  <c r="E44" i="17"/>
  <c r="E33" i="17"/>
  <c r="E58" i="17"/>
  <c r="E35" i="17"/>
  <c r="E34" i="17"/>
  <c r="E36" i="17"/>
  <c r="E48" i="17"/>
  <c r="E60" i="17"/>
  <c r="E37" i="17"/>
  <c r="E49" i="17"/>
  <c r="E61" i="17"/>
  <c r="E38" i="17"/>
  <c r="E50" i="17"/>
  <c r="E62" i="17"/>
  <c r="E51" i="17"/>
  <c r="E27" i="17"/>
  <c r="D69" i="17"/>
  <c r="F67" i="17"/>
  <c r="C39" i="14"/>
  <c r="C36" i="17"/>
  <c r="C48" i="17"/>
  <c r="C60" i="17"/>
  <c r="C39" i="17"/>
  <c r="C63" i="17"/>
  <c r="C52" i="17"/>
  <c r="C42" i="17"/>
  <c r="C55" i="17"/>
  <c r="C46" i="17"/>
  <c r="C47" i="17"/>
  <c r="C37" i="17"/>
  <c r="C49" i="17"/>
  <c r="C61" i="17"/>
  <c r="C28" i="17"/>
  <c r="C41" i="17"/>
  <c r="C64" i="17"/>
  <c r="C38" i="17"/>
  <c r="C50" i="17"/>
  <c r="C62" i="17"/>
  <c r="C51" i="17"/>
  <c r="C40" i="17"/>
  <c r="C29" i="17"/>
  <c r="C53" i="17"/>
  <c r="C30" i="17"/>
  <c r="C54" i="17"/>
  <c r="C31" i="17"/>
  <c r="C58" i="17"/>
  <c r="C35" i="17"/>
  <c r="C43" i="17"/>
  <c r="C59" i="17"/>
  <c r="C32" i="17"/>
  <c r="C44" i="17"/>
  <c r="C56" i="17"/>
  <c r="C33" i="17"/>
  <c r="C45" i="17"/>
  <c r="C57" i="17"/>
  <c r="C34" i="17"/>
  <c r="C27" i="17"/>
  <c r="C26" i="17"/>
  <c r="E26" i="17"/>
  <c r="C69" i="17"/>
  <c r="B69" i="17"/>
  <c r="C40" i="14" l="1"/>
  <c r="C38" i="14"/>
  <c r="G39" i="14"/>
  <c r="E38" i="14"/>
  <c r="E40" i="14"/>
  <c r="E44" i="14" s="1"/>
  <c r="D25" i="3"/>
  <c r="B25" i="3"/>
  <c r="D18" i="3"/>
  <c r="B18" i="3"/>
  <c r="E41" i="14" l="1"/>
  <c r="C44" i="14"/>
  <c r="G40" i="14"/>
  <c r="G38" i="14"/>
  <c r="D17" i="3"/>
  <c r="D22" i="10"/>
  <c r="E22" i="10" s="1"/>
  <c r="D12" i="10"/>
  <c r="E12" i="10" s="1"/>
  <c r="B29" i="3"/>
  <c r="B17" i="3"/>
  <c r="C41" i="14" l="1"/>
  <c r="G41" i="14" s="1"/>
  <c r="G44" i="14"/>
  <c r="D29" i="3"/>
  <c r="D30" i="3" s="1"/>
  <c r="D8" i="10"/>
  <c r="D17" i="10"/>
  <c r="B22" i="10"/>
  <c r="B30" i="3"/>
  <c r="D4" i="10"/>
  <c r="B12" i="10"/>
  <c r="C12" i="10" s="1"/>
  <c r="B17" i="10"/>
  <c r="B8" i="10"/>
  <c r="C8" i="10" s="1"/>
  <c r="B4" i="10"/>
  <c r="C22" i="10" l="1"/>
  <c r="G22" i="10"/>
  <c r="D16" i="10"/>
  <c r="E16" i="10" s="1"/>
  <c r="E17" i="10"/>
  <c r="G17" i="10"/>
  <c r="C17" i="10"/>
  <c r="D7" i="10"/>
  <c r="E7" i="10" s="1"/>
  <c r="E8" i="10"/>
  <c r="B32" i="3"/>
  <c r="B34" i="3" s="1"/>
  <c r="D32" i="3"/>
  <c r="D34" i="3" s="1"/>
  <c r="F22" i="10"/>
  <c r="F12" i="10"/>
  <c r="F4" i="10"/>
  <c r="B16" i="10"/>
  <c r="F17" i="10"/>
  <c r="B7" i="10"/>
  <c r="C7" i="10" s="1"/>
  <c r="C4" i="10"/>
  <c r="C3" i="10"/>
  <c r="C16" i="10" l="1"/>
  <c r="G16" i="10"/>
  <c r="F16" i="10"/>
  <c r="F7" i="10"/>
  <c r="E3" i="10"/>
  <c r="E4" i="10"/>
</calcChain>
</file>

<file path=xl/sharedStrings.xml><?xml version="1.0" encoding="utf-8"?>
<sst xmlns="http://schemas.openxmlformats.org/spreadsheetml/2006/main" count="347" uniqueCount="319">
  <si>
    <t xml:space="preserve">A) ACTIVO NO CORRIENTE </t>
  </si>
  <si>
    <t xml:space="preserve">VI. Activos por impuesto diferido </t>
  </si>
  <si>
    <t xml:space="preserve">VII. Deudas comerciales no corrientes </t>
  </si>
  <si>
    <t xml:space="preserve">B) ACTIVO CORRIENTE </t>
  </si>
  <si>
    <t xml:space="preserve">1. Clientes por ventas y prestaciones de servicios  </t>
  </si>
  <si>
    <t xml:space="preserve">TOTAL ACTIVO (A + B) </t>
  </si>
  <si>
    <t xml:space="preserve">A) PATRIMONIO NETO </t>
  </si>
  <si>
    <t>A-1) FONDOS PROPIOS</t>
  </si>
  <si>
    <t>I. Capital</t>
  </si>
  <si>
    <t>1. Capital escriturado</t>
  </si>
  <si>
    <t>2. (Capital no exigido)</t>
  </si>
  <si>
    <t>II. Prima de emisión</t>
  </si>
  <si>
    <t>III. Reservas</t>
  </si>
  <si>
    <t>IV. (Acciones y participaciones en patrimonio propias)</t>
  </si>
  <si>
    <t>A-2) AJUSTES POR CAMBIO DE VALOR</t>
  </si>
  <si>
    <t>A-3) SUBVENCIONES, DONACIONES Y LEGADOS RECIBIDOS</t>
  </si>
  <si>
    <t xml:space="preserve">B) PASIVO NO CORRIENTE </t>
  </si>
  <si>
    <t xml:space="preserve">V. Periodificaciones a largo plazo </t>
  </si>
  <si>
    <t xml:space="preserve">VI. Acreedores comerciales no corrientes </t>
  </si>
  <si>
    <t xml:space="preserve">VII. Deuda con características especiales a largo plazo  </t>
  </si>
  <si>
    <t xml:space="preserve">C) PASIVO CORRIENTE </t>
  </si>
  <si>
    <t xml:space="preserve">1. Proveedores </t>
  </si>
  <si>
    <t xml:space="preserve">VII. Deuda con características especiales a corto plazo  </t>
  </si>
  <si>
    <t xml:space="preserve">TOTAL PATRIMONIO NETO Y PASIVO (A + B + C) </t>
  </si>
  <si>
    <t xml:space="preserve">1. Importe neto de la cifra de negocios </t>
  </si>
  <si>
    <t xml:space="preserve">3. Trabajos realizados por la empresa para su activo </t>
  </si>
  <si>
    <t xml:space="preserve">4. Aprovisionamientos </t>
  </si>
  <si>
    <t xml:space="preserve">5. Otros ingresos de explotación </t>
  </si>
  <si>
    <t xml:space="preserve">6. Gastos de personal </t>
  </si>
  <si>
    <t xml:space="preserve">7. Otros gastos de explotación </t>
  </si>
  <si>
    <t xml:space="preserve">8. Amortización del inmovilizado </t>
  </si>
  <si>
    <t xml:space="preserve">9. Imputación de subvenciones de inmovilizado no financiero y otras </t>
  </si>
  <si>
    <t xml:space="preserve">10. Excesos de provisiones </t>
  </si>
  <si>
    <t xml:space="preserve">11. Deterioro y resultado por enajenaciones del inmovilizado </t>
  </si>
  <si>
    <t xml:space="preserve">12. Diferencia negativa de combinaciones de negocio </t>
  </si>
  <si>
    <t xml:space="preserve">13. Otros resultados </t>
  </si>
  <si>
    <t xml:space="preserve">14. Ingresos financieros </t>
  </si>
  <si>
    <t xml:space="preserve">15. Gastos financieros </t>
  </si>
  <si>
    <t xml:space="preserve">16. Variación de valor razonable en instrumentos financieros </t>
  </si>
  <si>
    <t xml:space="preserve">17. Diferencias de cambio </t>
  </si>
  <si>
    <t xml:space="preserve">A.4) RESULTADO DEL EJERCICIO PROCEDENTE DE OPERACIONES CONTINUADAS </t>
  </si>
  <si>
    <t xml:space="preserve">20. Resultado del ejercicio por operaciones interrumpidas neto de impuestos  </t>
  </si>
  <si>
    <t>Peso</t>
  </si>
  <si>
    <t>Importe neto de la cifra de negocios</t>
  </si>
  <si>
    <t>+ Otros ingresos de la explotación</t>
  </si>
  <si>
    <t>- Consumos de la explotación</t>
  </si>
  <si>
    <t>- Otros gastos de la explotación</t>
  </si>
  <si>
    <t>- Gastos de personal</t>
  </si>
  <si>
    <t>- Amortización del inmovilizado</t>
  </si>
  <si>
    <t>- Deterioro y variación de provisiones</t>
  </si>
  <si>
    <t>+ Ingresos financieros</t>
  </si>
  <si>
    <t>- Gastos financieros</t>
  </si>
  <si>
    <t>+/- Diferencias de cambio</t>
  </si>
  <si>
    <t>+/- Variación valor razonable en instrumentos financieros</t>
  </si>
  <si>
    <t>+ Imputación de subvenciones inmovilizado no financiero y otras</t>
  </si>
  <si>
    <t>+ Excesos de provisiones</t>
  </si>
  <si>
    <t>+/- Deterioro y resultado por enajenaciones del inmovilizado</t>
  </si>
  <si>
    <t>+/- Deterioro y resultado por enajenaciones de instrumentos financieros</t>
  </si>
  <si>
    <t>+/- Otros resultados</t>
  </si>
  <si>
    <t>- Impuesto sobre beneficios</t>
  </si>
  <si>
    <t>+/- Resultado del ejercicio por operaciones interrumpidas neto de impuestos</t>
  </si>
  <si>
    <t xml:space="preserve"> INGRESOS DE LA EXPLOTACIÓN</t>
  </si>
  <si>
    <t xml:space="preserve"> RESULTADO NETO DE LA EXPLOTACIÓN (RNE)</t>
  </si>
  <si>
    <t xml:space="preserve"> RESULTADO ACTIVIDADES ORDINARIAS</t>
  </si>
  <si>
    <t xml:space="preserve"> RESULTADO POR OPERACIONES CONTINUADAS ANTES DE IMPUESTOS</t>
  </si>
  <si>
    <t xml:space="preserve"> RESULTADO DEL EJERCICIO POR OPERACIONES CONTINUADAS</t>
  </si>
  <si>
    <t>RESULTADO DEL EJERCICIO</t>
  </si>
  <si>
    <t>Grado envejecimiento activo</t>
  </si>
  <si>
    <t>Nivel de endeudamiento</t>
  </si>
  <si>
    <t>Composición del endeudamiento</t>
  </si>
  <si>
    <t>Garantía</t>
  </si>
  <si>
    <t>Solvencia</t>
  </si>
  <si>
    <t>Fondo de Maniobra</t>
  </si>
  <si>
    <t>Necesidades Operativas de Financiación (NOF)</t>
  </si>
  <si>
    <t>Recursos Líquidos Netos (RLN)</t>
  </si>
  <si>
    <t>Rentabilidad financiera (fórmula larga)</t>
  </si>
  <si>
    <t>INDICADORES FINANCIEROS</t>
  </si>
  <si>
    <t>Subperiodo de cobro a clientes</t>
  </si>
  <si>
    <t>Subperiodo de pago a proveedores</t>
  </si>
  <si>
    <t>INDICADORES ECONÓMICOS</t>
  </si>
  <si>
    <t>Tasa variación</t>
  </si>
  <si>
    <t>VARIACIÓN ABSOLUTA</t>
  </si>
  <si>
    <t>FONDO MANIOBRA TOTAL</t>
  </si>
  <si>
    <t>Activo Circulante Explotación</t>
  </si>
  <si>
    <t>Pasivo Circulante Explotación</t>
  </si>
  <si>
    <t>Activo circulante ajeno explotación</t>
  </si>
  <si>
    <t>Pasivo circulante ajeno explotación</t>
  </si>
  <si>
    <t>CUENTA DE PÉRDIDAS Y GANANCIAS</t>
  </si>
  <si>
    <t>TOTAL ACTIVO</t>
  </si>
  <si>
    <t>Activo Corriente</t>
  </si>
  <si>
    <t>Pasivo Corriente</t>
  </si>
  <si>
    <t>NECESIDADES OPERATIVAS FINANCIACIÓN</t>
  </si>
  <si>
    <t>RECURSOS LÍQUIDOS NETOS</t>
  </si>
  <si>
    <t>II. Existencias</t>
  </si>
  <si>
    <t>III. Deudores comerciales y otras cuentas a cobrar</t>
  </si>
  <si>
    <t>V. Inversiones financieras a corto plazo</t>
  </si>
  <si>
    <t>VI. Periodificaciones a corto plazo</t>
  </si>
  <si>
    <t>VII. Efectivo y otros activos líquidos equivalentes</t>
  </si>
  <si>
    <t>V. Acreedores comerciales y otras cuentas a pagar</t>
  </si>
  <si>
    <t>Peso (%)</t>
  </si>
  <si>
    <t>Tasa variación (%)</t>
  </si>
  <si>
    <t xml:space="preserve">I. Inmovilizado intangible </t>
  </si>
  <si>
    <t>2. Otras reservas</t>
  </si>
  <si>
    <t>I. Provisiones a largo plazo</t>
  </si>
  <si>
    <t>IV. Pasivos por impuesto diferido</t>
  </si>
  <si>
    <t>Subperiodo de pago a acreedores varios</t>
  </si>
  <si>
    <t xml:space="preserve"> RESULTADO BRUTO EXPLOTACIÓN (RBE)</t>
  </si>
  <si>
    <t>18. Deterioro y resultado por enajenaciones de instrumentos financieros</t>
  </si>
  <si>
    <t>II. Deudas a largo plazo</t>
  </si>
  <si>
    <t xml:space="preserve">III. Deudas con empresas del grupo y asociadas a largo plazo </t>
  </si>
  <si>
    <t>I. Pasivos vinculados con activos no corrientes mantenidos para la venta</t>
  </si>
  <si>
    <t>II. Provisiones a corto plazo</t>
  </si>
  <si>
    <t>III. Deudas a corto plazo</t>
  </si>
  <si>
    <t xml:space="preserve">IV. Deudas con empresas del grupo y asociadas a corto plazo </t>
  </si>
  <si>
    <t>II. Inmovilizado material</t>
  </si>
  <si>
    <t>III. Inversiones inmobiliarias</t>
  </si>
  <si>
    <t>IV. Inversiones en empresas del grupo y asociadas a largo plazo</t>
  </si>
  <si>
    <t>V. Inversiones financieras a largo plazo</t>
  </si>
  <si>
    <t>I. Activos no corrientes mantenidos para la venta</t>
  </si>
  <si>
    <t>IV. Inversiones en empresas del grupo y asociadas a corto plazo</t>
  </si>
  <si>
    <t>V. Resultados de ejercicios anteriores</t>
  </si>
  <si>
    <t>VI. Otras aportaciones de socios</t>
  </si>
  <si>
    <t>VII. Resultado del ejercicio</t>
  </si>
  <si>
    <t>VIII. (Dividendo a cuenta)</t>
  </si>
  <si>
    <t>IX. Otros instrumentos de patrimonio neto</t>
  </si>
  <si>
    <t>2. Variación de existencias de productos terminados y en curso de fabricación</t>
  </si>
  <si>
    <t>Datos en Euros</t>
  </si>
  <si>
    <t>Subperiodo de venta (empresa comercial)</t>
  </si>
  <si>
    <t>CONTROL RESULTADO BALANCE-PÉRDIDAS Y GANANCIAS</t>
  </si>
  <si>
    <t>Peso
(%)</t>
  </si>
  <si>
    <t>CUENTA DE PÉRDIDAS Y GANANCIAS FUNCIONAL (Datos en euros)</t>
  </si>
  <si>
    <t>Tasa variación
(%)</t>
  </si>
  <si>
    <t>Variación de existencias de productos terminados y en curso de fabricación</t>
  </si>
  <si>
    <t>AMORTIZACIÓN ACUMULADA</t>
  </si>
  <si>
    <t>Inmovilizado Intangible</t>
  </si>
  <si>
    <t>Inmovilizado Material</t>
  </si>
  <si>
    <t>Rentabilidad económica de explotación
(Calculada con la cuenta de PyG funcional)</t>
  </si>
  <si>
    <t>Rotación del activo de explotación
(Calculado con la cuenta de PyG funcional)</t>
  </si>
  <si>
    <t>Margen de explotación
(Calculado con la cuenta de PyG funcional)</t>
  </si>
  <si>
    <t>Rentabilidad económica global o total
(Calculado cuenta de PyG funcional)</t>
  </si>
  <si>
    <t>Coste del endeudamiento
(Calculado cuenta de PyG funcional)</t>
  </si>
  <si>
    <t>Rentabilidad financiera (fórmula corta)</t>
  </si>
  <si>
    <t>Tasa impositiva efectiva (en tanto por 1)</t>
  </si>
  <si>
    <t>Coste financiación no propia</t>
  </si>
  <si>
    <t xml:space="preserve">ICR, S.A. </t>
  </si>
  <si>
    <t>2. Accionistas (socios) por desembolsos exigidos</t>
  </si>
  <si>
    <t>3. Otros deudores</t>
  </si>
  <si>
    <t>1. Reserva de capitalización</t>
  </si>
  <si>
    <t>1. Deudas con entidades de crédito</t>
  </si>
  <si>
    <t xml:space="preserve">2. Acreedores por arrendamiento financiero </t>
  </si>
  <si>
    <t xml:space="preserve">3. Otras deudas a largo plazo </t>
  </si>
  <si>
    <t>3. Otras deudas a corto plazo</t>
  </si>
  <si>
    <t>2. Otros acreedores</t>
  </si>
  <si>
    <t>BALANCE DE SITUACIÓN ABREVIADO</t>
  </si>
  <si>
    <t>BALANCE DE SITUACIÓN</t>
  </si>
  <si>
    <t xml:space="preserve">a) Imputación de subvenciones, donaciones y legados de carácter financiero  </t>
  </si>
  <si>
    <t>b) Otros ingresos financieros</t>
  </si>
  <si>
    <t>19. Otros ingresos y gastos de carácter financiero</t>
  </si>
  <si>
    <t xml:space="preserve">a) Incorporación al activo de gastos financieros  </t>
  </si>
  <si>
    <t>b) Ingresos financieros derivados de convenios de acreedores</t>
  </si>
  <si>
    <t>c) Resto de ingresos y gastos</t>
  </si>
  <si>
    <t xml:space="preserve">A) RESULTADO DE EXPLOTACIÓN </t>
  </si>
  <si>
    <t>B) RESULTADO FINANCIERO</t>
  </si>
  <si>
    <t xml:space="preserve">c) RESULTADO ANTES DE IMPUESTOS </t>
  </si>
  <si>
    <t>20. Impuestos sobre beneficios</t>
  </si>
  <si>
    <t xml:space="preserve">D) RESULTADO DEL EJERCICIO </t>
  </si>
  <si>
    <t>CUENTA DE PÉRDIDAS Y GANANCIAS ABREVIADA</t>
  </si>
  <si>
    <t>Capacidad devolución deuda total (con FGO antes Intereses e Impuestos)</t>
  </si>
  <si>
    <t>Capacidad devolución deuda total (con FGO)</t>
  </si>
  <si>
    <t>Capacidad devolución deuda total (con FEAE)</t>
  </si>
  <si>
    <r>
      <t>Capacidad devolución</t>
    </r>
    <r>
      <rPr>
        <sz val="12"/>
        <color rgb="FF000000"/>
        <rFont val="Calibri"/>
        <family val="2"/>
        <scheme val="minor"/>
      </rPr>
      <t xml:space="preserve"> deuda c/p</t>
    </r>
    <r>
      <rPr>
        <sz val="12"/>
        <color indexed="8"/>
        <rFont val="Calibri"/>
        <family val="2"/>
        <scheme val="minor"/>
      </rPr>
      <t xml:space="preserve"> (con FGO antes Intereses e Impuestos)</t>
    </r>
  </si>
  <si>
    <r>
      <t xml:space="preserve">Capacidad devolución </t>
    </r>
    <r>
      <rPr>
        <sz val="12"/>
        <color rgb="FF000000"/>
        <rFont val="Calibri"/>
        <family val="2"/>
        <scheme val="minor"/>
      </rPr>
      <t>deuda c/p</t>
    </r>
    <r>
      <rPr>
        <sz val="12"/>
        <color indexed="8"/>
        <rFont val="Calibri"/>
        <family val="2"/>
        <scheme val="minor"/>
      </rPr>
      <t xml:space="preserve"> (con FGO)</t>
    </r>
  </si>
  <si>
    <r>
      <t xml:space="preserve">Capacidad devolución </t>
    </r>
    <r>
      <rPr>
        <sz val="12"/>
        <color rgb="FF000000"/>
        <rFont val="Calibri"/>
        <family val="2"/>
        <scheme val="minor"/>
      </rPr>
      <t>deuda c/p</t>
    </r>
    <r>
      <rPr>
        <sz val="12"/>
        <color indexed="8"/>
        <rFont val="Calibri"/>
        <family val="2"/>
        <scheme val="minor"/>
      </rPr>
      <t xml:space="preserve"> (con FEAE)</t>
    </r>
  </si>
  <si>
    <t>Tiempo de devolución deuda total (FGO)</t>
  </si>
  <si>
    <t>Fondos Generados por Operaciones (FGO) antes de Intereses e Impuestos</t>
  </si>
  <si>
    <t>Fondos Generados por Operaciones (FGO)</t>
  </si>
  <si>
    <t>Flujos de Efectivo de las Actividades de Explotación (FEAE)</t>
  </si>
  <si>
    <t>Tiempo de devolución deuda total (FEAE)</t>
  </si>
  <si>
    <t>Existencias</t>
  </si>
  <si>
    <t>Deudores Comerciales</t>
  </si>
  <si>
    <t>Periodificaciones</t>
  </si>
  <si>
    <t xml:space="preserve"> VALOR AÑADIDO DE LA EMPRESA (MARGEN BRUTO)</t>
  </si>
  <si>
    <t>---</t>
  </si>
  <si>
    <t xml:space="preserve"> --&gt; Perdidas de creditos incobrable (Pag 35 Memoria)</t>
  </si>
  <si>
    <t>Ingresos explotacion/nº trabajadores</t>
  </si>
  <si>
    <t>Pregunta de Examen</t>
  </si>
  <si>
    <t>¿Por qué se da la bajada de la amortizacion?</t>
  </si>
  <si>
    <t>¿Por qué se haya ido terminando las vidas utuiles, tenga menos bienes, los venda o que tenga amortizacion decreciente?</t>
  </si>
  <si>
    <t>pagos por gastos de explotacion = gastos consumidos + var. Ajustes period act - var. Acreedores varios</t>
  </si>
  <si>
    <t>Gasto medio del personal</t>
  </si>
  <si>
    <t>Nº trabajadores</t>
  </si>
  <si>
    <t>¿Cómo saco el de 2018, ya que lo he conseguido de la memoria estos valores?</t>
  </si>
  <si>
    <t>Fórmulas</t>
  </si>
  <si>
    <t>Conclusión</t>
  </si>
  <si>
    <t>Estan muy envejecidos, por lo que habria que decir que estan muy deteriorados y la posibilidad de renovarlos</t>
  </si>
  <si>
    <t>Como nos sale mayor que 1 quiere decir que el pasivo es mayor que el patrimonio neto por lo que la empresa se basa en una financiacion ajena. Aunque ha bajado un poco respecto a 2018</t>
  </si>
  <si>
    <t>Tenemos todas las deudas a c/p, ninguna a l/p.</t>
  </si>
  <si>
    <t>Como es mayor que 1, quiere decir que la empresa si vendiese todo los activos seria capaz de devolver todas las deudas.</t>
  </si>
  <si>
    <t>Como es mayor que 1, podemos comentar que los activos corrientes son capaces de devolver las deudas a c/p.</t>
  </si>
  <si>
    <t>Como el FM sale (+) quiere decir que los recursos permanentes son capaces de financiar el Activo Corriente.</t>
  </si>
  <si>
    <t>Son positivas, quiere decir que hay una parte del ciclo de explotacion que son financiadas por las NOF, no solo los proveedores.</t>
  </si>
  <si>
    <t>Como los RLN son negativos quiere decir que la financiacion basica (P.N+P.N.C) no es suficiente para financiar los activos de explotacion por lo que intervienes estos.</t>
  </si>
  <si>
    <t>Acreedores comerciales</t>
  </si>
  <si>
    <t>Provisiones a c/p</t>
  </si>
  <si>
    <t>Efectivo y otros activos líquidos equivalentes</t>
  </si>
  <si>
    <t>Deudas a corto plazo</t>
  </si>
  <si>
    <t>Inversiones financieras a corto plazo</t>
  </si>
  <si>
    <t>Metodo Directo (2019)</t>
  </si>
  <si>
    <t>Metodo Indirecto (2019)</t>
  </si>
  <si>
    <t>FGO Antes de Impuestos</t>
  </si>
  <si>
    <t>FGO</t>
  </si>
  <si>
    <t>Duda tirado, la diferencia entre FGO antes de impuestos y despues, es decir, deberian de dar lo mismo pero claro, luego los impuestos estos solo afectan al metodo directo no?</t>
  </si>
  <si>
    <t>Metodo Directo (2018)</t>
  </si>
  <si>
    <t>Metodo Indirecto (2018)</t>
  </si>
  <si>
    <t>[Suposicion] Si son positivas quiere decir que tenemos mas Origenes (por ejemplo, proveedores) que Aplicaciones (por ejemplo, una maquinaria). Al contrario seria FAO.</t>
  </si>
  <si>
    <t>FEAE (TGO) ==&gt; FGO - 4 NOF</t>
  </si>
  <si>
    <t>Duda Tirado: Esta es la formula para sacarlo??</t>
  </si>
  <si>
    <t>Ni idea como interpretarlo, preguntar a tirado</t>
  </si>
  <si>
    <t>Como son menores que 1, quiere decir que no podria financiar dichas deudas con el FGO antes de impuestos.</t>
  </si>
  <si>
    <t>Como son menores que 1, quiere decir que no podria financiar dichas deudas con el FGO.</t>
  </si>
  <si>
    <t>Como son menores que 1, quiere decir que no podria financiar dichas deudas con el FEAE</t>
  </si>
  <si>
    <t>Como no hay pasivo no corriente el valor va aseer el mismo.</t>
  </si>
  <si>
    <t>Estos son los años que tardaria en devolver la deuda total si el FGO se mantiene constante.</t>
  </si>
  <si>
    <t>Estos son los años que tardaria en devolver la deuda total si el FEAE se mantiene constante.</t>
  </si>
  <si>
    <t>Saldo Medio MP</t>
  </si>
  <si>
    <t>Consumos de explotacion</t>
  </si>
  <si>
    <t>Subperiodo de venta (comercial)</t>
  </si>
  <si>
    <t>Activo explotacion</t>
  </si>
  <si>
    <t>Activo medio explotacion</t>
  </si>
  <si>
    <t>BAIT = R. antes de impuestos+Gastos financieros</t>
  </si>
  <si>
    <t>Activo Total Medio</t>
  </si>
  <si>
    <t>Ingresos de la explotacion</t>
  </si>
  <si>
    <t>Fondos Ajenos</t>
  </si>
  <si>
    <t>Efecto apalancamiento financiero (leverage)</t>
  </si>
  <si>
    <t>NO SE PUEDE</t>
  </si>
  <si>
    <t>-</t>
  </si>
  <si>
    <t>Resultados Netos Explotacion</t>
  </si>
  <si>
    <t>Fondos Propios</t>
  </si>
  <si>
    <t>Fondos Propios Medios</t>
  </si>
  <si>
    <t>Fondos Ajenos Medios</t>
  </si>
  <si>
    <t>Como la Rentabilidad Global es mayor que la Rentabilidad Economica de Explotacion podemos decir que sale mas rentable utilizar tambien actividades ajenas de la expplotacion porque aumentaria nuestro rendimiento</t>
  </si>
  <si>
    <t>Me he es rentable ya que el coste de endeudamiento es menor que la rentabilidad economica global, entonces sacariamos beneficios.</t>
  </si>
  <si>
    <t>Numero de veces que se renueva el activo con los ingresos de la explotacion</t>
  </si>
  <si>
    <t>% de beneficios sobre el total de ingresos de explotacion</t>
  </si>
  <si>
    <t>Si la Rentabilidad Economica - Coste de endeudamiento ) es negativa la Rentabilidad Economica sera mayor que la R.F, sino al reves.</t>
  </si>
  <si>
    <t>Si las aportaciones de los socios en los Fondos Propios es baja F.A/F.P ==&gt;  A mayor nivel de endeudamiento menos voy a tener que aportar y mas conseguire, pero mayor riesgo de insolvencia, mayor riesgo, mayor beneficio.</t>
  </si>
  <si>
    <t>(Metodo directo) 2019</t>
  </si>
  <si>
    <t>FGO ANTES DE IMPUESTOS</t>
  </si>
  <si>
    <t xml:space="preserve">ESTADO DE FLUJOS DE EFECTIVO DEL EJERCICIO </t>
  </si>
  <si>
    <t>INGENIERIA Y CONTROL REMOTO SA</t>
  </si>
  <si>
    <t xml:space="preserve">A) FLUJOS  EFECTIVO ACTIVIDADES  EXPLOTACIÓN </t>
  </si>
  <si>
    <t>1. Resultado  del ejercicio antes de impuestos</t>
  </si>
  <si>
    <t>2. Ajustes del resultado</t>
  </si>
  <si>
    <t>a) Amortización del inmovilizado (+) (dotación a la amortización)</t>
  </si>
  <si>
    <t xml:space="preserve">b) Correcciones valorativas por deterioro (+/-) </t>
  </si>
  <si>
    <t>c) Variación de provisiones (+/-) (FIJO)</t>
  </si>
  <si>
    <t>d) Imputación de subvenciones (-)</t>
  </si>
  <si>
    <t xml:space="preserve">    e) Resultados por bajas y enajenaciones del inmovilizado (+/-)</t>
  </si>
  <si>
    <t>f) Resultados por bajas y enajenaciones de instrumentos financieros (+/-)</t>
  </si>
  <si>
    <t>g)  Ingresos financieros (-)</t>
  </si>
  <si>
    <t>h) Gastos financieros (+)</t>
  </si>
  <si>
    <t>i) Diferencias de cambio (+/-)</t>
  </si>
  <si>
    <t xml:space="preserve">j) Variación de valor razonable en instrumentos financieros (+/-) </t>
  </si>
  <si>
    <t>k) Otros ingresos y gastos (-/+)</t>
  </si>
  <si>
    <t>3. Cambios en el capital corriente (var. NOF)</t>
  </si>
  <si>
    <t xml:space="preserve">a)  Existencias (+/-) </t>
  </si>
  <si>
    <t xml:space="preserve">b) Deudores y otras cuentas a cobrar (+/-) </t>
  </si>
  <si>
    <t xml:space="preserve">c) Otros activos corrientes(+/-) </t>
  </si>
  <si>
    <t xml:space="preserve">    d) Acreedores y otras cuentas a pagar(+/-) </t>
  </si>
  <si>
    <t>e) Otros pasivos corrientes (+/-)</t>
  </si>
  <si>
    <t xml:space="preserve">f) Otros activos y pasivos no corrientes (+/-) </t>
  </si>
  <si>
    <t xml:space="preserve">4. Otros flujos de efectivo de las actividades de explotación </t>
  </si>
  <si>
    <t>a) Pagos de intereses (-)</t>
  </si>
  <si>
    <t>b) Cobros de dividendos (+)</t>
  </si>
  <si>
    <t>c) Cobros de intereses (+)</t>
  </si>
  <si>
    <t>d) Cobros (pagos) por impuesto sobre beneficios (-/+)</t>
  </si>
  <si>
    <t xml:space="preserve">e) Otros pagos (cobros) (-/+) </t>
  </si>
  <si>
    <t xml:space="preserve">= 5. Flujos de efectivo de las actividades de explotación (+/-1+/-2+/-3+/-4) </t>
  </si>
  <si>
    <t xml:space="preserve">B) FLUJOS  EFECTIVO ACTIVIDADES  INVERSIÓN </t>
  </si>
  <si>
    <t>6. Pagos por inversiones (-)</t>
  </si>
  <si>
    <t>a) Empresas del grupo y asociadas</t>
  </si>
  <si>
    <t>b) Inmovilizado intangible</t>
  </si>
  <si>
    <t>c) Inmovilizado material</t>
  </si>
  <si>
    <t>d) Inversiones inmobiliarias</t>
  </si>
  <si>
    <t>e) Otros activos financieros</t>
  </si>
  <si>
    <t xml:space="preserve">f) Activos no corrientes mantenidos para venta   </t>
  </si>
  <si>
    <t>g) Otros activos</t>
  </si>
  <si>
    <t>7. Cobros por desinversiones (+)</t>
  </si>
  <si>
    <t xml:space="preserve">    c) Inmovilizado material</t>
  </si>
  <si>
    <t>f) Activos no corrientes mantenidos para venta</t>
  </si>
  <si>
    <t xml:space="preserve">= 8. Flujos de efectivo de las actividades de inversión (7-6) </t>
  </si>
  <si>
    <t xml:space="preserve">C) FLUJOS EFECTIVO ACTIVIDADES DE FINANCIACIÓN  </t>
  </si>
  <si>
    <t>9. Cobros y pagos por instrumentos de patrimonio</t>
  </si>
  <si>
    <t>a) Emisión de instrumentos de patrimonio</t>
  </si>
  <si>
    <t>b) Amortización de instrumentos de patrimonio</t>
  </si>
  <si>
    <t>c) Adquisición de instrumentos de patrimonio propio</t>
  </si>
  <si>
    <t>d) Enajenación de instrumentos de patrimonio propio</t>
  </si>
  <si>
    <t xml:space="preserve">e) Subvenciones, donaciones y legados recibidos </t>
  </si>
  <si>
    <t xml:space="preserve">10  Cobros y pagos por Instrumentos de pasivo financiero </t>
  </si>
  <si>
    <t>a) Emisión:</t>
  </si>
  <si>
    <t>1. Obligaciones y otros valores negociables (+)</t>
  </si>
  <si>
    <t>2. Deudas con entidades de crédito (+)</t>
  </si>
  <si>
    <t>3. Deudas con empresas del grupo y asociadas (+)</t>
  </si>
  <si>
    <t>4. Otras deudas (+)</t>
  </si>
  <si>
    <t>b) Devolución y amortización de:</t>
  </si>
  <si>
    <t>1. Obligaciones y otros valores negociables (-)</t>
  </si>
  <si>
    <t>2. Deudas con entidades de crédito (-)</t>
  </si>
  <si>
    <t>3. Deudas con empresas del grupo y asociadas (-)</t>
  </si>
  <si>
    <t>4. Otras deudas (-)</t>
  </si>
  <si>
    <t>11. Pagos por dividendos y remuneraciones de otros instrum. Patrim.</t>
  </si>
  <si>
    <t>a) Dividendos (-)</t>
  </si>
  <si>
    <t>b) Remuneración de otros instrumentos de patrimonio (-)</t>
  </si>
  <si>
    <t xml:space="preserve">= 12. Flujos de efectivo de las actividades de financiación (+/-9+/-10-11) </t>
  </si>
  <si>
    <t>D) EFECTO DE LAS VARIACIONES DE LOS TIPOS DE CAMBIO</t>
  </si>
  <si>
    <t>E) AUMENTO/DISMINUCIÓN NETA DEL EFECTIVO</t>
  </si>
  <si>
    <t>Efectivo o equivalente al comienzo del ejercicio</t>
  </si>
  <si>
    <t>Efectivo o equivalente al final del ejercicio</t>
  </si>
  <si>
    <t xml:space="preserve">FGO </t>
  </si>
  <si>
    <t>FEAE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</si>
</sst>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\ _€_-;\-* #,##0.00\ _€_-;_-* &quot;-&quot;??\ _€_-;_-@_-"/>
    <numFmt numFmtId="165" formatCode="#,##0_);\(#,##0\)"/>
    <numFmt numFmtId="166" formatCode="General_)"/>
    <numFmt numFmtId="167" formatCode="0.0%"/>
    <numFmt numFmtId="168" formatCode="0.0%;\(0.0%\)"/>
    <numFmt numFmtId="169" formatCode="0.00%;\(0.00%\)"/>
    <numFmt numFmtId="170" formatCode="0.0000"/>
    <numFmt numFmtId="171" formatCode="#,##0.000"/>
    <numFmt numFmtId="172" formatCode="0.000"/>
    <numFmt numFmtId="173" formatCode="0.00000000"/>
  </numFmts>
  <fonts count="4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u/>
      <sz val="11"/>
      <name val="Calibri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5">
    <xf numFmtId="0" fontId="0" fillId="0" borderId="0"/>
    <xf numFmtId="9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/>
    <xf numFmtId="9" fontId="2" fillId="0" borderId="0" applyFont="0" applyFill="0" applyBorder="0" applyAlignment="0" applyProtection="0"/>
  </cellStyleXfs>
  <cellXfs count="280">
    <xf numFmtId="0" fontId="0" fillId="0" borderId="0" xfId="0"/>
    <xf numFmtId="165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0" fontId="2" fillId="0" borderId="0" xfId="0" applyFont="1"/>
    <xf numFmtId="0" fontId="17" fillId="2" borderId="1" xfId="0" applyFont="1" applyFill="1" applyBorder="1" applyAlignment="1">
      <alignment vertical="center"/>
    </xf>
    <xf numFmtId="49" fontId="15" fillId="0" borderId="1" xfId="0" quotePrefix="1" applyNumberFormat="1" applyFont="1" applyBorder="1" applyAlignment="1">
      <alignment horizontal="left" vertical="center"/>
    </xf>
    <xf numFmtId="168" fontId="5" fillId="0" borderId="1" xfId="0" applyNumberFormat="1" applyFont="1" applyBorder="1" applyAlignment="1">
      <alignment horizontal="right" vertical="center"/>
    </xf>
    <xf numFmtId="168" fontId="15" fillId="0" borderId="1" xfId="0" applyNumberFormat="1" applyFont="1" applyBorder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49" fontId="5" fillId="0" borderId="1" xfId="0" applyNumberFormat="1" applyFont="1" applyBorder="1" applyAlignment="1">
      <alignment vertical="center"/>
    </xf>
    <xf numFmtId="49" fontId="5" fillId="0" borderId="1" xfId="0" quotePrefix="1" applyNumberFormat="1" applyFont="1" applyBorder="1" applyAlignment="1">
      <alignment vertical="center"/>
    </xf>
    <xf numFmtId="49" fontId="5" fillId="0" borderId="1" xfId="0" quotePrefix="1" applyNumberFormat="1" applyFont="1" applyBorder="1" applyAlignment="1">
      <alignment horizontal="left" vertical="center"/>
    </xf>
    <xf numFmtId="165" fontId="0" fillId="0" borderId="0" xfId="0" applyNumberFormat="1"/>
    <xf numFmtId="0" fontId="18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65" fontId="19" fillId="0" borderId="3" xfId="0" applyNumberFormat="1" applyFont="1" applyBorder="1" applyAlignment="1">
      <alignment vertical="center"/>
    </xf>
    <xf numFmtId="167" fontId="19" fillId="0" borderId="1" xfId="1" applyNumberFormat="1" applyFont="1" applyFill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165" fontId="12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165" fontId="15" fillId="0" borderId="1" xfId="0" applyNumberFormat="1" applyFont="1" applyBorder="1" applyAlignment="1">
      <alignment horizontal="center" vertical="center"/>
    </xf>
    <xf numFmtId="165" fontId="19" fillId="3" borderId="1" xfId="0" applyNumberFormat="1" applyFont="1" applyFill="1" applyBorder="1" applyAlignment="1">
      <alignment vertical="center"/>
    </xf>
    <xf numFmtId="10" fontId="19" fillId="3" borderId="1" xfId="1" applyNumberFormat="1" applyFont="1" applyFill="1" applyBorder="1" applyAlignment="1">
      <alignment vertical="center"/>
    </xf>
    <xf numFmtId="4" fontId="19" fillId="3" borderId="1" xfId="0" applyNumberFormat="1" applyFont="1" applyFill="1" applyBorder="1" applyAlignment="1">
      <alignment vertical="center"/>
    </xf>
    <xf numFmtId="4" fontId="20" fillId="0" borderId="1" xfId="0" applyNumberFormat="1" applyFont="1" applyBorder="1" applyAlignment="1">
      <alignment vertical="center"/>
    </xf>
    <xf numFmtId="4" fontId="19" fillId="0" borderId="1" xfId="0" applyNumberFormat="1" applyFont="1" applyBorder="1" applyAlignment="1">
      <alignment vertical="center"/>
    </xf>
    <xf numFmtId="4" fontId="5" fillId="0" borderId="1" xfId="0" applyNumberFormat="1" applyFont="1" applyBorder="1" applyAlignment="1">
      <alignment vertical="center"/>
    </xf>
    <xf numFmtId="4" fontId="12" fillId="0" borderId="1" xfId="0" applyNumberFormat="1" applyFont="1" applyBorder="1" applyAlignment="1">
      <alignment vertical="center"/>
    </xf>
    <xf numFmtId="4" fontId="20" fillId="0" borderId="1" xfId="0" applyNumberFormat="1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0" fontId="0" fillId="0" borderId="1" xfId="2" applyNumberFormat="1" applyFont="1" applyFill="1" applyBorder="1" applyAlignment="1">
      <alignment horizontal="right" vertical="center"/>
    </xf>
    <xf numFmtId="167" fontId="0" fillId="0" borderId="1" xfId="2" applyNumberFormat="1" applyFont="1" applyFill="1" applyBorder="1" applyAlignment="1">
      <alignment horizontal="right" vertical="center"/>
    </xf>
    <xf numFmtId="167" fontId="11" fillId="0" borderId="1" xfId="2" applyNumberFormat="1" applyFont="1" applyFill="1" applyBorder="1" applyAlignment="1">
      <alignment horizontal="right" vertical="center"/>
    </xf>
    <xf numFmtId="165" fontId="15" fillId="0" borderId="1" xfId="0" applyNumberFormat="1" applyFont="1" applyBorder="1" applyAlignment="1">
      <alignment horizontal="left" vertical="center"/>
    </xf>
    <xf numFmtId="14" fontId="15" fillId="0" borderId="1" xfId="0" applyNumberFormat="1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169" fontId="5" fillId="0" borderId="1" xfId="0" applyNumberFormat="1" applyFont="1" applyBorder="1" applyAlignment="1">
      <alignment horizontal="right" vertical="center"/>
    </xf>
    <xf numFmtId="0" fontId="0" fillId="0" borderId="4" xfId="0" applyBorder="1"/>
    <xf numFmtId="0" fontId="15" fillId="0" borderId="0" xfId="0" applyFont="1" applyAlignment="1">
      <alignment horizontal="left" vertical="center"/>
    </xf>
    <xf numFmtId="10" fontId="5" fillId="0" borderId="1" xfId="1" applyNumberFormat="1" applyFont="1" applyBorder="1" applyAlignment="1">
      <alignment vertical="center"/>
    </xf>
    <xf numFmtId="0" fontId="11" fillId="0" borderId="0" xfId="0" applyFont="1" applyAlignment="1">
      <alignment horizontal="right"/>
    </xf>
    <xf numFmtId="4" fontId="0" fillId="0" borderId="2" xfId="0" applyNumberFormat="1" applyBorder="1"/>
    <xf numFmtId="4" fontId="0" fillId="0" borderId="1" xfId="0" applyNumberFormat="1" applyBorder="1"/>
    <xf numFmtId="4" fontId="11" fillId="0" borderId="1" xfId="0" applyNumberFormat="1" applyFont="1" applyBorder="1" applyAlignment="1">
      <alignment horizontal="right"/>
    </xf>
    <xf numFmtId="0" fontId="1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0" fontId="6" fillId="0" borderId="5" xfId="1" applyNumberFormat="1" applyFont="1" applyFill="1" applyBorder="1" applyAlignment="1">
      <alignment horizontal="right" vertical="center"/>
    </xf>
    <xf numFmtId="4" fontId="5" fillId="0" borderId="1" xfId="2" applyNumberFormat="1" applyFont="1" applyFill="1" applyBorder="1" applyAlignment="1">
      <alignment horizontal="right" vertical="center"/>
    </xf>
    <xf numFmtId="4" fontId="15" fillId="0" borderId="1" xfId="2" applyNumberFormat="1" applyFont="1" applyFill="1" applyBorder="1" applyAlignment="1">
      <alignment horizontal="right" vertical="center"/>
    </xf>
    <xf numFmtId="168" fontId="0" fillId="0" borderId="1" xfId="2" applyNumberFormat="1" applyFont="1" applyFill="1" applyBorder="1" applyAlignment="1">
      <alignment horizontal="right" vertical="center"/>
    </xf>
    <xf numFmtId="9" fontId="0" fillId="0" borderId="1" xfId="2" applyNumberFormat="1" applyFont="1" applyFill="1" applyBorder="1" applyAlignment="1">
      <alignment horizontal="right" vertical="center"/>
    </xf>
    <xf numFmtId="168" fontId="5" fillId="0" borderId="1" xfId="0" quotePrefix="1" applyNumberFormat="1" applyFont="1" applyBorder="1" applyAlignment="1">
      <alignment horizontal="right" vertical="center"/>
    </xf>
    <xf numFmtId="0" fontId="24" fillId="0" borderId="4" xfId="0" applyFont="1" applyBorder="1"/>
    <xf numFmtId="10" fontId="0" fillId="0" borderId="4" xfId="1" applyNumberFormat="1" applyFont="1" applyBorder="1"/>
    <xf numFmtId="0" fontId="5" fillId="0" borderId="1" xfId="0" applyFont="1" applyBorder="1" applyAlignment="1">
      <alignment horizontal="left" vertical="center"/>
    </xf>
    <xf numFmtId="14" fontId="14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4" fillId="0" borderId="1" xfId="0" applyFont="1" applyBorder="1" applyAlignment="1">
      <alignment horizontal="right" vertical="center"/>
    </xf>
    <xf numFmtId="0" fontId="4" fillId="0" borderId="1" xfId="0" applyFont="1" applyBorder="1"/>
    <xf numFmtId="4" fontId="4" fillId="0" borderId="1" xfId="2" applyNumberFormat="1" applyFont="1" applyFill="1" applyBorder="1" applyAlignment="1">
      <alignment horizontal="right"/>
    </xf>
    <xf numFmtId="3" fontId="4" fillId="0" borderId="1" xfId="2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1" fillId="0" borderId="1" xfId="0" applyFont="1" applyBorder="1"/>
    <xf numFmtId="0" fontId="0" fillId="0" borderId="1" xfId="0" applyBorder="1" applyAlignment="1">
      <alignment vertical="center"/>
    </xf>
    <xf numFmtId="4" fontId="0" fillId="0" borderId="1" xfId="2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 indent="1"/>
    </xf>
    <xf numFmtId="0" fontId="6" fillId="0" borderId="1" xfId="0" applyFont="1" applyBorder="1" applyAlignment="1">
      <alignment vertical="center"/>
    </xf>
    <xf numFmtId="0" fontId="5" fillId="0" borderId="0" xfId="0" applyFont="1"/>
    <xf numFmtId="14" fontId="6" fillId="0" borderId="1" xfId="0" applyNumberFormat="1" applyFont="1" applyBorder="1" applyAlignment="1">
      <alignment horizontal="center" vertical="center" wrapText="1"/>
    </xf>
    <xf numFmtId="4" fontId="6" fillId="0" borderId="1" xfId="2" applyNumberFormat="1" applyFont="1" applyFill="1" applyBorder="1" applyAlignment="1">
      <alignment horizontal="right" vertical="center"/>
    </xf>
    <xf numFmtId="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10" fontId="15" fillId="0" borderId="1" xfId="1" applyNumberFormat="1" applyFont="1" applyFill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0" fontId="28" fillId="0" borderId="0" xfId="0" applyFont="1" applyAlignment="1">
      <alignment horizontal="left" vertical="center"/>
    </xf>
    <xf numFmtId="0" fontId="0" fillId="4" borderId="1" xfId="0" applyFill="1" applyBorder="1" applyAlignment="1">
      <alignment vertical="center"/>
    </xf>
    <xf numFmtId="9" fontId="0" fillId="0" borderId="1" xfId="1" applyFont="1" applyBorder="1" applyAlignment="1">
      <alignment vertical="center"/>
    </xf>
    <xf numFmtId="4" fontId="6" fillId="4" borderId="5" xfId="2" applyNumberFormat="1" applyFont="1" applyFill="1" applyBorder="1" applyAlignment="1">
      <alignment horizontal="right" vertical="center"/>
    </xf>
    <xf numFmtId="0" fontId="10" fillId="5" borderId="0" xfId="0" applyFont="1" applyFill="1" applyAlignment="1">
      <alignment vertical="center"/>
    </xf>
    <xf numFmtId="14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 indent="1"/>
    </xf>
    <xf numFmtId="0" fontId="0" fillId="7" borderId="1" xfId="0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3" fontId="3" fillId="5" borderId="1" xfId="0" applyNumberFormat="1" applyFont="1" applyFill="1" applyBorder="1" applyAlignment="1">
      <alignment horizontal="center" vertical="center" wrapText="1"/>
    </xf>
    <xf numFmtId="4" fontId="6" fillId="3" borderId="5" xfId="2" applyNumberFormat="1" applyFont="1" applyFill="1" applyBorder="1" applyAlignment="1">
      <alignment horizontal="right" vertical="center"/>
    </xf>
    <xf numFmtId="10" fontId="6" fillId="3" borderId="5" xfId="1" applyNumberFormat="1" applyFont="1" applyFill="1" applyBorder="1" applyAlignment="1">
      <alignment horizontal="right" vertical="center"/>
    </xf>
    <xf numFmtId="4" fontId="0" fillId="3" borderId="1" xfId="2" applyNumberFormat="1" applyFont="1" applyFill="1" applyBorder="1" applyAlignment="1">
      <alignment horizontal="right" vertical="center"/>
    </xf>
    <xf numFmtId="4" fontId="0" fillId="3" borderId="5" xfId="2" applyNumberFormat="1" applyFont="1" applyFill="1" applyBorder="1" applyAlignment="1">
      <alignment horizontal="right" vertical="center"/>
    </xf>
    <xf numFmtId="10" fontId="0" fillId="3" borderId="5" xfId="1" applyNumberFormat="1" applyFont="1" applyFill="1" applyBorder="1" applyAlignment="1">
      <alignment horizontal="right" vertical="center"/>
    </xf>
    <xf numFmtId="4" fontId="26" fillId="3" borderId="2" xfId="2" applyNumberFormat="1" applyFont="1" applyFill="1" applyBorder="1" applyAlignment="1">
      <alignment horizontal="right" vertical="center"/>
    </xf>
    <xf numFmtId="4" fontId="26" fillId="3" borderId="1" xfId="2" applyNumberFormat="1" applyFont="1" applyFill="1" applyBorder="1" applyAlignment="1">
      <alignment horizontal="right" vertical="center"/>
    </xf>
    <xf numFmtId="4" fontId="21" fillId="3" borderId="1" xfId="2" applyNumberFormat="1" applyFont="1" applyFill="1" applyBorder="1" applyAlignment="1">
      <alignment horizontal="right" vertical="center"/>
    </xf>
    <xf numFmtId="10" fontId="21" fillId="3" borderId="1" xfId="1" applyNumberFormat="1" applyFont="1" applyFill="1" applyBorder="1" applyAlignment="1">
      <alignment horizontal="right" vertical="center"/>
    </xf>
    <xf numFmtId="4" fontId="5" fillId="3" borderId="1" xfId="2" applyNumberFormat="1" applyFont="1" applyFill="1" applyBorder="1" applyAlignment="1">
      <alignment horizontal="right" vertical="center"/>
    </xf>
    <xf numFmtId="4" fontId="27" fillId="3" borderId="1" xfId="2" applyNumberFormat="1" applyFont="1" applyFill="1" applyBorder="1" applyAlignment="1">
      <alignment horizontal="right" vertical="center"/>
    </xf>
    <xf numFmtId="3" fontId="5" fillId="3" borderId="1" xfId="2" applyNumberFormat="1" applyFont="1" applyFill="1" applyBorder="1" applyAlignment="1">
      <alignment horizontal="right" vertical="center"/>
    </xf>
    <xf numFmtId="4" fontId="15" fillId="8" borderId="1" xfId="2" applyNumberFormat="1" applyFont="1" applyFill="1" applyBorder="1" applyAlignment="1">
      <alignment horizontal="right" vertical="center"/>
    </xf>
    <xf numFmtId="168" fontId="15" fillId="8" borderId="1" xfId="0" applyNumberFormat="1" applyFont="1" applyFill="1" applyBorder="1" applyAlignment="1">
      <alignment horizontal="right" vertical="center"/>
    </xf>
    <xf numFmtId="49" fontId="15" fillId="8" borderId="1" xfId="0" quotePrefix="1" applyNumberFormat="1" applyFont="1" applyFill="1" applyBorder="1" applyAlignment="1">
      <alignment horizontal="left" vertical="center"/>
    </xf>
    <xf numFmtId="49" fontId="5" fillId="9" borderId="1" xfId="0" quotePrefix="1" applyNumberFormat="1" applyFont="1" applyFill="1" applyBorder="1" applyAlignment="1">
      <alignment vertical="center"/>
    </xf>
    <xf numFmtId="4" fontId="0" fillId="9" borderId="1" xfId="2" applyNumberFormat="1" applyFont="1" applyFill="1" applyBorder="1" applyAlignment="1">
      <alignment horizontal="right" vertical="center"/>
    </xf>
    <xf numFmtId="167" fontId="0" fillId="9" borderId="1" xfId="2" applyNumberFormat="1" applyFont="1" applyFill="1" applyBorder="1" applyAlignment="1">
      <alignment horizontal="right" vertical="center"/>
    </xf>
    <xf numFmtId="168" fontId="5" fillId="9" borderId="1" xfId="0" applyNumberFormat="1" applyFont="1" applyFill="1" applyBorder="1" applyAlignment="1">
      <alignment horizontal="right" vertical="center"/>
    </xf>
    <xf numFmtId="4" fontId="5" fillId="9" borderId="1" xfId="2" applyNumberFormat="1" applyFont="1" applyFill="1" applyBorder="1" applyAlignment="1">
      <alignment horizontal="right" vertical="center"/>
    </xf>
    <xf numFmtId="49" fontId="15" fillId="10" borderId="1" xfId="0" quotePrefix="1" applyNumberFormat="1" applyFont="1" applyFill="1" applyBorder="1" applyAlignment="1">
      <alignment horizontal="left" vertical="center"/>
    </xf>
    <xf numFmtId="4" fontId="15" fillId="10" borderId="1" xfId="2" applyNumberFormat="1" applyFont="1" applyFill="1" applyBorder="1" applyAlignment="1">
      <alignment horizontal="right" vertical="center"/>
    </xf>
    <xf numFmtId="168" fontId="15" fillId="10" borderId="1" xfId="0" applyNumberFormat="1" applyFont="1" applyFill="1" applyBorder="1" applyAlignment="1">
      <alignment horizontal="right" vertical="center"/>
    </xf>
    <xf numFmtId="167" fontId="11" fillId="10" borderId="1" xfId="2" applyNumberFormat="1" applyFont="1" applyFill="1" applyBorder="1" applyAlignment="1">
      <alignment horizontal="right" vertical="center"/>
    </xf>
    <xf numFmtId="0" fontId="30" fillId="11" borderId="0" xfId="0" applyFont="1" applyFill="1"/>
    <xf numFmtId="0" fontId="0" fillId="0" borderId="1" xfId="0" applyBorder="1" applyAlignment="1">
      <alignment horizontal="center" vertical="center"/>
    </xf>
    <xf numFmtId="0" fontId="31" fillId="4" borderId="1" xfId="0" applyFont="1" applyFill="1" applyBorder="1" applyAlignment="1">
      <alignment vertical="center"/>
    </xf>
    <xf numFmtId="4" fontId="31" fillId="4" borderId="1" xfId="2" applyNumberFormat="1" applyFont="1" applyFill="1" applyBorder="1" applyAlignment="1">
      <alignment horizontal="right" vertical="center"/>
    </xf>
    <xf numFmtId="0" fontId="31" fillId="12" borderId="1" xfId="0" applyFont="1" applyFill="1" applyBorder="1" applyAlignment="1">
      <alignment vertical="center"/>
    </xf>
    <xf numFmtId="4" fontId="31" fillId="12" borderId="1" xfId="2" applyNumberFormat="1" applyFont="1" applyFill="1" applyBorder="1" applyAlignment="1">
      <alignment horizontal="right" vertical="center"/>
    </xf>
    <xf numFmtId="0" fontId="0" fillId="12" borderId="1" xfId="0" applyFill="1" applyBorder="1" applyAlignment="1">
      <alignment vertical="center"/>
    </xf>
    <xf numFmtId="4" fontId="0" fillId="12" borderId="1" xfId="2" applyNumberFormat="1" applyFont="1" applyFill="1" applyBorder="1" applyAlignment="1">
      <alignment horizontal="right" vertical="center"/>
    </xf>
    <xf numFmtId="10" fontId="6" fillId="12" borderId="5" xfId="1" applyNumberFormat="1" applyFont="1" applyFill="1" applyBorder="1" applyAlignment="1">
      <alignment horizontal="right" vertical="center"/>
    </xf>
    <xf numFmtId="4" fontId="0" fillId="0" borderId="0" xfId="0" applyNumberFormat="1" applyAlignment="1">
      <alignment vertical="center"/>
    </xf>
    <xf numFmtId="10" fontId="5" fillId="0" borderId="1" xfId="1" applyNumberFormat="1" applyFont="1" applyFill="1" applyBorder="1" applyAlignment="1">
      <alignment horizontal="right"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28" fillId="13" borderId="1" xfId="0" applyFont="1" applyFill="1" applyBorder="1" applyAlignment="1">
      <alignment horizontal="left" vertical="center" wrapText="1" indent="1"/>
    </xf>
    <xf numFmtId="14" fontId="28" fillId="13" borderId="1" xfId="0" applyNumberFormat="1" applyFont="1" applyFill="1" applyBorder="1" applyAlignment="1">
      <alignment horizontal="center" vertical="center"/>
    </xf>
    <xf numFmtId="14" fontId="15" fillId="13" borderId="1" xfId="0" applyNumberFormat="1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left" vertical="center" wrapText="1" indent="1"/>
    </xf>
    <xf numFmtId="0" fontId="12" fillId="14" borderId="1" xfId="0" applyFont="1" applyFill="1" applyBorder="1" applyAlignment="1">
      <alignment horizontal="left" vertical="center" wrapText="1" indent="1"/>
    </xf>
    <xf numFmtId="0" fontId="28" fillId="14" borderId="1" xfId="0" applyFont="1" applyFill="1" applyBorder="1" applyAlignment="1">
      <alignment horizontal="left" vertical="center" wrapText="1" indent="1"/>
    </xf>
    <xf numFmtId="10" fontId="5" fillId="3" borderId="1" xfId="1" applyNumberFormat="1" applyFont="1" applyFill="1" applyBorder="1" applyAlignment="1">
      <alignment horizontal="right" vertical="center"/>
    </xf>
    <xf numFmtId="10" fontId="5" fillId="3" borderId="5" xfId="1" applyNumberFormat="1" applyFont="1" applyFill="1" applyBorder="1" applyAlignment="1">
      <alignment horizontal="right" vertical="center"/>
    </xf>
    <xf numFmtId="10" fontId="25" fillId="3" borderId="5" xfId="1" applyNumberFormat="1" applyFont="1" applyFill="1" applyBorder="1" applyAlignment="1">
      <alignment horizontal="right" vertical="center"/>
    </xf>
    <xf numFmtId="2" fontId="5" fillId="3" borderId="5" xfId="0" applyNumberFormat="1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3" fontId="5" fillId="3" borderId="5" xfId="0" applyNumberFormat="1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 wrapText="1"/>
    </xf>
    <xf numFmtId="3" fontId="5" fillId="3" borderId="5" xfId="0" applyNumberFormat="1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2" fontId="5" fillId="3" borderId="1" xfId="0" applyNumberFormat="1" applyFont="1" applyFill="1" applyBorder="1" applyAlignment="1">
      <alignment horizontal="right" vertical="center" wrapText="1"/>
    </xf>
    <xf numFmtId="2" fontId="5" fillId="3" borderId="5" xfId="0" applyNumberFormat="1" applyFont="1" applyFill="1" applyBorder="1" applyAlignment="1">
      <alignment horizontal="right" vertical="center" wrapText="1"/>
    </xf>
    <xf numFmtId="0" fontId="15" fillId="3" borderId="1" xfId="0" applyFont="1" applyFill="1" applyBorder="1" applyAlignment="1">
      <alignment horizontal="left" vertical="center"/>
    </xf>
    <xf numFmtId="0" fontId="15" fillId="3" borderId="5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/>
    <xf numFmtId="10" fontId="5" fillId="3" borderId="1" xfId="1" applyNumberFormat="1" applyFont="1" applyFill="1" applyBorder="1" applyAlignment="1">
      <alignment vertical="center"/>
    </xf>
    <xf numFmtId="10" fontId="5" fillId="3" borderId="5" xfId="1" applyNumberFormat="1" applyFont="1" applyFill="1" applyBorder="1" applyAlignment="1">
      <alignment vertical="center"/>
    </xf>
    <xf numFmtId="10" fontId="25" fillId="15" borderId="5" xfId="1" applyNumberFormat="1" applyFont="1" applyFill="1" applyBorder="1" applyAlignment="1">
      <alignment horizontal="center" vertical="center" wrapText="1"/>
    </xf>
    <xf numFmtId="10" fontId="6" fillId="15" borderId="5" xfId="1" applyNumberFormat="1" applyFont="1" applyFill="1" applyBorder="1" applyAlignment="1">
      <alignment horizontal="center" vertical="center" wrapText="1"/>
    </xf>
    <xf numFmtId="10" fontId="6" fillId="15" borderId="5" xfId="1" applyNumberFormat="1" applyFont="1" applyFill="1" applyBorder="1" applyAlignment="1">
      <alignment horizontal="center" vertical="center"/>
    </xf>
    <xf numFmtId="10" fontId="25" fillId="15" borderId="5" xfId="1" applyNumberFormat="1" applyFont="1" applyFill="1" applyBorder="1" applyAlignment="1">
      <alignment horizontal="center" vertical="center"/>
    </xf>
    <xf numFmtId="10" fontId="25" fillId="15" borderId="1" xfId="1" applyNumberFormat="1" applyFont="1" applyFill="1" applyBorder="1" applyAlignment="1">
      <alignment horizontal="center" vertical="center"/>
    </xf>
    <xf numFmtId="10" fontId="25" fillId="15" borderId="1" xfId="1" applyNumberFormat="1" applyFont="1" applyFill="1" applyBorder="1" applyAlignment="1">
      <alignment horizontal="center" vertical="center" wrapText="1"/>
    </xf>
    <xf numFmtId="10" fontId="6" fillId="15" borderId="1" xfId="1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0" fillId="0" borderId="1" xfId="2" applyNumberFormat="1" applyFont="1" applyFill="1" applyBorder="1" applyAlignment="1">
      <alignment horizontal="right" vertical="center"/>
    </xf>
    <xf numFmtId="0" fontId="11" fillId="0" borderId="1" xfId="2" applyNumberFormat="1" applyFont="1" applyFill="1" applyBorder="1" applyAlignment="1">
      <alignment horizontal="right" vertical="center"/>
    </xf>
    <xf numFmtId="0" fontId="5" fillId="0" borderId="1" xfId="0" quotePrefix="1" applyFont="1" applyBorder="1" applyAlignment="1">
      <alignment horizontal="right" vertical="center"/>
    </xf>
    <xf numFmtId="0" fontId="5" fillId="16" borderId="1" xfId="0" applyFont="1" applyFill="1" applyBorder="1" applyAlignment="1">
      <alignment horizontal="right" vertical="center"/>
    </xf>
    <xf numFmtId="0" fontId="0" fillId="16" borderId="1" xfId="2" applyNumberFormat="1" applyFont="1" applyFill="1" applyBorder="1" applyAlignment="1">
      <alignment horizontal="right" vertical="center"/>
    </xf>
    <xf numFmtId="0" fontId="15" fillId="17" borderId="1" xfId="0" applyFont="1" applyFill="1" applyBorder="1" applyAlignment="1">
      <alignment horizontal="right" vertical="center"/>
    </xf>
    <xf numFmtId="0" fontId="11" fillId="17" borderId="1" xfId="2" applyNumberFormat="1" applyFont="1" applyFill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4" fontId="5" fillId="16" borderId="1" xfId="0" applyNumberFormat="1" applyFont="1" applyFill="1" applyBorder="1" applyAlignment="1">
      <alignment horizontal="right" vertical="center"/>
    </xf>
    <xf numFmtId="4" fontId="0" fillId="16" borderId="1" xfId="2" applyNumberFormat="1" applyFont="1" applyFill="1" applyBorder="1" applyAlignment="1">
      <alignment horizontal="right" vertical="center"/>
    </xf>
    <xf numFmtId="4" fontId="5" fillId="0" borderId="1" xfId="0" quotePrefix="1" applyNumberFormat="1" applyFont="1" applyBorder="1" applyAlignment="1">
      <alignment horizontal="right" vertical="center"/>
    </xf>
    <xf numFmtId="4" fontId="11" fillId="17" borderId="1" xfId="2" applyNumberFormat="1" applyFont="1" applyFill="1" applyBorder="1" applyAlignment="1">
      <alignment horizontal="right" vertical="center"/>
    </xf>
    <xf numFmtId="4" fontId="15" fillId="8" borderId="10" xfId="2" applyNumberFormat="1" applyFont="1" applyFill="1" applyBorder="1" applyAlignment="1">
      <alignment horizontal="right" vertical="center"/>
    </xf>
    <xf numFmtId="168" fontId="15" fillId="8" borderId="10" xfId="0" applyNumberFormat="1" applyFont="1" applyFill="1" applyBorder="1" applyAlignment="1">
      <alignment horizontal="right" vertical="center"/>
    </xf>
    <xf numFmtId="167" fontId="11" fillId="8" borderId="10" xfId="2" applyNumberFormat="1" applyFont="1" applyFill="1" applyBorder="1" applyAlignment="1">
      <alignment horizontal="right" vertical="center"/>
    </xf>
    <xf numFmtId="0" fontId="11" fillId="8" borderId="10" xfId="2" applyNumberFormat="1" applyFont="1" applyFill="1" applyBorder="1" applyAlignment="1">
      <alignment horizontal="right" vertical="center"/>
    </xf>
    <xf numFmtId="4" fontId="0" fillId="18" borderId="8" xfId="0" applyNumberFormat="1" applyFill="1" applyBorder="1"/>
    <xf numFmtId="4" fontId="0" fillId="18" borderId="9" xfId="0" applyNumberFormat="1" applyFill="1" applyBorder="1"/>
    <xf numFmtId="10" fontId="25" fillId="4" borderId="5" xfId="1" applyNumberFormat="1" applyFont="1" applyFill="1" applyBorder="1" applyAlignment="1">
      <alignment horizontal="center" vertical="center" wrapText="1"/>
    </xf>
    <xf numFmtId="171" fontId="5" fillId="3" borderId="1" xfId="0" applyNumberFormat="1" applyFont="1" applyFill="1" applyBorder="1" applyAlignment="1">
      <alignment horizontal="right" vertical="center" wrapText="1"/>
    </xf>
    <xf numFmtId="172" fontId="5" fillId="3" borderId="1" xfId="0" applyNumberFormat="1" applyFont="1" applyFill="1" applyBorder="1" applyAlignment="1">
      <alignment horizontal="right" vertical="center" wrapText="1"/>
    </xf>
    <xf numFmtId="173" fontId="5" fillId="3" borderId="1" xfId="0" applyNumberFormat="1" applyFont="1" applyFill="1" applyBorder="1" applyAlignment="1">
      <alignment horizontal="right" vertical="center" wrapText="1"/>
    </xf>
    <xf numFmtId="0" fontId="20" fillId="11" borderId="1" xfId="0" applyFont="1" applyFill="1" applyBorder="1" applyAlignment="1">
      <alignment horizontal="left" vertical="center" wrapText="1" indent="1"/>
    </xf>
    <xf numFmtId="0" fontId="0" fillId="19" borderId="0" xfId="0" applyFill="1"/>
    <xf numFmtId="0" fontId="34" fillId="14" borderId="1" xfId="0" applyFont="1" applyFill="1" applyBorder="1" applyAlignment="1">
      <alignment horizontal="left" vertical="center" wrapText="1" indent="1"/>
    </xf>
    <xf numFmtId="4" fontId="15" fillId="3" borderId="1" xfId="0" applyNumberFormat="1" applyFont="1" applyFill="1" applyBorder="1" applyAlignment="1">
      <alignment horizontal="left" vertical="center"/>
    </xf>
    <xf numFmtId="0" fontId="20" fillId="20" borderId="1" xfId="0" applyFont="1" applyFill="1" applyBorder="1" applyAlignment="1">
      <alignment horizontal="left" vertical="center" wrapText="1" indent="1"/>
    </xf>
    <xf numFmtId="0" fontId="5" fillId="3" borderId="1" xfId="1" applyNumberFormat="1" applyFont="1" applyFill="1" applyBorder="1" applyAlignment="1">
      <alignment horizontal="right" vertical="center"/>
    </xf>
    <xf numFmtId="0" fontId="5" fillId="3" borderId="5" xfId="1" applyNumberFormat="1" applyFont="1" applyFill="1" applyBorder="1" applyAlignment="1">
      <alignment horizontal="right" vertical="center"/>
    </xf>
    <xf numFmtId="4" fontId="5" fillId="3" borderId="1" xfId="1" applyNumberFormat="1" applyFont="1" applyFill="1" applyBorder="1" applyAlignment="1">
      <alignment horizontal="right" vertical="center"/>
    </xf>
    <xf numFmtId="0" fontId="20" fillId="21" borderId="1" xfId="0" applyFont="1" applyFill="1" applyBorder="1" applyAlignment="1">
      <alignment horizontal="left" vertical="center" wrapText="1" indent="1"/>
    </xf>
    <xf numFmtId="10" fontId="5" fillId="8" borderId="1" xfId="1" applyNumberFormat="1" applyFont="1" applyFill="1" applyBorder="1" applyAlignment="1">
      <alignment horizontal="right" vertical="center"/>
    </xf>
    <xf numFmtId="10" fontId="5" fillId="8" borderId="5" xfId="1" applyNumberFormat="1" applyFont="1" applyFill="1" applyBorder="1" applyAlignment="1">
      <alignment horizontal="right" vertical="center"/>
    </xf>
    <xf numFmtId="10" fontId="25" fillId="8" borderId="5" xfId="1" applyNumberFormat="1" applyFont="1" applyFill="1" applyBorder="1" applyAlignment="1">
      <alignment horizontal="right" vertical="center"/>
    </xf>
    <xf numFmtId="2" fontId="5" fillId="8" borderId="1" xfId="0" applyNumberFormat="1" applyFont="1" applyFill="1" applyBorder="1" applyAlignment="1">
      <alignment horizontal="right" vertical="center"/>
    </xf>
    <xf numFmtId="2" fontId="5" fillId="8" borderId="5" xfId="0" applyNumberFormat="1" applyFont="1" applyFill="1" applyBorder="1" applyAlignment="1">
      <alignment horizontal="right" vertical="center"/>
    </xf>
    <xf numFmtId="3" fontId="5" fillId="8" borderId="1" xfId="0" applyNumberFormat="1" applyFont="1" applyFill="1" applyBorder="1" applyAlignment="1">
      <alignment horizontal="right" vertical="center"/>
    </xf>
    <xf numFmtId="3" fontId="5" fillId="8" borderId="5" xfId="0" applyNumberFormat="1" applyFont="1" applyFill="1" applyBorder="1" applyAlignment="1">
      <alignment horizontal="right" vertical="center"/>
    </xf>
    <xf numFmtId="2" fontId="5" fillId="22" borderId="1" xfId="0" applyNumberFormat="1" applyFont="1" applyFill="1" applyBorder="1" applyAlignment="1">
      <alignment horizontal="right" vertical="center"/>
    </xf>
    <xf numFmtId="2" fontId="5" fillId="22" borderId="5" xfId="0" applyNumberFormat="1" applyFont="1" applyFill="1" applyBorder="1" applyAlignment="1">
      <alignment horizontal="right" vertical="center"/>
    </xf>
    <xf numFmtId="1" fontId="5" fillId="22" borderId="1" xfId="0" applyNumberFormat="1" applyFont="1" applyFill="1" applyBorder="1" applyAlignment="1">
      <alignment horizontal="right" vertical="center"/>
    </xf>
    <xf numFmtId="1" fontId="5" fillId="22" borderId="5" xfId="0" applyNumberFormat="1" applyFont="1" applyFill="1" applyBorder="1" applyAlignment="1">
      <alignment horizontal="right" vertical="center"/>
    </xf>
    <xf numFmtId="0" fontId="15" fillId="22" borderId="1" xfId="0" applyFont="1" applyFill="1" applyBorder="1" applyAlignment="1">
      <alignment horizontal="left" vertical="center"/>
    </xf>
    <xf numFmtId="0" fontId="15" fillId="22" borderId="5" xfId="0" applyFont="1" applyFill="1" applyBorder="1" applyAlignment="1">
      <alignment horizontal="left" vertical="center"/>
    </xf>
    <xf numFmtId="0" fontId="15" fillId="14" borderId="5" xfId="0" applyFont="1" applyFill="1" applyBorder="1" applyAlignment="1">
      <alignment horizontal="left" vertical="center"/>
    </xf>
    <xf numFmtId="10" fontId="25" fillId="14" borderId="5" xfId="1" applyNumberFormat="1" applyFont="1" applyFill="1" applyBorder="1" applyAlignment="1">
      <alignment horizontal="right" vertical="center"/>
    </xf>
    <xf numFmtId="2" fontId="5" fillId="14" borderId="1" xfId="0" applyNumberFormat="1" applyFont="1" applyFill="1" applyBorder="1" applyAlignment="1">
      <alignment horizontal="right" vertical="center"/>
    </xf>
    <xf numFmtId="170" fontId="5" fillId="14" borderId="1" xfId="0" applyNumberFormat="1" applyFont="1" applyFill="1" applyBorder="1" applyAlignment="1">
      <alignment horizontal="right" vertical="center"/>
    </xf>
    <xf numFmtId="2" fontId="5" fillId="14" borderId="5" xfId="0" applyNumberFormat="1" applyFont="1" applyFill="1" applyBorder="1" applyAlignment="1">
      <alignment horizontal="right" vertical="center"/>
    </xf>
    <xf numFmtId="2" fontId="5" fillId="14" borderId="1" xfId="0" applyNumberFormat="1" applyFont="1" applyFill="1" applyBorder="1" applyAlignment="1">
      <alignment vertical="center"/>
    </xf>
    <xf numFmtId="10" fontId="25" fillId="14" borderId="5" xfId="1" applyNumberFormat="1" applyFont="1" applyFill="1" applyBorder="1" applyAlignment="1">
      <alignment horizontal="center" vertical="center" wrapText="1"/>
    </xf>
    <xf numFmtId="10" fontId="25" fillId="14" borderId="5" xfId="1" applyNumberFormat="1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left" vertical="center" wrapText="1" indent="1"/>
    </xf>
    <xf numFmtId="0" fontId="20" fillId="23" borderId="1" xfId="0" applyFont="1" applyFill="1" applyBorder="1" applyAlignment="1">
      <alignment horizontal="left" vertical="center" wrapText="1" indent="1"/>
    </xf>
    <xf numFmtId="0" fontId="5" fillId="3" borderId="1" xfId="1" applyNumberFormat="1" applyFont="1" applyFill="1" applyBorder="1" applyAlignment="1">
      <alignment vertical="center"/>
    </xf>
    <xf numFmtId="0" fontId="5" fillId="3" borderId="5" xfId="1" applyNumberFormat="1" applyFont="1" applyFill="1" applyBorder="1" applyAlignment="1">
      <alignment vertical="center"/>
    </xf>
    <xf numFmtId="10" fontId="5" fillId="14" borderId="1" xfId="0" applyNumberFormat="1" applyFont="1" applyFill="1" applyBorder="1" applyAlignment="1">
      <alignment vertical="center"/>
    </xf>
    <xf numFmtId="10" fontId="15" fillId="14" borderId="1" xfId="0" applyNumberFormat="1" applyFont="1" applyFill="1" applyBorder="1" applyAlignment="1">
      <alignment horizontal="left" vertical="center"/>
    </xf>
    <xf numFmtId="10" fontId="5" fillId="3" borderId="1" xfId="0" applyNumberFormat="1" applyFont="1" applyFill="1" applyBorder="1" applyAlignment="1">
      <alignment horizontal="right" vertical="center"/>
    </xf>
    <xf numFmtId="10" fontId="5" fillId="3" borderId="1" xfId="0" applyNumberFormat="1" applyFont="1" applyFill="1" applyBorder="1"/>
    <xf numFmtId="0" fontId="0" fillId="21" borderId="1" xfId="0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32" fillId="18" borderId="6" xfId="0" applyNumberFormat="1" applyFont="1" applyFill="1" applyBorder="1" applyAlignment="1">
      <alignment horizontal="center" vertical="center"/>
    </xf>
    <xf numFmtId="165" fontId="32" fillId="18" borderId="7" xfId="0" applyNumberFormat="1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11" fillId="4" borderId="4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6" fillId="21" borderId="1" xfId="0" applyNumberFormat="1" applyFont="1" applyFill="1" applyBorder="1" applyAlignment="1">
      <alignment horizontal="center" vertical="center" wrapText="1"/>
    </xf>
    <xf numFmtId="4" fontId="15" fillId="19" borderId="1" xfId="2" applyNumberFormat="1" applyFont="1" applyFill="1" applyBorder="1" applyAlignment="1">
      <alignment horizontal="right" vertical="center"/>
    </xf>
    <xf numFmtId="4" fontId="5" fillId="19" borderId="1" xfId="2" applyNumberFormat="1" applyFont="1" applyFill="1" applyBorder="1" applyAlignment="1">
      <alignment horizontal="right" vertical="center"/>
    </xf>
    <xf numFmtId="4" fontId="31" fillId="19" borderId="1" xfId="2" applyNumberFormat="1" applyFont="1" applyFill="1" applyBorder="1" applyAlignment="1">
      <alignment horizontal="right" vertical="center"/>
    </xf>
    <xf numFmtId="4" fontId="6" fillId="19" borderId="1" xfId="2" applyNumberFormat="1" applyFont="1" applyFill="1" applyBorder="1" applyAlignment="1">
      <alignment horizontal="right" vertical="center"/>
    </xf>
    <xf numFmtId="0" fontId="15" fillId="4" borderId="1" xfId="0" applyFont="1" applyFill="1" applyBorder="1" applyAlignment="1">
      <alignment horizontal="center" vertical="center" wrapText="1"/>
    </xf>
    <xf numFmtId="4" fontId="6" fillId="19" borderId="10" xfId="2" applyNumberFormat="1" applyFont="1" applyFill="1" applyBorder="1" applyAlignment="1">
      <alignment horizontal="right" vertical="center"/>
    </xf>
    <xf numFmtId="0" fontId="35" fillId="0" borderId="5" xfId="83" applyFont="1" applyBorder="1" applyAlignment="1">
      <alignment horizontal="center" vertical="center"/>
    </xf>
    <xf numFmtId="0" fontId="35" fillId="0" borderId="3" xfId="83" applyFont="1" applyBorder="1" applyAlignment="1">
      <alignment horizontal="center" vertical="center"/>
    </xf>
    <xf numFmtId="0" fontId="36" fillId="0" borderId="2" xfId="83" applyFont="1" applyBorder="1" applyAlignment="1">
      <alignment horizontal="center" vertical="center"/>
    </xf>
    <xf numFmtId="1" fontId="37" fillId="0" borderId="2" xfId="83" applyNumberFormat="1" applyFont="1" applyBorder="1" applyAlignment="1">
      <alignment horizontal="center" vertical="center" wrapText="1"/>
    </xf>
    <xf numFmtId="0" fontId="38" fillId="24" borderId="1" xfId="83" applyFont="1" applyFill="1" applyBorder="1" applyAlignment="1">
      <alignment horizontal="left" vertical="center" wrapText="1"/>
    </xf>
    <xf numFmtId="3" fontId="38" fillId="24" borderId="1" xfId="83" applyNumberFormat="1" applyFont="1" applyFill="1" applyBorder="1" applyAlignment="1">
      <alignment horizontal="right" vertical="center"/>
    </xf>
    <xf numFmtId="0" fontId="38" fillId="0" borderId="1" xfId="83" applyFont="1" applyBorder="1"/>
    <xf numFmtId="3" fontId="38" fillId="0" borderId="1" xfId="83" applyNumberFormat="1" applyFont="1" applyBorder="1" applyAlignment="1">
      <alignment horizontal="right"/>
    </xf>
    <xf numFmtId="0" fontId="39" fillId="0" borderId="1" xfId="83" applyFont="1" applyBorder="1" applyAlignment="1">
      <alignment horizontal="left" indent="2"/>
    </xf>
    <xf numFmtId="3" fontId="39" fillId="0" borderId="1" xfId="83" applyNumberFormat="1" applyFont="1" applyBorder="1" applyAlignment="1">
      <alignment horizontal="right"/>
    </xf>
    <xf numFmtId="0" fontId="39" fillId="0" borderId="1" xfId="83" applyFont="1" applyBorder="1" applyAlignment="1">
      <alignment horizontal="left" wrapText="1" indent="2"/>
    </xf>
    <xf numFmtId="0" fontId="39" fillId="0" borderId="1" xfId="83" applyFont="1" applyBorder="1"/>
    <xf numFmtId="0" fontId="39" fillId="0" borderId="1" xfId="83" applyFont="1" applyBorder="1" applyAlignment="1">
      <alignment horizontal="left" vertical="center"/>
    </xf>
    <xf numFmtId="3" fontId="39" fillId="0" borderId="1" xfId="83" applyNumberFormat="1" applyFont="1" applyBorder="1" applyAlignment="1">
      <alignment horizontal="right" vertical="center"/>
    </xf>
    <xf numFmtId="3" fontId="39" fillId="0" borderId="1" xfId="83" applyNumberFormat="1" applyFont="1" applyBorder="1"/>
    <xf numFmtId="0" fontId="38" fillId="0" borderId="1" xfId="83" applyFont="1" applyBorder="1" applyAlignment="1">
      <alignment horizontal="left" vertical="center" wrapText="1"/>
    </xf>
    <xf numFmtId="3" fontId="38" fillId="0" borderId="1" xfId="83" applyNumberFormat="1" applyFont="1" applyBorder="1" applyAlignment="1">
      <alignment horizontal="right" vertical="center"/>
    </xf>
    <xf numFmtId="0" fontId="38" fillId="0" borderId="1" xfId="83" applyFont="1" applyBorder="1" applyAlignment="1">
      <alignment horizontal="left" vertical="center"/>
    </xf>
    <xf numFmtId="0" fontId="39" fillId="0" borderId="1" xfId="83" applyFont="1" applyBorder="1" applyAlignment="1">
      <alignment horizontal="left" indent="3"/>
    </xf>
    <xf numFmtId="0" fontId="38" fillId="0" borderId="1" xfId="83" applyFont="1" applyBorder="1" applyAlignment="1">
      <alignment horizontal="left"/>
    </xf>
    <xf numFmtId="0" fontId="5" fillId="0" borderId="1" xfId="83" applyFont="1" applyBorder="1"/>
    <xf numFmtId="3" fontId="0" fillId="0" borderId="1" xfId="0" applyNumberFormat="1" applyBorder="1"/>
    <xf numFmtId="0" fontId="15" fillId="4" borderId="1" xfId="0" applyFont="1" applyFill="1" applyBorder="1" applyAlignment="1">
      <alignment horizontal="center" wrapText="1"/>
    </xf>
  </cellXfs>
  <cellStyles count="85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Millares" xfId="2" builtinId="3"/>
    <cellStyle name="Normal" xfId="0" builtinId="0"/>
    <cellStyle name="Normal 5" xfId="83" xr:uid="{480BF772-5B08-41F5-B3FB-5FDC6E01DA33}"/>
    <cellStyle name="Porcentaje" xfId="1" builtinId="5"/>
    <cellStyle name="Porcentaje 2" xfId="84" xr:uid="{FAE13D2C-3C33-4EE0-93F7-DEC7FE3E489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38</xdr:row>
      <xdr:rowOff>1</xdr:rowOff>
    </xdr:from>
    <xdr:to>
      <xdr:col>1</xdr:col>
      <xdr:colOff>601980</xdr:colOff>
      <xdr:row>53</xdr:row>
      <xdr:rowOff>113083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D53800-56A2-873F-CF6C-816FEE887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269481"/>
          <a:ext cx="5242559" cy="28639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129540</xdr:colOff>
      <xdr:row>33</xdr:row>
      <xdr:rowOff>209550</xdr:rowOff>
    </xdr:from>
    <xdr:ext cx="6007157" cy="287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F5D5AA7-0B73-717A-D40D-185778D85226}"/>
                </a:ext>
              </a:extLst>
            </xdr:cNvPr>
            <xdr:cNvSpPr txBox="1"/>
          </xdr:nvSpPr>
          <xdr:spPr>
            <a:xfrm>
              <a:off x="12594355" y="19918069"/>
              <a:ext cx="6007157" cy="287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9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𝐺𝑙𝑜𝑏𝑎𝑙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𝐵𝐴𝐼𝑇</m:t>
                        </m:r>
                      </m:num>
                      <m:den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𝑇𝑜𝑡𝑎𝑙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𝑚𝑒𝑑𝑖𝑜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(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𝐹𝑜𝑛𝑑𝑜𝑠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𝑃𝑟𝑜𝑝𝑖𝑜𝑠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𝐹𝑜𝑛𝑑𝑜𝑠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𝐴𝑗𝑒𝑛𝑜𝑠</m:t>
                        </m:r>
                        <m: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den>
                    </m:f>
                    <m:r>
                      <a:rPr lang="es-ES" sz="9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𝐵𝐴𝐼𝑇</m:t>
                        </m:r>
                      </m:num>
                      <m:den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𝐼𝑛𝑔𝑟𝑒𝑠𝑜𝑠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𝑒𝑥𝑝𝑙𝑜𝑡𝑎𝑐𝑖𝑜𝑛</m:t>
                        </m:r>
                      </m:den>
                    </m:f>
                    <m:r>
                      <a:rPr lang="es-ES" sz="9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𝐼𝑛𝑔𝑟𝑒𝑠𝑜𝑠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𝑒𝑥𝑝𝑙𝑜𝑡𝑎𝑐𝑖𝑜𝑛</m:t>
                        </m:r>
                      </m:num>
                      <m:den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𝐴𝑐𝑡𝑖𝑣𝑜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𝑇𝑜𝑡𝑎𝑙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𝑚𝑒𝑑𝑖𝑜</m:t>
                        </m:r>
                      </m:den>
                    </m:f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F5D5AA7-0B73-717A-D40D-185778D85226}"/>
                </a:ext>
              </a:extLst>
            </xdr:cNvPr>
            <xdr:cNvSpPr txBox="1"/>
          </xdr:nvSpPr>
          <xdr:spPr>
            <a:xfrm>
              <a:off x="12594355" y="19918069"/>
              <a:ext cx="6007157" cy="287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900" b="0" i="0">
                  <a:latin typeface="Cambria Math" panose="02040503050406030204" pitchFamily="18" charset="0"/>
                </a:rPr>
                <a:t>𝑅. 𝐺𝑙𝑜𝑏𝑎𝑙=𝐵𝐴𝐼𝑇/(𝐴𝑐𝑡𝑖𝑣𝑜 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𝑚𝑒𝑑𝑖𝑜 (𝐹𝑜𝑛𝑑𝑜𝑠 𝑃𝑟𝑜𝑝𝑖𝑜𝑠+𝐹𝑜𝑛𝑑𝑜𝑠 𝐴𝑗𝑒𝑛𝑜𝑠) )</a:t>
              </a:r>
              <a:r>
                <a:rPr lang="es-ES" sz="900" b="0" i="0">
                  <a:latin typeface="Cambria Math" panose="02040503050406030204" pitchFamily="18" charset="0"/>
                </a:rPr>
                <a:t>=𝐵𝐴𝐼𝑇/(𝐼𝑛𝑔𝑟𝑒𝑠𝑜𝑠 𝑒𝑥𝑝𝑙𝑜𝑡𝑎𝑐𝑖𝑜𝑛)∗(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𝐼𝑛𝑔𝑟𝑒𝑠𝑜𝑠 </a:t>
              </a:r>
              <a:r>
                <a:rPr lang="es-ES" sz="900" b="0" i="0">
                  <a:latin typeface="Cambria Math" panose="02040503050406030204" pitchFamily="18" charset="0"/>
                </a:rPr>
                <a:t>𝑒𝑥𝑝𝑙𝑜𝑡𝑎𝑐𝑖𝑜𝑛)/(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𝐴𝑐𝑡𝑖𝑣𝑜 𝑇𝑜𝑡𝑎𝑙 𝑚𝑒𝑑𝑖𝑜)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8</xdr:col>
      <xdr:colOff>83820</xdr:colOff>
      <xdr:row>26</xdr:row>
      <xdr:rowOff>175260</xdr:rowOff>
    </xdr:from>
    <xdr:ext cx="4365619" cy="2872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B33DB4C-57C2-4CE4-9967-6DE5AEDFD41F}"/>
                </a:ext>
              </a:extLst>
            </xdr:cNvPr>
            <xdr:cNvSpPr txBox="1"/>
          </xdr:nvSpPr>
          <xdr:spPr>
            <a:xfrm>
              <a:off x="12550140" y="14729460"/>
              <a:ext cx="4365619" cy="2872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9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𝐸𝑥𝑝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𝑅𝑁𝐸</m:t>
                        </m:r>
                      </m:num>
                      <m:den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𝑇𝑜𝑡𝑎𝑙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𝑚𝑒𝑑𝑖𝑜</m:t>
                        </m:r>
                        <m: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exp</m:t>
                        </m:r>
                        <m: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s-ES" sz="9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𝑅𝑁𝐸</m:t>
                        </m:r>
                      </m:num>
                      <m:den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𝐼𝑛𝑔𝑟𝑒𝑠𝑜𝑠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𝑒𝑥𝑝𝑙𝑜𝑡𝑎𝑐𝑖𝑜𝑛</m:t>
                        </m:r>
                      </m:den>
                    </m:f>
                    <m:r>
                      <a:rPr lang="es-ES" sz="9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𝐼𝑛𝑔𝑟𝑒𝑠𝑜𝑠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𝑒𝑥𝑝𝑙𝑜𝑡𝑎𝑐𝑖𝑜𝑛</m:t>
                        </m:r>
                      </m:num>
                      <m:den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𝐴𝑐𝑡𝑖𝑣𝑜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𝑇𝑜𝑡𝑎𝑙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𝑚𝑒𝑑𝑖𝑜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𝑒𝑥𝑝</m:t>
                        </m:r>
                      </m:den>
                    </m:f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B33DB4C-57C2-4CE4-9967-6DE5AEDFD41F}"/>
                </a:ext>
              </a:extLst>
            </xdr:cNvPr>
            <xdr:cNvSpPr txBox="1"/>
          </xdr:nvSpPr>
          <xdr:spPr>
            <a:xfrm>
              <a:off x="12550140" y="14729460"/>
              <a:ext cx="4365619" cy="2872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900" b="0" i="0">
                  <a:latin typeface="Cambria Math" panose="02040503050406030204" pitchFamily="18" charset="0"/>
                </a:rPr>
                <a:t>𝑅.𝐸 𝐸𝑥𝑝=𝑅𝑁𝐸/(𝐴𝑐𝑡𝑖𝑣𝑜 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𝑇𝑜𝑡𝑎𝑙 𝑚𝑒𝑑𝑖𝑜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exp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900" b="0" i="0">
                  <a:latin typeface="Cambria Math" panose="02040503050406030204" pitchFamily="18" charset="0"/>
                </a:rPr>
                <a:t>=𝑅𝑁𝐸/(𝐼𝑛𝑔𝑟𝑒𝑠𝑜𝑠 𝑒𝑥𝑝𝑙𝑜𝑡𝑎𝑐𝑖𝑜𝑛)∗(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𝐼𝑛𝑔𝑟𝑒𝑠𝑜𝑠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ES" sz="900" b="0" i="0">
                  <a:latin typeface="Cambria Math" panose="02040503050406030204" pitchFamily="18" charset="0"/>
                </a:rPr>
                <a:t>𝑒𝑥𝑝𝑙𝑜𝑡𝑎𝑐𝑖𝑜𝑛)/(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𝐴𝑐𝑡𝑖𝑣𝑜 𝑇𝑜𝑡𝑎𝑙 𝑚𝑒𝑑𝑖𝑜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𝑒𝑥𝑝)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8</xdr:col>
      <xdr:colOff>60960</xdr:colOff>
      <xdr:row>40</xdr:row>
      <xdr:rowOff>87630</xdr:rowOff>
    </xdr:from>
    <xdr:ext cx="27808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A64F298-D2FE-6E21-7EE9-4D1B77C25374}"/>
                </a:ext>
              </a:extLst>
            </xdr:cNvPr>
            <xdr:cNvSpPr txBox="1"/>
          </xdr:nvSpPr>
          <xdr:spPr>
            <a:xfrm>
              <a:off x="12527280" y="23183850"/>
              <a:ext cx="2780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𝐹𝑖𝑛𝑎𝑛𝑐𝑖𝑒𝑟𝑎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endChr m:val="]"/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𝐿</m:t>
                        </m:r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𝑅𝐸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</m:d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∗(1−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A64F298-D2FE-6E21-7EE9-4D1B77C25374}"/>
                </a:ext>
              </a:extLst>
            </xdr:cNvPr>
            <xdr:cNvSpPr txBox="1"/>
          </xdr:nvSpPr>
          <xdr:spPr>
            <a:xfrm>
              <a:off x="12527280" y="23183850"/>
              <a:ext cx="2780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𝑅.𝐹𝑖𝑛𝑎𝑛𝑐𝑖𝑒𝑟𝑎=(𝑅.𝐸+𝐿(𝑅𝐸−𝐾)]∗(1−𝑡)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8</xdr:col>
      <xdr:colOff>156777</xdr:colOff>
      <xdr:row>41</xdr:row>
      <xdr:rowOff>114219</xdr:rowOff>
    </xdr:from>
    <xdr:ext cx="3762761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D863610-BA48-4916-4C30-2DC916F8136F}"/>
                </a:ext>
              </a:extLst>
            </xdr:cNvPr>
            <xdr:cNvSpPr txBox="1"/>
          </xdr:nvSpPr>
          <xdr:spPr>
            <a:xfrm>
              <a:off x="12624394" y="25219687"/>
              <a:ext cx="3762761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𝐶𝑜𝑠𝑡𝑒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𝐸𝑛𝑑𝑢𝑒𝑑𝑎𝑚𝑖𝑒𝑛𝑡𝑜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𝑁𝑜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𝑃𝑟𝑜𝑝𝑖𝑎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𝐺𝑎𝑠𝑡𝑜𝑠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𝐹𝑖𝑛𝑎𝑛𝑐𝑖𝑒𝑟𝑜𝑠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𝐹𝑜𝑛𝑑𝑜𝑠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𝑎𝑗𝑒𝑛𝑜𝑠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D863610-BA48-4916-4C30-2DC916F8136F}"/>
                </a:ext>
              </a:extLst>
            </xdr:cNvPr>
            <xdr:cNvSpPr txBox="1"/>
          </xdr:nvSpPr>
          <xdr:spPr>
            <a:xfrm>
              <a:off x="12624394" y="25219687"/>
              <a:ext cx="3762761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𝐶𝑜𝑠𝑡𝑒 𝐸𝑛𝑑𝑢𝑒𝑑𝑎𝑚𝑖𝑒𝑛𝑡𝑜 𝑁𝑜 𝑃𝑟𝑜𝑝𝑖𝑎 (𝐾)=(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𝐺𝑎𝑠𝑡𝑜𝑠 </a:t>
              </a:r>
              <a:r>
                <a:rPr lang="es-ES" sz="1100" b="0" i="0">
                  <a:latin typeface="Cambria Math" panose="02040503050406030204" pitchFamily="18" charset="0"/>
                </a:rPr>
                <a:t>𝐹𝑖𝑛𝑎𝑛𝑐𝑖𝑒𝑟𝑜𝑠)/(𝐹𝑜𝑛𝑑𝑜𝑠 𝑎𝑗𝑒𝑛𝑜𝑠)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4465320</xdr:colOff>
      <xdr:row>4</xdr:row>
      <xdr:rowOff>262890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51E0983B-9788-6294-BD02-E694142E160F}"/>
            </a:ext>
          </a:extLst>
        </xdr:cNvPr>
        <xdr:cNvSpPr txBox="1"/>
      </xdr:nvSpPr>
      <xdr:spPr>
        <a:xfrm>
          <a:off x="16931640" y="21755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>
            <a:effectLst/>
          </a:endParaRPr>
        </a:p>
      </xdr:txBody>
    </xdr:sp>
    <xdr:clientData/>
  </xdr:oneCellAnchor>
  <xdr:oneCellAnchor>
    <xdr:from>
      <xdr:col>8</xdr:col>
      <xdr:colOff>525780</xdr:colOff>
      <xdr:row>2</xdr:row>
      <xdr:rowOff>102870</xdr:rowOff>
    </xdr:from>
    <xdr:ext cx="3159904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C5B9E37-B776-954A-5148-623DBC6FEE0E}"/>
                </a:ext>
              </a:extLst>
            </xdr:cNvPr>
            <xdr:cNvSpPr txBox="1"/>
          </xdr:nvSpPr>
          <xdr:spPr>
            <a:xfrm>
              <a:off x="12992100" y="864870"/>
              <a:ext cx="3159904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𝐸𝑛𝑣𝑒𝑗𝑒𝑐𝑖𝑚𝑖𝑒𝑛𝑡𝑜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𝐴𝑚𝑜𝑟𝑡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𝐴𝑐𝑐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𝐼𝑚𝑝𝑜𝑟𝑡𝑒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𝐵𝑟𝑢𝑡𝑜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𝐼𝑛𝑚𝑜𝑣𝑖𝑙𝑖𝑧𝑎𝑑𝑜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C5B9E37-B776-954A-5148-623DBC6FEE0E}"/>
                </a:ext>
              </a:extLst>
            </xdr:cNvPr>
            <xdr:cNvSpPr txBox="1"/>
          </xdr:nvSpPr>
          <xdr:spPr>
            <a:xfrm>
              <a:off x="12992100" y="864870"/>
              <a:ext cx="3159904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𝐺.𝐸𝑛𝑣𝑒𝑗𝑒𝑐𝑖𝑚𝑖𝑒𝑛𝑡𝑜=(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𝐴𝑚𝑜𝑟𝑡.</a:t>
              </a:r>
              <a:r>
                <a:rPr lang="es-ES" sz="1100" b="0" i="0">
                  <a:latin typeface="Cambria Math" panose="02040503050406030204" pitchFamily="18" charset="0"/>
                </a:rPr>
                <a:t>𝐴𝑐𝑐)/(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𝐼𝑚𝑝𝑜𝑟𝑡𝑒 𝐵𝑟𝑢𝑡𝑜 𝐼𝑛𝑚𝑜𝑣𝑖𝑙𝑖𝑧𝑎𝑑𝑜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678180</xdr:colOff>
      <xdr:row>3</xdr:row>
      <xdr:rowOff>160020</xdr:rowOff>
    </xdr:from>
    <xdr:ext cx="2669000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84C77B2-A890-4523-8C21-AEAB6D8ABA6E}"/>
                </a:ext>
              </a:extLst>
            </xdr:cNvPr>
            <xdr:cNvSpPr txBox="1"/>
          </xdr:nvSpPr>
          <xdr:spPr>
            <a:xfrm>
              <a:off x="13144500" y="1440180"/>
              <a:ext cx="2669000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𝑁𝑖𝑣𝑒𝑙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𝐸𝑛𝑑𝑒𝑢𝑑𝑎𝑚𝑖𝑒𝑛𝑡𝑜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𝑃𝑎𝑠𝑖𝑣𝑜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𝑇𝑜𝑡𝑎𝑙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𝑃𝑎𝑡𝑟𝑖𝑚𝑜𝑛𝑖𝑜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84C77B2-A890-4523-8C21-AEAB6D8ABA6E}"/>
                </a:ext>
              </a:extLst>
            </xdr:cNvPr>
            <xdr:cNvSpPr txBox="1"/>
          </xdr:nvSpPr>
          <xdr:spPr>
            <a:xfrm>
              <a:off x="13144500" y="1440180"/>
              <a:ext cx="2669000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𝑁𝑖𝑣𝑒𝑙 𝐸𝑛𝑑𝑒𝑢𝑑𝑎𝑚𝑖𝑒𝑛𝑡𝑜=(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𝑃𝑎𝑠𝑖𝑣𝑜 𝑇𝑜𝑡𝑎𝑙)/(</a:t>
              </a:r>
              <a:r>
                <a:rPr lang="es-ES" sz="1100" b="0" i="0">
                  <a:latin typeface="Cambria Math" panose="02040503050406030204" pitchFamily="18" charset="0"/>
                </a:rPr>
                <a:t>𝑃𝑎𝑡𝑟𝑖𝑚𝑜𝑛𝑖𝑜 𝑁𝑒𝑡𝑜)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624840</xdr:colOff>
      <xdr:row>4</xdr:row>
      <xdr:rowOff>26670</xdr:rowOff>
    </xdr:from>
    <xdr:ext cx="3357906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CE6DDA31-6A98-77A9-D1C6-3C146C311A9E}"/>
                </a:ext>
              </a:extLst>
            </xdr:cNvPr>
            <xdr:cNvSpPr txBox="1"/>
          </xdr:nvSpPr>
          <xdr:spPr>
            <a:xfrm>
              <a:off x="13091160" y="1939290"/>
              <a:ext cx="335790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𝐶𝑜𝑚𝑝𝑜𝑠𝑖𝑐𝑖𝑜𝑛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𝐸𝑛𝑑𝑒𝑢𝑑𝑎𝑚𝑖𝑒𝑛𝑡𝑜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𝑃𝑎𝑠𝑖𝑣𝑜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𝑁𝑜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𝐶𝑜𝑟𝑟𝑖𝑒𝑛𝑡𝑒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𝐶𝑜𝑟𝑟𝑖𝑒𝑛𝑡𝑒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CE6DDA31-6A98-77A9-D1C6-3C146C311A9E}"/>
                </a:ext>
              </a:extLst>
            </xdr:cNvPr>
            <xdr:cNvSpPr txBox="1"/>
          </xdr:nvSpPr>
          <xdr:spPr>
            <a:xfrm>
              <a:off x="13091160" y="1939290"/>
              <a:ext cx="335790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𝐶𝑜𝑚𝑝𝑜𝑠𝑖𝑐𝑖𝑜𝑛 𝐸𝑛𝑑𝑒𝑢𝑑𝑎𝑚𝑖𝑒𝑛𝑡𝑜=(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𝑃𝑎𝑠𝑖𝑣𝑜 𝑁𝑜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ES" sz="1100" b="0" i="0">
                  <a:latin typeface="Cambria Math" panose="02040503050406030204" pitchFamily="18" charset="0"/>
                </a:rPr>
                <a:t>𝐶𝑜𝑟𝑟𝑖𝑒𝑛𝑡𝑒)/(𝑃𝑎𝑠𝑖𝑣𝑜 𝐶𝑜𝑟𝑟𝑖𝑒𝑛𝑡𝑒)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1318260</xdr:colOff>
      <xdr:row>5</xdr:row>
      <xdr:rowOff>34290</xdr:rowOff>
    </xdr:from>
    <xdr:ext cx="1593450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44F34C2F-D626-7F97-927A-A297A4AC2229}"/>
                </a:ext>
              </a:extLst>
            </xdr:cNvPr>
            <xdr:cNvSpPr txBox="1"/>
          </xdr:nvSpPr>
          <xdr:spPr>
            <a:xfrm>
              <a:off x="13784580" y="2327910"/>
              <a:ext cx="1593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𝐺𝑎𝑟𝑎𝑛𝑡𝑖𝑎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𝐴𝑐𝑡𝑖𝑣𝑜𝑇𝑜𝑡𝑎𝑙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44F34C2F-D626-7F97-927A-A297A4AC2229}"/>
                </a:ext>
              </a:extLst>
            </xdr:cNvPr>
            <xdr:cNvSpPr txBox="1"/>
          </xdr:nvSpPr>
          <xdr:spPr>
            <a:xfrm>
              <a:off x="13784580" y="2327910"/>
              <a:ext cx="1593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𝐺𝑎𝑟𝑎𝑛𝑡𝑖𝑎=𝐴𝑐𝑡𝑖𝑣𝑜𝑇𝑜𝑡𝑎𝑙/(𝑃.𝑇𝑜𝑡𝑎𝑙)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1104900</xdr:colOff>
      <xdr:row>6</xdr:row>
      <xdr:rowOff>22860</xdr:rowOff>
    </xdr:from>
    <xdr:ext cx="1933543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251C9E57-34C2-400C-883F-A3907C3361FC}"/>
                </a:ext>
              </a:extLst>
            </xdr:cNvPr>
            <xdr:cNvSpPr txBox="1"/>
          </xdr:nvSpPr>
          <xdr:spPr>
            <a:xfrm>
              <a:off x="13571220" y="2697480"/>
              <a:ext cx="1933543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𝑆𝑜𝑙𝑣𝑒𝑛𝑐𝑖𝑎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𝐶𝑜𝑟𝑟𝑖𝑒𝑛𝑡𝑒𝑙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𝐶𝑜𝑟𝑟𝑖𝑒𝑛𝑡𝑒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251C9E57-34C2-400C-883F-A3907C3361FC}"/>
                </a:ext>
              </a:extLst>
            </xdr:cNvPr>
            <xdr:cNvSpPr txBox="1"/>
          </xdr:nvSpPr>
          <xdr:spPr>
            <a:xfrm>
              <a:off x="13571220" y="2697480"/>
              <a:ext cx="1933543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𝑆𝑜𝑙𝑣𝑒𝑛𝑐𝑖𝑎=(𝐴𝑐𝑡𝑖𝑣𝑜 𝐶𝑜𝑟𝑟𝑖𝑒𝑛𝑡𝑒𝑙)/(𝑃.𝐶𝑜𝑟𝑟𝑖𝑒𝑛𝑡𝑒)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7620</xdr:colOff>
      <xdr:row>7</xdr:row>
      <xdr:rowOff>140970</xdr:rowOff>
    </xdr:from>
    <xdr:ext cx="4741876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F54CBEB4-401A-A3CA-3366-0DE8BBAF94BE}"/>
                </a:ext>
              </a:extLst>
            </xdr:cNvPr>
            <xdr:cNvSpPr txBox="1"/>
          </xdr:nvSpPr>
          <xdr:spPr>
            <a:xfrm>
              <a:off x="12473940" y="3196590"/>
              <a:ext cx="4741876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𝐹𝑜𝑛𝑑𝑜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𝑀𝑎𝑛𝑖𝑜𝑏𝑟𝑎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𝐶𝑜𝑟𝑟𝑖𝑒𝑛𝑡𝑒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𝐶𝑜𝑟𝑟𝑖𝑒𝑛𝑡𝑒</m:t>
                    </m:r>
                  </m:oMath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𝐹𝑜𝑛𝑑𝑜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𝑀𝑎𝑛𝑖𝑜𝑏𝑟𝑎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𝑃𝑎𝑡𝑟𝑖𝑚𝑜𝑛𝑖𝑜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𝐶𝑜𝑟𝑟𝑖𝑒𝑛𝑡𝑒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𝑁𝑜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𝐶𝑜𝑟𝑟𝑖𝑒𝑛𝑡𝑒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F54CBEB4-401A-A3CA-3366-0DE8BBAF94BE}"/>
                </a:ext>
              </a:extLst>
            </xdr:cNvPr>
            <xdr:cNvSpPr txBox="1"/>
          </xdr:nvSpPr>
          <xdr:spPr>
            <a:xfrm>
              <a:off x="12473940" y="3196590"/>
              <a:ext cx="4741876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𝐹𝑜𝑛𝑑𝑜 𝑀𝑎𝑛𝑖𝑜𝑏𝑟𝑎=𝐴. 𝐶𝑜𝑟𝑟𝑖𝑒𝑛𝑡𝑒 −𝑃. 𝐶𝑜𝑟𝑟𝑖𝑒𝑛𝑡𝑒</a:t>
              </a:r>
              <a:br>
                <a:rPr lang="es-ES" sz="1100" b="0" i="1">
                  <a:latin typeface="Cambria Math" panose="02040503050406030204" pitchFamily="18" charset="0"/>
                </a:rPr>
              </a:b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𝐹𝑜𝑛𝑑𝑜 𝑀𝑎𝑛𝑖𝑜𝑏𝑟𝑎=</a:t>
              </a:r>
              <a:r>
                <a:rPr lang="es-ES" sz="1100" b="0" i="0">
                  <a:latin typeface="Cambria Math" panose="02040503050406030204" pitchFamily="18" charset="0"/>
                </a:rPr>
                <a:t>(𝑃𝑎𝑡𝑟𝑖𝑚𝑜𝑛𝑖𝑜 𝑁𝑒𝑡𝑜+𝑃.𝑁.𝐶𝑜𝑟𝑟𝑖𝑒𝑛𝑡𝑒)−𝐴. 𝑁𝑜. 𝐶𝑜𝑟𝑟𝑖𝑒𝑛𝑡𝑒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182880</xdr:colOff>
      <xdr:row>8</xdr:row>
      <xdr:rowOff>110490</xdr:rowOff>
    </xdr:from>
    <xdr:ext cx="4398127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0F7E96E-4AF5-B28F-F44E-800F08957475}"/>
                </a:ext>
              </a:extLst>
            </xdr:cNvPr>
            <xdr:cNvSpPr txBox="1"/>
          </xdr:nvSpPr>
          <xdr:spPr>
            <a:xfrm>
              <a:off x="12649200" y="3760470"/>
              <a:ext cx="4398127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𝑁𝑂𝐹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𝐷𝑒𝑢𝑑𝑜𝑟𝑒𝑠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𝐶𝑜𝑚𝑒𝑟𝑐𝑖𝑎𝑙𝑒𝑠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𝐸𝑥𝑖𝑠𝑡𝑒𝑛𝑐𝑖𝑎𝑠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𝑃𝑒𝑟𝑖𝑜𝑑𝑖𝑓𝑖𝑐𝑎𝑐𝑖𝑜𝑛𝑒𝑠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−</m:t>
                    </m:r>
                  </m:oMath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𝐴𝑐𝑟𝑒𝑒𝑑𝑜𝑟𝑒𝑠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𝑐𝑜𝑚𝑒𝑟𝑐𝑖𝑎𝑙𝑒𝑠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𝑃𝑒𝑟𝑖𝑜𝑑𝑖𝑓𝑖𝑐𝑎𝑐𝑖𝑜𝑛𝑒𝑠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𝑃𝑟𝑜𝑣𝑖𝑠𝑖𝑜𝑛𝑒𝑠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0F7E96E-4AF5-B28F-F44E-800F08957475}"/>
                </a:ext>
              </a:extLst>
            </xdr:cNvPr>
            <xdr:cNvSpPr txBox="1"/>
          </xdr:nvSpPr>
          <xdr:spPr>
            <a:xfrm>
              <a:off x="12649200" y="3760470"/>
              <a:ext cx="4398127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𝑁𝑂𝐹=(𝐷𝑒𝑢𝑑𝑜𝑟𝑒𝑠 𝐶𝑜𝑚𝑒𝑟𝑐𝑖𝑎𝑙𝑒𝑠+𝐸𝑥𝑖𝑠𝑡𝑒𝑛𝑐𝑖𝑎𝑠+𝑃𝑒𝑟𝑖𝑜𝑑𝑖𝑓𝑖𝑐𝑎𝑐𝑖𝑜𝑛𝑒𝑠)−</a:t>
              </a:r>
              <a:br>
                <a:rPr lang="es-ES" sz="1100" b="0" i="1">
                  <a:latin typeface="Cambria Math" panose="02040503050406030204" pitchFamily="18" charset="0"/>
                </a:rPr>
              </a:br>
              <a:r>
                <a:rPr lang="es-ES" sz="1100" b="0" i="0">
                  <a:latin typeface="Cambria Math" panose="02040503050406030204" pitchFamily="18" charset="0"/>
                </a:rPr>
                <a:t>(𝐴𝑐𝑟𝑒𝑒𝑑𝑜𝑟𝑒𝑠 𝑐𝑜𝑚𝑒𝑟𝑐𝑖𝑎𝑙𝑒𝑠+𝑃𝑒𝑟𝑖𝑜𝑑𝑖𝑓𝑖𝑐𝑎𝑐𝑖𝑜𝑛𝑒𝑠+𝑃𝑟𝑜𝑣𝑖𝑠𝑖𝑜𝑛𝑒𝑠 𝑎 𝑐/𝑝)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91440</xdr:colOff>
      <xdr:row>9</xdr:row>
      <xdr:rowOff>80010</xdr:rowOff>
    </xdr:from>
    <xdr:ext cx="4249753" cy="516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B39373BF-44F2-5860-5D86-3B19A5447826}"/>
                </a:ext>
              </a:extLst>
            </xdr:cNvPr>
            <xdr:cNvSpPr txBox="1"/>
          </xdr:nvSpPr>
          <xdr:spPr>
            <a:xfrm>
              <a:off x="12557760" y="4271010"/>
              <a:ext cx="4249753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𝑅𝐿𝑁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𝐹𝑜𝑛𝑑𝑜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𝑀𝑎𝑛𝑖𝑜𝑏𝑟𝑎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𝑁𝑂𝐹</m:t>
                    </m:r>
                  </m:oMath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𝑅𝐿𝑁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𝐶𝑜𝑟𝑟𝑖𝑒𝑛𝑡𝑒𝑠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𝐹𝑖𝑛𝑎𝑛𝑐𝑖𝑎𝑐𝑖𝑜𝑛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𝐶𝑜𝑟𝑟𝑖𝑒𝑛𝑡𝑒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𝑁𝑜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𝐶𝑜𝑚𝑒𝑟𝑐𝑖𝑎𝑙</m:t>
                    </m:r>
                  </m:oMath>
                </m:oMathPara>
              </a14:m>
              <a:endParaRPr lang="es-ES" sz="1100" b="0"/>
            </a:p>
            <a:p>
              <a:endParaRPr lang="es-ES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B39373BF-44F2-5860-5D86-3B19A5447826}"/>
                </a:ext>
              </a:extLst>
            </xdr:cNvPr>
            <xdr:cNvSpPr txBox="1"/>
          </xdr:nvSpPr>
          <xdr:spPr>
            <a:xfrm>
              <a:off x="12557760" y="4271010"/>
              <a:ext cx="4249753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𝑅𝐿𝑁=𝐹𝑜𝑛𝑑𝑜 𝑀𝑎𝑛𝑖𝑜𝑏𝑟𝑎 −𝑁𝑂𝐹</a:t>
              </a:r>
              <a:br>
                <a:rPr lang="es-ES" sz="1100" b="0"/>
              </a:br>
              <a:r>
                <a:rPr lang="es-ES" sz="1100" b="0" i="0">
                  <a:latin typeface="Cambria Math" panose="02040503050406030204" pitchFamily="18" charset="0"/>
                </a:rPr>
                <a:t>𝑅𝐿𝑁=𝐴. 𝐶𝑜𝑟𝑟𝑖𝑒𝑛𝑡𝑒𝑠 𝑑𝑒 𝐹𝑖𝑛𝑎𝑛𝑐𝑖𝑎𝑐𝑖𝑜𝑛 −𝑃. 𝐶𝑜𝑟𝑟𝑖𝑒𝑛𝑡𝑒 𝑁𝑜 𝐶𝑜𝑚𝑒𝑟𝑐𝑖𝑎𝑙</a:t>
              </a:r>
              <a:endParaRPr lang="es-ES" sz="1100" b="0"/>
            </a:p>
            <a:p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10</xdr:row>
      <xdr:rowOff>293370</xdr:rowOff>
    </xdr:from>
    <xdr:ext cx="4814075" cy="281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C0C9C80-5B34-8C0E-D1A0-3F4550BA0751}"/>
                </a:ext>
              </a:extLst>
            </xdr:cNvPr>
            <xdr:cNvSpPr txBox="1"/>
          </xdr:nvSpPr>
          <xdr:spPr>
            <a:xfrm>
              <a:off x="12580620" y="5010150"/>
              <a:ext cx="4814075" cy="281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900" b="0" i="1">
                        <a:latin typeface="Cambria Math" panose="02040503050406030204" pitchFamily="18" charset="0"/>
                      </a:rPr>
                      <m:t>𝐹𝐺𝑂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𝑀𝑒𝑡𝑜𝑑𝑜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𝐷𝑖𝑟𝑒𝑐𝑡𝑜</m:t>
                        </m:r>
                      </m:e>
                    </m:d>
                    <m:r>
                      <a:rPr lang="es-ES" sz="9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𝐼𝑛𝑔𝑟𝑒𝑠𝑜𝑠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𝑐𝑜𝑏𝑟𝑜</m:t>
                        </m:r>
                      </m:e>
                    </m:d>
                    <m:r>
                      <a:rPr lang="es-ES" sz="9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𝐺𝑎𝑠𝑡𝑜𝑠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𝑐𝑜𝑏𝑟𝑜</m:t>
                        </m:r>
                      </m:e>
                    </m:d>
                    <m:r>
                      <a:rPr lang="es-ES" sz="900" b="0" i="1">
                        <a:latin typeface="Cambria Math" panose="02040503050406030204" pitchFamily="18" charset="0"/>
                      </a:rPr>
                      <m:t>.</m:t>
                    </m:r>
                  </m:oMath>
                  <m:oMath xmlns:m="http://schemas.openxmlformats.org/officeDocument/2006/math">
                    <m:r>
                      <a:rPr lang="es-ES" sz="900" b="0" i="1">
                        <a:latin typeface="Cambria Math" panose="02040503050406030204" pitchFamily="18" charset="0"/>
                      </a:rPr>
                      <m:t>𝐹𝐺𝑂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𝑀𝑒𝑡𝑜𝑑𝑜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𝐼𝑛𝑑𝑖𝑟𝑒𝑐𝑡𝑜</m:t>
                        </m:r>
                      </m:e>
                    </m:d>
                    <m:r>
                      <a:rPr lang="es-ES" sz="9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𝑅𝑒𝑠𝑢𝑙𝑡𝑎𝑑𝑜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𝐸𝑗𝑒𝑟𝑐𝑖𝑐𝑖𝑜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−[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𝐼𝑛𝑔𝑟𝑒𝑠𝑜𝑠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𝑛𝑜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𝑐𝑜𝑏𝑟𝑜</m:t>
                        </m:r>
                      </m:e>
                    </m:d>
                    <m:r>
                      <a:rPr lang="es-ES" sz="9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𝐺𝑎𝑠𝑡𝑜𝑠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𝑛𝑜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𝑝𝑎𝑔𝑜𝑠</m:t>
                        </m:r>
                      </m:e>
                    </m:d>
                    <m:r>
                      <a:rPr lang="es-ES" sz="9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ES" sz="9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C0C9C80-5B34-8C0E-D1A0-3F4550BA0751}"/>
                </a:ext>
              </a:extLst>
            </xdr:cNvPr>
            <xdr:cNvSpPr txBox="1"/>
          </xdr:nvSpPr>
          <xdr:spPr>
            <a:xfrm>
              <a:off x="12580620" y="5010150"/>
              <a:ext cx="4814075" cy="281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900" b="0" i="0">
                  <a:latin typeface="Cambria Math" panose="02040503050406030204" pitchFamily="18" charset="0"/>
                </a:rPr>
                <a:t>𝐹𝐺𝑂 (𝑀𝑒𝑡𝑜𝑑𝑜 𝐷𝑖𝑟𝑒𝑐𝑡𝑜)=𝐼𝑛𝑔𝑟𝑒𝑠𝑜𝑠 (𝑐𝑜𝑏𝑟𝑜)−𝐺𝑎𝑠𝑡𝑜𝑠 (𝑐𝑜𝑏𝑟𝑜).</a:t>
              </a:r>
              <a:br>
                <a:rPr lang="es-ES" sz="900" b="0"/>
              </a:br>
              <a:r>
                <a:rPr lang="es-ES" sz="900" b="0" i="0">
                  <a:latin typeface="Cambria Math" panose="02040503050406030204" pitchFamily="18" charset="0"/>
                </a:rPr>
                <a:t>𝐹𝐺𝑂 (𝑀𝑒𝑡𝑜𝑑𝑜 𝐼𝑛𝑑𝑖𝑟𝑒𝑐𝑡𝑜)=𝑅𝑒𝑠𝑢𝑙𝑡𝑎𝑑𝑜 𝐸𝑗𝑒𝑟𝑐𝑖𝑐𝑖𝑜 −[𝐼𝑛𝑔𝑟𝑒𝑠𝑜𝑠 (𝑛𝑜 𝑐𝑜𝑏𝑟𝑜)+𝐺𝑎𝑠𝑡𝑜𝑠 (𝑛𝑜 𝑝𝑎𝑔𝑜𝑠)]</a:t>
              </a:r>
              <a:endParaRPr lang="es-ES" sz="900"/>
            </a:p>
          </xdr:txBody>
        </xdr:sp>
      </mc:Fallback>
    </mc:AlternateContent>
    <xdr:clientData/>
  </xdr:oneCellAnchor>
  <xdr:oneCellAnchor>
    <xdr:from>
      <xdr:col>8</xdr:col>
      <xdr:colOff>632460</xdr:colOff>
      <xdr:row>13</xdr:row>
      <xdr:rowOff>217170</xdr:rowOff>
    </xdr:from>
    <xdr:ext cx="3209340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CF9993FF-F181-6854-41A3-825783690B8E}"/>
                </a:ext>
              </a:extLst>
            </xdr:cNvPr>
            <xdr:cNvSpPr txBox="1"/>
          </xdr:nvSpPr>
          <xdr:spPr>
            <a:xfrm>
              <a:off x="13098780" y="6892290"/>
              <a:ext cx="3209340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𝐶𝑎𝑝𝑎𝑐𝑖𝑑𝑎𝑑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𝑑𝑒𝑣𝑜𝑙𝑢𝑐𝑖𝑜𝑛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𝑑𝑒𝑢𝑑𝑎𝑠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=⇒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𝐹𝐺𝑂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𝐷𝑒𝑢𝑑𝑎𝑠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CF9993FF-F181-6854-41A3-825783690B8E}"/>
                </a:ext>
              </a:extLst>
            </xdr:cNvPr>
            <xdr:cNvSpPr txBox="1"/>
          </xdr:nvSpPr>
          <xdr:spPr>
            <a:xfrm>
              <a:off x="13098780" y="6892290"/>
              <a:ext cx="3209340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𝐶𝑎𝑝𝑎𝑐𝑖𝑑𝑎𝑑 𝑑𝑒𝑣𝑜𝑙𝑢𝑐𝑖𝑜𝑛 𝑑𝑒𝑢𝑑𝑎𝑠  𝑐/𝑝=⇒𝐹𝐺𝑂/(𝐷𝑒𝑢𝑑𝑎𝑠 𝑎 𝑐/𝑝)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746760</xdr:colOff>
      <xdr:row>15</xdr:row>
      <xdr:rowOff>76200</xdr:rowOff>
    </xdr:from>
    <xdr:ext cx="3209340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A12DF2A0-03A2-4F72-A71F-39A515A8DA00}"/>
                </a:ext>
              </a:extLst>
            </xdr:cNvPr>
            <xdr:cNvSpPr txBox="1"/>
          </xdr:nvSpPr>
          <xdr:spPr>
            <a:xfrm>
              <a:off x="13213080" y="8077200"/>
              <a:ext cx="3209340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𝐶𝑎𝑝𝑎𝑐𝑖𝑑𝑎𝑑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𝑑𝑒𝑣𝑜𝑙𝑢𝑐𝑖𝑜𝑛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𝑑𝑒𝑢𝑑𝑎𝑠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=⇒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𝐹𝐸𝐴𝐸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𝐷𝑒𝑢𝑑𝑎𝑠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A12DF2A0-03A2-4F72-A71F-39A515A8DA00}"/>
                </a:ext>
              </a:extLst>
            </xdr:cNvPr>
            <xdr:cNvSpPr txBox="1"/>
          </xdr:nvSpPr>
          <xdr:spPr>
            <a:xfrm>
              <a:off x="13213080" y="8077200"/>
              <a:ext cx="3209340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𝐶𝑎𝑝𝑎𝑐𝑖𝑑𝑎𝑑 𝑑𝑒𝑣𝑜𝑙𝑢𝑐𝑖𝑜𝑛 𝑑𝑒𝑢𝑑𝑎𝑠  𝑐/𝑝=⇒𝐹𝐸𝐴𝐸/(𝐷𝑒𝑢𝑑𝑎𝑠 𝑎 𝑐/𝑝)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7</xdr:col>
      <xdr:colOff>4328160</xdr:colOff>
      <xdr:row>16</xdr:row>
      <xdr:rowOff>53340</xdr:rowOff>
    </xdr:from>
    <xdr:ext cx="4828886" cy="4898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61DE88DD-8634-4935-935B-CB1F4CEC28A9}"/>
                </a:ext>
              </a:extLst>
            </xdr:cNvPr>
            <xdr:cNvSpPr txBox="1"/>
          </xdr:nvSpPr>
          <xdr:spPr>
            <a:xfrm>
              <a:off x="12458700" y="8595360"/>
              <a:ext cx="4828886" cy="489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𝐶𝑎𝑝𝑎𝑐𝑖𝑑𝑎𝑑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𝑑𝑒𝑣𝑜𝑙𝑢𝑐𝑖𝑜𝑛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𝑑𝑒𝑢𝑑𝑎𝑠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=⇒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𝐹𝐺𝑂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𝐷𝑒𝑢𝑑𝑎𝑠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=⇒(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𝐷𝑒𝑢𝑑𝑎𝑠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61DE88DD-8634-4935-935B-CB1F4CEC28A9}"/>
                </a:ext>
              </a:extLst>
            </xdr:cNvPr>
            <xdr:cNvSpPr txBox="1"/>
          </xdr:nvSpPr>
          <xdr:spPr>
            <a:xfrm>
              <a:off x="12458700" y="8595360"/>
              <a:ext cx="4828886" cy="489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𝐶𝑎𝑝𝑎𝑐𝑖𝑑𝑎𝑑 𝑑𝑒𝑣𝑜𝑙𝑢𝑐𝑖𝑜𝑛 𝑑𝑒𝑢𝑑𝑎𝑠  𝑙/𝑝=⇒𝐹𝐺𝑂/(𝐷𝑒𝑢𝑑𝑎𝑠 𝑎 𝑙/𝑝=⇒(𝑃.𝑁.𝐶+𝐷𝑒𝑢𝑑𝑎𝑠 𝑎 𝑐/𝑝))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30480</xdr:colOff>
      <xdr:row>18</xdr:row>
      <xdr:rowOff>114300</xdr:rowOff>
    </xdr:from>
    <xdr:ext cx="4828886" cy="4898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97D76FD-EEB9-4AD1-AA0B-8EAF8EBD94EE}"/>
                </a:ext>
              </a:extLst>
            </xdr:cNvPr>
            <xdr:cNvSpPr txBox="1"/>
          </xdr:nvSpPr>
          <xdr:spPr>
            <a:xfrm>
              <a:off x="12496800" y="10035540"/>
              <a:ext cx="4828886" cy="489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𝐶𝑎𝑝𝑎𝑐𝑖𝑑𝑎𝑑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𝑑𝑒𝑣𝑜𝑙𝑢𝑐𝑖𝑜𝑛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𝑑𝑒𝑢𝑑𝑎𝑠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=⇒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𝐹𝐸𝐴𝐸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𝐷𝑒𝑢𝑑𝑎𝑠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=⇒(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𝐷𝑒𝑢𝑑𝑎𝑠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97D76FD-EEB9-4AD1-AA0B-8EAF8EBD94EE}"/>
                </a:ext>
              </a:extLst>
            </xdr:cNvPr>
            <xdr:cNvSpPr txBox="1"/>
          </xdr:nvSpPr>
          <xdr:spPr>
            <a:xfrm>
              <a:off x="12496800" y="10035540"/>
              <a:ext cx="4828886" cy="489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𝐶𝑎𝑝𝑎𝑐𝑖𝑑𝑎𝑑 𝑑𝑒𝑣𝑜𝑙𝑢𝑐𝑖𝑜𝑛 𝑑𝑒𝑢𝑑𝑎𝑠  𝑙/𝑝=⇒𝐹𝐸𝐴𝐸/(𝐷𝑒𝑢𝑑𝑎𝑠 𝑎 𝑙/𝑝=⇒(𝑃.𝑁.𝐶+𝐷𝑒𝑢𝑑𝑎𝑠 𝑎 𝑐/𝑝))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518160</xdr:colOff>
      <xdr:row>19</xdr:row>
      <xdr:rowOff>133350</xdr:rowOff>
    </xdr:from>
    <xdr:ext cx="3768788" cy="3480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EF887D53-60BE-9446-D7A1-E853559AFE06}"/>
                </a:ext>
              </a:extLst>
            </xdr:cNvPr>
            <xdr:cNvSpPr txBox="1"/>
          </xdr:nvSpPr>
          <xdr:spPr>
            <a:xfrm>
              <a:off x="12984480" y="10709910"/>
              <a:ext cx="3768788" cy="348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𝑇𝑖𝑒𝑚𝑝𝑜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𝐸𝑣𝑜𝑙𝑢𝑐𝑖𝑜𝑛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𝐹𝐺𝑂</m:t>
                            </m:r>
                          </m:e>
                        </m: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𝐶𝑎𝑝𝑎𝑐𝑖𝑑𝑎𝑑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𝑑𝑒𝑣𝑜𝑙𝑢𝑐𝑖𝑜𝑛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𝑙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EF887D53-60BE-9446-D7A1-E853559AFE06}"/>
                </a:ext>
              </a:extLst>
            </xdr:cNvPr>
            <xdr:cNvSpPr txBox="1"/>
          </xdr:nvSpPr>
          <xdr:spPr>
            <a:xfrm>
              <a:off x="12984480" y="10709910"/>
              <a:ext cx="3768788" cy="348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𝑇𝑖𝑒𝑚𝑝𝑜 𝑑𝑒 𝐸𝑣𝑜𝑙𝑢𝑐𝑖𝑜𝑛⇒1/((𝐹𝐺𝑂)𝐶𝑎𝑝𝑎𝑐𝑖𝑑𝑎𝑑 𝑑𝑒 𝑑𝑒𝑣𝑜𝑙𝑢𝑐𝑖𝑜𝑛 𝑙/𝑝)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350520</xdr:colOff>
      <xdr:row>20</xdr:row>
      <xdr:rowOff>76200</xdr:rowOff>
    </xdr:from>
    <xdr:ext cx="3850798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D911C1DD-6BC4-414B-B336-45C3A7018361}"/>
                </a:ext>
              </a:extLst>
            </xdr:cNvPr>
            <xdr:cNvSpPr txBox="1"/>
          </xdr:nvSpPr>
          <xdr:spPr>
            <a:xfrm>
              <a:off x="12816840" y="11262360"/>
              <a:ext cx="3850798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𝑇𝑖𝑒𝑚𝑝𝑜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𝐸𝑣𝑜𝑙𝑢𝑐𝑖𝑜𝑛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𝐹𝐸𝐴𝐸</m:t>
                            </m:r>
                          </m:e>
                        </m: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𝐶𝑎𝑝𝑎𝑐𝑖𝑑𝑎𝑑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𝑑𝑒𝑣𝑜𝑙𝑢𝑐𝑖𝑜𝑛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𝑙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D911C1DD-6BC4-414B-B336-45C3A7018361}"/>
                </a:ext>
              </a:extLst>
            </xdr:cNvPr>
            <xdr:cNvSpPr txBox="1"/>
          </xdr:nvSpPr>
          <xdr:spPr>
            <a:xfrm>
              <a:off x="12816840" y="11262360"/>
              <a:ext cx="3850798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𝑇𝑖𝑒𝑚𝑝𝑜 𝑑𝑒 𝐸𝑣𝑜𝑙𝑢𝑐𝑖𝑜𝑛⇒1/((𝐹𝐸𝐴𝐸)𝐶𝑎𝑝𝑎𝑐𝑖𝑑𝑎𝑑 𝑑𝑒 𝑑𝑒𝑣𝑜𝑙𝑢𝑐𝑖𝑜𝑛 𝑙/𝑝)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160020</xdr:colOff>
      <xdr:row>36</xdr:row>
      <xdr:rowOff>247650</xdr:rowOff>
    </xdr:from>
    <xdr:ext cx="32217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287C77D1-0BAA-14AC-88DB-874F025F5359}"/>
                </a:ext>
              </a:extLst>
            </xdr:cNvPr>
            <xdr:cNvSpPr txBox="1"/>
          </xdr:nvSpPr>
          <xdr:spPr>
            <a:xfrm>
              <a:off x="12626340" y="21248370"/>
              <a:ext cx="32217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ES" sz="1100" b="0" i="1">
                      <a:latin typeface="Cambria Math" panose="02040503050406030204" pitchFamily="18" charset="0"/>
                    </a:rPr>
                    <m:t>𝐵𝐴𝐼𝑇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=⇒</m:t>
                  </m:r>
                </m:oMath>
              </a14:m>
              <a:r>
                <a:rPr lang="es-ES" sz="1100"/>
                <a:t> </a:t>
              </a:r>
              <a14:m>
                <m:oMath xmlns:m="http://schemas.openxmlformats.org/officeDocument/2006/math">
                  <m:r>
                    <a:rPr lang="es-E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𝑅</m:t>
                  </m:r>
                  <m:r>
                    <a:rPr lang="es-E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 </m:t>
                  </m:r>
                  <m:r>
                    <a:rPr lang="es-E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𝐴𝑛𝑡𝑒𝑠</m:t>
                  </m:r>
                  <m:r>
                    <a:rPr lang="es-E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E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𝑑𝑒</m:t>
                  </m:r>
                  <m:r>
                    <a:rPr lang="es-E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E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𝐼𝑚𝑝𝑢𝑒𝑠𝑡𝑜𝑠</m:t>
                  </m:r>
                </m:oMath>
              </a14:m>
              <a:r>
                <a:rPr lang="es-ES" sz="1100"/>
                <a:t> + Gastos Financieros</a:t>
              </a:r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287C77D1-0BAA-14AC-88DB-874F025F5359}"/>
                </a:ext>
              </a:extLst>
            </xdr:cNvPr>
            <xdr:cNvSpPr txBox="1"/>
          </xdr:nvSpPr>
          <xdr:spPr>
            <a:xfrm>
              <a:off x="12626340" y="21248370"/>
              <a:ext cx="32217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𝐵𝐴𝐼𝑇=⇒</a:t>
              </a:r>
              <a:r>
                <a:rPr lang="es-ES" sz="1100"/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𝑅. 𝐴𝑛𝑡𝑒𝑠 𝑑𝑒 𝐼𝑚𝑝𝑢𝑒𝑠𝑡𝑜𝑠</a:t>
              </a:r>
              <a:r>
                <a:rPr lang="es-ES" sz="1100"/>
                <a:t> + Gastos Financieros</a:t>
              </a:r>
            </a:p>
          </xdr:txBody>
        </xdr:sp>
      </mc:Fallback>
    </mc:AlternateContent>
    <xdr:clientData/>
  </xdr:oneCellAnchor>
  <xdr:oneCellAnchor>
    <xdr:from>
      <xdr:col>8</xdr:col>
      <xdr:colOff>1013460</xdr:colOff>
      <xdr:row>31</xdr:row>
      <xdr:rowOff>118110</xdr:rowOff>
    </xdr:from>
    <xdr:ext cx="2369495" cy="346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E2545110-2A4F-7191-DC8B-3B20909E4D2F}"/>
                </a:ext>
              </a:extLst>
            </xdr:cNvPr>
            <xdr:cNvSpPr txBox="1"/>
          </xdr:nvSpPr>
          <xdr:spPr>
            <a:xfrm>
              <a:off x="13479780" y="17697450"/>
              <a:ext cx="2369495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𝑀𝑎𝑟𝑔𝑒𝑛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𝐸𝑥𝑝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𝑅𝑁𝐸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𝐼𝑛𝑔𝑟𝑒𝑠𝑜𝑠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𝑒𝑥𝑝𝑙𝑜𝑡𝑎𝑐𝑖𝑜𝑛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E2545110-2A4F-7191-DC8B-3B20909E4D2F}"/>
                </a:ext>
              </a:extLst>
            </xdr:cNvPr>
            <xdr:cNvSpPr txBox="1"/>
          </xdr:nvSpPr>
          <xdr:spPr>
            <a:xfrm>
              <a:off x="13479780" y="17697450"/>
              <a:ext cx="2369495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𝑀𝑎𝑟𝑔𝑒𝑛 𝐸𝑥𝑝=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𝑅𝑁𝐸/(𝐼𝑛𝑔𝑟𝑒𝑠𝑜𝑠 𝑒𝑥𝑝𝑙𝑜𝑡𝑎𝑐𝑖𝑜𝑛)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883920</xdr:colOff>
      <xdr:row>32</xdr:row>
      <xdr:rowOff>163830</xdr:rowOff>
    </xdr:from>
    <xdr:ext cx="2552045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A74E7C66-742D-7A35-A7DE-ECF9D1788945}"/>
                </a:ext>
              </a:extLst>
            </xdr:cNvPr>
            <xdr:cNvSpPr txBox="1"/>
          </xdr:nvSpPr>
          <xdr:spPr>
            <a:xfrm>
              <a:off x="13350240" y="18421350"/>
              <a:ext cx="2552045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𝑅𝑜𝑡𝑎𝑐𝑖𝑜𝑛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𝐸𝑥𝑝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𝐼𝑛𝑔𝑟𝑒𝑠𝑜𝑠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𝑒𝑥𝑝𝑙𝑜𝑡𝑎𝑐𝑖𝑜𝑛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𝐴𝑐𝑡𝑖𝑣𝑜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𝑇𝑜𝑡𝑎𝑙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𝑚𝑒𝑑𝑖𝑜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𝑒𝑥𝑝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A74E7C66-742D-7A35-A7DE-ECF9D1788945}"/>
                </a:ext>
              </a:extLst>
            </xdr:cNvPr>
            <xdr:cNvSpPr txBox="1"/>
          </xdr:nvSpPr>
          <xdr:spPr>
            <a:xfrm>
              <a:off x="13350240" y="18421350"/>
              <a:ext cx="2552045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𝑅𝑜𝑡𝑎𝑐𝑖𝑜𝑛 𝐸𝑥𝑝=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(𝐼𝑛𝑔𝑟𝑒𝑠𝑜𝑠 𝑒𝑥𝑝𝑙𝑜𝑡𝑎𝑐𝑖𝑜𝑛)/(𝐴𝑐𝑡𝑖𝑣𝑜 𝑇𝑜𝑡𝑎𝑙 𝑚𝑒𝑑𝑖𝑜 𝑒𝑥𝑝)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83820</xdr:colOff>
      <xdr:row>38</xdr:row>
      <xdr:rowOff>232410</xdr:rowOff>
    </xdr:from>
    <xdr:ext cx="4501552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72B41416-2EB6-51C5-CFDA-934E3F587626}"/>
                </a:ext>
              </a:extLst>
            </xdr:cNvPr>
            <xdr:cNvSpPr txBox="1"/>
          </xdr:nvSpPr>
          <xdr:spPr>
            <a:xfrm>
              <a:off x="12548635" y="23421669"/>
              <a:ext cx="450155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𝐹𝑜𝑛𝑑𝑜𝑠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𝐴𝑗𝑒𝑛𝑜𝑠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𝐹𝑜𝑛𝑑𝑜𝑠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𝑃𝑟𝑜𝑝𝑖𝑜𝑠</m:t>
                    </m:r>
                  </m:oMath>
                </m:oMathPara>
              </a14:m>
              <a:endParaRPr lang="es-E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𝐹𝑜𝑛𝑑𝑜𝑠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𝐴𝑗𝑒𝑛𝑜𝑠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𝑃𝑎𝑠𝑖𝑣𝑜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𝑆𝑢𝑏𝑣𝑒𝑛𝑐𝑖𝑜𝑛𝑒𝑠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𝐴𝑗𝑢𝑠𝑡𝑒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𝑝𝑜𝑟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𝑐𝑎𝑚𝑏𝑖𝑜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𝑣𝑎𝑙𝑜𝑟</m:t>
                    </m:r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72B41416-2EB6-51C5-CFDA-934E3F587626}"/>
                </a:ext>
              </a:extLst>
            </xdr:cNvPr>
            <xdr:cNvSpPr txBox="1"/>
          </xdr:nvSpPr>
          <xdr:spPr>
            <a:xfrm>
              <a:off x="12548635" y="23421669"/>
              <a:ext cx="450155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𝐹𝑜𝑛𝑑𝑜𝑠 𝐴𝑗𝑒𝑛𝑜𝑠=(𝑃.𝑁+𝑃.𝑁.𝐶+𝑃.𝐶)−𝐹𝑜𝑛𝑑𝑜𝑠 𝑃𝑟𝑜𝑝𝑖𝑜𝑠</a:t>
              </a:r>
              <a:endParaRPr lang="es-ES" sz="1100" b="0"/>
            </a:p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𝐹𝑜𝑛𝑑𝑜𝑠 𝐴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𝑗𝑒𝑛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𝑜𝑠=𝑃𝑎𝑠𝑖𝑣𝑜+𝑆𝑢𝑏𝑣𝑒𝑛𝑐𝑖𝑜𝑛𝑒𝑠+𝐴𝑗𝑢𝑠𝑡𝑒 𝑝𝑜𝑟 𝑐𝑎𝑚𝑏𝑖𝑜 𝑑𝑒 𝑣𝑎𝑙𝑜𝑟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8</xdr:col>
      <xdr:colOff>243840</xdr:colOff>
      <xdr:row>43</xdr:row>
      <xdr:rowOff>118110</xdr:rowOff>
    </xdr:from>
    <xdr:ext cx="2278252" cy="351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3A7598CC-C66F-5933-0D64-79C8614156B4}"/>
                </a:ext>
              </a:extLst>
            </xdr:cNvPr>
            <xdr:cNvSpPr txBox="1"/>
          </xdr:nvSpPr>
          <xdr:spPr>
            <a:xfrm>
              <a:off x="12710160" y="24966930"/>
              <a:ext cx="2278252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𝐿𝑒𝑣𝑒𝑟𝑎𝑔𝑒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𝑓𝑜𝑛𝑑𝑜𝑠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𝑎𝑗𝑒𝑛𝑜𝑠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𝑚𝑒𝑑𝑖𝑜𝑠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𝑓𝑜𝑛𝑑𝑜𝑠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𝑝𝑟𝑜𝑝𝑖𝑜𝑠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𝑚𝑒𝑑𝑖𝑜𝑠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3A7598CC-C66F-5933-0D64-79C8614156B4}"/>
                </a:ext>
              </a:extLst>
            </xdr:cNvPr>
            <xdr:cNvSpPr txBox="1"/>
          </xdr:nvSpPr>
          <xdr:spPr>
            <a:xfrm>
              <a:off x="12710160" y="24966930"/>
              <a:ext cx="2278252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𝐿𝑒𝑣𝑒𝑟𝑎𝑔𝑒=(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𝑓𝑜𝑛𝑑𝑜𝑠 𝑎𝑗𝑒𝑛𝑜𝑠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ES" sz="1100" b="0" i="0">
                  <a:latin typeface="Cambria Math" panose="02040503050406030204" pitchFamily="18" charset="0"/>
                </a:rPr>
                <a:t>𝑚𝑒𝑑𝑖𝑜𝑠)/(𝑓𝑜𝑛𝑑𝑜𝑠 𝑝𝑟𝑜𝑝𝑖𝑜𝑠 𝑚𝑒𝑑𝑖𝑜𝑠)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220980</xdr:colOff>
      <xdr:row>42</xdr:row>
      <xdr:rowOff>110490</xdr:rowOff>
    </xdr:from>
    <xdr:ext cx="315323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C0246BC3-D049-2F22-2C64-C6A5878C28D1}"/>
                </a:ext>
              </a:extLst>
            </xdr:cNvPr>
            <xdr:cNvSpPr txBox="1"/>
          </xdr:nvSpPr>
          <xdr:spPr>
            <a:xfrm>
              <a:off x="12687300" y="24357330"/>
              <a:ext cx="315323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𝑇𝑎𝑠𝑎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𝐼𝑚𝑝𝑜𝑠𝑖𝑡𝑖𝑣𝑎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𝐼𝑚𝑝𝑢𝑒𝑠𝑡𝑜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𝑠𝑜𝑏𝑟𝑒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𝑏𝑒𝑛𝑒𝑓𝑖𝑐𝑖𝑜𝑠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𝑅𝑒𝑠𝑢𝑙𝑡𝑎𝑑𝑜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𝑎𝑛𝑡𝑒𝑠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𝑖𝑚𝑝𝑢𝑒𝑠𝑡𝑜𝑠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C0246BC3-D049-2F22-2C64-C6A5878C28D1}"/>
                </a:ext>
              </a:extLst>
            </xdr:cNvPr>
            <xdr:cNvSpPr txBox="1"/>
          </xdr:nvSpPr>
          <xdr:spPr>
            <a:xfrm>
              <a:off x="12687300" y="24357330"/>
              <a:ext cx="315323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𝑇𝑎𝑠𝑎 𝐼𝑚𝑝𝑜𝑠𝑖𝑡𝑖𝑣𝑎=(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𝐼𝑚𝑝𝑢𝑒𝑠𝑡𝑜 𝑠𝑜𝑏𝑟𝑒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ES" sz="1100" b="0" i="0">
                  <a:latin typeface="Cambria Math" panose="02040503050406030204" pitchFamily="18" charset="0"/>
                </a:rPr>
                <a:t>𝑏𝑒𝑛𝑒𝑓𝑖𝑐𝑖𝑜𝑠)/(𝑅𝑒𝑠𝑢𝑙𝑡𝑎𝑑𝑜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𝑎𝑛𝑡𝑒𝑠 𝑑𝑒 𝑖𝑚𝑝𝑢𝑒𝑠𝑡𝑜𝑠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121920</xdr:colOff>
      <xdr:row>46</xdr:row>
      <xdr:rowOff>114300</xdr:rowOff>
    </xdr:from>
    <xdr:ext cx="2547171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84848E3F-2F33-4629-92E6-11921CF0C645}"/>
                </a:ext>
              </a:extLst>
            </xdr:cNvPr>
            <xdr:cNvSpPr txBox="1"/>
          </xdr:nvSpPr>
          <xdr:spPr>
            <a:xfrm>
              <a:off x="12588240" y="25534620"/>
              <a:ext cx="2547171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𝐹𝑖𝑛𝑎𝑛𝑐𝑖𝑒𝑟𝑎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𝑅𝑒𝑠𝑢𝑙𝑡𝑎𝑑𝑜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𝑒𝑗𝑒𝑟𝑐𝑖𝑐𝑖𝑜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𝐹𝑜𝑛𝑑𝑜𝑠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𝑃𝑟𝑜𝑝𝑖𝑜𝑠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𝑀𝑒𝑑𝑖𝑜𝑠</m:t>
                        </m:r>
                      </m:den>
                    </m:f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84848E3F-2F33-4629-92E6-11921CF0C645}"/>
                </a:ext>
              </a:extLst>
            </xdr:cNvPr>
            <xdr:cNvSpPr txBox="1"/>
          </xdr:nvSpPr>
          <xdr:spPr>
            <a:xfrm>
              <a:off x="12588240" y="25534620"/>
              <a:ext cx="2547171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𝑅.𝐹𝑖𝑛𝑎𝑛𝑐𝑖𝑒𝑟𝑎=(𝑅𝑒𝑠𝑢𝑙𝑡𝑎𝑑𝑜 𝑒𝑗𝑒𝑟𝑐𝑖𝑐𝑖𝑜)/(𝐹𝑜𝑛𝑑𝑜𝑠 𝑃𝑟𝑜𝑝𝑖𝑜𝑠 𝑀𝑒𝑑𝑖𝑜𝑠)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8</xdr:col>
      <xdr:colOff>58271</xdr:colOff>
      <xdr:row>28</xdr:row>
      <xdr:rowOff>233082</xdr:rowOff>
    </xdr:from>
    <xdr:ext cx="55905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F943F26-783A-AFF1-180C-212CCE91A906}"/>
                </a:ext>
              </a:extLst>
            </xdr:cNvPr>
            <xdr:cNvSpPr txBox="1"/>
          </xdr:nvSpPr>
          <xdr:spPr>
            <a:xfrm>
              <a:off x="12519212" y="16432306"/>
              <a:ext cx="55905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𝐴𝑐𝑡𝑖𝑣𝑜𝑠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𝐸𝑥𝑝𝑙𝑜𝑡𝑎𝑐𝑖𝑜𝑛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𝐼𝑛𝑣𝑒𝑟𝑠𝑖𝑜𝑛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𝑂𝑡𝑟𝑜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𝐼𝑛𝑚𝑜𝑣𝑖𝑙𝑖𝑧𝑎𝑑𝑜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𝑛𝑒𝑡𝑜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𝑂𝑡𝑟𝑎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𝑎𝑐𝑡𝑖𝑣𝑜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𝑐𝑖𝑟𝑐𝑢𝑙𝑎𝑛𝑡𝑒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F943F26-783A-AFF1-180C-212CCE91A906}"/>
                </a:ext>
              </a:extLst>
            </xdr:cNvPr>
            <xdr:cNvSpPr txBox="1"/>
          </xdr:nvSpPr>
          <xdr:spPr>
            <a:xfrm>
              <a:off x="12519212" y="16432306"/>
              <a:ext cx="55905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𝐴𝑐𝑡𝑖𝑣𝑜𝑠 𝑑𝑒 𝐸𝑥𝑝𝑙𝑜𝑡𝑎𝑐𝑖𝑜𝑛=𝐼𝑛𝑣𝑒𝑟𝑠𝑖𝑜𝑛 −𝑂𝑡𝑟𝑜 𝐼𝑛𝑚𝑜𝑣𝑖𝑙𝑖𝑧𝑎𝑑𝑜 𝑛𝑒𝑡𝑜 −𝑂𝑡𝑟𝑎 𝑎𝑐𝑡𝑖𝑣𝑜 𝑐𝑖𝑟𝑐𝑢𝑙𝑎𝑛𝑡𝑒</a:t>
              </a:r>
              <a:endParaRPr lang="es-ES" sz="1100"/>
            </a:p>
          </xdr:txBody>
        </xdr:sp>
      </mc:Fallback>
    </mc:AlternateContent>
    <xdr:clientData/>
  </xdr:oneCellAnchor>
  <xdr:twoCellAnchor editAs="oneCell">
    <xdr:from>
      <xdr:col>3</xdr:col>
      <xdr:colOff>0</xdr:colOff>
      <xdr:row>56</xdr:row>
      <xdr:rowOff>0</xdr:rowOff>
    </xdr:from>
    <xdr:to>
      <xdr:col>7</xdr:col>
      <xdr:colOff>3329502</xdr:colOff>
      <xdr:row>67</xdr:row>
      <xdr:rowOff>4398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8413197-E77A-C365-F984-7DB4DD44A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1511" y="30253021"/>
          <a:ext cx="5858693" cy="2048161"/>
        </a:xfrm>
        <a:prstGeom prst="rect">
          <a:avLst/>
        </a:prstGeom>
      </xdr:spPr>
    </xdr:pic>
    <xdr:clientData/>
  </xdr:twoCellAnchor>
  <xdr:oneCellAnchor>
    <xdr:from>
      <xdr:col>8</xdr:col>
      <xdr:colOff>308043</xdr:colOff>
      <xdr:row>37</xdr:row>
      <xdr:rowOff>121596</xdr:rowOff>
    </xdr:from>
    <xdr:ext cx="2864182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6A9327C2-5F58-4EF2-910C-DA54AE4E8770}"/>
                </a:ext>
              </a:extLst>
            </xdr:cNvPr>
            <xdr:cNvSpPr txBox="1"/>
          </xdr:nvSpPr>
          <xdr:spPr>
            <a:xfrm>
              <a:off x="12775660" y="22600596"/>
              <a:ext cx="2864182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𝐶𝑜𝑠𝑡𝑒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𝐸𝑛𝑑𝑢𝑒𝑑𝑎𝑚𝑖𝑒𝑛𝑡𝑜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𝐺𝑎𝑠𝑡𝑜𝑠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𝐹𝑖𝑛𝑎𝑛𝑐𝑖𝑒𝑟𝑜𝑠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6A9327C2-5F58-4EF2-910C-DA54AE4E8770}"/>
                </a:ext>
              </a:extLst>
            </xdr:cNvPr>
            <xdr:cNvSpPr txBox="1"/>
          </xdr:nvSpPr>
          <xdr:spPr>
            <a:xfrm>
              <a:off x="12775660" y="22600596"/>
              <a:ext cx="2864182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𝐶𝑜𝑠𝑡𝑒 𝐸𝑛𝑑𝑢𝑒𝑑𝑎𝑚𝑖𝑒𝑛𝑡𝑜=(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𝐺𝑎𝑠𝑡𝑜𝑠 </a:t>
              </a:r>
              <a:r>
                <a:rPr lang="es-ES" sz="1100" b="0" i="0">
                  <a:latin typeface="Cambria Math" panose="02040503050406030204" pitchFamily="18" charset="0"/>
                </a:rPr>
                <a:t>𝐹𝑖𝑛𝑎𝑛𝑐𝑖𝑒𝑟𝑜𝑠)/𝑃𝑎𝑠𝑖𝑣𝑜</a:t>
              </a:r>
              <a:endParaRPr lang="es-E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289560</xdr:colOff>
      <xdr:row>10</xdr:row>
      <xdr:rowOff>125730</xdr:rowOff>
    </xdr:from>
    <xdr:ext cx="14508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1B4E3EE-1B63-FF07-7926-5B6BA8D007D8}"/>
                </a:ext>
              </a:extLst>
            </xdr:cNvPr>
            <xdr:cNvSpPr txBox="1"/>
          </xdr:nvSpPr>
          <xdr:spPr>
            <a:xfrm>
              <a:off x="6629400" y="2015490"/>
              <a:ext cx="14508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𝑠𝑎𝑙𝑑𝑜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𝑚𝑒𝑑𝑖𝑜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𝑣𝑒𝑛𝑡𝑎𝑠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1B4E3EE-1B63-FF07-7926-5B6BA8D007D8}"/>
                </a:ext>
              </a:extLst>
            </xdr:cNvPr>
            <xdr:cNvSpPr txBox="1"/>
          </xdr:nvSpPr>
          <xdr:spPr>
            <a:xfrm>
              <a:off x="6629400" y="2015490"/>
              <a:ext cx="14508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𝑠𝑎𝑙𝑑𝑜 𝑚𝑒𝑑𝑖𝑜 𝑑𝑒 𝑣𝑒𝑛𝑡𝑎𝑠</a:t>
              </a:r>
              <a:endParaRPr lang="es-E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8C38-B45E-45CE-92C9-09E1D7B6A4E3}">
  <sheetPr>
    <pageSetUpPr fitToPage="1"/>
  </sheetPr>
  <dimension ref="A1:L73"/>
  <sheetViews>
    <sheetView workbookViewId="0">
      <selection activeCell="B75" sqref="B75"/>
    </sheetView>
  </sheetViews>
  <sheetFormatPr baseColWidth="10" defaultColWidth="11.44140625" defaultRowHeight="14.4" x14ac:dyDescent="0.3"/>
  <cols>
    <col min="1" max="1" width="52" customWidth="1"/>
    <col min="2" max="2" width="15.6640625" style="2" customWidth="1"/>
    <col min="3" max="3" width="10" style="2" customWidth="1"/>
    <col min="4" max="4" width="15.5546875" style="2" customWidth="1"/>
    <col min="5" max="5" width="10" style="2" customWidth="1"/>
    <col min="6" max="6" width="13.109375" customWidth="1"/>
  </cols>
  <sheetData>
    <row r="1" spans="1:12" ht="15.6" x14ac:dyDescent="0.3">
      <c r="A1" s="53" t="s">
        <v>153</v>
      </c>
    </row>
    <row r="2" spans="1:12" ht="28.95" customHeight="1" x14ac:dyDescent="0.3">
      <c r="A2" s="66" t="s">
        <v>144</v>
      </c>
      <c r="B2" s="67" t="s">
        <v>126</v>
      </c>
    </row>
    <row r="3" spans="1:12" s="4" customFormat="1" ht="27.75" customHeight="1" x14ac:dyDescent="0.3">
      <c r="A3" s="93" t="s">
        <v>154</v>
      </c>
      <c r="B3" s="94">
        <v>43830</v>
      </c>
      <c r="C3" s="95" t="s">
        <v>99</v>
      </c>
      <c r="D3" s="94">
        <v>43465</v>
      </c>
      <c r="E3" s="95" t="s">
        <v>99</v>
      </c>
      <c r="F3" s="95" t="s">
        <v>100</v>
      </c>
      <c r="H3" s="52"/>
      <c r="I3" s="52"/>
      <c r="J3" s="52"/>
      <c r="K3" s="52"/>
      <c r="L3" s="52"/>
    </row>
    <row r="4" spans="1:12" s="3" customFormat="1" ht="27" customHeight="1" x14ac:dyDescent="0.3">
      <c r="A4" s="96" t="s">
        <v>0</v>
      </c>
      <c r="B4" s="103">
        <f>B5+B6+B7+B8+B9+B10+B11</f>
        <v>210476.7</v>
      </c>
      <c r="C4" s="104">
        <f>B4/$B$23</f>
        <v>0.12607642324157067</v>
      </c>
      <c r="D4" s="103">
        <f>D5+D6+D7+D8+D9+D10+D11</f>
        <v>241964.40000000002</v>
      </c>
      <c r="E4" s="104">
        <f>D4/$D$23</f>
        <v>0.13976081776913388</v>
      </c>
      <c r="F4" s="104">
        <f>((B4-D4)/D4)</f>
        <v>-0.13013360643135935</v>
      </c>
      <c r="H4" s="237"/>
      <c r="I4" s="237"/>
      <c r="J4" s="237"/>
      <c r="K4" s="237"/>
      <c r="L4" s="237"/>
    </row>
    <row r="5" spans="1:12" s="4" customFormat="1" ht="19.95" customHeight="1" x14ac:dyDescent="0.3">
      <c r="A5" s="90" t="s">
        <v>101</v>
      </c>
      <c r="B5" s="105">
        <v>66742.25</v>
      </c>
      <c r="C5" s="104">
        <f>B5/$B$23</f>
        <v>3.9978886779841759E-2</v>
      </c>
      <c r="D5" s="105">
        <v>90937.95</v>
      </c>
      <c r="E5" s="104">
        <f t="shared" ref="E5:E22" si="0">D5/$D$23</f>
        <v>5.2526579357329448E-2</v>
      </c>
      <c r="F5" s="104">
        <f t="shared" ref="F5:F22" si="1">((B5-D5)/D5)</f>
        <v>-0.26606823663827917</v>
      </c>
    </row>
    <row r="6" spans="1:12" s="4" customFormat="1" ht="19.95" customHeight="1" x14ac:dyDescent="0.3">
      <c r="A6" s="97" t="s">
        <v>114</v>
      </c>
      <c r="B6" s="105">
        <v>31876.560000000001</v>
      </c>
      <c r="C6" s="104">
        <f t="shared" ref="C6:C10" si="2">B6/$B$23</f>
        <v>1.9094192706581404E-2</v>
      </c>
      <c r="D6" s="105">
        <v>31417.4</v>
      </c>
      <c r="E6" s="104">
        <f t="shared" si="0"/>
        <v>1.8146973340623606E-2</v>
      </c>
      <c r="F6" s="104">
        <f t="shared" si="1"/>
        <v>1.4614831271842986E-2</v>
      </c>
    </row>
    <row r="7" spans="1:12" s="4" customFormat="1" ht="19.95" hidden="1" customHeight="1" x14ac:dyDescent="0.3">
      <c r="A7" s="97" t="s">
        <v>115</v>
      </c>
      <c r="B7" s="105">
        <v>0</v>
      </c>
      <c r="C7" s="104">
        <f t="shared" si="2"/>
        <v>0</v>
      </c>
      <c r="D7" s="105">
        <v>0</v>
      </c>
      <c r="E7" s="104">
        <f t="shared" si="0"/>
        <v>0</v>
      </c>
      <c r="F7" s="104" t="e">
        <f t="shared" si="1"/>
        <v>#DIV/0!</v>
      </c>
    </row>
    <row r="8" spans="1:12" s="4" customFormat="1" ht="19.95" hidden="1" customHeight="1" x14ac:dyDescent="0.3">
      <c r="A8" s="97" t="s">
        <v>116</v>
      </c>
      <c r="B8" s="105">
        <v>0</v>
      </c>
      <c r="C8" s="104">
        <f t="shared" si="2"/>
        <v>0</v>
      </c>
      <c r="D8" s="105">
        <v>0</v>
      </c>
      <c r="E8" s="104">
        <f t="shared" si="0"/>
        <v>0</v>
      </c>
      <c r="F8" s="104" t="e">
        <f t="shared" si="1"/>
        <v>#DIV/0!</v>
      </c>
    </row>
    <row r="9" spans="1:12" s="4" customFormat="1" ht="19.95" customHeight="1" x14ac:dyDescent="0.3">
      <c r="A9" s="97" t="s">
        <v>117</v>
      </c>
      <c r="B9" s="105">
        <v>5303.04</v>
      </c>
      <c r="C9" s="104">
        <f t="shared" si="2"/>
        <v>3.1765431304604211E-3</v>
      </c>
      <c r="D9" s="105">
        <v>4916.74</v>
      </c>
      <c r="E9" s="104">
        <f t="shared" si="0"/>
        <v>2.8399533284987838E-3</v>
      </c>
      <c r="F9" s="104">
        <f t="shared" si="1"/>
        <v>7.8568319658961064E-2</v>
      </c>
    </row>
    <row r="10" spans="1:12" s="4" customFormat="1" ht="19.95" customHeight="1" x14ac:dyDescent="0.3">
      <c r="A10" s="97" t="s">
        <v>1</v>
      </c>
      <c r="B10" s="105">
        <v>106554.85</v>
      </c>
      <c r="C10" s="104">
        <f t="shared" si="2"/>
        <v>6.3826800624687097E-2</v>
      </c>
      <c r="D10" s="105">
        <v>114692.31</v>
      </c>
      <c r="E10" s="104">
        <f t="shared" si="0"/>
        <v>6.6247311742682016E-2</v>
      </c>
      <c r="F10" s="104">
        <f t="shared" si="1"/>
        <v>-7.0950354038557525E-2</v>
      </c>
    </row>
    <row r="11" spans="1:12" s="4" customFormat="1" ht="19.95" hidden="1" customHeight="1" x14ac:dyDescent="0.3">
      <c r="A11" s="76" t="s">
        <v>2</v>
      </c>
      <c r="B11" s="106"/>
      <c r="C11" s="107"/>
      <c r="D11" s="106"/>
      <c r="E11" s="104">
        <f t="shared" si="0"/>
        <v>0</v>
      </c>
      <c r="F11" s="104" t="e">
        <f t="shared" si="1"/>
        <v>#DIV/0!</v>
      </c>
    </row>
    <row r="12" spans="1:12" s="3" customFormat="1" ht="27" customHeight="1" x14ac:dyDescent="0.3">
      <c r="A12" s="96" t="s">
        <v>3</v>
      </c>
      <c r="B12" s="103">
        <f>B13+B14+B15+B19+B20+B21+B22</f>
        <v>1458960.73</v>
      </c>
      <c r="C12" s="104">
        <f>B12/$B$23</f>
        <v>0.87392357675842935</v>
      </c>
      <c r="D12" s="103">
        <f>D13+D14+D15+D19+D20+D21+D22</f>
        <v>1489310.53</v>
      </c>
      <c r="E12" s="104">
        <f t="shared" si="0"/>
        <v>0.86023918223086604</v>
      </c>
      <c r="F12" s="104">
        <f t="shared" si="1"/>
        <v>-2.0378423027734884E-2</v>
      </c>
    </row>
    <row r="13" spans="1:12" s="4" customFormat="1" ht="19.95" hidden="1" customHeight="1" x14ac:dyDescent="0.3">
      <c r="A13" s="76" t="s">
        <v>118</v>
      </c>
      <c r="B13" s="105"/>
      <c r="C13" s="104">
        <f t="shared" ref="C13:C22" si="3">B13/$B$23</f>
        <v>0</v>
      </c>
      <c r="D13" s="105"/>
      <c r="E13" s="104">
        <f t="shared" si="0"/>
        <v>0</v>
      </c>
      <c r="F13" s="104" t="e">
        <f t="shared" si="1"/>
        <v>#DIV/0!</v>
      </c>
      <c r="H13" s="52"/>
    </row>
    <row r="14" spans="1:12" s="4" customFormat="1" ht="19.95" customHeight="1" x14ac:dyDescent="0.3">
      <c r="A14" s="133" t="s">
        <v>93</v>
      </c>
      <c r="B14" s="134">
        <v>294675.51</v>
      </c>
      <c r="C14" s="135">
        <f t="shared" si="3"/>
        <v>0.17651186244218811</v>
      </c>
      <c r="D14" s="134">
        <v>339675.51</v>
      </c>
      <c r="E14" s="135">
        <f t="shared" si="0"/>
        <v>0.19619963537507007</v>
      </c>
      <c r="F14" s="104">
        <f t="shared" si="1"/>
        <v>-0.13247937715615707</v>
      </c>
      <c r="H14" s="52"/>
    </row>
    <row r="15" spans="1:12" s="4" customFormat="1" ht="19.95" customHeight="1" x14ac:dyDescent="0.3">
      <c r="A15" s="133" t="s">
        <v>94</v>
      </c>
      <c r="B15" s="134">
        <f>B16+B17+B18</f>
        <v>1118265</v>
      </c>
      <c r="C15" s="135">
        <f t="shared" si="3"/>
        <v>0.66984541013915089</v>
      </c>
      <c r="D15" s="134">
        <f>D16+D17+D18</f>
        <v>1102946.01</v>
      </c>
      <c r="E15" s="135">
        <f t="shared" si="0"/>
        <v>0.63707155396745674</v>
      </c>
      <c r="F15" s="104">
        <f t="shared" si="1"/>
        <v>1.3889156732159529E-2</v>
      </c>
    </row>
    <row r="16" spans="1:12" s="4" customFormat="1" ht="19.95" customHeight="1" x14ac:dyDescent="0.3">
      <c r="A16" s="98" t="s">
        <v>4</v>
      </c>
      <c r="B16" s="108">
        <v>1014551.93</v>
      </c>
      <c r="C16" s="104">
        <f t="shared" si="3"/>
        <v>0.60772084761511558</v>
      </c>
      <c r="D16" s="108">
        <v>1058695.52</v>
      </c>
      <c r="E16" s="104">
        <f t="shared" si="0"/>
        <v>0.61151207220449955</v>
      </c>
      <c r="F16" s="104">
        <f t="shared" si="1"/>
        <v>-4.1696209312380925E-2</v>
      </c>
      <c r="H16" s="52"/>
    </row>
    <row r="17" spans="1:9" s="4" customFormat="1" ht="19.95" hidden="1" customHeight="1" x14ac:dyDescent="0.3">
      <c r="A17" s="98" t="s">
        <v>145</v>
      </c>
      <c r="B17" s="109"/>
      <c r="C17" s="104">
        <f t="shared" si="3"/>
        <v>0</v>
      </c>
      <c r="D17" s="109"/>
      <c r="E17" s="104">
        <f t="shared" si="0"/>
        <v>0</v>
      </c>
      <c r="F17" s="104" t="e">
        <f t="shared" si="1"/>
        <v>#DIV/0!</v>
      </c>
    </row>
    <row r="18" spans="1:9" s="4" customFormat="1" ht="19.95" customHeight="1" x14ac:dyDescent="0.3">
      <c r="A18" s="98" t="s">
        <v>146</v>
      </c>
      <c r="B18" s="109">
        <v>103713.07</v>
      </c>
      <c r="C18" s="104">
        <f t="shared" si="3"/>
        <v>6.212456252403542E-2</v>
      </c>
      <c r="D18" s="109">
        <v>44250.49</v>
      </c>
      <c r="E18" s="104">
        <f t="shared" si="0"/>
        <v>2.5559481762957196E-2</v>
      </c>
      <c r="F18" s="104">
        <f t="shared" si="1"/>
        <v>1.3437722384543089</v>
      </c>
    </row>
    <row r="19" spans="1:9" s="4" customFormat="1" ht="19.95" hidden="1" customHeight="1" x14ac:dyDescent="0.3">
      <c r="A19" s="97" t="s">
        <v>119</v>
      </c>
      <c r="B19" s="105">
        <v>0</v>
      </c>
      <c r="C19" s="104">
        <f t="shared" si="3"/>
        <v>0</v>
      </c>
      <c r="D19" s="105">
        <v>0</v>
      </c>
      <c r="E19" s="104">
        <f t="shared" si="0"/>
        <v>0</v>
      </c>
      <c r="F19" s="104" t="e">
        <f t="shared" si="1"/>
        <v>#DIV/0!</v>
      </c>
    </row>
    <row r="20" spans="1:9" s="4" customFormat="1" ht="19.95" customHeight="1" x14ac:dyDescent="0.3">
      <c r="A20" s="97" t="s">
        <v>95</v>
      </c>
      <c r="B20" s="105">
        <v>0.01</v>
      </c>
      <c r="C20" s="104">
        <f t="shared" si="3"/>
        <v>5.99004180707749E-9</v>
      </c>
      <c r="D20" s="105">
        <v>1321.31</v>
      </c>
      <c r="E20" s="104">
        <f t="shared" si="0"/>
        <v>7.6320056225847373E-4</v>
      </c>
      <c r="F20" s="104">
        <f t="shared" si="1"/>
        <v>-0.99999243175333574</v>
      </c>
      <c r="H20" s="4" t="s">
        <v>188</v>
      </c>
    </row>
    <row r="21" spans="1:9" s="4" customFormat="1" ht="19.95" customHeight="1" x14ac:dyDescent="0.3">
      <c r="A21" s="133" t="s">
        <v>96</v>
      </c>
      <c r="B21" s="134">
        <v>5300.31</v>
      </c>
      <c r="C21" s="135">
        <f t="shared" si="3"/>
        <v>3.1749078490470894E-3</v>
      </c>
      <c r="D21" s="134">
        <v>4296.57</v>
      </c>
      <c r="E21" s="135">
        <f t="shared" si="0"/>
        <v>2.481737548177862E-3</v>
      </c>
      <c r="F21" s="104">
        <f t="shared" si="1"/>
        <v>0.23361425509185252</v>
      </c>
      <c r="H21" s="136">
        <f>B21-D21</f>
        <v>1003.7400000000007</v>
      </c>
    </row>
    <row r="22" spans="1:9" s="4" customFormat="1" ht="19.95" customHeight="1" x14ac:dyDescent="0.3">
      <c r="A22" s="97" t="s">
        <v>97</v>
      </c>
      <c r="B22" s="105">
        <v>40719.9</v>
      </c>
      <c r="C22" s="104">
        <f t="shared" si="3"/>
        <v>2.4391390338001469E-2</v>
      </c>
      <c r="D22" s="105">
        <v>41071.129999999997</v>
      </c>
      <c r="E22" s="104">
        <f t="shared" si="0"/>
        <v>2.3723054777902892E-2</v>
      </c>
      <c r="F22" s="104">
        <f t="shared" si="1"/>
        <v>-8.5517491240196201E-3</v>
      </c>
    </row>
    <row r="23" spans="1:9" s="3" customFormat="1" ht="30" customHeight="1" x14ac:dyDescent="0.3">
      <c r="A23" s="69" t="s">
        <v>5</v>
      </c>
      <c r="B23" s="110">
        <f>B12+B4</f>
        <v>1669437.43</v>
      </c>
      <c r="C23" s="111">
        <v>1</v>
      </c>
      <c r="D23" s="110">
        <f>D12+D4</f>
        <v>1731274.9300000002</v>
      </c>
      <c r="E23" s="111">
        <v>1</v>
      </c>
      <c r="F23" s="111"/>
    </row>
    <row r="24" spans="1:9" ht="18" customHeight="1" x14ac:dyDescent="0.3">
      <c r="A24" s="70"/>
      <c r="B24" s="71"/>
      <c r="C24" s="72"/>
      <c r="D24" s="71"/>
      <c r="E24" s="72"/>
    </row>
    <row r="25" spans="1:9" s="4" customFormat="1" ht="28.8" customHeight="1" x14ac:dyDescent="0.3">
      <c r="A25" s="101" t="str">
        <f>A2</f>
        <v xml:space="preserve">ICR, S.A. </v>
      </c>
      <c r="B25" s="94">
        <f>B3</f>
        <v>43830</v>
      </c>
      <c r="C25" s="102"/>
      <c r="D25" s="94">
        <f>D3</f>
        <v>43465</v>
      </c>
      <c r="E25" s="102"/>
      <c r="F25" s="95" t="s">
        <v>100</v>
      </c>
      <c r="I25" s="136"/>
    </row>
    <row r="26" spans="1:9" s="3" customFormat="1" ht="27" customHeight="1" x14ac:dyDescent="0.3">
      <c r="A26" s="96" t="s">
        <v>6</v>
      </c>
      <c r="B26" s="103">
        <f>B27+B41+B42</f>
        <v>391066.15</v>
      </c>
      <c r="C26" s="104">
        <f>B26/$B$67</f>
        <v>0.23425025878328365</v>
      </c>
      <c r="D26" s="103">
        <f>D27+D41+D42</f>
        <v>385531.01000000007</v>
      </c>
      <c r="E26" s="104">
        <f>D26/$D$67</f>
        <v>0.22268618537669235</v>
      </c>
      <c r="F26" s="104">
        <f>((B26-D26)/D26)</f>
        <v>1.4357184912310828E-2</v>
      </c>
    </row>
    <row r="27" spans="1:9" s="4" customFormat="1" ht="19.95" customHeight="1" x14ac:dyDescent="0.3">
      <c r="A27" s="236" t="s">
        <v>7</v>
      </c>
      <c r="B27" s="105">
        <f>B28+B31+B32+B35+B36+B37+B38+B39+B40</f>
        <v>385306.18000000005</v>
      </c>
      <c r="C27" s="104">
        <f t="shared" ref="C27:C63" si="4">B27/$B$67</f>
        <v>0.23080001267253245</v>
      </c>
      <c r="D27" s="105">
        <f>D28+D31+D32+D35+D36+D37+D38+D39+D40</f>
        <v>378811.05000000005</v>
      </c>
      <c r="E27" s="104">
        <f t="shared" ref="E27:E64" si="5">D27/$D$67</f>
        <v>0.21880467592746813</v>
      </c>
      <c r="F27" s="104">
        <f t="shared" ref="F27:F67" si="6">((B27-D27)/D27)</f>
        <v>1.7146094339117096E-2</v>
      </c>
    </row>
    <row r="28" spans="1:9" s="4" customFormat="1" ht="19.95" customHeight="1" x14ac:dyDescent="0.3">
      <c r="A28" s="97" t="s">
        <v>8</v>
      </c>
      <c r="B28" s="105">
        <f>+B29+B30</f>
        <v>212403.69</v>
      </c>
      <c r="C28" s="104">
        <f t="shared" si="4"/>
        <v>0.12723069830775269</v>
      </c>
      <c r="D28" s="105">
        <f t="shared" ref="D28" si="7">+D29+D30</f>
        <v>212403.69</v>
      </c>
      <c r="E28" s="104">
        <f t="shared" si="5"/>
        <v>0.12268628530305122</v>
      </c>
      <c r="F28" s="104">
        <f t="shared" si="6"/>
        <v>0</v>
      </c>
    </row>
    <row r="29" spans="1:9" s="4" customFormat="1" ht="19.95" customHeight="1" x14ac:dyDescent="0.3">
      <c r="A29" s="98" t="s">
        <v>9</v>
      </c>
      <c r="B29" s="109">
        <v>212403.69</v>
      </c>
      <c r="C29" s="104">
        <f t="shared" si="4"/>
        <v>0.12723069830775269</v>
      </c>
      <c r="D29" s="109">
        <v>212403.69</v>
      </c>
      <c r="E29" s="104">
        <f t="shared" si="5"/>
        <v>0.12268628530305122</v>
      </c>
      <c r="F29" s="104">
        <f t="shared" si="6"/>
        <v>0</v>
      </c>
    </row>
    <row r="30" spans="1:9" s="4" customFormat="1" ht="19.95" hidden="1" customHeight="1" x14ac:dyDescent="0.3">
      <c r="A30" s="99" t="s">
        <v>10</v>
      </c>
      <c r="B30" s="105"/>
      <c r="C30" s="104">
        <f t="shared" si="4"/>
        <v>0</v>
      </c>
      <c r="D30" s="105"/>
      <c r="E30" s="104">
        <f t="shared" si="5"/>
        <v>0</v>
      </c>
      <c r="F30" s="104" t="e">
        <f t="shared" si="6"/>
        <v>#DIV/0!</v>
      </c>
    </row>
    <row r="31" spans="1:9" s="4" customFormat="1" ht="19.95" customHeight="1" x14ac:dyDescent="0.3">
      <c r="A31" s="97" t="s">
        <v>11</v>
      </c>
      <c r="B31" s="105">
        <v>100394.52</v>
      </c>
      <c r="C31" s="104">
        <f t="shared" si="4"/>
        <v>6.0136737200147714E-2</v>
      </c>
      <c r="D31" s="105">
        <v>100394.52</v>
      </c>
      <c r="E31" s="104">
        <f t="shared" si="5"/>
        <v>5.7988779402009825E-2</v>
      </c>
      <c r="F31" s="104">
        <f t="shared" si="6"/>
        <v>0</v>
      </c>
    </row>
    <row r="32" spans="1:9" s="4" customFormat="1" ht="19.95" customHeight="1" x14ac:dyDescent="0.3">
      <c r="A32" s="97" t="s">
        <v>12</v>
      </c>
      <c r="B32" s="105">
        <f>B33+B34</f>
        <v>48342.34</v>
      </c>
      <c r="C32" s="104">
        <f t="shared" si="4"/>
        <v>2.8957263765195435E-2</v>
      </c>
      <c r="D32" s="105">
        <f t="shared" ref="D32" si="8">D33+D34</f>
        <v>47234.12</v>
      </c>
      <c r="E32" s="104">
        <f t="shared" si="5"/>
        <v>2.7282853336298242E-2</v>
      </c>
      <c r="F32" s="104">
        <f t="shared" si="6"/>
        <v>2.3462276845636031E-2</v>
      </c>
    </row>
    <row r="33" spans="1:6" s="4" customFormat="1" ht="19.95" hidden="1" customHeight="1" x14ac:dyDescent="0.3">
      <c r="A33" s="99" t="s">
        <v>147</v>
      </c>
      <c r="B33" s="112"/>
      <c r="C33" s="104">
        <f t="shared" si="4"/>
        <v>0</v>
      </c>
      <c r="D33" s="112"/>
      <c r="E33" s="104">
        <f t="shared" si="5"/>
        <v>0</v>
      </c>
      <c r="F33" s="104" t="e">
        <f t="shared" si="6"/>
        <v>#DIV/0!</v>
      </c>
    </row>
    <row r="34" spans="1:6" s="4" customFormat="1" ht="19.95" customHeight="1" x14ac:dyDescent="0.3">
      <c r="A34" s="98" t="s">
        <v>102</v>
      </c>
      <c r="B34" s="113">
        <v>48342.34</v>
      </c>
      <c r="C34" s="104">
        <f t="shared" si="4"/>
        <v>2.8957263765195435E-2</v>
      </c>
      <c r="D34" s="113">
        <v>47234.12</v>
      </c>
      <c r="E34" s="104">
        <f t="shared" si="5"/>
        <v>2.7282853336298242E-2</v>
      </c>
      <c r="F34" s="104">
        <f t="shared" si="6"/>
        <v>2.3462276845636031E-2</v>
      </c>
    </row>
    <row r="35" spans="1:6" s="4" customFormat="1" ht="19.95" hidden="1" customHeight="1" x14ac:dyDescent="0.3">
      <c r="A35" s="97" t="s">
        <v>13</v>
      </c>
      <c r="B35" s="105"/>
      <c r="C35" s="104">
        <f t="shared" si="4"/>
        <v>0</v>
      </c>
      <c r="D35" s="105"/>
      <c r="E35" s="104">
        <f t="shared" si="5"/>
        <v>0</v>
      </c>
      <c r="F35" s="104" t="e">
        <f t="shared" si="6"/>
        <v>#DIV/0!</v>
      </c>
    </row>
    <row r="36" spans="1:6" s="4" customFormat="1" ht="19.95" hidden="1" customHeight="1" x14ac:dyDescent="0.3">
      <c r="A36" s="97" t="s">
        <v>120</v>
      </c>
      <c r="B36" s="105"/>
      <c r="C36" s="104">
        <f t="shared" si="4"/>
        <v>0</v>
      </c>
      <c r="D36" s="105"/>
      <c r="E36" s="104">
        <f t="shared" si="5"/>
        <v>0</v>
      </c>
      <c r="F36" s="104" t="e">
        <f t="shared" si="6"/>
        <v>#DIV/0!</v>
      </c>
    </row>
    <row r="37" spans="1:6" s="4" customFormat="1" ht="19.95" hidden="1" customHeight="1" x14ac:dyDescent="0.3">
      <c r="A37" s="97" t="s">
        <v>121</v>
      </c>
      <c r="B37" s="105"/>
      <c r="C37" s="104">
        <f t="shared" si="4"/>
        <v>0</v>
      </c>
      <c r="D37" s="105"/>
      <c r="E37" s="104">
        <f t="shared" si="5"/>
        <v>0</v>
      </c>
      <c r="F37" s="104" t="e">
        <f t="shared" si="6"/>
        <v>#DIV/0!</v>
      </c>
    </row>
    <row r="38" spans="1:6" s="4" customFormat="1" ht="19.8" customHeight="1" x14ac:dyDescent="0.3">
      <c r="A38" s="97" t="s">
        <v>122</v>
      </c>
      <c r="B38" s="105">
        <v>24165.63</v>
      </c>
      <c r="C38" s="104">
        <f t="shared" si="4"/>
        <v>1.4475313399436598E-2</v>
      </c>
      <c r="D38" s="105">
        <v>18778.72</v>
      </c>
      <c r="E38" s="104">
        <f t="shared" si="5"/>
        <v>1.0846757886108824E-2</v>
      </c>
      <c r="F38" s="104">
        <f t="shared" si="6"/>
        <v>0.28686246985950054</v>
      </c>
    </row>
    <row r="39" spans="1:6" s="4" customFormat="1" ht="19.2" hidden="1" customHeight="1" x14ac:dyDescent="0.3">
      <c r="A39" s="76" t="s">
        <v>123</v>
      </c>
      <c r="B39" s="105"/>
      <c r="C39" s="104">
        <f t="shared" si="4"/>
        <v>0</v>
      </c>
      <c r="D39" s="105"/>
      <c r="E39" s="104">
        <f t="shared" si="5"/>
        <v>0</v>
      </c>
      <c r="F39" s="104" t="e">
        <f t="shared" si="6"/>
        <v>#DIV/0!</v>
      </c>
    </row>
    <row r="40" spans="1:6" s="4" customFormat="1" ht="19.2" hidden="1" customHeight="1" x14ac:dyDescent="0.3">
      <c r="A40" s="76" t="s">
        <v>124</v>
      </c>
      <c r="B40" s="105"/>
      <c r="C40" s="104">
        <f t="shared" si="4"/>
        <v>0</v>
      </c>
      <c r="D40" s="105"/>
      <c r="E40" s="104">
        <f t="shared" si="5"/>
        <v>0</v>
      </c>
      <c r="F40" s="104" t="e">
        <f t="shared" si="6"/>
        <v>#DIV/0!</v>
      </c>
    </row>
    <row r="41" spans="1:6" s="4" customFormat="1" ht="19.2" hidden="1" customHeight="1" x14ac:dyDescent="0.3">
      <c r="A41" s="76" t="s">
        <v>14</v>
      </c>
      <c r="B41" s="112"/>
      <c r="C41" s="104">
        <f t="shared" si="4"/>
        <v>0</v>
      </c>
      <c r="D41" s="112"/>
      <c r="E41" s="104">
        <f t="shared" si="5"/>
        <v>0</v>
      </c>
      <c r="F41" s="104" t="e">
        <f t="shared" si="6"/>
        <v>#DIV/0!</v>
      </c>
    </row>
    <row r="42" spans="1:6" s="4" customFormat="1" ht="19.95" customHeight="1" x14ac:dyDescent="0.3">
      <c r="A42" s="236" t="s">
        <v>15</v>
      </c>
      <c r="B42" s="112">
        <v>5759.97</v>
      </c>
      <c r="C42" s="104">
        <f t="shared" si="4"/>
        <v>3.4502461107512126E-3</v>
      </c>
      <c r="D42" s="112">
        <v>6719.96</v>
      </c>
      <c r="E42" s="104">
        <f t="shared" si="5"/>
        <v>3.8815094492242203E-3</v>
      </c>
      <c r="F42" s="104">
        <f t="shared" si="6"/>
        <v>-0.1428565050982446</v>
      </c>
    </row>
    <row r="43" spans="1:6" s="3" customFormat="1" ht="27" customHeight="1" x14ac:dyDescent="0.3">
      <c r="A43" s="96" t="s">
        <v>16</v>
      </c>
      <c r="B43" s="103">
        <f>B44+B45+B49+B50+B51+B52+B53</f>
        <v>0</v>
      </c>
      <c r="C43" s="104">
        <f t="shared" si="4"/>
        <v>0</v>
      </c>
      <c r="D43" s="103">
        <f>D44+D45+D49+D50+D51+D52+D53</f>
        <v>0</v>
      </c>
      <c r="E43" s="104">
        <f t="shared" si="5"/>
        <v>0</v>
      </c>
      <c r="F43" s="104" t="e">
        <f t="shared" si="6"/>
        <v>#DIV/0!</v>
      </c>
    </row>
    <row r="44" spans="1:6" s="4" customFormat="1" ht="19.95" hidden="1" customHeight="1" x14ac:dyDescent="0.3">
      <c r="A44" s="76" t="s">
        <v>103</v>
      </c>
      <c r="B44" s="77"/>
      <c r="C44" s="54">
        <f t="shared" si="4"/>
        <v>0</v>
      </c>
      <c r="D44" s="77"/>
      <c r="E44" s="54">
        <f t="shared" si="5"/>
        <v>0</v>
      </c>
      <c r="F44" s="104" t="e">
        <f t="shared" si="6"/>
        <v>#DIV/0!</v>
      </c>
    </row>
    <row r="45" spans="1:6" s="4" customFormat="1" ht="19.95" hidden="1" customHeight="1" x14ac:dyDescent="0.3">
      <c r="A45" s="76" t="s">
        <v>108</v>
      </c>
      <c r="B45" s="77">
        <f>SUM(B46:B48)</f>
        <v>0</v>
      </c>
      <c r="C45" s="54">
        <f t="shared" si="4"/>
        <v>0</v>
      </c>
      <c r="D45" s="77">
        <f>SUM(D46:D48)</f>
        <v>0</v>
      </c>
      <c r="E45" s="54">
        <f t="shared" si="5"/>
        <v>0</v>
      </c>
      <c r="F45" s="104" t="e">
        <f t="shared" si="6"/>
        <v>#DIV/0!</v>
      </c>
    </row>
    <row r="46" spans="1:6" s="4" customFormat="1" ht="19.95" hidden="1" customHeight="1" x14ac:dyDescent="0.3">
      <c r="A46" s="78" t="s">
        <v>148</v>
      </c>
      <c r="B46" s="55"/>
      <c r="C46" s="54">
        <f t="shared" si="4"/>
        <v>0</v>
      </c>
      <c r="D46" s="55"/>
      <c r="E46" s="54">
        <f t="shared" si="5"/>
        <v>0</v>
      </c>
      <c r="F46" s="104" t="e">
        <f t="shared" si="6"/>
        <v>#DIV/0!</v>
      </c>
    </row>
    <row r="47" spans="1:6" s="4" customFormat="1" ht="19.95" hidden="1" customHeight="1" x14ac:dyDescent="0.3">
      <c r="A47" s="78" t="s">
        <v>149</v>
      </c>
      <c r="B47" s="55"/>
      <c r="C47" s="54">
        <f t="shared" si="4"/>
        <v>0</v>
      </c>
      <c r="D47" s="55"/>
      <c r="E47" s="54">
        <f t="shared" si="5"/>
        <v>0</v>
      </c>
      <c r="F47" s="104" t="e">
        <f t="shared" si="6"/>
        <v>#DIV/0!</v>
      </c>
    </row>
    <row r="48" spans="1:6" s="4" customFormat="1" ht="19.95" hidden="1" customHeight="1" x14ac:dyDescent="0.3">
      <c r="A48" s="78" t="s">
        <v>150</v>
      </c>
      <c r="B48" s="55"/>
      <c r="C48" s="54">
        <f t="shared" si="4"/>
        <v>0</v>
      </c>
      <c r="D48" s="55"/>
      <c r="E48" s="54">
        <f t="shared" si="5"/>
        <v>0</v>
      </c>
      <c r="F48" s="104" t="e">
        <f t="shared" si="6"/>
        <v>#DIV/0!</v>
      </c>
    </row>
    <row r="49" spans="1:6" s="4" customFormat="1" ht="19.95" hidden="1" customHeight="1" x14ac:dyDescent="0.3">
      <c r="A49" s="76" t="s">
        <v>109</v>
      </c>
      <c r="B49" s="77"/>
      <c r="C49" s="54">
        <f t="shared" si="4"/>
        <v>0</v>
      </c>
      <c r="D49" s="77"/>
      <c r="E49" s="54">
        <f t="shared" si="5"/>
        <v>0</v>
      </c>
      <c r="F49" s="104" t="e">
        <f t="shared" si="6"/>
        <v>#DIV/0!</v>
      </c>
    </row>
    <row r="50" spans="1:6" s="4" customFormat="1" ht="19.95" hidden="1" customHeight="1" x14ac:dyDescent="0.3">
      <c r="A50" s="76" t="s">
        <v>104</v>
      </c>
      <c r="B50" s="77"/>
      <c r="C50" s="54">
        <f t="shared" si="4"/>
        <v>0</v>
      </c>
      <c r="D50" s="77"/>
      <c r="E50" s="54">
        <f t="shared" si="5"/>
        <v>0</v>
      </c>
      <c r="F50" s="104" t="e">
        <f t="shared" si="6"/>
        <v>#DIV/0!</v>
      </c>
    </row>
    <row r="51" spans="1:6" s="4" customFormat="1" ht="19.95" hidden="1" customHeight="1" x14ac:dyDescent="0.3">
      <c r="A51" s="76" t="s">
        <v>17</v>
      </c>
      <c r="B51" s="77"/>
      <c r="C51" s="54">
        <f t="shared" si="4"/>
        <v>0</v>
      </c>
      <c r="D51" s="77"/>
      <c r="E51" s="54">
        <f t="shared" si="5"/>
        <v>0</v>
      </c>
      <c r="F51" s="104" t="e">
        <f t="shared" si="6"/>
        <v>#DIV/0!</v>
      </c>
    </row>
    <row r="52" spans="1:6" s="4" customFormat="1" ht="19.95" hidden="1" customHeight="1" x14ac:dyDescent="0.3">
      <c r="A52" s="76" t="s">
        <v>18</v>
      </c>
      <c r="B52" s="77"/>
      <c r="C52" s="54">
        <f t="shared" si="4"/>
        <v>0</v>
      </c>
      <c r="D52" s="77"/>
      <c r="E52" s="54">
        <f t="shared" si="5"/>
        <v>0</v>
      </c>
      <c r="F52" s="104" t="e">
        <f t="shared" si="6"/>
        <v>#DIV/0!</v>
      </c>
    </row>
    <row r="53" spans="1:6" s="4" customFormat="1" ht="19.95" hidden="1" customHeight="1" x14ac:dyDescent="0.3">
      <c r="A53" s="76" t="s">
        <v>19</v>
      </c>
      <c r="B53" s="77"/>
      <c r="C53" s="54">
        <f t="shared" si="4"/>
        <v>0</v>
      </c>
      <c r="D53" s="77"/>
      <c r="E53" s="54">
        <f t="shared" si="5"/>
        <v>0</v>
      </c>
      <c r="F53" s="104" t="e">
        <f t="shared" si="6"/>
        <v>#DIV/0!</v>
      </c>
    </row>
    <row r="54" spans="1:6" s="3" customFormat="1" ht="27" customHeight="1" x14ac:dyDescent="0.3">
      <c r="A54" s="96" t="s">
        <v>20</v>
      </c>
      <c r="B54" s="92">
        <f>B55+B56+B57+B61+B62+B65+B66</f>
        <v>1278371.28</v>
      </c>
      <c r="C54" s="54">
        <f t="shared" si="4"/>
        <v>0.76574974121671624</v>
      </c>
      <c r="D54" s="92">
        <f>D55+D56+D57+D61+D62+D65+D66</f>
        <v>1345743.92</v>
      </c>
      <c r="E54" s="54">
        <f t="shared" si="5"/>
        <v>0.77731381462330773</v>
      </c>
      <c r="F54" s="104">
        <f t="shared" si="6"/>
        <v>-5.0063492020086482E-2</v>
      </c>
    </row>
    <row r="55" spans="1:6" s="4" customFormat="1" ht="19.95" hidden="1" customHeight="1" x14ac:dyDescent="0.3">
      <c r="A55" s="76" t="s">
        <v>110</v>
      </c>
      <c r="B55" s="77"/>
      <c r="C55" s="54">
        <f t="shared" si="4"/>
        <v>0</v>
      </c>
      <c r="D55" s="77"/>
      <c r="E55" s="54">
        <f t="shared" si="5"/>
        <v>0</v>
      </c>
      <c r="F55" s="104" t="e">
        <f t="shared" si="6"/>
        <v>#DIV/0!</v>
      </c>
    </row>
    <row r="56" spans="1:6" s="4" customFormat="1" ht="19.95" hidden="1" customHeight="1" x14ac:dyDescent="0.3">
      <c r="A56" s="76" t="s">
        <v>111</v>
      </c>
      <c r="B56" s="77"/>
      <c r="C56" s="54">
        <f t="shared" si="4"/>
        <v>0</v>
      </c>
      <c r="D56" s="77"/>
      <c r="E56" s="54">
        <f t="shared" si="5"/>
        <v>0</v>
      </c>
      <c r="F56" s="104" t="e">
        <f t="shared" si="6"/>
        <v>#DIV/0!</v>
      </c>
    </row>
    <row r="57" spans="1:6" s="4" customFormat="1" ht="19.95" customHeight="1" x14ac:dyDescent="0.3">
      <c r="A57" s="97" t="s">
        <v>112</v>
      </c>
      <c r="B57" s="105">
        <f>SUM(B58:B60)</f>
        <v>715051.87</v>
      </c>
      <c r="C57" s="104">
        <f t="shared" si="4"/>
        <v>0.42831905955289379</v>
      </c>
      <c r="D57" s="105">
        <f>SUM(D58:D60)</f>
        <v>908425.01</v>
      </c>
      <c r="E57" s="104">
        <f t="shared" si="5"/>
        <v>0.52471447154843287</v>
      </c>
      <c r="F57" s="104">
        <f t="shared" si="6"/>
        <v>-0.2128663762790943</v>
      </c>
    </row>
    <row r="58" spans="1:6" s="4" customFormat="1" ht="19.95" customHeight="1" x14ac:dyDescent="0.3">
      <c r="A58" s="98" t="s">
        <v>148</v>
      </c>
      <c r="B58" s="113">
        <v>261687.91</v>
      </c>
      <c r="C58" s="104">
        <f t="shared" si="4"/>
        <v>0.15675215213067314</v>
      </c>
      <c r="D58" s="113">
        <v>455061.05</v>
      </c>
      <c r="E58" s="104">
        <f t="shared" si="5"/>
        <v>0.26284736301241307</v>
      </c>
      <c r="F58" s="104">
        <f t="shared" si="6"/>
        <v>-0.42493889556137576</v>
      </c>
    </row>
    <row r="59" spans="1:6" s="4" customFormat="1" ht="19.95" hidden="1" customHeight="1" x14ac:dyDescent="0.3">
      <c r="A59" s="98" t="s">
        <v>149</v>
      </c>
      <c r="B59" s="113"/>
      <c r="C59" s="104">
        <f t="shared" si="4"/>
        <v>0</v>
      </c>
      <c r="D59" s="113"/>
      <c r="E59" s="104">
        <f t="shared" si="5"/>
        <v>0</v>
      </c>
      <c r="F59" s="104" t="e">
        <f t="shared" si="6"/>
        <v>#DIV/0!</v>
      </c>
    </row>
    <row r="60" spans="1:6" s="4" customFormat="1" ht="19.95" customHeight="1" x14ac:dyDescent="0.3">
      <c r="A60" s="98" t="s">
        <v>151</v>
      </c>
      <c r="B60" s="113">
        <v>453363.96</v>
      </c>
      <c r="C60" s="104">
        <f t="shared" si="4"/>
        <v>0.27156690742222067</v>
      </c>
      <c r="D60" s="113">
        <v>453363.96</v>
      </c>
      <c r="E60" s="104">
        <f t="shared" si="5"/>
        <v>0.2618671085360198</v>
      </c>
      <c r="F60" s="104">
        <f t="shared" si="6"/>
        <v>0</v>
      </c>
    </row>
    <row r="61" spans="1:6" s="4" customFormat="1" ht="19.95" hidden="1" customHeight="1" x14ac:dyDescent="0.3">
      <c r="A61" s="97" t="s">
        <v>113</v>
      </c>
      <c r="B61" s="105"/>
      <c r="C61" s="104">
        <f t="shared" si="4"/>
        <v>0</v>
      </c>
      <c r="D61" s="105"/>
      <c r="E61" s="104">
        <f t="shared" si="5"/>
        <v>0</v>
      </c>
      <c r="F61" s="104" t="e">
        <f t="shared" si="6"/>
        <v>#DIV/0!</v>
      </c>
    </row>
    <row r="62" spans="1:6" s="4" customFormat="1" ht="19.95" customHeight="1" x14ac:dyDescent="0.3">
      <c r="A62" s="97" t="s">
        <v>98</v>
      </c>
      <c r="B62" s="105">
        <f>+B63+B64</f>
        <v>563319.41</v>
      </c>
      <c r="C62" s="104">
        <f t="shared" si="4"/>
        <v>0.33743068166382251</v>
      </c>
      <c r="D62" s="105">
        <f>+D63+D64</f>
        <v>437318.91000000003</v>
      </c>
      <c r="E62" s="104">
        <f t="shared" si="5"/>
        <v>0.25259934307487492</v>
      </c>
      <c r="F62" s="104">
        <f t="shared" si="6"/>
        <v>0.28812040165379538</v>
      </c>
    </row>
    <row r="63" spans="1:6" s="4" customFormat="1" ht="19.95" customHeight="1" x14ac:dyDescent="0.3">
      <c r="A63" s="98" t="s">
        <v>21</v>
      </c>
      <c r="B63" s="113">
        <v>346566.13</v>
      </c>
      <c r="C63" s="104">
        <f t="shared" si="4"/>
        <v>0.20759456076170521</v>
      </c>
      <c r="D63" s="113">
        <v>278774.19</v>
      </c>
      <c r="E63" s="104">
        <f t="shared" si="5"/>
        <v>0.16102248416431469</v>
      </c>
      <c r="F63" s="104">
        <f t="shared" si="6"/>
        <v>0.24317868164194112</v>
      </c>
    </row>
    <row r="64" spans="1:6" s="4" customFormat="1" ht="19.95" customHeight="1" x14ac:dyDescent="0.3">
      <c r="A64" s="98" t="s">
        <v>152</v>
      </c>
      <c r="B64" s="113">
        <v>216753.28</v>
      </c>
      <c r="C64" s="104">
        <f>B64/$B$67</f>
        <v>0.1298361209021173</v>
      </c>
      <c r="D64" s="113">
        <v>158544.72</v>
      </c>
      <c r="E64" s="104">
        <f t="shared" si="5"/>
        <v>9.1576858910560208E-2</v>
      </c>
      <c r="F64" s="104">
        <f t="shared" si="6"/>
        <v>0.36714284777190936</v>
      </c>
    </row>
    <row r="65" spans="1:8" s="4" customFormat="1" ht="19.95" hidden="1" customHeight="1" x14ac:dyDescent="0.3">
      <c r="A65" s="76" t="s">
        <v>96</v>
      </c>
      <c r="B65" s="112"/>
      <c r="C65" s="114"/>
      <c r="D65" s="112"/>
      <c r="E65" s="114"/>
      <c r="F65" s="104" t="e">
        <f t="shared" si="6"/>
        <v>#DIV/0!</v>
      </c>
    </row>
    <row r="66" spans="1:8" s="4" customFormat="1" ht="19.95" hidden="1" customHeight="1" x14ac:dyDescent="0.3">
      <c r="A66" s="76" t="s">
        <v>22</v>
      </c>
      <c r="B66" s="112"/>
      <c r="C66" s="114"/>
      <c r="D66" s="112"/>
      <c r="E66" s="114"/>
      <c r="F66" s="104" t="e">
        <f t="shared" si="6"/>
        <v>#DIV/0!</v>
      </c>
    </row>
    <row r="67" spans="1:8" s="3" customFormat="1" ht="21" customHeight="1" x14ac:dyDescent="0.3">
      <c r="A67" s="100" t="s">
        <v>23</v>
      </c>
      <c r="B67" s="110">
        <f>B54+B43+B26</f>
        <v>1669437.4300000002</v>
      </c>
      <c r="C67" s="111">
        <v>1</v>
      </c>
      <c r="D67" s="110">
        <f>D54+D43+D26</f>
        <v>1731274.93</v>
      </c>
      <c r="E67" s="111">
        <v>1</v>
      </c>
      <c r="F67" s="104">
        <f t="shared" si="6"/>
        <v>-3.5717897214626544E-2</v>
      </c>
    </row>
    <row r="68" spans="1:8" x14ac:dyDescent="0.3">
      <c r="B68" s="73"/>
      <c r="C68" s="74"/>
      <c r="D68" s="73"/>
      <c r="E68" s="74"/>
    </row>
    <row r="69" spans="1:8" x14ac:dyDescent="0.3">
      <c r="B69" s="73">
        <f>B67-B23</f>
        <v>0</v>
      </c>
      <c r="C69" s="74">
        <f>C67-C23</f>
        <v>0</v>
      </c>
      <c r="D69" s="73">
        <f>D67-D23</f>
        <v>0</v>
      </c>
      <c r="E69" s="74"/>
    </row>
    <row r="71" spans="1:8" x14ac:dyDescent="0.3">
      <c r="A71" s="75" t="s">
        <v>133</v>
      </c>
      <c r="B71" s="51">
        <f>B72+B73</f>
        <v>2451963.91</v>
      </c>
      <c r="C71" s="48"/>
      <c r="D71" s="51">
        <f>D72+D73</f>
        <v>2404070.9499999997</v>
      </c>
      <c r="E71" s="238"/>
      <c r="F71" s="239"/>
      <c r="G71" s="239"/>
      <c r="H71" s="239"/>
    </row>
    <row r="72" spans="1:8" x14ac:dyDescent="0.3">
      <c r="A72" s="68" t="s">
        <v>134</v>
      </c>
      <c r="B72" s="49">
        <v>1861216.56</v>
      </c>
      <c r="D72" s="49">
        <v>1821797.38</v>
      </c>
    </row>
    <row r="73" spans="1:8" x14ac:dyDescent="0.3">
      <c r="A73" s="68" t="s">
        <v>135</v>
      </c>
      <c r="B73" s="50">
        <v>590747.35</v>
      </c>
      <c r="D73" s="50">
        <v>582273.56999999995</v>
      </c>
    </row>
  </sheetData>
  <mergeCells count="2">
    <mergeCell ref="H4:L4"/>
    <mergeCell ref="E71:H71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44"/>
  <sheetViews>
    <sheetView topLeftCell="A9" workbookViewId="0">
      <selection activeCell="I30" sqref="I30"/>
    </sheetView>
  </sheetViews>
  <sheetFormatPr baseColWidth="10" defaultColWidth="11.44140625" defaultRowHeight="14.4" x14ac:dyDescent="0.3"/>
  <cols>
    <col min="1" max="1" width="67.6640625" customWidth="1"/>
    <col min="2" max="2" width="15.33203125" style="2" bestFit="1" customWidth="1"/>
    <col min="3" max="3" width="9.6640625" style="2" customWidth="1"/>
    <col min="4" max="4" width="18" style="2" customWidth="1"/>
    <col min="5" max="5" width="10.77734375" customWidth="1"/>
    <col min="6" max="6" width="17.21875" customWidth="1"/>
    <col min="7" max="7" width="22.44140625" customWidth="1"/>
  </cols>
  <sheetData>
    <row r="1" spans="1:7" ht="15.6" x14ac:dyDescent="0.3">
      <c r="A1" s="35" t="s">
        <v>166</v>
      </c>
    </row>
    <row r="2" spans="1:7" ht="34.200000000000003" customHeight="1" x14ac:dyDescent="0.3">
      <c r="A2" s="65" t="str">
        <f>BalanceRM!A2</f>
        <v xml:space="preserve">ICR, S.A. </v>
      </c>
      <c r="B2" s="64"/>
    </row>
    <row r="3" spans="1:7" s="4" customFormat="1" ht="29.4" customHeight="1" x14ac:dyDescent="0.3">
      <c r="A3" s="35" t="s">
        <v>87</v>
      </c>
      <c r="B3" s="81">
        <f>BalanceRM!B3</f>
        <v>43830</v>
      </c>
      <c r="C3" s="42" t="s">
        <v>129</v>
      </c>
      <c r="D3" s="81">
        <f>BalanceRM!D3</f>
        <v>43465</v>
      </c>
      <c r="E3" s="42" t="s">
        <v>129</v>
      </c>
      <c r="F3" s="43" t="s">
        <v>131</v>
      </c>
      <c r="G3" s="250" t="s">
        <v>246</v>
      </c>
    </row>
    <row r="4" spans="1:7" s="4" customFormat="1" ht="19.95" customHeight="1" x14ac:dyDescent="0.3">
      <c r="A4" s="86" t="s">
        <v>24</v>
      </c>
      <c r="B4" s="56">
        <v>2379554.14</v>
      </c>
      <c r="C4" s="87">
        <v>1</v>
      </c>
      <c r="D4" s="56">
        <v>1822278.49</v>
      </c>
      <c r="E4" s="87">
        <v>1</v>
      </c>
      <c r="F4" s="88"/>
      <c r="G4" s="251">
        <f>B4</f>
        <v>2379554.14</v>
      </c>
    </row>
    <row r="5" spans="1:7" s="4" customFormat="1" ht="19.95" customHeight="1" x14ac:dyDescent="0.3">
      <c r="A5" s="85" t="s">
        <v>125</v>
      </c>
      <c r="B5" s="55">
        <v>-45000</v>
      </c>
      <c r="C5" s="137">
        <f>B5/$B$4</f>
        <v>-1.8911105758661156E-2</v>
      </c>
      <c r="D5" s="55">
        <v>45000</v>
      </c>
      <c r="E5" s="47">
        <f>D5/$D$4</f>
        <v>2.4694359422527123E-2</v>
      </c>
      <c r="F5" s="91">
        <f>((B5-D5)/D5)</f>
        <v>-2</v>
      </c>
      <c r="G5" s="252"/>
    </row>
    <row r="6" spans="1:7" s="4" customFormat="1" ht="19.95" customHeight="1" x14ac:dyDescent="0.3">
      <c r="A6" s="85" t="s">
        <v>25</v>
      </c>
      <c r="B6" s="55">
        <v>14643.48</v>
      </c>
      <c r="C6" s="137">
        <f t="shared" ref="C6:C34" si="0">B6/$B$4</f>
        <v>6.1538755323297658E-3</v>
      </c>
      <c r="D6" s="55">
        <v>33445</v>
      </c>
      <c r="E6" s="47">
        <f t="shared" ref="E6:E34" si="1">D6/$D$4</f>
        <v>1.8353396686364883E-2</v>
      </c>
      <c r="F6" s="91">
        <f t="shared" ref="F6:F34" si="2">((B6-D6)/D6)</f>
        <v>-0.56216235610704146</v>
      </c>
      <c r="G6" s="252"/>
    </row>
    <row r="7" spans="1:7" s="4" customFormat="1" ht="19.95" customHeight="1" x14ac:dyDescent="0.3">
      <c r="A7" s="129" t="s">
        <v>26</v>
      </c>
      <c r="B7" s="130">
        <v>-1136973.98</v>
      </c>
      <c r="C7" s="137">
        <f t="shared" si="0"/>
        <v>-0.47780967068057545</v>
      </c>
      <c r="D7" s="55">
        <v>-863949.05</v>
      </c>
      <c r="E7" s="47">
        <f t="shared" si="1"/>
        <v>-0.4741037414100191</v>
      </c>
      <c r="F7" s="91">
        <f t="shared" si="2"/>
        <v>0.31601971204204682</v>
      </c>
      <c r="G7" s="253">
        <f>B7</f>
        <v>-1136973.98</v>
      </c>
    </row>
    <row r="8" spans="1:7" s="4" customFormat="1" ht="19.95" customHeight="1" x14ac:dyDescent="0.3">
      <c r="A8" s="85" t="s">
        <v>27</v>
      </c>
      <c r="B8" s="55">
        <v>0</v>
      </c>
      <c r="C8" s="137">
        <f t="shared" si="0"/>
        <v>0</v>
      </c>
      <c r="D8" s="55">
        <v>2556.38</v>
      </c>
      <c r="E8" s="47">
        <f t="shared" si="1"/>
        <v>1.4028481453457755E-3</v>
      </c>
      <c r="F8" s="91">
        <f t="shared" si="2"/>
        <v>-1</v>
      </c>
      <c r="G8" s="252"/>
    </row>
    <row r="9" spans="1:7" s="4" customFormat="1" ht="19.95" customHeight="1" x14ac:dyDescent="0.3">
      <c r="A9" s="131" t="s">
        <v>28</v>
      </c>
      <c r="B9" s="132">
        <v>-744330.83</v>
      </c>
      <c r="C9" s="137">
        <f t="shared" si="0"/>
        <v>-0.3128026454569342</v>
      </c>
      <c r="D9" s="55">
        <v>-682120.81</v>
      </c>
      <c r="E9" s="47">
        <f t="shared" si="1"/>
        <v>-0.37432303226056302</v>
      </c>
      <c r="F9" s="91">
        <f t="shared" si="2"/>
        <v>9.1200882729263008E-2</v>
      </c>
      <c r="G9" s="253">
        <f>B9</f>
        <v>-744330.83</v>
      </c>
    </row>
    <row r="10" spans="1:7" s="4" customFormat="1" ht="19.95" customHeight="1" x14ac:dyDescent="0.3">
      <c r="A10" s="131" t="s">
        <v>29</v>
      </c>
      <c r="B10" s="132">
        <v>-378221.91</v>
      </c>
      <c r="C10" s="137">
        <f t="shared" si="0"/>
        <v>-0.15894654533895158</v>
      </c>
      <c r="D10" s="55">
        <v>-265181.26</v>
      </c>
      <c r="E10" s="47">
        <f t="shared" si="1"/>
        <v>-0.14552180770130257</v>
      </c>
      <c r="F10" s="91">
        <f t="shared" si="2"/>
        <v>0.42627691715470378</v>
      </c>
      <c r="G10" s="253">
        <f>B10</f>
        <v>-378221.91</v>
      </c>
    </row>
    <row r="11" spans="1:7" s="4" customFormat="1" ht="19.95" customHeight="1" x14ac:dyDescent="0.3">
      <c r="A11" s="131" t="s">
        <v>30</v>
      </c>
      <c r="B11" s="132">
        <v>-48188.14</v>
      </c>
      <c r="C11" s="137">
        <f t="shared" si="0"/>
        <v>-2.0250911374514891E-2</v>
      </c>
      <c r="D11" s="55">
        <v>-59084.44</v>
      </c>
      <c r="E11" s="47">
        <f t="shared" si="1"/>
        <v>-3.2423386614194194E-2</v>
      </c>
      <c r="F11" s="91">
        <f t="shared" si="2"/>
        <v>-0.18441911271393963</v>
      </c>
      <c r="G11" s="253"/>
    </row>
    <row r="12" spans="1:7" s="4" customFormat="1" ht="19.95" customHeight="1" x14ac:dyDescent="0.3">
      <c r="A12" s="85" t="s">
        <v>31</v>
      </c>
      <c r="B12" s="55">
        <v>959.99</v>
      </c>
      <c r="C12" s="137">
        <f t="shared" si="0"/>
        <v>4.0343272038349164E-4</v>
      </c>
      <c r="D12" s="55">
        <v>959.99</v>
      </c>
      <c r="E12" s="47">
        <f t="shared" si="1"/>
        <v>5.2680751337848481E-4</v>
      </c>
      <c r="F12" s="91">
        <f t="shared" si="2"/>
        <v>0</v>
      </c>
      <c r="G12" s="252"/>
    </row>
    <row r="13" spans="1:7" s="4" customFormat="1" ht="19.95" hidden="1" customHeight="1" x14ac:dyDescent="0.3">
      <c r="A13" s="85" t="s">
        <v>32</v>
      </c>
      <c r="B13" s="55"/>
      <c r="C13" s="137">
        <f t="shared" si="0"/>
        <v>0</v>
      </c>
      <c r="D13" s="55"/>
      <c r="E13" s="47">
        <f t="shared" si="1"/>
        <v>0</v>
      </c>
      <c r="F13" s="91" t="e">
        <f t="shared" si="2"/>
        <v>#DIV/0!</v>
      </c>
      <c r="G13" s="252"/>
    </row>
    <row r="14" spans="1:7" s="4" customFormat="1" ht="19.95" customHeight="1" x14ac:dyDescent="0.3">
      <c r="A14" s="85" t="s">
        <v>33</v>
      </c>
      <c r="B14" s="55">
        <v>-603.25</v>
      </c>
      <c r="C14" s="137">
        <f t="shared" si="0"/>
        <v>-2.5351387886471871E-4</v>
      </c>
      <c r="D14" s="55"/>
      <c r="E14" s="47">
        <f t="shared" si="1"/>
        <v>0</v>
      </c>
      <c r="F14" s="91" t="e">
        <f t="shared" si="2"/>
        <v>#DIV/0!</v>
      </c>
      <c r="G14" s="252"/>
    </row>
    <row r="15" spans="1:7" s="4" customFormat="1" ht="19.95" hidden="1" customHeight="1" x14ac:dyDescent="0.3">
      <c r="A15" s="85" t="s">
        <v>34</v>
      </c>
      <c r="B15" s="55"/>
      <c r="C15" s="137">
        <f t="shared" si="0"/>
        <v>0</v>
      </c>
      <c r="D15" s="55"/>
      <c r="E15" s="47">
        <f t="shared" si="1"/>
        <v>0</v>
      </c>
      <c r="F15" s="91" t="e">
        <f t="shared" si="2"/>
        <v>#DIV/0!</v>
      </c>
      <c r="G15" s="252"/>
    </row>
    <row r="16" spans="1:7" s="4" customFormat="1" ht="19.95" customHeight="1" x14ac:dyDescent="0.3">
      <c r="A16" s="85" t="s">
        <v>35</v>
      </c>
      <c r="B16" s="55">
        <v>505.11</v>
      </c>
      <c r="C16" s="137">
        <f t="shared" si="0"/>
        <v>2.1227085843905194E-4</v>
      </c>
      <c r="D16" s="55">
        <v>1854.3</v>
      </c>
      <c r="E16" s="47">
        <f t="shared" si="1"/>
        <v>1.0175722372709342E-3</v>
      </c>
      <c r="F16" s="91">
        <f t="shared" si="2"/>
        <v>-0.7276007118589225</v>
      </c>
      <c r="G16" s="252"/>
    </row>
    <row r="17" spans="1:7" s="4" customFormat="1" ht="19.95" customHeight="1" x14ac:dyDescent="0.3">
      <c r="A17" s="79" t="s">
        <v>161</v>
      </c>
      <c r="B17" s="82">
        <f>B4+B5+B6+B7+B8+B9+B10+B11+B12+B13+B14+B15+B16</f>
        <v>42344.610000000197</v>
      </c>
      <c r="C17" s="137">
        <f t="shared" si="0"/>
        <v>1.7795186622650325E-2</v>
      </c>
      <c r="D17" s="82">
        <f>D4+D5+D6+D7+D8+D9+D10+D11+D12+D13+D14+D15+D16</f>
        <v>35758.599999999882</v>
      </c>
      <c r="E17" s="47">
        <f t="shared" si="1"/>
        <v>1.9623016018808344E-2</v>
      </c>
      <c r="F17" s="91">
        <f t="shared" si="2"/>
        <v>0.18417974976649915</v>
      </c>
      <c r="G17" s="254"/>
    </row>
    <row r="18" spans="1:7" s="4" customFormat="1" ht="19.95" customHeight="1" x14ac:dyDescent="0.3">
      <c r="A18" s="85" t="s">
        <v>36</v>
      </c>
      <c r="B18" s="55">
        <f>B19+B20</f>
        <v>344.06</v>
      </c>
      <c r="C18" s="137">
        <f t="shared" si="0"/>
        <v>1.4459011216277684E-4</v>
      </c>
      <c r="D18" s="55">
        <f t="shared" ref="D18" si="3">D19+D20</f>
        <v>846.63</v>
      </c>
      <c r="E18" s="47">
        <f t="shared" si="1"/>
        <v>4.6459967817542532E-4</v>
      </c>
      <c r="F18" s="91">
        <f t="shared" si="2"/>
        <v>-0.59361232179346346</v>
      </c>
      <c r="G18" s="252">
        <f>B18</f>
        <v>344.06</v>
      </c>
    </row>
    <row r="19" spans="1:7" s="4" customFormat="1" ht="19.95" hidden="1" customHeight="1" x14ac:dyDescent="0.3">
      <c r="A19" s="62" t="s">
        <v>155</v>
      </c>
      <c r="B19" s="55"/>
      <c r="C19" s="137">
        <f t="shared" si="0"/>
        <v>0</v>
      </c>
      <c r="D19" s="55"/>
      <c r="E19" s="47">
        <f t="shared" si="1"/>
        <v>0</v>
      </c>
      <c r="F19" s="91" t="e">
        <f t="shared" si="2"/>
        <v>#DIV/0!</v>
      </c>
      <c r="G19" s="252"/>
    </row>
    <row r="20" spans="1:7" s="4" customFormat="1" ht="19.95" customHeight="1" x14ac:dyDescent="0.3">
      <c r="A20" s="62" t="s">
        <v>156</v>
      </c>
      <c r="B20" s="55">
        <v>344.06</v>
      </c>
      <c r="C20" s="137">
        <f t="shared" si="0"/>
        <v>1.4459011216277684E-4</v>
      </c>
      <c r="D20" s="55">
        <v>846.63</v>
      </c>
      <c r="E20" s="47">
        <f t="shared" si="1"/>
        <v>4.6459967817542532E-4</v>
      </c>
      <c r="F20" s="91">
        <f t="shared" si="2"/>
        <v>-0.59361232179346346</v>
      </c>
      <c r="G20" s="252"/>
    </row>
    <row r="21" spans="1:7" s="4" customFormat="1" ht="19.95" customHeight="1" x14ac:dyDescent="0.3">
      <c r="A21" s="85" t="s">
        <v>37</v>
      </c>
      <c r="B21" s="55">
        <v>-10385.58</v>
      </c>
      <c r="C21" s="137">
        <f t="shared" si="0"/>
        <v>-4.3645067054452471E-3</v>
      </c>
      <c r="D21" s="55">
        <v>-11526.92</v>
      </c>
      <c r="E21" s="47">
        <f t="shared" si="1"/>
        <v>-6.3255534558825854E-3</v>
      </c>
      <c r="F21" s="91">
        <f t="shared" si="2"/>
        <v>-9.9015174912292281E-2</v>
      </c>
      <c r="G21" s="252">
        <f>B21</f>
        <v>-10385.58</v>
      </c>
    </row>
    <row r="22" spans="1:7" s="4" customFormat="1" ht="19.95" customHeight="1" x14ac:dyDescent="0.3">
      <c r="A22" s="85" t="s">
        <v>38</v>
      </c>
      <c r="B22" s="55"/>
      <c r="C22" s="137">
        <f t="shared" si="0"/>
        <v>0</v>
      </c>
      <c r="D22" s="55">
        <v>-513.46</v>
      </c>
      <c r="E22" s="47">
        <f t="shared" si="1"/>
        <v>-2.8176812864646176E-4</v>
      </c>
      <c r="F22" s="91">
        <f t="shared" si="2"/>
        <v>-1</v>
      </c>
      <c r="G22" s="252"/>
    </row>
    <row r="23" spans="1:7" s="4" customFormat="1" ht="19.95" hidden="1" customHeight="1" x14ac:dyDescent="0.3">
      <c r="A23" s="85" t="s">
        <v>39</v>
      </c>
      <c r="B23" s="55"/>
      <c r="C23" s="137">
        <f t="shared" si="0"/>
        <v>0</v>
      </c>
      <c r="D23" s="55"/>
      <c r="E23" s="47">
        <f t="shared" si="1"/>
        <v>0</v>
      </c>
      <c r="F23" s="91" t="e">
        <f t="shared" si="2"/>
        <v>#DIV/0!</v>
      </c>
      <c r="G23" s="252"/>
    </row>
    <row r="24" spans="1:7" s="4" customFormat="1" ht="19.95" customHeight="1" x14ac:dyDescent="0.3">
      <c r="A24" s="85" t="s">
        <v>107</v>
      </c>
      <c r="B24" s="55"/>
      <c r="C24" s="137">
        <f t="shared" si="0"/>
        <v>0</v>
      </c>
      <c r="D24" s="55">
        <v>473.46</v>
      </c>
      <c r="E24" s="47">
        <f t="shared" si="1"/>
        <v>2.5981758693754872E-4</v>
      </c>
      <c r="F24" s="91">
        <f t="shared" si="2"/>
        <v>-1</v>
      </c>
      <c r="G24" s="252"/>
    </row>
    <row r="25" spans="1:7" s="4" customFormat="1" ht="19.95" hidden="1" customHeight="1" x14ac:dyDescent="0.3">
      <c r="A25" s="85" t="s">
        <v>157</v>
      </c>
      <c r="B25" s="55">
        <f>B26+B27+B28</f>
        <v>0</v>
      </c>
      <c r="C25" s="137">
        <f t="shared" si="0"/>
        <v>0</v>
      </c>
      <c r="D25" s="55">
        <f t="shared" ref="D25" si="4">D26+D27+D28</f>
        <v>0</v>
      </c>
      <c r="E25" s="47">
        <f t="shared" si="1"/>
        <v>0</v>
      </c>
      <c r="F25" s="91" t="e">
        <f t="shared" si="2"/>
        <v>#DIV/0!</v>
      </c>
      <c r="G25" s="252"/>
    </row>
    <row r="26" spans="1:7" s="4" customFormat="1" ht="19.95" hidden="1" customHeight="1" x14ac:dyDescent="0.3">
      <c r="A26" s="62" t="s">
        <v>158</v>
      </c>
      <c r="B26" s="55"/>
      <c r="C26" s="137">
        <f t="shared" si="0"/>
        <v>0</v>
      </c>
      <c r="D26" s="55"/>
      <c r="E26" s="47">
        <f t="shared" si="1"/>
        <v>0</v>
      </c>
      <c r="F26" s="91" t="e">
        <f t="shared" si="2"/>
        <v>#DIV/0!</v>
      </c>
      <c r="G26" s="252"/>
    </row>
    <row r="27" spans="1:7" s="4" customFormat="1" ht="19.95" hidden="1" customHeight="1" x14ac:dyDescent="0.3">
      <c r="A27" s="62" t="s">
        <v>159</v>
      </c>
      <c r="B27" s="55"/>
      <c r="C27" s="137">
        <f t="shared" si="0"/>
        <v>0</v>
      </c>
      <c r="D27" s="55"/>
      <c r="E27" s="47">
        <f t="shared" si="1"/>
        <v>0</v>
      </c>
      <c r="F27" s="91" t="e">
        <f t="shared" si="2"/>
        <v>#DIV/0!</v>
      </c>
      <c r="G27" s="252"/>
    </row>
    <row r="28" spans="1:7" s="4" customFormat="1" ht="19.95" hidden="1" customHeight="1" x14ac:dyDescent="0.3">
      <c r="A28" s="62" t="s">
        <v>160</v>
      </c>
      <c r="B28" s="55"/>
      <c r="C28" s="137">
        <f t="shared" si="0"/>
        <v>0</v>
      </c>
      <c r="D28" s="55"/>
      <c r="E28" s="47">
        <f t="shared" si="1"/>
        <v>0</v>
      </c>
      <c r="F28" s="91" t="e">
        <f t="shared" si="2"/>
        <v>#DIV/0!</v>
      </c>
      <c r="G28" s="252"/>
    </row>
    <row r="29" spans="1:7" s="4" customFormat="1" ht="19.95" customHeight="1" x14ac:dyDescent="0.3">
      <c r="A29" s="79" t="s">
        <v>162</v>
      </c>
      <c r="B29" s="82">
        <f>+B18+B21+B22+B23+B24</f>
        <v>-10041.52</v>
      </c>
      <c r="C29" s="137">
        <f t="shared" si="0"/>
        <v>-4.2199165932824707E-3</v>
      </c>
      <c r="D29" s="82">
        <f>+D18+D21+D22+D23+D24</f>
        <v>-10720.29</v>
      </c>
      <c r="E29" s="47">
        <f t="shared" si="1"/>
        <v>-5.8829043194160739E-3</v>
      </c>
      <c r="F29" s="91">
        <f t="shared" si="2"/>
        <v>-6.3316384164980644E-2</v>
      </c>
      <c r="G29" s="254"/>
    </row>
    <row r="30" spans="1:7" s="4" customFormat="1" ht="19.95" customHeight="1" x14ac:dyDescent="0.3">
      <c r="A30" s="79" t="s">
        <v>163</v>
      </c>
      <c r="B30" s="82">
        <f>B17+B29</f>
        <v>32303.090000000197</v>
      </c>
      <c r="C30" s="137">
        <f t="shared" si="0"/>
        <v>1.3575270029367852E-2</v>
      </c>
      <c r="D30" s="82">
        <f>D17+D29</f>
        <v>25038.309999999881</v>
      </c>
      <c r="E30" s="47">
        <f t="shared" si="1"/>
        <v>1.3740111699392271E-2</v>
      </c>
      <c r="F30" s="91">
        <f t="shared" si="2"/>
        <v>0.29014657938176935</v>
      </c>
      <c r="G30" s="254"/>
    </row>
    <row r="31" spans="1:7" s="4" customFormat="1" ht="19.95" customHeight="1" x14ac:dyDescent="0.3">
      <c r="A31" s="85" t="s">
        <v>164</v>
      </c>
      <c r="B31" s="55">
        <v>-8137.46</v>
      </c>
      <c r="C31" s="137">
        <f t="shared" si="0"/>
        <v>-3.4197414814861071E-3</v>
      </c>
      <c r="D31" s="55">
        <v>-6259.59</v>
      </c>
      <c r="E31" s="47">
        <f t="shared" si="1"/>
        <v>-3.4350347843923683E-3</v>
      </c>
      <c r="F31" s="91">
        <f t="shared" si="2"/>
        <v>0.29999888171589512</v>
      </c>
      <c r="G31" s="252">
        <f>B31</f>
        <v>-8137.46</v>
      </c>
    </row>
    <row r="32" spans="1:7" s="4" customFormat="1" ht="19.95" customHeight="1" x14ac:dyDescent="0.3">
      <c r="A32" s="79" t="s">
        <v>40</v>
      </c>
      <c r="B32" s="82">
        <f>B30+B31</f>
        <v>24165.630000000197</v>
      </c>
      <c r="C32" s="137">
        <f t="shared" si="0"/>
        <v>1.0155528547881746E-2</v>
      </c>
      <c r="D32" s="82">
        <f>D30+D31</f>
        <v>18778.719999999881</v>
      </c>
      <c r="E32" s="47">
        <f t="shared" si="1"/>
        <v>1.0305076914999902E-2</v>
      </c>
      <c r="F32" s="91">
        <f t="shared" si="2"/>
        <v>0.28686246985951919</v>
      </c>
      <c r="G32" s="254"/>
    </row>
    <row r="33" spans="1:8" s="4" customFormat="1" ht="19.95" hidden="1" customHeight="1" x14ac:dyDescent="0.3">
      <c r="A33" s="85" t="s">
        <v>41</v>
      </c>
      <c r="B33" s="55">
        <v>0</v>
      </c>
      <c r="C33" s="137">
        <f t="shared" si="0"/>
        <v>0</v>
      </c>
      <c r="D33" s="55">
        <v>0</v>
      </c>
      <c r="E33" s="47">
        <f t="shared" si="1"/>
        <v>0</v>
      </c>
      <c r="F33" s="91" t="e">
        <f t="shared" si="2"/>
        <v>#DIV/0!</v>
      </c>
      <c r="G33" s="252"/>
    </row>
    <row r="34" spans="1:8" s="4" customFormat="1" ht="19.95" customHeight="1" x14ac:dyDescent="0.3">
      <c r="A34" s="79" t="s">
        <v>165</v>
      </c>
      <c r="B34" s="82">
        <f>B32+B33</f>
        <v>24165.630000000197</v>
      </c>
      <c r="C34" s="137">
        <f t="shared" si="0"/>
        <v>1.0155528547881746E-2</v>
      </c>
      <c r="D34" s="82">
        <f>D32+D33</f>
        <v>18778.719999999881</v>
      </c>
      <c r="E34" s="47">
        <f t="shared" si="1"/>
        <v>1.0305076914999902E-2</v>
      </c>
      <c r="F34" s="91">
        <f t="shared" si="2"/>
        <v>0.28686246985951919</v>
      </c>
      <c r="G34" s="256"/>
    </row>
    <row r="35" spans="1:8" x14ac:dyDescent="0.3">
      <c r="A35" s="80"/>
      <c r="B35" s="83"/>
      <c r="C35" s="83"/>
      <c r="D35" s="83"/>
      <c r="E35" s="255" t="s">
        <v>247</v>
      </c>
      <c r="F35" s="255"/>
      <c r="G35" s="50">
        <f>SUM(G4:G24)</f>
        <v>109985.90000000021</v>
      </c>
      <c r="H35" s="68"/>
    </row>
    <row r="36" spans="1:8" x14ac:dyDescent="0.3">
      <c r="A36" s="80" t="s">
        <v>128</v>
      </c>
      <c r="B36" s="83">
        <f>B34-BalanceRM!B38</f>
        <v>1.964508555829525E-10</v>
      </c>
      <c r="C36" s="83"/>
      <c r="D36" s="83">
        <f>D34-BalanceRM!D38</f>
        <v>-1.2005330063402653E-10</v>
      </c>
      <c r="E36" s="279" t="s">
        <v>317</v>
      </c>
      <c r="F36" s="279"/>
      <c r="G36" s="50">
        <f>SUM(G4:G34)</f>
        <v>101848.44000000021</v>
      </c>
    </row>
    <row r="37" spans="1:8" x14ac:dyDescent="0.3">
      <c r="A37" s="80"/>
      <c r="B37" s="84"/>
      <c r="C37" s="84"/>
      <c r="D37" s="84"/>
      <c r="E37" s="80"/>
    </row>
    <row r="38" spans="1:8" x14ac:dyDescent="0.3">
      <c r="A38" s="80"/>
      <c r="B38" s="84"/>
      <c r="C38" s="84"/>
      <c r="D38" s="84"/>
      <c r="E38" s="80"/>
    </row>
    <row r="39" spans="1:8" x14ac:dyDescent="0.3">
      <c r="A39" s="80"/>
      <c r="B39" s="84"/>
      <c r="C39" s="84"/>
      <c r="D39" s="84"/>
      <c r="E39" s="80"/>
    </row>
    <row r="44" spans="1:8" ht="15" x14ac:dyDescent="0.3">
      <c r="A44" s="36"/>
      <c r="B44"/>
      <c r="C44"/>
      <c r="D44"/>
    </row>
  </sheetData>
  <mergeCells count="2">
    <mergeCell ref="E35:F35"/>
    <mergeCell ref="E36:F36"/>
  </mergeCells>
  <phoneticPr fontId="0" type="noConversion"/>
  <pageMargins left="0.70866141732283472" right="0.70866141732283472" top="0.43307086614173229" bottom="0.35433070866141736" header="0.31496062992125984" footer="0.31496062992125984"/>
  <pageSetup paperSize="9" scale="91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"/>
  <sheetViews>
    <sheetView zoomScale="95" workbookViewId="0">
      <selection activeCell="K15" sqref="K15"/>
    </sheetView>
  </sheetViews>
  <sheetFormatPr baseColWidth="10" defaultColWidth="11.44140625" defaultRowHeight="14.4" x14ac:dyDescent="0.3"/>
  <cols>
    <col min="1" max="1" width="69.109375" customWidth="1"/>
    <col min="2" max="2" width="15.5546875" bestFit="1" customWidth="1"/>
    <col min="3" max="3" width="8.6640625" style="3" customWidth="1"/>
    <col min="4" max="4" width="13.6640625" bestFit="1" customWidth="1"/>
    <col min="5" max="5" width="8.6640625" style="5" customWidth="1"/>
    <col min="6" max="6" width="13.33203125" style="5" bestFit="1" customWidth="1"/>
    <col min="7" max="7" width="17" customWidth="1"/>
    <col min="8" max="8" width="19.5546875" customWidth="1"/>
    <col min="9" max="9" width="15.5546875" customWidth="1"/>
    <col min="10" max="10" width="19.21875" customWidth="1"/>
  </cols>
  <sheetData>
    <row r="1" spans="1:11" ht="36" customHeight="1" x14ac:dyDescent="0.3">
      <c r="A1" s="8" t="s">
        <v>144</v>
      </c>
    </row>
    <row r="2" spans="1:11" ht="40.5" customHeight="1" x14ac:dyDescent="0.3">
      <c r="A2" s="40" t="s">
        <v>130</v>
      </c>
      <c r="B2" s="41">
        <v>43830</v>
      </c>
      <c r="C2" s="42" t="s">
        <v>129</v>
      </c>
      <c r="D2" s="41">
        <v>43465</v>
      </c>
      <c r="E2" s="42" t="s">
        <v>129</v>
      </c>
      <c r="F2" s="43" t="s">
        <v>131</v>
      </c>
      <c r="G2" s="43" t="s">
        <v>207</v>
      </c>
      <c r="H2" s="43" t="s">
        <v>208</v>
      </c>
      <c r="I2" s="43" t="s">
        <v>212</v>
      </c>
      <c r="J2" s="43" t="s">
        <v>213</v>
      </c>
    </row>
    <row r="3" spans="1:11" s="4" customFormat="1" ht="20.100000000000001" customHeight="1" x14ac:dyDescent="0.3">
      <c r="A3" s="13" t="s">
        <v>43</v>
      </c>
      <c r="B3" s="55">
        <v>2379554.14</v>
      </c>
      <c r="C3" s="10">
        <f>B3/B$6</f>
        <v>1.0129220801781673</v>
      </c>
      <c r="D3" s="55">
        <v>1822278.49</v>
      </c>
      <c r="E3" s="10">
        <f>D3/D$6</f>
        <v>0.95744116181925476</v>
      </c>
      <c r="F3" s="10">
        <f t="shared" ref="F3:F20" si="0">(B3-D3)/D3</f>
        <v>0.30581255996716517</v>
      </c>
      <c r="G3" s="183">
        <f>B3</f>
        <v>2379554.14</v>
      </c>
      <c r="H3" s="175"/>
      <c r="I3" s="183">
        <f>D3</f>
        <v>1822278.49</v>
      </c>
      <c r="J3" s="175"/>
    </row>
    <row r="4" spans="1:11" s="4" customFormat="1" ht="20.100000000000001" customHeight="1" x14ac:dyDescent="0.3">
      <c r="A4" s="14" t="s">
        <v>44</v>
      </c>
      <c r="B4" s="55">
        <v>14643.48</v>
      </c>
      <c r="C4" s="10">
        <f>B4/B$6</f>
        <v>6.2333964053649937E-3</v>
      </c>
      <c r="D4" s="55">
        <v>36001.379999999997</v>
      </c>
      <c r="E4" s="10">
        <f>D4/D$6</f>
        <v>1.8915442004858698E-2</v>
      </c>
      <c r="F4" s="38">
        <f t="shared" si="0"/>
        <v>-0.59325225866341791</v>
      </c>
      <c r="G4" s="77">
        <f>B4</f>
        <v>14643.48</v>
      </c>
      <c r="H4" s="176"/>
      <c r="I4" s="77">
        <f>D4</f>
        <v>36001.379999999997</v>
      </c>
      <c r="J4" s="176"/>
    </row>
    <row r="5" spans="1:11" s="4" customFormat="1" ht="20.100000000000001" customHeight="1" x14ac:dyDescent="0.3">
      <c r="A5" s="14" t="s">
        <v>132</v>
      </c>
      <c r="B5" s="55">
        <v>-45000</v>
      </c>
      <c r="C5" s="38">
        <f>B5/B$6</f>
        <v>-1.915547658353238E-2</v>
      </c>
      <c r="D5" s="55">
        <v>45000</v>
      </c>
      <c r="E5" s="38">
        <f>D5/D$6</f>
        <v>2.3643396175886629E-2</v>
      </c>
      <c r="F5" s="38">
        <f t="shared" si="0"/>
        <v>-2</v>
      </c>
      <c r="G5" s="176"/>
      <c r="H5" s="77">
        <f>B5</f>
        <v>-45000</v>
      </c>
      <c r="I5" s="176"/>
      <c r="J5" s="77">
        <f>D5</f>
        <v>45000</v>
      </c>
    </row>
    <row r="6" spans="1:11" s="4" customFormat="1" ht="20.100000000000001" customHeight="1" x14ac:dyDescent="0.3">
      <c r="A6" s="117" t="s">
        <v>61</v>
      </c>
      <c r="B6" s="115">
        <f>SUM(B3:B5)</f>
        <v>2349197.62</v>
      </c>
      <c r="C6" s="116">
        <f>B6/B$6</f>
        <v>1</v>
      </c>
      <c r="D6" s="115">
        <f>SUM(D3:D5)</f>
        <v>1903279.8699999999</v>
      </c>
      <c r="E6" s="116">
        <f>D6/D$6</f>
        <v>1</v>
      </c>
      <c r="F6" s="116">
        <f t="shared" si="0"/>
        <v>0.23428911166911057</v>
      </c>
      <c r="G6" s="181"/>
      <c r="H6" s="181"/>
      <c r="I6" s="181"/>
      <c r="J6" s="181"/>
    </row>
    <row r="7" spans="1:11" s="4" customFormat="1" ht="20.100000000000001" customHeight="1" x14ac:dyDescent="0.3">
      <c r="A7" s="118" t="s">
        <v>45</v>
      </c>
      <c r="B7" s="119">
        <v>-1136973.98</v>
      </c>
      <c r="C7" s="120">
        <f t="shared" ref="C7:E29" si="1">B7/B$6</f>
        <v>-0.48398396555501361</v>
      </c>
      <c r="D7" s="119">
        <v>-863949.05</v>
      </c>
      <c r="E7" s="120">
        <f t="shared" si="1"/>
        <v>-0.45392643699846419</v>
      </c>
      <c r="F7" s="121">
        <f t="shared" si="0"/>
        <v>0.31601971204204682</v>
      </c>
      <c r="G7" s="184">
        <f>B7</f>
        <v>-1136973.98</v>
      </c>
      <c r="H7" s="179"/>
      <c r="I7" s="184">
        <f>D7</f>
        <v>-863949.05</v>
      </c>
      <c r="J7" s="179"/>
    </row>
    <row r="8" spans="1:11" s="4" customFormat="1" ht="20.100000000000001" customHeight="1" x14ac:dyDescent="0.3">
      <c r="A8" s="118" t="s">
        <v>46</v>
      </c>
      <c r="B8" s="122">
        <v>-378221.91</v>
      </c>
      <c r="C8" s="120">
        <f t="shared" si="1"/>
        <v>-0.16100046534186424</v>
      </c>
      <c r="D8" s="122">
        <v>-265181.26</v>
      </c>
      <c r="E8" s="120">
        <f t="shared" si="1"/>
        <v>-0.1393285686355733</v>
      </c>
      <c r="F8" s="121">
        <f t="shared" si="0"/>
        <v>0.42627691715470378</v>
      </c>
      <c r="G8" s="184">
        <f>B8</f>
        <v>-378221.91</v>
      </c>
      <c r="H8" s="179"/>
      <c r="I8" s="184">
        <f>D8</f>
        <v>-265181.26</v>
      </c>
      <c r="J8" s="179"/>
      <c r="K8" s="4" t="s">
        <v>183</v>
      </c>
    </row>
    <row r="9" spans="1:11" s="4" customFormat="1" ht="20.100000000000001" customHeight="1" x14ac:dyDescent="0.3">
      <c r="A9" s="9" t="s">
        <v>181</v>
      </c>
      <c r="B9" s="56">
        <f>SUM(B6:B8)</f>
        <v>834001.73000000021</v>
      </c>
      <c r="C9" s="11">
        <f t="shared" si="1"/>
        <v>0.35501556910312221</v>
      </c>
      <c r="D9" s="56">
        <f>SUM(D6:D8)</f>
        <v>774149.55999999982</v>
      </c>
      <c r="E9" s="11">
        <f t="shared" si="1"/>
        <v>0.40674499436596251</v>
      </c>
      <c r="F9" s="11">
        <f t="shared" si="0"/>
        <v>7.7313445737798261E-2</v>
      </c>
      <c r="G9" s="181"/>
      <c r="H9" s="181"/>
      <c r="I9" s="181"/>
      <c r="J9" s="181"/>
    </row>
    <row r="10" spans="1:11" s="4" customFormat="1" ht="20.100000000000001" customHeight="1" x14ac:dyDescent="0.3">
      <c r="A10" s="118" t="s">
        <v>47</v>
      </c>
      <c r="B10" s="122">
        <v>-744330.83</v>
      </c>
      <c r="C10" s="120">
        <f t="shared" si="1"/>
        <v>-0.31684470632147155</v>
      </c>
      <c r="D10" s="122">
        <v>-682120.81</v>
      </c>
      <c r="E10" s="120">
        <f t="shared" si="1"/>
        <v>-0.35839227890325981</v>
      </c>
      <c r="F10" s="120">
        <f t="shared" si="0"/>
        <v>9.1200882729263008E-2</v>
      </c>
      <c r="G10" s="185">
        <f>B10</f>
        <v>-744330.83</v>
      </c>
      <c r="H10" s="180"/>
      <c r="I10" s="185">
        <f>D10</f>
        <v>-682120.81</v>
      </c>
      <c r="J10" s="180"/>
    </row>
    <row r="11" spans="1:11" s="4" customFormat="1" ht="20.100000000000001" customHeight="1" x14ac:dyDescent="0.3">
      <c r="A11" s="123" t="s">
        <v>106</v>
      </c>
      <c r="B11" s="124">
        <f>B9+B10</f>
        <v>89670.900000000256</v>
      </c>
      <c r="C11" s="125">
        <f t="shared" si="1"/>
        <v>3.8170862781650633E-2</v>
      </c>
      <c r="D11" s="124">
        <f>D9+D10</f>
        <v>92028.749999999767</v>
      </c>
      <c r="E11" s="125">
        <f t="shared" si="1"/>
        <v>4.8352715462702693E-2</v>
      </c>
      <c r="F11" s="126">
        <f t="shared" si="0"/>
        <v>-2.5620797848493183E-2</v>
      </c>
      <c r="G11" s="182"/>
      <c r="H11" s="182"/>
      <c r="I11" s="182"/>
      <c r="J11" s="182"/>
    </row>
    <row r="12" spans="1:11" s="4" customFormat="1" ht="20.100000000000001" customHeight="1" x14ac:dyDescent="0.3">
      <c r="A12" s="14" t="s">
        <v>48</v>
      </c>
      <c r="B12" s="55">
        <v>-48188.14</v>
      </c>
      <c r="C12" s="38">
        <f t="shared" si="1"/>
        <v>-2.0512595274977334E-2</v>
      </c>
      <c r="D12" s="55">
        <v>-59084.44</v>
      </c>
      <c r="E12" s="38">
        <f t="shared" si="1"/>
        <v>-3.1043484950008957E-2</v>
      </c>
      <c r="F12" s="38">
        <f t="shared" si="0"/>
        <v>-0.18441911271393963</v>
      </c>
      <c r="G12" s="180"/>
      <c r="H12" s="185">
        <f>B12</f>
        <v>-48188.14</v>
      </c>
      <c r="I12" s="180"/>
      <c r="J12" s="185">
        <f>D12</f>
        <v>-59084.44</v>
      </c>
    </row>
    <row r="13" spans="1:11" s="4" customFormat="1" ht="20.100000000000001" hidden="1" customHeight="1" x14ac:dyDescent="0.3">
      <c r="A13" s="15" t="s">
        <v>49</v>
      </c>
      <c r="B13" s="55"/>
      <c r="C13" s="37">
        <f t="shared" si="1"/>
        <v>0</v>
      </c>
      <c r="D13" s="55"/>
      <c r="E13" s="37">
        <f t="shared" si="1"/>
        <v>0</v>
      </c>
      <c r="F13" s="10" t="e">
        <f t="shared" si="0"/>
        <v>#DIV/0!</v>
      </c>
      <c r="G13" s="175"/>
      <c r="H13" s="175"/>
      <c r="I13" s="175"/>
      <c r="J13" s="175"/>
    </row>
    <row r="14" spans="1:11" s="4" customFormat="1" ht="20.100000000000001" customHeight="1" x14ac:dyDescent="0.3">
      <c r="A14" s="9" t="s">
        <v>62</v>
      </c>
      <c r="B14" s="56">
        <f>SUM(B11:B13)</f>
        <v>41482.760000000257</v>
      </c>
      <c r="C14" s="11">
        <f t="shared" si="1"/>
        <v>1.7658267506673302E-2</v>
      </c>
      <c r="D14" s="56">
        <f>SUM(D11:D13)</f>
        <v>32944.309999999765</v>
      </c>
      <c r="E14" s="11">
        <f t="shared" si="1"/>
        <v>1.7309230512693737E-2</v>
      </c>
      <c r="F14" s="39">
        <f t="shared" si="0"/>
        <v>0.25917829209355281</v>
      </c>
      <c r="G14" s="182"/>
      <c r="H14" s="182"/>
      <c r="I14" s="182"/>
      <c r="J14" s="182"/>
    </row>
    <row r="15" spans="1:11" s="4" customFormat="1" ht="20.100000000000001" customHeight="1" x14ac:dyDescent="0.3">
      <c r="A15" s="14" t="s">
        <v>50</v>
      </c>
      <c r="B15" s="55">
        <v>344.06</v>
      </c>
      <c r="C15" s="10">
        <f t="shared" si="1"/>
        <v>1.4645851718511445E-4</v>
      </c>
      <c r="D15" s="55">
        <v>846.63</v>
      </c>
      <c r="E15" s="44">
        <f t="shared" si="1"/>
        <v>4.4482685565313108E-4</v>
      </c>
      <c r="F15" s="38">
        <f t="shared" si="0"/>
        <v>-0.59361232179346346</v>
      </c>
      <c r="G15" s="77">
        <f>B15</f>
        <v>344.06</v>
      </c>
      <c r="H15" s="176"/>
      <c r="I15" s="77">
        <f>D15</f>
        <v>846.63</v>
      </c>
      <c r="J15" s="176"/>
    </row>
    <row r="16" spans="1:11" s="4" customFormat="1" ht="20.100000000000001" customHeight="1" x14ac:dyDescent="0.3">
      <c r="A16" s="14" t="s">
        <v>51</v>
      </c>
      <c r="B16" s="55">
        <v>-10385.58</v>
      </c>
      <c r="C16" s="38">
        <f t="shared" si="1"/>
        <v>-4.4209052110311606E-3</v>
      </c>
      <c r="D16" s="55">
        <v>-11526.92</v>
      </c>
      <c r="E16" s="38">
        <f t="shared" si="1"/>
        <v>-6.0563452499500245E-3</v>
      </c>
      <c r="F16" s="38">
        <f t="shared" si="0"/>
        <v>-9.9015174912292281E-2</v>
      </c>
      <c r="G16" s="77">
        <f>B16</f>
        <v>-10385.58</v>
      </c>
      <c r="H16" s="176"/>
      <c r="I16" s="77">
        <f>D16</f>
        <v>-11526.92</v>
      </c>
      <c r="J16" s="176"/>
    </row>
    <row r="17" spans="1:10" s="4" customFormat="1" ht="20.100000000000001" customHeight="1" x14ac:dyDescent="0.3">
      <c r="A17" s="13" t="s">
        <v>53</v>
      </c>
      <c r="B17" s="55">
        <v>0</v>
      </c>
      <c r="C17" s="38">
        <f>B17/B$6</f>
        <v>0</v>
      </c>
      <c r="D17" s="55">
        <v>-513.46</v>
      </c>
      <c r="E17" s="37">
        <f>D17/D$6</f>
        <v>-2.6977640445490555E-4</v>
      </c>
      <c r="F17" s="58">
        <f t="shared" si="0"/>
        <v>-1</v>
      </c>
      <c r="G17" s="176"/>
      <c r="H17" s="77">
        <f>B17</f>
        <v>0</v>
      </c>
      <c r="I17" s="176"/>
      <c r="J17" s="77">
        <f>D17</f>
        <v>-513.46</v>
      </c>
    </row>
    <row r="18" spans="1:10" s="4" customFormat="1" ht="20.100000000000001" hidden="1" customHeight="1" x14ac:dyDescent="0.3">
      <c r="A18" s="14" t="s">
        <v>52</v>
      </c>
      <c r="B18" s="55"/>
      <c r="C18" s="44">
        <f t="shared" si="1"/>
        <v>0</v>
      </c>
      <c r="D18" s="55"/>
      <c r="E18" s="44">
        <f t="shared" si="1"/>
        <v>0</v>
      </c>
      <c r="F18" s="10" t="e">
        <f t="shared" si="0"/>
        <v>#DIV/0!</v>
      </c>
      <c r="G18" s="175"/>
      <c r="H18" s="175"/>
      <c r="I18" s="175"/>
      <c r="J18" s="175"/>
    </row>
    <row r="19" spans="1:10" s="4" customFormat="1" ht="20.100000000000001" customHeight="1" x14ac:dyDescent="0.3">
      <c r="A19" s="9" t="s">
        <v>63</v>
      </c>
      <c r="B19" s="56">
        <f>SUM(B14:B18)</f>
        <v>31441.240000000253</v>
      </c>
      <c r="C19" s="11">
        <f t="shared" si="1"/>
        <v>1.3383820812827255E-2</v>
      </c>
      <c r="D19" s="56">
        <f>SUM(D14:D18)</f>
        <v>21750.559999999765</v>
      </c>
      <c r="E19" s="11">
        <f t="shared" si="1"/>
        <v>1.1427935713941937E-2</v>
      </c>
      <c r="F19" s="39">
        <f t="shared" si="0"/>
        <v>0.44553703444879544</v>
      </c>
      <c r="G19" s="182"/>
      <c r="H19" s="182"/>
      <c r="I19" s="182"/>
      <c r="J19" s="182"/>
    </row>
    <row r="20" spans="1:10" s="4" customFormat="1" ht="20.100000000000001" customHeight="1" x14ac:dyDescent="0.3">
      <c r="A20" s="13" t="s">
        <v>54</v>
      </c>
      <c r="B20" s="55">
        <v>959.99</v>
      </c>
      <c r="C20" s="44">
        <f t="shared" si="1"/>
        <v>4.0864591034278332E-4</v>
      </c>
      <c r="D20" s="55">
        <v>959.99</v>
      </c>
      <c r="E20" s="44">
        <f t="shared" si="1"/>
        <v>5.0438719766420902E-4</v>
      </c>
      <c r="F20" s="10">
        <f t="shared" si="0"/>
        <v>0</v>
      </c>
      <c r="G20" s="175"/>
      <c r="H20" s="183">
        <f>B20</f>
        <v>959.99</v>
      </c>
      <c r="I20" s="175"/>
      <c r="J20" s="183">
        <f>D20</f>
        <v>959.99</v>
      </c>
    </row>
    <row r="21" spans="1:10" s="4" customFormat="1" ht="20.100000000000001" hidden="1" customHeight="1" x14ac:dyDescent="0.3">
      <c r="A21" s="13" t="s">
        <v>55</v>
      </c>
      <c r="B21" s="55">
        <v>0</v>
      </c>
      <c r="C21" s="44">
        <f t="shared" si="1"/>
        <v>0</v>
      </c>
      <c r="D21" s="55">
        <v>0</v>
      </c>
      <c r="E21" s="44">
        <f t="shared" si="1"/>
        <v>0</v>
      </c>
      <c r="F21" s="10"/>
      <c r="G21" s="175"/>
      <c r="H21" s="175"/>
      <c r="I21" s="175"/>
      <c r="J21" s="175"/>
    </row>
    <row r="22" spans="1:10" s="4" customFormat="1" ht="20.100000000000001" customHeight="1" x14ac:dyDescent="0.3">
      <c r="A22" s="13" t="s">
        <v>56</v>
      </c>
      <c r="B22" s="55">
        <v>-603.25</v>
      </c>
      <c r="C22" s="37">
        <f t="shared" si="1"/>
        <v>-2.5678980553368684E-4</v>
      </c>
      <c r="D22" s="55">
        <v>0</v>
      </c>
      <c r="E22" s="37">
        <f t="shared" si="1"/>
        <v>0</v>
      </c>
      <c r="F22" s="59" t="s">
        <v>182</v>
      </c>
      <c r="G22" s="178"/>
      <c r="H22" s="186">
        <f>B22</f>
        <v>-603.25</v>
      </c>
      <c r="I22" s="178"/>
      <c r="J22" s="186">
        <f>D22</f>
        <v>0</v>
      </c>
    </row>
    <row r="23" spans="1:10" s="4" customFormat="1" ht="20.100000000000001" customHeight="1" x14ac:dyDescent="0.3">
      <c r="A23" s="13" t="s">
        <v>57</v>
      </c>
      <c r="B23" s="55">
        <v>0</v>
      </c>
      <c r="C23" s="57">
        <f t="shared" si="1"/>
        <v>0</v>
      </c>
      <c r="D23" s="55">
        <v>473.46</v>
      </c>
      <c r="E23" s="44">
        <f t="shared" si="1"/>
        <v>2.4876005229856185E-4</v>
      </c>
      <c r="F23" s="58">
        <f>(B23-D23)/D23</f>
        <v>-1</v>
      </c>
      <c r="G23" s="176"/>
      <c r="H23" s="77">
        <f>B23</f>
        <v>0</v>
      </c>
      <c r="I23" s="176"/>
      <c r="J23" s="77">
        <f>D23</f>
        <v>473.46</v>
      </c>
    </row>
    <row r="24" spans="1:10" s="4" customFormat="1" ht="20.100000000000001" customHeight="1" x14ac:dyDescent="0.3">
      <c r="A24" s="13" t="s">
        <v>58</v>
      </c>
      <c r="B24" s="55">
        <v>505.11</v>
      </c>
      <c r="C24" s="38">
        <f t="shared" si="1"/>
        <v>2.1501383949128978E-4</v>
      </c>
      <c r="D24" s="55">
        <v>1854.3</v>
      </c>
      <c r="E24" s="44">
        <f t="shared" si="1"/>
        <v>9.7426554508770174E-4</v>
      </c>
      <c r="F24" s="38">
        <f>(B24-D24)/D24</f>
        <v>-0.7276007118589225</v>
      </c>
      <c r="G24" s="77">
        <f>B24</f>
        <v>505.11</v>
      </c>
      <c r="H24" s="176"/>
      <c r="I24" s="77">
        <f>D24</f>
        <v>1854.3</v>
      </c>
      <c r="J24" s="176"/>
    </row>
    <row r="25" spans="1:10" s="4" customFormat="1" ht="20.100000000000001" customHeight="1" x14ac:dyDescent="0.3">
      <c r="A25" s="9" t="s">
        <v>64</v>
      </c>
      <c r="B25" s="56">
        <f>SUM(B19:B24)</f>
        <v>32303.090000000255</v>
      </c>
      <c r="C25" s="11">
        <f t="shared" si="1"/>
        <v>1.3750690757127641E-2</v>
      </c>
      <c r="D25" s="56">
        <f>SUM(D19:D24)</f>
        <v>25038.309999999765</v>
      </c>
      <c r="E25" s="11">
        <f t="shared" si="1"/>
        <v>1.315534850899241E-2</v>
      </c>
      <c r="F25" s="39">
        <f>(B25-D25)/D25</f>
        <v>0.29014657938177768</v>
      </c>
      <c r="G25" s="182"/>
      <c r="H25" s="187">
        <f>B25</f>
        <v>32303.090000000255</v>
      </c>
      <c r="I25" s="182"/>
      <c r="J25" s="187">
        <f>D25</f>
        <v>25038.309999999765</v>
      </c>
    </row>
    <row r="26" spans="1:10" s="4" customFormat="1" ht="20.100000000000001" customHeight="1" x14ac:dyDescent="0.3">
      <c r="A26" s="14" t="s">
        <v>59</v>
      </c>
      <c r="B26" s="55">
        <v>-8137.46</v>
      </c>
      <c r="C26" s="38">
        <f t="shared" si="1"/>
        <v>-3.4639316550984754E-3</v>
      </c>
      <c r="D26" s="55">
        <v>-6259.59</v>
      </c>
      <c r="E26" s="38">
        <f t="shared" si="1"/>
        <v>-3.2888436948581823E-3</v>
      </c>
      <c r="F26" s="38">
        <f>(B26-D26)/D26</f>
        <v>0.29999888171589512</v>
      </c>
      <c r="G26" s="77">
        <f>B26</f>
        <v>-8137.46</v>
      </c>
      <c r="H26" s="176"/>
      <c r="I26" s="77">
        <f>D26</f>
        <v>-6259.59</v>
      </c>
      <c r="J26" s="176"/>
    </row>
    <row r="27" spans="1:10" s="4" customFormat="1" ht="20.100000000000001" hidden="1" customHeight="1" x14ac:dyDescent="0.3">
      <c r="A27" s="9" t="s">
        <v>65</v>
      </c>
      <c r="B27" s="56">
        <f>B25+B26</f>
        <v>24165.630000000256</v>
      </c>
      <c r="C27" s="11">
        <f t="shared" si="1"/>
        <v>1.0286759102029166E-2</v>
      </c>
      <c r="D27" s="56">
        <f>D25+D26</f>
        <v>18778.719999999765</v>
      </c>
      <c r="E27" s="11">
        <f t="shared" si="1"/>
        <v>9.8665048141342269E-3</v>
      </c>
      <c r="F27" s="39">
        <f>(B27-D27)/D27</f>
        <v>0.28686246985953029</v>
      </c>
      <c r="G27" s="177"/>
      <c r="H27" s="177"/>
      <c r="I27" s="177"/>
      <c r="J27" s="177"/>
    </row>
    <row r="28" spans="1:10" s="4" customFormat="1" ht="20.100000000000001" hidden="1" customHeight="1" x14ac:dyDescent="0.3">
      <c r="A28" s="14" t="s">
        <v>60</v>
      </c>
      <c r="B28" s="55"/>
      <c r="C28" s="10">
        <f t="shared" si="1"/>
        <v>0</v>
      </c>
      <c r="D28" s="55"/>
      <c r="E28" s="10">
        <f t="shared" si="1"/>
        <v>0</v>
      </c>
      <c r="F28" s="10">
        <v>0</v>
      </c>
      <c r="G28" s="175"/>
      <c r="H28" s="175"/>
      <c r="I28" s="175"/>
      <c r="J28" s="175"/>
    </row>
    <row r="29" spans="1:10" s="4" customFormat="1" ht="20.100000000000001" customHeight="1" thickBot="1" x14ac:dyDescent="0.35">
      <c r="A29" s="117" t="s">
        <v>66</v>
      </c>
      <c r="B29" s="115">
        <f>B27+B28</f>
        <v>24165.630000000256</v>
      </c>
      <c r="C29" s="116">
        <f t="shared" si="1"/>
        <v>1.0286759102029166E-2</v>
      </c>
      <c r="D29" s="188">
        <f>D27+D28</f>
        <v>18778.719999999765</v>
      </c>
      <c r="E29" s="189">
        <f t="shared" si="1"/>
        <v>9.8665048141342269E-3</v>
      </c>
      <c r="F29" s="190">
        <f>(B29-D29)/D29</f>
        <v>0.28686246985953029</v>
      </c>
      <c r="G29" s="191"/>
      <c r="H29" s="191"/>
      <c r="I29" s="191"/>
      <c r="J29" s="191"/>
    </row>
    <row r="30" spans="1:10" ht="15" thickBot="1" x14ac:dyDescent="0.35">
      <c r="A30" s="1"/>
      <c r="B30" s="12"/>
      <c r="C30" s="12"/>
      <c r="D30" s="240" t="s">
        <v>209</v>
      </c>
      <c r="E30" s="241"/>
      <c r="F30" s="241"/>
      <c r="G30" s="193">
        <f>SUM(G3:G24)</f>
        <v>125134.49000000025</v>
      </c>
      <c r="H30" s="192">
        <f>H25-SUM(H3:H24)</f>
        <v>125134.49000000025</v>
      </c>
      <c r="I30" s="193">
        <f>SUM(I3:I24)</f>
        <v>38202.759999999769</v>
      </c>
      <c r="J30" s="192">
        <f>J25-SUM(J3:J24)</f>
        <v>38202.759999999769</v>
      </c>
    </row>
    <row r="31" spans="1:10" ht="15" customHeight="1" thickBot="1" x14ac:dyDescent="0.35">
      <c r="A31" s="80"/>
      <c r="B31" s="73"/>
      <c r="C31" s="73"/>
      <c r="D31" s="240" t="s">
        <v>210</v>
      </c>
      <c r="E31" s="241"/>
      <c r="F31" s="241"/>
      <c r="G31" s="193">
        <f>SUM(G3:G26)</f>
        <v>116997.03000000025</v>
      </c>
      <c r="H31" s="192">
        <f>H25-SUM(H3:H24)</f>
        <v>125134.49000000025</v>
      </c>
      <c r="I31" s="193">
        <f>SUM(I3:I26)</f>
        <v>31943.169999999769</v>
      </c>
      <c r="J31" s="192">
        <f>J25-SUM(J3:J24)</f>
        <v>38202.759999999769</v>
      </c>
    </row>
    <row r="33" spans="1:11" x14ac:dyDescent="0.3">
      <c r="A33" s="68" t="s">
        <v>190</v>
      </c>
      <c r="B33" s="68">
        <v>19.78</v>
      </c>
      <c r="C33" s="128"/>
      <c r="D33" s="68">
        <v>21.78</v>
      </c>
    </row>
    <row r="34" spans="1:11" ht="18" customHeight="1" x14ac:dyDescent="0.3">
      <c r="A34" s="68" t="s">
        <v>189</v>
      </c>
      <c r="B34" s="50">
        <v>37630.480000000003</v>
      </c>
      <c r="C34" s="128"/>
      <c r="D34" s="50">
        <v>31318.68</v>
      </c>
      <c r="G34" s="242" t="s">
        <v>211</v>
      </c>
      <c r="H34" s="242"/>
      <c r="I34" s="242"/>
      <c r="J34" s="242"/>
      <c r="K34" s="242"/>
    </row>
    <row r="35" spans="1:11" x14ac:dyDescent="0.3">
      <c r="A35" s="68" t="s">
        <v>184</v>
      </c>
      <c r="B35" s="50">
        <v>118766.31</v>
      </c>
      <c r="C35" s="128"/>
      <c r="D35" s="68">
        <v>87369.59</v>
      </c>
      <c r="G35" s="242"/>
      <c r="H35" s="242"/>
      <c r="I35" s="242"/>
      <c r="J35" s="242"/>
      <c r="K35" s="242"/>
    </row>
    <row r="36" spans="1:11" x14ac:dyDescent="0.3">
      <c r="G36" s="242"/>
      <c r="H36" s="242"/>
      <c r="I36" s="242"/>
      <c r="J36" s="242"/>
      <c r="K36" s="242"/>
    </row>
    <row r="37" spans="1:11" x14ac:dyDescent="0.3">
      <c r="G37" s="242"/>
      <c r="H37" s="242"/>
      <c r="I37" s="242"/>
      <c r="J37" s="242"/>
      <c r="K37" s="242"/>
    </row>
    <row r="38" spans="1:11" x14ac:dyDescent="0.3">
      <c r="A38" s="127" t="s">
        <v>185</v>
      </c>
      <c r="G38" s="242"/>
      <c r="H38" s="242"/>
      <c r="I38" s="242"/>
      <c r="J38" s="242"/>
      <c r="K38" s="242"/>
    </row>
    <row r="39" spans="1:11" x14ac:dyDescent="0.3">
      <c r="G39" s="242"/>
      <c r="H39" s="242"/>
      <c r="I39" s="242"/>
      <c r="J39" s="242"/>
      <c r="K39" s="242"/>
    </row>
    <row r="40" spans="1:11" x14ac:dyDescent="0.3">
      <c r="A40" t="s">
        <v>186</v>
      </c>
    </row>
    <row r="41" spans="1:11" x14ac:dyDescent="0.3">
      <c r="A41" t="s">
        <v>187</v>
      </c>
    </row>
  </sheetData>
  <mergeCells count="3">
    <mergeCell ref="D30:F30"/>
    <mergeCell ref="D31:F31"/>
    <mergeCell ref="G34:K39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54"/>
  <sheetViews>
    <sheetView tabSelected="1" topLeftCell="A16" zoomScale="68" zoomScaleNormal="85" workbookViewId="0">
      <selection activeCell="G6" sqref="G6"/>
    </sheetView>
  </sheetViews>
  <sheetFormatPr baseColWidth="10" defaultColWidth="11.44140625" defaultRowHeight="14.4" x14ac:dyDescent="0.3"/>
  <cols>
    <col min="1" max="1" width="6.33203125" customWidth="1"/>
    <col min="2" max="2" width="57.6640625" customWidth="1"/>
    <col min="3" max="3" width="17.6640625" customWidth="1"/>
    <col min="4" max="4" width="9" hidden="1" customWidth="1"/>
    <col min="5" max="5" width="15.5546875" customWidth="1"/>
    <col min="6" max="6" width="15.5546875" hidden="1" customWidth="1"/>
    <col min="7" max="7" width="21.33203125" customWidth="1"/>
    <col min="8" max="8" width="63.21875" customWidth="1"/>
    <col min="9" max="9" width="93" customWidth="1"/>
  </cols>
  <sheetData>
    <row r="1" spans="1:16" ht="30" customHeight="1" x14ac:dyDescent="0.3">
      <c r="A1" s="45"/>
      <c r="B1" s="89" t="str">
        <f>BalanceRM!A2</f>
        <v xml:space="preserve">ICR, S.A. </v>
      </c>
      <c r="C1" s="46"/>
      <c r="D1" s="46"/>
      <c r="E1" s="46"/>
      <c r="F1" s="46"/>
      <c r="G1" s="46"/>
    </row>
    <row r="2" spans="1:16" ht="30" customHeight="1" thickBot="1" x14ac:dyDescent="0.35">
      <c r="A2" s="45"/>
      <c r="B2" s="141" t="s">
        <v>76</v>
      </c>
      <c r="C2" s="142">
        <f>BalanceRM!B3</f>
        <v>43830</v>
      </c>
      <c r="D2" s="142"/>
      <c r="E2" s="142">
        <f>BalanceRM!D3</f>
        <v>43465</v>
      </c>
      <c r="F2" s="143"/>
      <c r="G2" s="144" t="s">
        <v>100</v>
      </c>
      <c r="H2" s="144" t="s">
        <v>193</v>
      </c>
      <c r="I2" s="144" t="s">
        <v>192</v>
      </c>
    </row>
    <row r="3" spans="1:16" ht="40.799999999999997" customHeight="1" thickBot="1" x14ac:dyDescent="0.35">
      <c r="A3" s="45"/>
      <c r="B3" s="206" t="s">
        <v>67</v>
      </c>
      <c r="C3" s="207">
        <f>BalanceRM!B71/(BalanceRM!B71+(BalanceRM!B5+BalanceRM!B6))</f>
        <v>0.96133479254497578</v>
      </c>
      <c r="D3" s="207">
        <f>BalanceRM!C71/(BalanceRM!C71+(BalanceRM!C5+BalanceRM!C6))</f>
        <v>0</v>
      </c>
      <c r="E3" s="207">
        <f>BalanceRM!D71/(BalanceRM!D71+(BalanceRM!D5+BalanceRM!D6))</f>
        <v>0.95156979247722362</v>
      </c>
      <c r="F3" s="208"/>
      <c r="G3" s="209">
        <f>(C3-E3)/E3</f>
        <v>1.0261990392035162E-2</v>
      </c>
      <c r="H3" s="167" t="s">
        <v>194</v>
      </c>
      <c r="I3" s="167"/>
      <c r="K3" s="138" t="s">
        <v>191</v>
      </c>
      <c r="L3" s="139"/>
      <c r="M3" s="139"/>
      <c r="N3" s="139"/>
      <c r="O3" s="139"/>
      <c r="P3" s="140"/>
    </row>
    <row r="4" spans="1:16" ht="49.8" customHeight="1" x14ac:dyDescent="0.3">
      <c r="A4" s="45"/>
      <c r="B4" s="206" t="s">
        <v>68</v>
      </c>
      <c r="C4" s="210">
        <f>BalanceRM!B54/BalanceRM!B26</f>
        <v>3.2689387204696696</v>
      </c>
      <c r="D4" s="210"/>
      <c r="E4" s="210">
        <f>BalanceRM!D54/BalanceRM!D26</f>
        <v>3.4906243209852295</v>
      </c>
      <c r="F4" s="211"/>
      <c r="G4" s="209">
        <f>(C4-E4)/E4</f>
        <v>-6.3508868365699425E-2</v>
      </c>
      <c r="H4" s="167" t="s">
        <v>195</v>
      </c>
      <c r="I4" s="168"/>
    </row>
    <row r="5" spans="1:16" ht="30" customHeight="1" x14ac:dyDescent="0.3">
      <c r="A5" s="45"/>
      <c r="B5" s="206" t="s">
        <v>69</v>
      </c>
      <c r="C5" s="210">
        <f>BalanceRM!B43/BalanceRM!B54</f>
        <v>0</v>
      </c>
      <c r="D5" s="210"/>
      <c r="E5" s="210">
        <v>0</v>
      </c>
      <c r="F5" s="211"/>
      <c r="G5" s="209">
        <v>0</v>
      </c>
      <c r="H5" s="167" t="s">
        <v>196</v>
      </c>
      <c r="I5" s="168"/>
    </row>
    <row r="6" spans="1:16" ht="30" customHeight="1" x14ac:dyDescent="0.3">
      <c r="A6" s="45"/>
      <c r="B6" s="206" t="s">
        <v>70</v>
      </c>
      <c r="C6" s="210">
        <f>BalanceRM!B23/BalanceRM!B54</f>
        <v>1.3059096806367552</v>
      </c>
      <c r="D6" s="210"/>
      <c r="E6" s="210">
        <f>BalanceRM!D23/BalanceRM!D54</f>
        <v>1.2864817029974025</v>
      </c>
      <c r="F6" s="211"/>
      <c r="G6" s="209">
        <f t="shared" ref="G6:G12" si="0">(C6-E6)/E6</f>
        <v>1.5101635409261545E-2</v>
      </c>
      <c r="H6" s="167" t="s">
        <v>197</v>
      </c>
      <c r="I6" s="168"/>
    </row>
    <row r="7" spans="1:16" ht="30" customHeight="1" x14ac:dyDescent="0.3">
      <c r="A7" s="45"/>
      <c r="B7" s="206" t="s">
        <v>71</v>
      </c>
      <c r="C7" s="210">
        <f>BalanceRM!B12/BalanceRM!B54</f>
        <v>1.1412652590255312</v>
      </c>
      <c r="D7" s="210"/>
      <c r="E7" s="210">
        <f>BalanceRM!D12/BalanceRM!D54</f>
        <v>1.1066819681414575</v>
      </c>
      <c r="F7" s="211"/>
      <c r="G7" s="209">
        <f t="shared" si="0"/>
        <v>3.1249529566432104E-2</v>
      </c>
      <c r="H7" s="167" t="s">
        <v>198</v>
      </c>
      <c r="I7" s="168"/>
    </row>
    <row r="8" spans="1:16" ht="46.8" customHeight="1" x14ac:dyDescent="0.3">
      <c r="A8" s="45"/>
      <c r="B8" s="206" t="s">
        <v>72</v>
      </c>
      <c r="C8" s="212">
        <f>BalanceRM!B12-BalanceRM!B54</f>
        <v>180589.44999999995</v>
      </c>
      <c r="D8" s="212"/>
      <c r="E8" s="212">
        <f>BalanceRM!D12-BalanceRM!D54</f>
        <v>143566.6100000001</v>
      </c>
      <c r="F8" s="213"/>
      <c r="G8" s="209">
        <f t="shared" si="0"/>
        <v>0.25787918235305429</v>
      </c>
      <c r="H8" s="167" t="s">
        <v>199</v>
      </c>
      <c r="I8" s="167"/>
    </row>
    <row r="9" spans="1:16" ht="42.6" customHeight="1" x14ac:dyDescent="0.3">
      <c r="A9" s="45"/>
      <c r="B9" s="206" t="s">
        <v>73</v>
      </c>
      <c r="C9" s="212">
        <f>(BalanceRM!B15+BalanceRM!B14+BalanceRM!B21)-(BalanceRM!B62)</f>
        <v>854921.41</v>
      </c>
      <c r="D9" s="212"/>
      <c r="E9" s="212">
        <f>(BalanceRM!D14+BalanceRM!D15+BalanceRM!D21)-(BalanceRM!D62)</f>
        <v>1009599.18</v>
      </c>
      <c r="F9" s="213"/>
      <c r="G9" s="209">
        <f t="shared" si="0"/>
        <v>-0.15320710739879961</v>
      </c>
      <c r="H9" s="167" t="s">
        <v>200</v>
      </c>
      <c r="I9" s="167"/>
    </row>
    <row r="10" spans="1:16" ht="41.4" customHeight="1" x14ac:dyDescent="0.3">
      <c r="A10" s="45"/>
      <c r="B10" s="206" t="s">
        <v>74</v>
      </c>
      <c r="C10" s="212">
        <f>C8-C9</f>
        <v>-674331.96000000008</v>
      </c>
      <c r="D10" s="212">
        <f t="shared" ref="D10:E10" si="1">D8-D9</f>
        <v>0</v>
      </c>
      <c r="E10" s="212">
        <f t="shared" si="1"/>
        <v>-866032.57</v>
      </c>
      <c r="F10" s="213"/>
      <c r="G10" s="209">
        <f t="shared" si="0"/>
        <v>-0.2213549658992616</v>
      </c>
      <c r="H10" s="167" t="s">
        <v>201</v>
      </c>
      <c r="I10" s="167"/>
    </row>
    <row r="11" spans="1:16" ht="62.4" customHeight="1" x14ac:dyDescent="0.3">
      <c r="A11" s="45"/>
      <c r="B11" s="146" t="s">
        <v>174</v>
      </c>
      <c r="C11" s="152">
        <f>'PyG funcional'!G30</f>
        <v>125134.49000000025</v>
      </c>
      <c r="D11" s="152"/>
      <c r="E11" s="152">
        <f>'PyG funcional'!I30</f>
        <v>38202.759999999769</v>
      </c>
      <c r="F11" s="153"/>
      <c r="G11" s="150">
        <f t="shared" si="0"/>
        <v>2.2755353278140373</v>
      </c>
      <c r="H11" s="167" t="s">
        <v>214</v>
      </c>
      <c r="I11" s="167"/>
    </row>
    <row r="12" spans="1:16" ht="47.4" customHeight="1" x14ac:dyDescent="0.3">
      <c r="A12" s="45"/>
      <c r="B12" s="146" t="s">
        <v>175</v>
      </c>
      <c r="C12" s="152">
        <f>'PyG funcional'!G31</f>
        <v>116997.03000000025</v>
      </c>
      <c r="D12" s="152"/>
      <c r="E12" s="152">
        <f>'PyG funcional'!I31</f>
        <v>31943.169999999769</v>
      </c>
      <c r="F12" s="153"/>
      <c r="G12" s="150">
        <f t="shared" si="0"/>
        <v>2.6626618460222042</v>
      </c>
      <c r="H12" s="167" t="s">
        <v>214</v>
      </c>
      <c r="I12" s="169"/>
    </row>
    <row r="13" spans="1:16" ht="44.4" customHeight="1" x14ac:dyDescent="0.3">
      <c r="A13" s="45"/>
      <c r="B13" s="145" t="s">
        <v>176</v>
      </c>
      <c r="C13" s="152">
        <f>C12-(C9-E9)</f>
        <v>271674.80000000028</v>
      </c>
      <c r="D13" s="152"/>
      <c r="E13" s="152" t="s">
        <v>234</v>
      </c>
      <c r="F13" s="153"/>
      <c r="G13" s="150" t="s">
        <v>235</v>
      </c>
      <c r="H13" s="194" t="s">
        <v>217</v>
      </c>
      <c r="I13" s="168" t="s">
        <v>215</v>
      </c>
      <c r="J13" s="243" t="s">
        <v>216</v>
      </c>
      <c r="K13" s="244"/>
      <c r="L13" s="244"/>
    </row>
    <row r="14" spans="1:16" ht="57.6" customHeight="1" x14ac:dyDescent="0.3">
      <c r="A14" s="45"/>
      <c r="B14" s="145" t="s">
        <v>170</v>
      </c>
      <c r="C14" s="195">
        <f>C11/BalanceRM!B57</f>
        <v>0.17500057723085216</v>
      </c>
      <c r="D14" s="154"/>
      <c r="E14" s="195">
        <f>E11/BalanceRM!D57</f>
        <v>4.2053839975189335E-2</v>
      </c>
      <c r="F14" s="155"/>
      <c r="G14" s="150">
        <f t="shared" ref="G14:G33" si="2">(C14-E14)/E14</f>
        <v>3.1613459635100605</v>
      </c>
      <c r="H14" s="167" t="s">
        <v>218</v>
      </c>
      <c r="I14" s="167"/>
    </row>
    <row r="15" spans="1:16" ht="46.8" customHeight="1" x14ac:dyDescent="0.3">
      <c r="A15" s="45"/>
      <c r="B15" s="145" t="s">
        <v>171</v>
      </c>
      <c r="C15" s="195">
        <f>C12/BalanceRM!B57</f>
        <v>0.16362033987828078</v>
      </c>
      <c r="D15" s="195"/>
      <c r="E15" s="195">
        <f>E12/BalanceRM!D57</f>
        <v>3.5163243689206411E-2</v>
      </c>
      <c r="F15" s="155"/>
      <c r="G15" s="150">
        <f t="shared" si="2"/>
        <v>3.6531640062689981</v>
      </c>
      <c r="H15" s="167" t="s">
        <v>219</v>
      </c>
      <c r="I15" s="167"/>
    </row>
    <row r="16" spans="1:16" ht="42.6" customHeight="1" x14ac:dyDescent="0.3">
      <c r="A16" s="45"/>
      <c r="B16" s="145" t="s">
        <v>172</v>
      </c>
      <c r="C16" s="195">
        <f>ABS(C13)/BalanceRM!B57</f>
        <v>0.37993719252842495</v>
      </c>
      <c r="D16" s="154"/>
      <c r="E16" s="156" t="s">
        <v>234</v>
      </c>
      <c r="F16" s="157"/>
      <c r="G16" s="150" t="s">
        <v>235</v>
      </c>
      <c r="H16" s="167" t="s">
        <v>220</v>
      </c>
      <c r="I16" s="167"/>
    </row>
    <row r="17" spans="1:9" ht="52.8" customHeight="1" x14ac:dyDescent="0.3">
      <c r="A17" s="45"/>
      <c r="B17" s="145" t="s">
        <v>167</v>
      </c>
      <c r="C17" s="196">
        <f>C11/(BalanceRM!B57)</f>
        <v>0.17500057723085216</v>
      </c>
      <c r="D17" s="196"/>
      <c r="E17" s="196">
        <v>4.2000000000000003E-2</v>
      </c>
      <c r="F17" s="159"/>
      <c r="G17" s="150">
        <f t="shared" si="2"/>
        <v>3.1666804102583845</v>
      </c>
      <c r="H17" s="167" t="s">
        <v>221</v>
      </c>
      <c r="I17" s="167"/>
    </row>
    <row r="18" spans="1:9" ht="55.8" customHeight="1" x14ac:dyDescent="0.3">
      <c r="A18" s="45"/>
      <c r="B18" s="145" t="s">
        <v>168</v>
      </c>
      <c r="C18" s="196">
        <v>0.16400000000000001</v>
      </c>
      <c r="D18" s="196"/>
      <c r="E18" s="196">
        <v>3.5000000000000003E-2</v>
      </c>
      <c r="F18" s="159"/>
      <c r="G18" s="150">
        <f t="shared" si="2"/>
        <v>3.6857142857142855</v>
      </c>
      <c r="H18" s="167" t="s">
        <v>221</v>
      </c>
      <c r="I18" s="167"/>
    </row>
    <row r="19" spans="1:9" ht="51.75" customHeight="1" x14ac:dyDescent="0.3">
      <c r="A19" s="45"/>
      <c r="B19" s="145" t="s">
        <v>169</v>
      </c>
      <c r="C19" s="196">
        <v>5.2999999999999999E-2</v>
      </c>
      <c r="D19" s="196"/>
      <c r="E19" s="196"/>
      <c r="F19" s="159"/>
      <c r="G19" s="150"/>
      <c r="H19" s="167" t="s">
        <v>221</v>
      </c>
      <c r="I19" s="167"/>
    </row>
    <row r="20" spans="1:9" ht="48" customHeight="1" x14ac:dyDescent="0.3">
      <c r="A20" s="45"/>
      <c r="B20" s="146" t="s">
        <v>173</v>
      </c>
      <c r="C20" s="197">
        <f>(C18)^-1</f>
        <v>6.0975609756097562</v>
      </c>
      <c r="D20" s="197" t="e">
        <f t="shared" ref="D20:E20" si="3">(D18)^-1</f>
        <v>#DIV/0!</v>
      </c>
      <c r="E20" s="197">
        <f t="shared" si="3"/>
        <v>28.571428571428569</v>
      </c>
      <c r="F20" s="159"/>
      <c r="G20" s="150">
        <f t="shared" si="2"/>
        <v>-0.78658536585365857</v>
      </c>
      <c r="H20" s="167" t="s">
        <v>222</v>
      </c>
      <c r="I20" s="167"/>
    </row>
    <row r="21" spans="1:9" ht="42" customHeight="1" x14ac:dyDescent="0.3">
      <c r="A21" s="45"/>
      <c r="B21" s="145" t="s">
        <v>177</v>
      </c>
      <c r="C21" s="158">
        <f>(C19)^-1</f>
        <v>18.867924528301888</v>
      </c>
      <c r="D21" s="158"/>
      <c r="E21" s="158"/>
      <c r="F21" s="159"/>
      <c r="G21" s="150"/>
      <c r="H21" s="167" t="s">
        <v>223</v>
      </c>
      <c r="I21" s="167"/>
    </row>
    <row r="22" spans="1:9" ht="42" customHeight="1" x14ac:dyDescent="0.3">
      <c r="A22" s="45"/>
      <c r="B22" s="198" t="s">
        <v>127</v>
      </c>
      <c r="C22" s="214"/>
      <c r="D22" s="214"/>
      <c r="E22" s="214"/>
      <c r="F22" s="215"/>
      <c r="G22" s="150"/>
      <c r="H22" s="166"/>
      <c r="I22" s="169"/>
    </row>
    <row r="23" spans="1:9" ht="44.4" customHeight="1" x14ac:dyDescent="0.3">
      <c r="A23" s="45"/>
      <c r="B23" s="198" t="s">
        <v>77</v>
      </c>
      <c r="C23" s="216"/>
      <c r="D23" s="216"/>
      <c r="E23" s="216"/>
      <c r="F23" s="217"/>
      <c r="G23" s="150"/>
      <c r="H23" s="166"/>
      <c r="I23" s="169"/>
    </row>
    <row r="24" spans="1:9" ht="49.8" customHeight="1" x14ac:dyDescent="0.3">
      <c r="A24" s="45"/>
      <c r="B24" s="198" t="s">
        <v>78</v>
      </c>
      <c r="C24" s="214"/>
      <c r="D24" s="216"/>
      <c r="E24" s="216"/>
      <c r="F24" s="217"/>
      <c r="G24" s="150"/>
      <c r="H24" s="166"/>
      <c r="I24" s="169"/>
    </row>
    <row r="25" spans="1:9" ht="42.6" customHeight="1" x14ac:dyDescent="0.3">
      <c r="A25" s="45"/>
      <c r="B25" s="198" t="s">
        <v>105</v>
      </c>
      <c r="C25" s="218"/>
      <c r="D25" s="218"/>
      <c r="E25" s="218"/>
      <c r="F25" s="219"/>
      <c r="G25" s="150"/>
      <c r="H25" s="166"/>
      <c r="I25" s="169"/>
    </row>
    <row r="26" spans="1:9" ht="57" customHeight="1" x14ac:dyDescent="0.3">
      <c r="A26" s="60"/>
      <c r="B26" s="147" t="s">
        <v>79</v>
      </c>
      <c r="C26" s="222"/>
      <c r="D26" s="223"/>
      <c r="E26" s="222"/>
      <c r="F26" s="224"/>
      <c r="G26" s="222"/>
      <c r="H26" s="226"/>
      <c r="I26" s="227"/>
    </row>
    <row r="27" spans="1:9" ht="57" customHeight="1" x14ac:dyDescent="0.3">
      <c r="A27" s="60"/>
      <c r="B27" s="200" t="s">
        <v>136</v>
      </c>
      <c r="C27" s="232">
        <f>C28/C30</f>
        <v>2.3651828564388046E-2</v>
      </c>
      <c r="D27" s="232" t="e">
        <f t="shared" ref="D27:E27" si="4">D28/D30</f>
        <v>#DIV/0!</v>
      </c>
      <c r="E27" s="232">
        <f t="shared" si="4"/>
        <v>2.1658273540092667E-2</v>
      </c>
      <c r="F27" s="225"/>
      <c r="G27" s="150">
        <f t="shared" si="2"/>
        <v>9.2045888173173829E-2</v>
      </c>
      <c r="H27" s="171"/>
      <c r="I27" s="172"/>
    </row>
    <row r="28" spans="1:9" ht="57" customHeight="1" x14ac:dyDescent="0.3">
      <c r="A28" s="60"/>
      <c r="B28" s="202" t="s">
        <v>236</v>
      </c>
      <c r="C28" s="162">
        <f>'PyG funcional'!B14</f>
        <v>41482.760000000257</v>
      </c>
      <c r="D28" s="162"/>
      <c r="E28" s="162">
        <f>'PyG funcional'!D14</f>
        <v>32944.309999999765</v>
      </c>
      <c r="F28" s="162"/>
      <c r="G28" s="150">
        <f t="shared" si="2"/>
        <v>0.25917829209355281</v>
      </c>
      <c r="H28" s="171"/>
      <c r="I28" s="172"/>
    </row>
    <row r="29" spans="1:9" ht="57" customHeight="1" x14ac:dyDescent="0.3">
      <c r="A29" s="60"/>
      <c r="B29" s="202" t="s">
        <v>227</v>
      </c>
      <c r="C29" s="162">
        <f>'PyG funcional'!B3-'PyG funcional'!B4+'PyG funcional'!B8</f>
        <v>1986688.7500000002</v>
      </c>
      <c r="D29" s="162"/>
      <c r="E29" s="162">
        <f>'PyG funcional'!D3-'PyG funcional'!D4+'PyG funcional'!D8</f>
        <v>1521095.85</v>
      </c>
      <c r="F29" s="162"/>
      <c r="G29" s="150">
        <f t="shared" si="2"/>
        <v>0.30609044130913915</v>
      </c>
      <c r="H29" s="171"/>
      <c r="I29" s="172"/>
    </row>
    <row r="30" spans="1:9" ht="57" customHeight="1" x14ac:dyDescent="0.3">
      <c r="A30" s="60"/>
      <c r="B30" s="202" t="s">
        <v>228</v>
      </c>
      <c r="C30" s="162">
        <f>(C29+E29)/2</f>
        <v>1753892.3000000003</v>
      </c>
      <c r="D30" s="162"/>
      <c r="E30" s="162">
        <f>E29</f>
        <v>1521095.85</v>
      </c>
      <c r="F30" s="162"/>
      <c r="G30" s="150">
        <f t="shared" si="2"/>
        <v>0.15304522065456966</v>
      </c>
      <c r="H30" s="171"/>
      <c r="I30" s="172"/>
    </row>
    <row r="31" spans="1:9" ht="54.6" customHeight="1" x14ac:dyDescent="0.3">
      <c r="A31" s="45"/>
      <c r="B31" s="202" t="s">
        <v>231</v>
      </c>
      <c r="C31" s="162">
        <f>C35</f>
        <v>2349197.62</v>
      </c>
      <c r="D31" s="162">
        <f t="shared" ref="D31:E31" si="5">D35</f>
        <v>0</v>
      </c>
      <c r="E31" s="162">
        <f t="shared" si="5"/>
        <v>1903279.8699999999</v>
      </c>
      <c r="F31" s="162"/>
      <c r="G31" s="150">
        <f t="shared" si="2"/>
        <v>0.23428911166911057</v>
      </c>
      <c r="H31" s="171"/>
      <c r="I31" s="172"/>
    </row>
    <row r="32" spans="1:9" ht="53.4" customHeight="1" x14ac:dyDescent="0.3">
      <c r="A32" s="45"/>
      <c r="B32" s="229" t="s">
        <v>138</v>
      </c>
      <c r="C32" s="235">
        <f>C28/C31</f>
        <v>1.7658267506673302E-2</v>
      </c>
      <c r="D32" s="235" t="e">
        <f t="shared" ref="D32:E32" si="6">D28/D31</f>
        <v>#DIV/0!</v>
      </c>
      <c r="E32" s="235">
        <f t="shared" si="6"/>
        <v>1.7309230512693737E-2</v>
      </c>
      <c r="F32" s="163"/>
      <c r="G32" s="150">
        <f t="shared" si="2"/>
        <v>2.0164789747504911E-2</v>
      </c>
      <c r="H32" s="172" t="s">
        <v>243</v>
      </c>
      <c r="I32" s="170"/>
    </row>
    <row r="33" spans="1:9" ht="54" customHeight="1" x14ac:dyDescent="0.3">
      <c r="A33" s="45"/>
      <c r="B33" s="229" t="s">
        <v>137</v>
      </c>
      <c r="C33" s="160">
        <f>C31/C30</f>
        <v>1.3394195413253138</v>
      </c>
      <c r="D33" s="160" t="e">
        <f t="shared" ref="D33:E33" si="7">D31/D30</f>
        <v>#DIV/0!</v>
      </c>
      <c r="E33" s="160">
        <f t="shared" si="7"/>
        <v>1.2512557114661773</v>
      </c>
      <c r="F33" s="161"/>
      <c r="G33" s="150">
        <f t="shared" si="2"/>
        <v>7.046028166043633E-2</v>
      </c>
      <c r="H33" s="167" t="s">
        <v>242</v>
      </c>
      <c r="I33" s="169"/>
    </row>
    <row r="34" spans="1:9" ht="54" customHeight="1" x14ac:dyDescent="0.3">
      <c r="A34" s="45"/>
      <c r="B34" s="145" t="s">
        <v>139</v>
      </c>
      <c r="C34" s="233">
        <f>C37/C36</f>
        <v>2.5105722261085466E-2</v>
      </c>
      <c r="D34" s="233"/>
      <c r="E34" s="233">
        <f>E37/E36</f>
        <v>2.1120406335462711E-2</v>
      </c>
      <c r="F34" s="220"/>
      <c r="G34" s="221"/>
      <c r="H34" s="167" t="s">
        <v>240</v>
      </c>
      <c r="I34" s="169"/>
    </row>
    <row r="35" spans="1:9" ht="54" customHeight="1" x14ac:dyDescent="0.3">
      <c r="A35" s="45"/>
      <c r="B35" s="202" t="s">
        <v>231</v>
      </c>
      <c r="C35" s="201">
        <f>'PyG funcional'!B6</f>
        <v>2349197.62</v>
      </c>
      <c r="D35" s="160"/>
      <c r="E35" s="201">
        <f>'PyG funcional'!D6</f>
        <v>1903279.8699999999</v>
      </c>
      <c r="F35" s="161"/>
      <c r="G35" s="150">
        <f>(C35-E35)/E35</f>
        <v>0.23428911166911057</v>
      </c>
      <c r="H35" s="166"/>
      <c r="I35" s="169"/>
    </row>
    <row r="36" spans="1:9" ht="54" customHeight="1" x14ac:dyDescent="0.3">
      <c r="A36" s="45"/>
      <c r="B36" s="202" t="s">
        <v>230</v>
      </c>
      <c r="C36" s="160">
        <f>(BalanceRM!B23+BalanceRM!D23)/2</f>
        <v>1700356.1800000002</v>
      </c>
      <c r="D36" s="160"/>
      <c r="E36" s="201">
        <f>BalanceRM!D23</f>
        <v>1731274.9300000002</v>
      </c>
      <c r="F36" s="161"/>
      <c r="G36" s="150">
        <f>(C36-E36)/E36</f>
        <v>-1.7858948607313338E-2</v>
      </c>
      <c r="H36" s="166"/>
      <c r="I36" s="169"/>
    </row>
    <row r="37" spans="1:9" ht="58.2" customHeight="1" x14ac:dyDescent="0.3">
      <c r="A37" s="45"/>
      <c r="B37" s="202" t="s">
        <v>229</v>
      </c>
      <c r="C37" s="205">
        <f>'PyG funcional'!B25-'PyG funcional'!B16</f>
        <v>42688.670000000253</v>
      </c>
      <c r="D37" s="203"/>
      <c r="E37" s="205">
        <f>'PyG funcional'!D25-'PyG funcional'!D16</f>
        <v>36565.229999999763</v>
      </c>
      <c r="F37" s="204"/>
      <c r="G37" s="150">
        <f>(C37-E37)/E37</f>
        <v>0.1674661967120275</v>
      </c>
      <c r="H37" s="166"/>
      <c r="I37" s="169"/>
    </row>
    <row r="38" spans="1:9" ht="53.4" customHeight="1" x14ac:dyDescent="0.3">
      <c r="A38" s="45"/>
      <c r="B38" s="145" t="s">
        <v>140</v>
      </c>
      <c r="C38" s="148">
        <f>(-'PyG funcional'!B16)/C39</f>
        <v>8.0876312292843897E-3</v>
      </c>
      <c r="D38" s="148"/>
      <c r="E38" s="148">
        <f>(-'PyG funcional'!D16)/'Indicadores '!E39</f>
        <v>8.5229041384824282E-3</v>
      </c>
      <c r="F38" s="204"/>
      <c r="G38" s="150">
        <f>(C38-E38)/E38</f>
        <v>-5.1070961508613462E-2</v>
      </c>
      <c r="H38" s="167" t="s">
        <v>241</v>
      </c>
      <c r="I38" s="169"/>
    </row>
    <row r="39" spans="1:9" ht="53.4" customHeight="1" x14ac:dyDescent="0.3">
      <c r="A39" s="45"/>
      <c r="B39" s="202" t="s">
        <v>232</v>
      </c>
      <c r="C39" s="205">
        <f>BalanceRM!B67-BalanceRM!B27</f>
        <v>1284131.25</v>
      </c>
      <c r="D39" s="203"/>
      <c r="E39" s="205">
        <f>BalanceRM!D67-BalanceRM!D27</f>
        <v>1352463.88</v>
      </c>
      <c r="F39" s="204"/>
      <c r="G39" s="150">
        <f t="shared" ref="G39:G47" si="8">(C39-E39)/E39</f>
        <v>-5.0524550792439567E-2</v>
      </c>
      <c r="H39" s="166"/>
      <c r="I39" s="169"/>
    </row>
    <row r="40" spans="1:9" ht="53.4" customHeight="1" x14ac:dyDescent="0.3">
      <c r="A40" s="45"/>
      <c r="B40" s="202" t="s">
        <v>239</v>
      </c>
      <c r="C40" s="205">
        <f>(C39+E39)/2</f>
        <v>1318297.5649999999</v>
      </c>
      <c r="D40" s="203"/>
      <c r="E40" s="205">
        <f>E39</f>
        <v>1352463.88</v>
      </c>
      <c r="F40" s="204"/>
      <c r="G40" s="150">
        <f t="shared" si="8"/>
        <v>-2.5262275396219783E-2</v>
      </c>
      <c r="H40" s="166"/>
      <c r="I40" s="169"/>
    </row>
    <row r="41" spans="1:9" ht="46.2" customHeight="1" x14ac:dyDescent="0.3">
      <c r="A41" s="61"/>
      <c r="B41" s="145" t="s">
        <v>75</v>
      </c>
      <c r="C41" s="234">
        <f>(C34+C44*(C34-C38))*(1-C43)</f>
        <v>6.2327089384449565E-2</v>
      </c>
      <c r="D41" s="234">
        <f t="shared" ref="D41:E41" si="9">(D34+D44*(D34-D38))*(1-D43)</f>
        <v>0</v>
      </c>
      <c r="E41" s="234">
        <f t="shared" si="9"/>
        <v>4.8984817442993066E-2</v>
      </c>
      <c r="F41" s="151"/>
      <c r="G41" s="150">
        <f t="shared" si="8"/>
        <v>0.27237565919243856</v>
      </c>
      <c r="H41" s="166"/>
      <c r="I41" s="169"/>
    </row>
    <row r="42" spans="1:9" ht="44.4" customHeight="1" x14ac:dyDescent="0.3">
      <c r="A42" s="45"/>
      <c r="B42" s="145" t="s">
        <v>143</v>
      </c>
      <c r="C42" s="148"/>
      <c r="D42" s="148"/>
      <c r="E42" s="148"/>
      <c r="F42" s="149"/>
      <c r="G42" s="150"/>
      <c r="H42" s="166"/>
      <c r="I42" s="169"/>
    </row>
    <row r="43" spans="1:9" ht="47.4" customHeight="1" x14ac:dyDescent="0.3">
      <c r="A43" s="45"/>
      <c r="B43" s="202" t="s">
        <v>142</v>
      </c>
      <c r="C43" s="148">
        <f>-'PyG funcional'!B26/'PyG funcional'!B25</f>
        <v>0.25190964703376473</v>
      </c>
      <c r="D43" s="148"/>
      <c r="E43" s="148">
        <f>-'PyG funcional'!D26/'PyG funcional'!D25</f>
        <v>0.25000049923497469</v>
      </c>
      <c r="F43" s="149"/>
      <c r="G43" s="150">
        <f t="shared" si="8"/>
        <v>7.6365759453769404E-3</v>
      </c>
      <c r="H43" s="166"/>
      <c r="I43" s="169"/>
    </row>
    <row r="44" spans="1:9" ht="45" customHeight="1" x14ac:dyDescent="0.3">
      <c r="A44" s="45"/>
      <c r="B44" s="228" t="s">
        <v>233</v>
      </c>
      <c r="C44" s="230">
        <f>C40/C46</f>
        <v>3.4204306229698118</v>
      </c>
      <c r="D44" s="230"/>
      <c r="E44" s="230">
        <f>E40/E46</f>
        <v>3.5080547217200495</v>
      </c>
      <c r="F44" s="165"/>
      <c r="G44" s="150">
        <f t="shared" si="8"/>
        <v>-2.4977973749301819E-2</v>
      </c>
      <c r="H44" s="166"/>
      <c r="I44" s="169"/>
    </row>
    <row r="45" spans="1:9" ht="45" customHeight="1" x14ac:dyDescent="0.3">
      <c r="A45" s="45"/>
      <c r="B45" s="228" t="s">
        <v>237</v>
      </c>
      <c r="C45" s="230">
        <f>BalanceRM!B27</f>
        <v>385306.18000000005</v>
      </c>
      <c r="D45" s="230"/>
      <c r="E45" s="230">
        <f>BalanceRM!D26</f>
        <v>385531.01000000007</v>
      </c>
      <c r="F45" s="231"/>
      <c r="G45" s="150">
        <f t="shared" si="8"/>
        <v>-5.831696910710665E-4</v>
      </c>
      <c r="H45" s="166"/>
      <c r="I45" s="169"/>
    </row>
    <row r="46" spans="1:9" ht="45" customHeight="1" x14ac:dyDescent="0.3">
      <c r="A46" s="45"/>
      <c r="B46" s="228" t="s">
        <v>238</v>
      </c>
      <c r="C46" s="230">
        <f>(C45+E45)/2</f>
        <v>385418.59500000009</v>
      </c>
      <c r="D46" s="230"/>
      <c r="E46" s="230">
        <f>E45</f>
        <v>385531.01000000007</v>
      </c>
      <c r="F46" s="231"/>
      <c r="G46" s="150">
        <f t="shared" si="8"/>
        <v>-2.9158484553545779E-4</v>
      </c>
      <c r="H46" s="166"/>
      <c r="I46" s="169"/>
    </row>
    <row r="47" spans="1:9" ht="45.6" customHeight="1" x14ac:dyDescent="0.3">
      <c r="A47" s="45"/>
      <c r="B47" s="146" t="s">
        <v>141</v>
      </c>
      <c r="C47" s="164">
        <f>'PyG funcional'!B29/C46</f>
        <v>6.2699699271126896E-2</v>
      </c>
      <c r="D47" s="164"/>
      <c r="E47" s="164">
        <f>'PyG funcional'!D29/E46</f>
        <v>4.8708714767198007E-2</v>
      </c>
      <c r="F47" s="165"/>
      <c r="G47" s="150">
        <f t="shared" si="8"/>
        <v>0.28723780889720502</v>
      </c>
      <c r="H47" s="166"/>
      <c r="I47" s="169"/>
    </row>
    <row r="52" spans="5:5" x14ac:dyDescent="0.3">
      <c r="E52" t="s">
        <v>244</v>
      </c>
    </row>
    <row r="54" spans="5:5" x14ac:dyDescent="0.3">
      <c r="E54" t="s">
        <v>245</v>
      </c>
    </row>
  </sheetData>
  <mergeCells count="1">
    <mergeCell ref="J13:L13"/>
  </mergeCells>
  <phoneticPr fontId="33" type="noConversion"/>
  <pageMargins left="0.70866141732283472" right="0.70866141732283472" top="0.74803149606299213" bottom="0.74803149606299213" header="0.31496062992125984" footer="0.31496062992125984"/>
  <pageSetup paperSize="8" scale="51" fitToHeight="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F4AC2-A954-4293-9DB2-FD58C3838435}">
  <dimension ref="B3:J24"/>
  <sheetViews>
    <sheetView topLeftCell="A2" workbookViewId="0">
      <selection activeCell="E15" sqref="E15"/>
    </sheetView>
  </sheetViews>
  <sheetFormatPr baseColWidth="10" defaultRowHeight="14.4" x14ac:dyDescent="0.3"/>
  <sheetData>
    <row r="3" spans="2:10" ht="18" x14ac:dyDescent="0.3">
      <c r="B3" s="246" t="s">
        <v>144</v>
      </c>
      <c r="C3" s="247"/>
      <c r="D3" s="67"/>
      <c r="E3" s="2"/>
      <c r="F3" s="2"/>
    </row>
    <row r="4" spans="2:10" ht="15.6" x14ac:dyDescent="0.3">
      <c r="B4" s="248" t="s">
        <v>154</v>
      </c>
      <c r="C4" s="248"/>
      <c r="D4" s="248"/>
      <c r="E4" s="94">
        <v>43830</v>
      </c>
      <c r="F4" s="94">
        <v>43465</v>
      </c>
    </row>
    <row r="5" spans="2:10" x14ac:dyDescent="0.3">
      <c r="B5" s="249" t="s">
        <v>226</v>
      </c>
      <c r="C5" s="249"/>
      <c r="D5" s="249"/>
      <c r="E5" s="68"/>
      <c r="F5" s="68"/>
      <c r="G5" s="199"/>
      <c r="H5" s="199"/>
      <c r="I5" s="199"/>
      <c r="J5" s="199"/>
    </row>
    <row r="6" spans="2:10" x14ac:dyDescent="0.3">
      <c r="B6" s="249" t="s">
        <v>224</v>
      </c>
      <c r="C6" s="249"/>
      <c r="D6" s="249"/>
      <c r="E6" s="68"/>
      <c r="F6" s="68"/>
      <c r="G6" s="199"/>
      <c r="H6" s="199"/>
      <c r="I6" s="199"/>
      <c r="J6" s="199"/>
    </row>
    <row r="7" spans="2:10" x14ac:dyDescent="0.3">
      <c r="B7" s="249" t="s">
        <v>225</v>
      </c>
      <c r="C7" s="249"/>
      <c r="D7" s="249"/>
      <c r="E7" s="50">
        <f>-'PyG funcional'!B7</f>
        <v>1136973.98</v>
      </c>
      <c r="F7" s="50">
        <f>-'PyG funcional'!D7</f>
        <v>863949.05</v>
      </c>
      <c r="G7" s="199"/>
      <c r="H7" s="199"/>
      <c r="I7" s="199"/>
      <c r="J7" s="199"/>
    </row>
    <row r="8" spans="2:10" x14ac:dyDescent="0.3">
      <c r="B8" s="245"/>
      <c r="C8" s="245"/>
      <c r="D8" s="245"/>
    </row>
    <row r="9" spans="2:10" x14ac:dyDescent="0.3">
      <c r="B9" s="245"/>
      <c r="C9" s="245"/>
      <c r="D9" s="245"/>
    </row>
    <row r="10" spans="2:10" x14ac:dyDescent="0.3">
      <c r="B10" s="245"/>
      <c r="C10" s="245"/>
      <c r="D10" s="245"/>
    </row>
    <row r="11" spans="2:10" x14ac:dyDescent="0.3">
      <c r="B11" s="245"/>
      <c r="C11" s="245"/>
      <c r="D11" s="245"/>
    </row>
    <row r="12" spans="2:10" x14ac:dyDescent="0.3">
      <c r="B12" s="245"/>
      <c r="C12" s="245"/>
      <c r="D12" s="245"/>
    </row>
    <row r="13" spans="2:10" x14ac:dyDescent="0.3">
      <c r="B13" s="245"/>
      <c r="C13" s="245"/>
      <c r="D13" s="245"/>
    </row>
    <row r="14" spans="2:10" x14ac:dyDescent="0.3">
      <c r="B14" s="245"/>
      <c r="C14" s="245"/>
      <c r="D14" s="245"/>
    </row>
    <row r="15" spans="2:10" x14ac:dyDescent="0.3">
      <c r="B15" s="245"/>
      <c r="C15" s="245"/>
      <c r="D15" s="245"/>
    </row>
    <row r="16" spans="2:10" x14ac:dyDescent="0.3">
      <c r="B16" s="245"/>
      <c r="C16" s="245"/>
      <c r="D16" s="245"/>
    </row>
    <row r="17" spans="2:4" x14ac:dyDescent="0.3">
      <c r="B17" s="245"/>
      <c r="C17" s="245"/>
      <c r="D17" s="245"/>
    </row>
    <row r="18" spans="2:4" x14ac:dyDescent="0.3">
      <c r="B18" s="245"/>
      <c r="C18" s="245"/>
      <c r="D18" s="245"/>
    </row>
    <row r="19" spans="2:4" x14ac:dyDescent="0.3">
      <c r="B19" s="245"/>
      <c r="C19" s="245"/>
      <c r="D19" s="245"/>
    </row>
    <row r="20" spans="2:4" x14ac:dyDescent="0.3">
      <c r="B20" s="245"/>
      <c r="C20" s="245"/>
      <c r="D20" s="245"/>
    </row>
    <row r="21" spans="2:4" x14ac:dyDescent="0.3">
      <c r="B21" s="245"/>
      <c r="C21" s="245"/>
      <c r="D21" s="245"/>
    </row>
    <row r="22" spans="2:4" x14ac:dyDescent="0.3">
      <c r="B22" s="245"/>
      <c r="C22" s="245"/>
      <c r="D22" s="245"/>
    </row>
    <row r="23" spans="2:4" x14ac:dyDescent="0.3">
      <c r="B23" s="245"/>
      <c r="C23" s="245"/>
      <c r="D23" s="245"/>
    </row>
    <row r="24" spans="2:4" x14ac:dyDescent="0.3">
      <c r="B24" s="245"/>
      <c r="C24" s="245"/>
      <c r="D24" s="245"/>
    </row>
  </sheetData>
  <mergeCells count="22">
    <mergeCell ref="B3:C3"/>
    <mergeCell ref="B4:D4"/>
    <mergeCell ref="B6:D6"/>
    <mergeCell ref="B5:D5"/>
    <mergeCell ref="B7:D7"/>
    <mergeCell ref="B19:D19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20:D20"/>
    <mergeCell ref="B21:D21"/>
    <mergeCell ref="B22:D22"/>
    <mergeCell ref="B23:D23"/>
    <mergeCell ref="B24:D2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27"/>
  <sheetViews>
    <sheetView topLeftCell="A11" workbookViewId="0">
      <selection activeCell="B18" sqref="B18"/>
    </sheetView>
  </sheetViews>
  <sheetFormatPr baseColWidth="10" defaultRowHeight="14.4" x14ac:dyDescent="0.3"/>
  <cols>
    <col min="1" max="1" width="65" customWidth="1"/>
    <col min="2" max="2" width="16.6640625" customWidth="1"/>
    <col min="3" max="3" width="11.33203125" customWidth="1"/>
    <col min="4" max="4" width="16.109375" bestFit="1" customWidth="1"/>
    <col min="5" max="5" width="12.6640625" customWidth="1"/>
    <col min="6" max="7" width="14.5546875" customWidth="1"/>
  </cols>
  <sheetData>
    <row r="1" spans="1:8" ht="32.25" customHeight="1" x14ac:dyDescent="0.3">
      <c r="A1" s="6" t="str">
        <f>BalanceRM!A2</f>
        <v xml:space="preserve">ICR, S.A. </v>
      </c>
      <c r="B1" s="7"/>
      <c r="C1" s="7"/>
      <c r="D1" s="7"/>
      <c r="E1" s="7"/>
      <c r="F1" s="7"/>
    </row>
    <row r="2" spans="1:8" ht="24" customHeight="1" x14ac:dyDescent="0.3">
      <c r="A2" t="str">
        <f>BalanceRM!B2</f>
        <v>Datos en Euros</v>
      </c>
      <c r="B2" s="63">
        <f>BalanceRM!B3</f>
        <v>43830</v>
      </c>
      <c r="C2" s="26" t="s">
        <v>42</v>
      </c>
      <c r="D2" s="63">
        <f>BalanceRM!D3</f>
        <v>43465</v>
      </c>
      <c r="E2" s="26" t="s">
        <v>42</v>
      </c>
      <c r="F2" s="17" t="s">
        <v>81</v>
      </c>
      <c r="G2" s="18" t="s">
        <v>80</v>
      </c>
    </row>
    <row r="3" spans="1:8" ht="20.100000000000001" customHeight="1" x14ac:dyDescent="0.3">
      <c r="A3" s="19" t="s">
        <v>88</v>
      </c>
      <c r="B3" s="31">
        <f>BalanceRM!B23</f>
        <v>1669437.43</v>
      </c>
      <c r="C3" s="20">
        <f>(B3/B$3)</f>
        <v>1</v>
      </c>
      <c r="D3" s="31">
        <f>BalanceRM!D23</f>
        <v>1731274.9300000002</v>
      </c>
      <c r="E3" s="20">
        <f>(D3/D$3)</f>
        <v>1</v>
      </c>
      <c r="F3" s="21"/>
      <c r="G3" s="20"/>
    </row>
    <row r="4" spans="1:8" ht="20.100000000000001" customHeight="1" x14ac:dyDescent="0.3">
      <c r="A4" s="27" t="s">
        <v>82</v>
      </c>
      <c r="B4" s="29">
        <f>B5-B6</f>
        <v>180589.44999999995</v>
      </c>
      <c r="C4" s="28">
        <f t="shared" ref="C4:E22" si="0">(B4/B$3)</f>
        <v>0.10817383554171298</v>
      </c>
      <c r="D4" s="29">
        <f>D5-D6</f>
        <v>143566.6100000001</v>
      </c>
      <c r="E4" s="28">
        <f t="shared" si="0"/>
        <v>8.2925367607558489E-2</v>
      </c>
      <c r="F4" s="173">
        <f>F5-F6</f>
        <v>37022.839999999851</v>
      </c>
      <c r="G4" s="28">
        <f>(B4-D4)/D4</f>
        <v>0.25787918235305429</v>
      </c>
    </row>
    <row r="5" spans="1:8" ht="20.100000000000001" customHeight="1" x14ac:dyDescent="0.3">
      <c r="A5" s="22" t="s">
        <v>89</v>
      </c>
      <c r="B5" s="30">
        <f>BalanceRM!B12</f>
        <v>1458960.73</v>
      </c>
      <c r="C5" s="28">
        <f t="shared" si="0"/>
        <v>0.87392357675842935</v>
      </c>
      <c r="D5" s="30">
        <f>BalanceRM!D12</f>
        <v>1489310.53</v>
      </c>
      <c r="E5" s="28">
        <f t="shared" si="0"/>
        <v>0.86023918223086604</v>
      </c>
      <c r="F5" s="30">
        <f>B5-D5</f>
        <v>-30349.800000000047</v>
      </c>
      <c r="G5" s="28">
        <f t="shared" ref="G5:G23" si="1">(B5-D5)/D5</f>
        <v>-2.0378423027734884E-2</v>
      </c>
    </row>
    <row r="6" spans="1:8" ht="20.100000000000001" customHeight="1" x14ac:dyDescent="0.3">
      <c r="A6" s="22" t="s">
        <v>90</v>
      </c>
      <c r="B6" s="30">
        <f>BalanceRM!B54</f>
        <v>1278371.28</v>
      </c>
      <c r="C6" s="28">
        <f t="shared" si="0"/>
        <v>0.76574974121671635</v>
      </c>
      <c r="D6" s="30">
        <f>BalanceRM!D54</f>
        <v>1345743.92</v>
      </c>
      <c r="E6" s="28">
        <f t="shared" si="0"/>
        <v>0.77731381462330762</v>
      </c>
      <c r="F6" s="30">
        <f>B6-D6</f>
        <v>-67372.639999999898</v>
      </c>
      <c r="G6" s="28">
        <f t="shared" si="1"/>
        <v>-5.0063492020086482E-2</v>
      </c>
    </row>
    <row r="7" spans="1:8" ht="20.100000000000001" customHeight="1" x14ac:dyDescent="0.3">
      <c r="A7" s="27" t="s">
        <v>91</v>
      </c>
      <c r="B7" s="29">
        <f>B8-B12</f>
        <v>854921.41</v>
      </c>
      <c r="C7" s="28">
        <f t="shared" si="0"/>
        <v>0.51210149876656352</v>
      </c>
      <c r="D7" s="29">
        <f>D8-D12</f>
        <v>1009599.18</v>
      </c>
      <c r="E7" s="28">
        <f t="shared" si="0"/>
        <v>0.58315358381582982</v>
      </c>
      <c r="F7" s="173">
        <f t="shared" ref="F7:F23" si="2">B7-D7</f>
        <v>-154677.77000000002</v>
      </c>
      <c r="G7" s="28">
        <f t="shared" si="1"/>
        <v>-0.15320710739879961</v>
      </c>
      <c r="H7" s="16"/>
    </row>
    <row r="8" spans="1:8" ht="20.100000000000001" customHeight="1" x14ac:dyDescent="0.3">
      <c r="A8" s="21" t="s">
        <v>83</v>
      </c>
      <c r="B8" s="31">
        <f>SUM(B9:B11)</f>
        <v>1418240.82</v>
      </c>
      <c r="C8" s="28">
        <f t="shared" si="0"/>
        <v>0.84953218043038614</v>
      </c>
      <c r="D8" s="31">
        <f>SUM(D9:D11)</f>
        <v>1446918.09</v>
      </c>
      <c r="E8" s="28">
        <f t="shared" si="0"/>
        <v>0.83575292689070468</v>
      </c>
      <c r="F8" s="174">
        <f t="shared" si="2"/>
        <v>-28677.270000000019</v>
      </c>
      <c r="G8" s="28">
        <f t="shared" si="1"/>
        <v>-1.9819553157981472E-2</v>
      </c>
    </row>
    <row r="9" spans="1:8" ht="20.100000000000001" customHeight="1" x14ac:dyDescent="0.3">
      <c r="A9" s="22" t="s">
        <v>178</v>
      </c>
      <c r="B9" s="30">
        <f>BalanceRM!B14</f>
        <v>294675.51</v>
      </c>
      <c r="C9" s="28">
        <f t="shared" si="0"/>
        <v>0.17651186244218811</v>
      </c>
      <c r="D9" s="30">
        <f>BalanceRM!D14</f>
        <v>339675.51</v>
      </c>
      <c r="E9" s="28">
        <f t="shared" si="0"/>
        <v>0.19619963537507007</v>
      </c>
      <c r="F9" s="174">
        <f t="shared" si="2"/>
        <v>-45000</v>
      </c>
      <c r="G9" s="28">
        <f t="shared" si="1"/>
        <v>-0.13247937715615707</v>
      </c>
    </row>
    <row r="10" spans="1:8" ht="20.100000000000001" customHeight="1" x14ac:dyDescent="0.3">
      <c r="A10" s="22" t="s">
        <v>179</v>
      </c>
      <c r="B10" s="30">
        <f>BalanceRM!B15</f>
        <v>1118265</v>
      </c>
      <c r="C10" s="28">
        <f t="shared" si="0"/>
        <v>0.66984541013915089</v>
      </c>
      <c r="D10" s="30">
        <f>BalanceRM!D15</f>
        <v>1102946.01</v>
      </c>
      <c r="E10" s="28">
        <f t="shared" si="0"/>
        <v>0.63707155396745674</v>
      </c>
      <c r="F10" s="174">
        <f t="shared" si="2"/>
        <v>15318.989999999991</v>
      </c>
      <c r="G10" s="28">
        <f t="shared" si="1"/>
        <v>1.3889156732159529E-2</v>
      </c>
    </row>
    <row r="11" spans="1:8" ht="20.100000000000001" customHeight="1" x14ac:dyDescent="0.3">
      <c r="A11" s="22" t="s">
        <v>180</v>
      </c>
      <c r="B11" s="30">
        <f>BalanceRM!B21</f>
        <v>5300.31</v>
      </c>
      <c r="C11" s="28">
        <f t="shared" si="0"/>
        <v>3.1749078490470894E-3</v>
      </c>
      <c r="D11" s="30">
        <f>BalanceRM!D21</f>
        <v>4296.57</v>
      </c>
      <c r="E11" s="28">
        <f t="shared" si="0"/>
        <v>2.481737548177862E-3</v>
      </c>
      <c r="F11" s="174">
        <f t="shared" si="2"/>
        <v>1003.7400000000007</v>
      </c>
      <c r="G11" s="28">
        <f t="shared" si="1"/>
        <v>0.23361425509185252</v>
      </c>
    </row>
    <row r="12" spans="1:8" ht="20.100000000000001" customHeight="1" x14ac:dyDescent="0.3">
      <c r="A12" s="21" t="s">
        <v>84</v>
      </c>
      <c r="B12" s="31">
        <f>SUM(B13:B15)</f>
        <v>563319.41</v>
      </c>
      <c r="C12" s="28">
        <f t="shared" si="0"/>
        <v>0.33743068166382256</v>
      </c>
      <c r="D12" s="31">
        <f>SUM(D13:D15)</f>
        <v>437318.91000000003</v>
      </c>
      <c r="E12" s="28">
        <f t="shared" si="0"/>
        <v>0.25259934307487486</v>
      </c>
      <c r="F12" s="174">
        <f t="shared" si="2"/>
        <v>126000.5</v>
      </c>
      <c r="G12" s="28">
        <f t="shared" si="1"/>
        <v>0.28812040165379538</v>
      </c>
    </row>
    <row r="13" spans="1:8" ht="20.100000000000001" customHeight="1" x14ac:dyDescent="0.3">
      <c r="A13" s="22" t="s">
        <v>202</v>
      </c>
      <c r="B13" s="30">
        <f>BalanceRM!B62</f>
        <v>563319.41</v>
      </c>
      <c r="C13" s="28">
        <f t="shared" si="0"/>
        <v>0.33743068166382256</v>
      </c>
      <c r="D13" s="30">
        <f>BalanceRM!D62</f>
        <v>437318.91000000003</v>
      </c>
      <c r="E13" s="28">
        <f t="shared" si="0"/>
        <v>0.25259934307487486</v>
      </c>
      <c r="F13" s="174">
        <f t="shared" si="2"/>
        <v>126000.5</v>
      </c>
      <c r="G13" s="28">
        <f t="shared" si="1"/>
        <v>0.28812040165379538</v>
      </c>
    </row>
    <row r="14" spans="1:8" ht="20.100000000000001" customHeight="1" x14ac:dyDescent="0.3">
      <c r="A14" s="22" t="s">
        <v>180</v>
      </c>
      <c r="B14" s="30">
        <v>0</v>
      </c>
      <c r="C14" s="28">
        <f t="shared" si="0"/>
        <v>0</v>
      </c>
      <c r="D14" s="30">
        <v>0</v>
      </c>
      <c r="E14" s="28">
        <f t="shared" si="0"/>
        <v>0</v>
      </c>
      <c r="F14" s="174">
        <f t="shared" si="2"/>
        <v>0</v>
      </c>
      <c r="G14" s="28"/>
    </row>
    <row r="15" spans="1:8" ht="20.100000000000001" customHeight="1" x14ac:dyDescent="0.3">
      <c r="A15" s="22" t="s">
        <v>203</v>
      </c>
      <c r="B15" s="30">
        <v>0</v>
      </c>
      <c r="C15" s="28">
        <f t="shared" si="0"/>
        <v>0</v>
      </c>
      <c r="D15" s="30">
        <v>0</v>
      </c>
      <c r="E15" s="28">
        <f t="shared" si="0"/>
        <v>0</v>
      </c>
      <c r="F15" s="174">
        <f t="shared" si="2"/>
        <v>0</v>
      </c>
      <c r="G15" s="28"/>
    </row>
    <row r="16" spans="1:8" ht="20.100000000000001" customHeight="1" x14ac:dyDescent="0.3">
      <c r="A16" s="27" t="s">
        <v>92</v>
      </c>
      <c r="B16" s="29">
        <f>B17-B22</f>
        <v>-674331.96</v>
      </c>
      <c r="C16" s="28">
        <f t="shared" si="0"/>
        <v>-0.40392766322485052</v>
      </c>
      <c r="D16" s="29">
        <f>D17-D22</f>
        <v>-866032.57000000007</v>
      </c>
      <c r="E16" s="28">
        <f t="shared" si="0"/>
        <v>-0.5002282162082714</v>
      </c>
      <c r="F16" s="173">
        <f t="shared" si="2"/>
        <v>191700.6100000001</v>
      </c>
      <c r="G16" s="28">
        <f t="shared" si="1"/>
        <v>-0.22135496589926185</v>
      </c>
    </row>
    <row r="17" spans="1:7" ht="20.100000000000001" customHeight="1" x14ac:dyDescent="0.3">
      <c r="A17" s="21" t="s">
        <v>85</v>
      </c>
      <c r="B17" s="31">
        <f>SUM(B18:B21)</f>
        <v>40719.910000000003</v>
      </c>
      <c r="C17" s="28">
        <f t="shared" si="0"/>
        <v>2.4391396328043276E-2</v>
      </c>
      <c r="D17" s="31">
        <f>SUM(D18:D21)</f>
        <v>42392.439999999995</v>
      </c>
      <c r="E17" s="28">
        <f t="shared" si="0"/>
        <v>2.4486255340161363E-2</v>
      </c>
      <c r="F17" s="174">
        <f t="shared" si="2"/>
        <v>-1672.5299999999916</v>
      </c>
      <c r="G17" s="28">
        <f t="shared" si="1"/>
        <v>-3.9453496897088061E-2</v>
      </c>
    </row>
    <row r="18" spans="1:7" ht="20.100000000000001" customHeight="1" x14ac:dyDescent="0.3">
      <c r="A18" s="23" t="s">
        <v>204</v>
      </c>
      <c r="B18" s="32">
        <f>BalanceRM!B22</f>
        <v>40719.9</v>
      </c>
      <c r="C18" s="28">
        <f t="shared" si="0"/>
        <v>2.4391390338001469E-2</v>
      </c>
      <c r="D18" s="32">
        <f>BalanceRM!D22</f>
        <v>41071.129999999997</v>
      </c>
      <c r="E18" s="28">
        <f t="shared" si="0"/>
        <v>2.3723054777902892E-2</v>
      </c>
      <c r="F18" s="174">
        <f t="shared" si="2"/>
        <v>-351.22999999999593</v>
      </c>
      <c r="G18" s="28">
        <f t="shared" si="1"/>
        <v>-8.5517491240196201E-3</v>
      </c>
    </row>
    <row r="19" spans="1:7" ht="20.100000000000001" customHeight="1" x14ac:dyDescent="0.3">
      <c r="A19" s="24" t="s">
        <v>206</v>
      </c>
      <c r="B19" s="33">
        <f>BalanceRM!B20</f>
        <v>0.01</v>
      </c>
      <c r="C19" s="28">
        <f t="shared" si="0"/>
        <v>5.99004180707749E-9</v>
      </c>
      <c r="D19" s="33">
        <f>BalanceRM!D20</f>
        <v>1321.31</v>
      </c>
      <c r="E19" s="28">
        <f t="shared" si="0"/>
        <v>7.6320056225847373E-4</v>
      </c>
      <c r="F19" s="174">
        <f t="shared" si="2"/>
        <v>-1321.3</v>
      </c>
      <c r="G19" s="28">
        <f t="shared" si="1"/>
        <v>-0.99999243175333574</v>
      </c>
    </row>
    <row r="20" spans="1:7" ht="20.100000000000001" customHeight="1" x14ac:dyDescent="0.3">
      <c r="A20" s="24"/>
      <c r="B20" s="33"/>
      <c r="C20" s="28"/>
      <c r="D20" s="33"/>
      <c r="E20" s="28"/>
      <c r="F20" s="22"/>
      <c r="G20" s="28"/>
    </row>
    <row r="21" spans="1:7" ht="20.100000000000001" customHeight="1" x14ac:dyDescent="0.3">
      <c r="A21" s="24"/>
      <c r="B21" s="33"/>
      <c r="C21" s="28"/>
      <c r="D21" s="33"/>
      <c r="E21" s="28"/>
      <c r="F21" s="22"/>
      <c r="G21" s="28"/>
    </row>
    <row r="22" spans="1:7" ht="20.100000000000001" customHeight="1" x14ac:dyDescent="0.3">
      <c r="A22" s="21" t="s">
        <v>86</v>
      </c>
      <c r="B22" s="31">
        <f>SUM(B23:B26)</f>
        <v>715051.87</v>
      </c>
      <c r="C22" s="28">
        <f t="shared" si="0"/>
        <v>0.42831905955289384</v>
      </c>
      <c r="D22" s="31">
        <f>SUM(D23:D26)</f>
        <v>908425.01</v>
      </c>
      <c r="E22" s="28">
        <f t="shared" si="0"/>
        <v>0.52471447154843276</v>
      </c>
      <c r="F22" s="174">
        <f t="shared" si="2"/>
        <v>-193373.14</v>
      </c>
      <c r="G22" s="28">
        <f t="shared" si="1"/>
        <v>-0.2128663762790943</v>
      </c>
    </row>
    <row r="23" spans="1:7" ht="16.8" customHeight="1" x14ac:dyDescent="0.3">
      <c r="A23" s="25" t="s">
        <v>205</v>
      </c>
      <c r="B23" s="34">
        <f>BalanceRM!B57</f>
        <v>715051.87</v>
      </c>
      <c r="C23" s="28">
        <f t="shared" ref="C23" si="3">(B23/B$3)</f>
        <v>0.42831905955289384</v>
      </c>
      <c r="D23" s="34">
        <f>BalanceRM!D57</f>
        <v>908425.01</v>
      </c>
      <c r="E23" s="28">
        <f t="shared" ref="E23" si="4">(D23/D$3)</f>
        <v>0.52471447154843276</v>
      </c>
      <c r="F23" s="174">
        <f t="shared" si="2"/>
        <v>-193373.14</v>
      </c>
      <c r="G23" s="28">
        <f t="shared" si="1"/>
        <v>-0.2128663762790943</v>
      </c>
    </row>
    <row r="24" spans="1:7" ht="20.100000000000001" customHeight="1" x14ac:dyDescent="0.3">
      <c r="A24" s="22"/>
      <c r="B24" s="30"/>
      <c r="C24" s="28"/>
      <c r="D24" s="30"/>
      <c r="E24" s="28"/>
      <c r="F24" s="22"/>
      <c r="G24" s="28"/>
    </row>
    <row r="25" spans="1:7" ht="20.100000000000001" customHeight="1" x14ac:dyDescent="0.3">
      <c r="A25" s="22"/>
      <c r="B25" s="30"/>
      <c r="C25" s="28"/>
      <c r="D25" s="30"/>
      <c r="E25" s="28"/>
      <c r="F25" s="22"/>
      <c r="G25" s="28"/>
    </row>
    <row r="26" spans="1:7" ht="20.100000000000001" customHeight="1" x14ac:dyDescent="0.3">
      <c r="A26" s="22"/>
      <c r="B26" s="30"/>
      <c r="C26" s="28"/>
      <c r="D26" s="30"/>
      <c r="E26" s="28"/>
      <c r="F26" s="22"/>
      <c r="G26" s="28"/>
    </row>
    <row r="27" spans="1:7" ht="20.100000000000001" customHeight="1" x14ac:dyDescent="0.3"/>
  </sheetData>
  <pageMargins left="0.70866141732283472" right="0.70866141732283472" top="0.74803149606299213" bottom="0.74803149606299213" header="0.31496062992125984" footer="0.31496062992125984"/>
  <pageSetup paperSize="9" scale="44" orientation="portrait" r:id="rId1"/>
  <ignoredErrors>
    <ignoredError sqref="D4 D7:D8 D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E4522-9A58-4C1B-880A-79C39D68F2EB}">
  <dimension ref="A1:F75"/>
  <sheetViews>
    <sheetView workbookViewId="0">
      <selection activeCell="G7" sqref="G7"/>
    </sheetView>
  </sheetViews>
  <sheetFormatPr baseColWidth="10" defaultRowHeight="14.4" x14ac:dyDescent="0.3"/>
  <cols>
    <col min="1" max="1" width="60.6640625" customWidth="1"/>
    <col min="2" max="2" width="58.21875" customWidth="1"/>
  </cols>
  <sheetData>
    <row r="1" spans="1:6" ht="15.6" x14ac:dyDescent="0.3">
      <c r="A1" s="258" t="s">
        <v>248</v>
      </c>
      <c r="B1" s="257"/>
    </row>
    <row r="2" spans="1:6" ht="15.6" x14ac:dyDescent="0.3">
      <c r="A2" s="259" t="s">
        <v>249</v>
      </c>
      <c r="B2" s="260">
        <v>2019</v>
      </c>
    </row>
    <row r="3" spans="1:6" ht="82.8" x14ac:dyDescent="0.3">
      <c r="A3" s="261" t="s">
        <v>250</v>
      </c>
      <c r="B3" s="262">
        <v>234812.25999999998</v>
      </c>
    </row>
    <row r="4" spans="1:6" x14ac:dyDescent="0.3">
      <c r="A4" s="263" t="s">
        <v>251</v>
      </c>
      <c r="B4" s="264">
        <v>32303.09</v>
      </c>
      <c r="D4" s="68" t="s">
        <v>247</v>
      </c>
      <c r="E4" s="68"/>
      <c r="F4" s="278">
        <f>B4+B5</f>
        <v>89670.900000000009</v>
      </c>
    </row>
    <row r="5" spans="1:6" x14ac:dyDescent="0.3">
      <c r="A5" s="263" t="s">
        <v>252</v>
      </c>
      <c r="B5" s="264">
        <v>57367.810000000005</v>
      </c>
      <c r="D5" s="68" t="s">
        <v>317</v>
      </c>
      <c r="E5" s="278">
        <f>B4+B5+B24</f>
        <v>80134.490000000005</v>
      </c>
    </row>
    <row r="6" spans="1:6" x14ac:dyDescent="0.3">
      <c r="A6" s="265" t="s">
        <v>253</v>
      </c>
      <c r="B6" s="266">
        <v>48188.14</v>
      </c>
      <c r="D6" s="68" t="s">
        <v>318</v>
      </c>
      <c r="E6" s="278">
        <f>B4+B5+B17+B24</f>
        <v>234812.25999999998</v>
      </c>
    </row>
    <row r="7" spans="1:6" ht="97.2" x14ac:dyDescent="0.3">
      <c r="A7" s="267" t="s">
        <v>254</v>
      </c>
      <c r="B7" s="266"/>
    </row>
    <row r="8" spans="1:6" x14ac:dyDescent="0.3">
      <c r="A8" s="265" t="s">
        <v>255</v>
      </c>
      <c r="B8" s="266"/>
    </row>
    <row r="9" spans="1:6" x14ac:dyDescent="0.3">
      <c r="A9" s="265" t="s">
        <v>256</v>
      </c>
      <c r="B9" s="266">
        <v>-959.99</v>
      </c>
    </row>
    <row r="10" spans="1:6" x14ac:dyDescent="0.3">
      <c r="A10" s="268" t="s">
        <v>257</v>
      </c>
      <c r="B10" s="266">
        <v>603.25</v>
      </c>
    </row>
    <row r="11" spans="1:6" x14ac:dyDescent="0.3">
      <c r="A11" s="265" t="s">
        <v>258</v>
      </c>
      <c r="B11" s="266"/>
    </row>
    <row r="12" spans="1:6" x14ac:dyDescent="0.3">
      <c r="A12" s="265" t="s">
        <v>259</v>
      </c>
      <c r="B12" s="266">
        <v>-344.06</v>
      </c>
    </row>
    <row r="13" spans="1:6" x14ac:dyDescent="0.3">
      <c r="A13" s="265" t="s">
        <v>260</v>
      </c>
      <c r="B13" s="266">
        <v>10385.58</v>
      </c>
    </row>
    <row r="14" spans="1:6" x14ac:dyDescent="0.3">
      <c r="A14" s="265" t="s">
        <v>261</v>
      </c>
      <c r="B14" s="266"/>
    </row>
    <row r="15" spans="1:6" x14ac:dyDescent="0.3">
      <c r="A15" s="265" t="s">
        <v>262</v>
      </c>
      <c r="B15" s="266"/>
    </row>
    <row r="16" spans="1:6" x14ac:dyDescent="0.3">
      <c r="A16" s="265" t="s">
        <v>263</v>
      </c>
      <c r="B16" s="266">
        <v>-505.11</v>
      </c>
    </row>
    <row r="17" spans="1:2" x14ac:dyDescent="0.3">
      <c r="A17" s="263" t="s">
        <v>264</v>
      </c>
      <c r="B17" s="264">
        <v>154677.76999999996</v>
      </c>
    </row>
    <row r="18" spans="1:2" x14ac:dyDescent="0.3">
      <c r="A18" s="265" t="s">
        <v>265</v>
      </c>
      <c r="B18" s="266">
        <v>45000</v>
      </c>
    </row>
    <row r="19" spans="1:2" x14ac:dyDescent="0.3">
      <c r="A19" s="265" t="s">
        <v>266</v>
      </c>
      <c r="B19" s="266">
        <v>-15318.990000000042</v>
      </c>
    </row>
    <row r="20" spans="1:2" x14ac:dyDescent="0.3">
      <c r="A20" s="265" t="s">
        <v>267</v>
      </c>
      <c r="B20" s="266">
        <v>-1003.7400000000007</v>
      </c>
    </row>
    <row r="21" spans="1:2" x14ac:dyDescent="0.3">
      <c r="A21" s="269" t="s">
        <v>268</v>
      </c>
      <c r="B21" s="270">
        <v>126000.5</v>
      </c>
    </row>
    <row r="22" spans="1:2" x14ac:dyDescent="0.3">
      <c r="A22" s="265" t="s">
        <v>269</v>
      </c>
      <c r="B22" s="266"/>
    </row>
    <row r="23" spans="1:2" x14ac:dyDescent="0.3">
      <c r="A23" s="265" t="s">
        <v>270</v>
      </c>
      <c r="B23" s="266"/>
    </row>
    <row r="24" spans="1:2" x14ac:dyDescent="0.3">
      <c r="A24" s="263" t="s">
        <v>271</v>
      </c>
      <c r="B24" s="264">
        <v>-9536.41</v>
      </c>
    </row>
    <row r="25" spans="1:2" x14ac:dyDescent="0.3">
      <c r="A25" s="265" t="s">
        <v>272</v>
      </c>
      <c r="B25" s="266">
        <v>-10385.58</v>
      </c>
    </row>
    <row r="26" spans="1:2" x14ac:dyDescent="0.3">
      <c r="A26" s="265" t="s">
        <v>273</v>
      </c>
      <c r="B26" s="271">
        <v>344.06</v>
      </c>
    </row>
    <row r="27" spans="1:2" x14ac:dyDescent="0.3">
      <c r="A27" s="265" t="s">
        <v>274</v>
      </c>
      <c r="B27" s="266"/>
    </row>
    <row r="28" spans="1:2" x14ac:dyDescent="0.3">
      <c r="A28" s="265" t="s">
        <v>275</v>
      </c>
      <c r="B28" s="266">
        <v>0</v>
      </c>
    </row>
    <row r="29" spans="1:2" x14ac:dyDescent="0.3">
      <c r="A29" s="265" t="s">
        <v>276</v>
      </c>
      <c r="B29" s="266">
        <v>505.11</v>
      </c>
    </row>
    <row r="30" spans="1:2" ht="124.2" x14ac:dyDescent="0.3">
      <c r="A30" s="272" t="s">
        <v>277</v>
      </c>
      <c r="B30" s="273">
        <v>234812.25999999998</v>
      </c>
    </row>
    <row r="31" spans="1:2" ht="82.8" x14ac:dyDescent="0.3">
      <c r="A31" s="261" t="s">
        <v>278</v>
      </c>
      <c r="B31" s="262">
        <v>-24119.849999999846</v>
      </c>
    </row>
    <row r="32" spans="1:2" x14ac:dyDescent="0.3">
      <c r="A32" s="263" t="s">
        <v>279</v>
      </c>
      <c r="B32" s="264">
        <v>-25441.149999999845</v>
      </c>
    </row>
    <row r="33" spans="1:2" x14ac:dyDescent="0.3">
      <c r="A33" s="265" t="s">
        <v>280</v>
      </c>
      <c r="B33" s="266"/>
    </row>
    <row r="34" spans="1:2" x14ac:dyDescent="0.3">
      <c r="A34" s="265" t="s">
        <v>281</v>
      </c>
      <c r="B34" s="266">
        <v>-15223.479999999981</v>
      </c>
    </row>
    <row r="35" spans="1:2" x14ac:dyDescent="0.3">
      <c r="A35" s="265" t="s">
        <v>282</v>
      </c>
      <c r="B35" s="266">
        <v>-9831.3699999998644</v>
      </c>
    </row>
    <row r="36" spans="1:2" x14ac:dyDescent="0.3">
      <c r="A36" s="265" t="s">
        <v>283</v>
      </c>
      <c r="B36" s="271"/>
    </row>
    <row r="37" spans="1:2" x14ac:dyDescent="0.3">
      <c r="A37" s="265" t="s">
        <v>284</v>
      </c>
      <c r="B37" s="266">
        <v>-386.30000000000018</v>
      </c>
    </row>
    <row r="38" spans="1:2" x14ac:dyDescent="0.3">
      <c r="A38" s="265" t="s">
        <v>285</v>
      </c>
      <c r="B38" s="266"/>
    </row>
    <row r="39" spans="1:2" x14ac:dyDescent="0.3">
      <c r="A39" s="265" t="s">
        <v>286</v>
      </c>
      <c r="B39" s="271"/>
    </row>
    <row r="40" spans="1:2" x14ac:dyDescent="0.3">
      <c r="A40" s="263" t="s">
        <v>287</v>
      </c>
      <c r="B40" s="264">
        <v>1321.3</v>
      </c>
    </row>
    <row r="41" spans="1:2" x14ac:dyDescent="0.3">
      <c r="A41" s="265" t="s">
        <v>280</v>
      </c>
      <c r="B41" s="266"/>
    </row>
    <row r="42" spans="1:2" x14ac:dyDescent="0.3">
      <c r="A42" s="265" t="s">
        <v>281</v>
      </c>
      <c r="B42" s="266"/>
    </row>
    <row r="43" spans="1:2" x14ac:dyDescent="0.3">
      <c r="A43" s="268" t="s">
        <v>288</v>
      </c>
      <c r="B43" s="266"/>
    </row>
    <row r="44" spans="1:2" x14ac:dyDescent="0.3">
      <c r="A44" s="265" t="s">
        <v>283</v>
      </c>
      <c r="B44" s="266"/>
    </row>
    <row r="45" spans="1:2" x14ac:dyDescent="0.3">
      <c r="A45" s="265" t="s">
        <v>284</v>
      </c>
      <c r="B45" s="266">
        <v>1321.3</v>
      </c>
    </row>
    <row r="46" spans="1:2" x14ac:dyDescent="0.3">
      <c r="A46" s="265" t="s">
        <v>289</v>
      </c>
      <c r="B46" s="266"/>
    </row>
    <row r="47" spans="1:2" x14ac:dyDescent="0.3">
      <c r="A47" s="265" t="s">
        <v>286</v>
      </c>
      <c r="B47" s="271"/>
    </row>
    <row r="48" spans="1:2" x14ac:dyDescent="0.3">
      <c r="A48" s="274" t="s">
        <v>290</v>
      </c>
      <c r="B48" s="273">
        <v>-24119.849999999846</v>
      </c>
    </row>
    <row r="49" spans="1:2" ht="82.8" x14ac:dyDescent="0.3">
      <c r="A49" s="261" t="s">
        <v>291</v>
      </c>
      <c r="B49" s="262">
        <v>-211043.63999999998</v>
      </c>
    </row>
    <row r="50" spans="1:2" x14ac:dyDescent="0.3">
      <c r="A50" s="263" t="s">
        <v>292</v>
      </c>
      <c r="B50" s="264">
        <v>0</v>
      </c>
    </row>
    <row r="51" spans="1:2" x14ac:dyDescent="0.3">
      <c r="A51" s="265" t="s">
        <v>293</v>
      </c>
      <c r="B51" s="266"/>
    </row>
    <row r="52" spans="1:2" x14ac:dyDescent="0.3">
      <c r="A52" s="265" t="s">
        <v>294</v>
      </c>
      <c r="B52" s="266"/>
    </row>
    <row r="53" spans="1:2" x14ac:dyDescent="0.3">
      <c r="A53" s="265" t="s">
        <v>295</v>
      </c>
      <c r="B53" s="271"/>
    </row>
    <row r="54" spans="1:2" x14ac:dyDescent="0.3">
      <c r="A54" s="265" t="s">
        <v>296</v>
      </c>
      <c r="B54" s="271"/>
    </row>
    <row r="55" spans="1:2" x14ac:dyDescent="0.3">
      <c r="A55" s="265" t="s">
        <v>297</v>
      </c>
      <c r="B55" s="266"/>
    </row>
    <row r="56" spans="1:2" x14ac:dyDescent="0.3">
      <c r="A56" s="263" t="s">
        <v>298</v>
      </c>
      <c r="B56" s="264">
        <v>-193373.13999999998</v>
      </c>
    </row>
    <row r="57" spans="1:2" x14ac:dyDescent="0.3">
      <c r="A57" s="265" t="s">
        <v>299</v>
      </c>
      <c r="B57" s="271"/>
    </row>
    <row r="58" spans="1:2" x14ac:dyDescent="0.3">
      <c r="A58" s="275" t="s">
        <v>300</v>
      </c>
      <c r="B58" s="271"/>
    </row>
    <row r="59" spans="1:2" x14ac:dyDescent="0.3">
      <c r="A59" s="275" t="s">
        <v>301</v>
      </c>
      <c r="B59" s="271"/>
    </row>
    <row r="60" spans="1:2" x14ac:dyDescent="0.3">
      <c r="A60" s="275" t="s">
        <v>302</v>
      </c>
      <c r="B60" s="271"/>
    </row>
    <row r="61" spans="1:2" x14ac:dyDescent="0.3">
      <c r="A61" s="275" t="s">
        <v>303</v>
      </c>
      <c r="B61" s="271"/>
    </row>
    <row r="62" spans="1:2" x14ac:dyDescent="0.3">
      <c r="A62" s="265" t="s">
        <v>304</v>
      </c>
      <c r="B62" s="271">
        <v>-193373.13999999998</v>
      </c>
    </row>
    <row r="63" spans="1:2" x14ac:dyDescent="0.3">
      <c r="A63" s="275" t="s">
        <v>305</v>
      </c>
      <c r="B63" s="271"/>
    </row>
    <row r="64" spans="1:2" x14ac:dyDescent="0.3">
      <c r="A64" s="275" t="s">
        <v>306</v>
      </c>
      <c r="B64" s="271">
        <v>-193373.13999999998</v>
      </c>
    </row>
    <row r="65" spans="1:2" x14ac:dyDescent="0.3">
      <c r="A65" s="275" t="s">
        <v>307</v>
      </c>
      <c r="B65" s="271"/>
    </row>
    <row r="66" spans="1:2" x14ac:dyDescent="0.3">
      <c r="A66" s="275" t="s">
        <v>308</v>
      </c>
      <c r="B66" s="271"/>
    </row>
    <row r="67" spans="1:2" x14ac:dyDescent="0.3">
      <c r="A67" s="263" t="s">
        <v>309</v>
      </c>
      <c r="B67" s="264">
        <v>-17670.5</v>
      </c>
    </row>
    <row r="68" spans="1:2" x14ac:dyDescent="0.3">
      <c r="A68" s="265" t="s">
        <v>310</v>
      </c>
      <c r="B68" s="271">
        <v>-17670.5</v>
      </c>
    </row>
    <row r="69" spans="1:2" x14ac:dyDescent="0.3">
      <c r="A69" s="265" t="s">
        <v>311</v>
      </c>
      <c r="B69" s="271"/>
    </row>
    <row r="70" spans="1:2" ht="124.2" x14ac:dyDescent="0.3">
      <c r="A70" s="272" t="s">
        <v>312</v>
      </c>
      <c r="B70" s="273">
        <v>-211043.63999999998</v>
      </c>
    </row>
    <row r="71" spans="1:2" x14ac:dyDescent="0.3">
      <c r="A71" s="276" t="s">
        <v>313</v>
      </c>
      <c r="B71" s="271"/>
    </row>
    <row r="72" spans="1:2" ht="82.8" x14ac:dyDescent="0.3">
      <c r="A72" s="261" t="s">
        <v>314</v>
      </c>
      <c r="B72" s="262">
        <v>-351.22999999983585</v>
      </c>
    </row>
    <row r="73" spans="1:2" x14ac:dyDescent="0.3">
      <c r="A73" s="275" t="s">
        <v>315</v>
      </c>
      <c r="B73" s="266">
        <v>41071.129999999997</v>
      </c>
    </row>
    <row r="74" spans="1:2" x14ac:dyDescent="0.3">
      <c r="A74" s="275" t="s">
        <v>316</v>
      </c>
      <c r="B74" s="266">
        <v>40719.9</v>
      </c>
    </row>
    <row r="75" spans="1:2" x14ac:dyDescent="0.3">
      <c r="A75" s="277"/>
      <c r="B75" s="264">
        <v>-351.22999999999593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BalanceRM</vt:lpstr>
      <vt:lpstr>PyGRM</vt:lpstr>
      <vt:lpstr>PyG funcional</vt:lpstr>
      <vt:lpstr>Indicadores </vt:lpstr>
      <vt:lpstr>PMM</vt:lpstr>
      <vt:lpstr>FM-NOF-RLN</vt:lpstr>
      <vt:lpstr>EFE</vt:lpstr>
    </vt:vector>
  </TitlesOfParts>
  <Company>axesor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rsantiago</dc:creator>
  <cp:lastModifiedBy>Usuario</cp:lastModifiedBy>
  <cp:revision/>
  <cp:lastPrinted>2023-03-24T10:37:29Z</cp:lastPrinted>
  <dcterms:created xsi:type="dcterms:W3CDTF">2009-07-21T11:45:10Z</dcterms:created>
  <dcterms:modified xsi:type="dcterms:W3CDTF">2023-05-25T18:49:22Z</dcterms:modified>
</cp:coreProperties>
</file>