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autoCompressPictures="0"/>
  <mc:AlternateContent xmlns:mc="http://schemas.openxmlformats.org/markup-compatibility/2006">
    <mc:Choice Requires="x15">
      <x15ac:absPath xmlns:x15ac="http://schemas.microsoft.com/office/spreadsheetml/2010/11/ac" url="D:\Usuario\Desktop\David\Inf + Ade\Carrera\4-curso\2 cuatrimestre\AEF\Practicas\Primor\"/>
    </mc:Choice>
  </mc:AlternateContent>
  <xr:revisionPtr revIDLastSave="0" documentId="13_ncr:1_{C21A7EB7-7F04-4814-B38E-FF9F027F1FA1}" xr6:coauthVersionLast="47" xr6:coauthVersionMax="47" xr10:uidLastSave="{00000000-0000-0000-0000-000000000000}"/>
  <bookViews>
    <workbookView xWindow="-108" yWindow="-108" windowWidth="23256" windowHeight="12720" activeTab="2" xr2:uid="{00000000-000D-0000-FFFF-FFFF00000000}"/>
  </bookViews>
  <sheets>
    <sheet name="BalanceRM" sheetId="1" r:id="rId1"/>
    <sheet name="OyA" sheetId="15" r:id="rId2"/>
    <sheet name="PyGRM" sheetId="3" r:id="rId3"/>
    <sheet name="PyG funcional" sheetId="5" r:id="rId4"/>
    <sheet name="Indicadores" sheetId="13" r:id="rId5"/>
    <sheet name="FM" sheetId="10" r:id="rId6"/>
    <sheet name="EFE" sheetId="14" r:id="rId7"/>
  </sheets>
  <externalReferences>
    <externalReference r:id="rId8"/>
  </externalReferenc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E57" i="3" l="1"/>
  <c r="C31" i="13"/>
  <c r="G26" i="13" l="1"/>
  <c r="D26" i="13"/>
  <c r="E26" i="13"/>
  <c r="C26" i="13"/>
  <c r="F33" i="3"/>
  <c r="F54" i="3"/>
  <c r="B21" i="14"/>
  <c r="B19" i="14"/>
  <c r="B18" i="14"/>
  <c r="C29" i="14"/>
  <c r="D29" i="14"/>
  <c r="B29" i="14"/>
  <c r="D25" i="13"/>
  <c r="E25" i="13"/>
  <c r="C25" i="13"/>
  <c r="G25" i="13" s="1"/>
  <c r="D21" i="13"/>
  <c r="D20" i="13"/>
  <c r="D24" i="13"/>
  <c r="E24" i="13"/>
  <c r="C24" i="13"/>
  <c r="G24" i="13" s="1"/>
  <c r="G23" i="13"/>
  <c r="D23" i="13"/>
  <c r="E23" i="13"/>
  <c r="C23" i="13"/>
  <c r="D19" i="13"/>
  <c r="D18" i="13"/>
  <c r="D16" i="13"/>
  <c r="D15" i="13"/>
  <c r="D13" i="13"/>
  <c r="D19" i="14"/>
  <c r="D18" i="14"/>
  <c r="C16" i="14"/>
  <c r="D16" i="14"/>
  <c r="B16" i="14"/>
  <c r="E58" i="3"/>
  <c r="E56" i="3"/>
  <c r="F56" i="3"/>
  <c r="E43" i="3"/>
  <c r="E35" i="3"/>
  <c r="E33" i="3"/>
  <c r="F27" i="3"/>
  <c r="F26" i="3"/>
  <c r="E20" i="3"/>
  <c r="E16" i="3"/>
  <c r="E13" i="3"/>
  <c r="E8" i="3"/>
  <c r="E3" i="3"/>
  <c r="D3" i="13"/>
  <c r="E3" i="13"/>
  <c r="F3" i="13"/>
  <c r="C3" i="13"/>
  <c r="C4" i="14"/>
  <c r="B6" i="14"/>
  <c r="C6" i="14"/>
  <c r="C35" i="14" s="1"/>
  <c r="C32" i="14" s="1"/>
  <c r="B9" i="14"/>
  <c r="C9" i="14"/>
  <c r="B13" i="14"/>
  <c r="B25" i="14" s="1"/>
  <c r="C13" i="14"/>
  <c r="C18" i="14"/>
  <c r="C19" i="14"/>
  <c r="C17" i="14" s="1"/>
  <c r="C21" i="14"/>
  <c r="B28" i="14"/>
  <c r="C28" i="14"/>
  <c r="B40" i="14"/>
  <c r="C40" i="14"/>
  <c r="B50" i="14"/>
  <c r="C50" i="14"/>
  <c r="B61" i="14"/>
  <c r="B57" i="14" s="1"/>
  <c r="B56" i="14" s="1"/>
  <c r="B70" i="14" s="1"/>
  <c r="B49" i="14" s="1"/>
  <c r="C61" i="14"/>
  <c r="C57" i="14" s="1"/>
  <c r="C56" i="14" s="1"/>
  <c r="B62" i="14"/>
  <c r="C62" i="14"/>
  <c r="B64" i="14"/>
  <c r="C64" i="14"/>
  <c r="B67" i="14"/>
  <c r="C67" i="14"/>
  <c r="B74" i="14"/>
  <c r="C74" i="14"/>
  <c r="C75" i="14" s="1"/>
  <c r="B75" i="14"/>
  <c r="B17" i="14" l="1"/>
  <c r="C5" i="14"/>
  <c r="B24" i="14"/>
  <c r="C48" i="14"/>
  <c r="C31" i="14" s="1"/>
  <c r="C25" i="14"/>
  <c r="C24" i="14" s="1"/>
  <c r="B5" i="14"/>
  <c r="C70" i="14"/>
  <c r="C49" i="14" s="1"/>
  <c r="B35" i="14"/>
  <c r="B32" i="14" s="1"/>
  <c r="B48" i="14" s="1"/>
  <c r="B31" i="14" s="1"/>
  <c r="C30" i="14" l="1"/>
  <c r="C72" i="14" s="1"/>
  <c r="D10" i="13" l="1"/>
  <c r="E10" i="13"/>
  <c r="C10" i="13"/>
  <c r="C4" i="13"/>
  <c r="G4" i="13" s="1"/>
  <c r="D9" i="13"/>
  <c r="E9" i="13"/>
  <c r="C9" i="13"/>
  <c r="D8" i="13"/>
  <c r="E8" i="13"/>
  <c r="C8" i="13"/>
  <c r="G8" i="13" s="1"/>
  <c r="D7" i="13"/>
  <c r="E7" i="13"/>
  <c r="C7" i="13"/>
  <c r="G7" i="13" s="1"/>
  <c r="D6" i="13"/>
  <c r="E6" i="13"/>
  <c r="C6" i="13"/>
  <c r="D5" i="13"/>
  <c r="E5" i="13"/>
  <c r="C5" i="13"/>
  <c r="D4" i="13"/>
  <c r="E4" i="13"/>
  <c r="D43" i="13"/>
  <c r="D45" i="13"/>
  <c r="D46" i="13" s="1"/>
  <c r="E45" i="13"/>
  <c r="C45" i="13"/>
  <c r="D40" i="13"/>
  <c r="D42" i="13" s="1"/>
  <c r="D47" i="13" s="1"/>
  <c r="E40" i="13"/>
  <c r="E42" i="13" s="1"/>
  <c r="C40" i="13"/>
  <c r="C42" i="13" s="1"/>
  <c r="D32" i="13"/>
  <c r="D33" i="13" s="1"/>
  <c r="D31" i="13"/>
  <c r="E31" i="13"/>
  <c r="G31" i="13"/>
  <c r="E37" i="13"/>
  <c r="C37" i="13"/>
  <c r="C39" i="13"/>
  <c r="E39" i="13"/>
  <c r="E2" i="13"/>
  <c r="C2" i="13"/>
  <c r="D82" i="15"/>
  <c r="B82" i="15"/>
  <c r="G37" i="13" l="1"/>
  <c r="D41" i="13"/>
  <c r="D34" i="13"/>
  <c r="C44" i="13"/>
  <c r="E44" i="13"/>
  <c r="G6" i="13"/>
  <c r="G9" i="13"/>
  <c r="G10" i="13"/>
  <c r="G42" i="13"/>
  <c r="G5" i="13"/>
  <c r="G3" i="13"/>
  <c r="D29" i="13"/>
  <c r="G39" i="13"/>
  <c r="G40" i="13"/>
  <c r="G45" i="13"/>
  <c r="D139" i="15"/>
  <c r="B139" i="15"/>
  <c r="G134" i="15"/>
  <c r="F134" i="15"/>
  <c r="G133" i="15"/>
  <c r="F133" i="15"/>
  <c r="G132" i="15"/>
  <c r="F132" i="15"/>
  <c r="G131" i="15"/>
  <c r="F131" i="15"/>
  <c r="G130" i="15"/>
  <c r="F130" i="15"/>
  <c r="G129" i="15"/>
  <c r="F129" i="15"/>
  <c r="G128" i="15"/>
  <c r="F128" i="15"/>
  <c r="G127" i="15"/>
  <c r="F127" i="15"/>
  <c r="G126" i="15"/>
  <c r="F126" i="15"/>
  <c r="D125" i="15"/>
  <c r="B125" i="15"/>
  <c r="G125" i="15" s="1"/>
  <c r="G124" i="15"/>
  <c r="F124" i="15"/>
  <c r="G123" i="15"/>
  <c r="F123" i="15"/>
  <c r="G122" i="15"/>
  <c r="F122" i="15"/>
  <c r="G121" i="15"/>
  <c r="F121" i="15"/>
  <c r="G120" i="15"/>
  <c r="F120" i="15"/>
  <c r="G119" i="15"/>
  <c r="F119" i="15"/>
  <c r="D118" i="15"/>
  <c r="B118" i="15"/>
  <c r="G117" i="15"/>
  <c r="F117" i="15"/>
  <c r="G116" i="15"/>
  <c r="F116" i="15"/>
  <c r="G114" i="15"/>
  <c r="F114" i="15"/>
  <c r="G113" i="15"/>
  <c r="F113" i="15"/>
  <c r="G112" i="15"/>
  <c r="F112" i="15"/>
  <c r="G111" i="15"/>
  <c r="F111" i="15"/>
  <c r="G110" i="15"/>
  <c r="F110" i="15"/>
  <c r="G109" i="15"/>
  <c r="F109" i="15"/>
  <c r="G108" i="15"/>
  <c r="F108" i="15"/>
  <c r="G107" i="15"/>
  <c r="F107" i="15"/>
  <c r="G106" i="15"/>
  <c r="F106" i="15"/>
  <c r="G105" i="15"/>
  <c r="F105" i="15"/>
  <c r="D104" i="15"/>
  <c r="B104" i="15"/>
  <c r="G104" i="15" s="1"/>
  <c r="G103" i="15"/>
  <c r="F103" i="15"/>
  <c r="G102" i="15"/>
  <c r="F102" i="15"/>
  <c r="G101" i="15"/>
  <c r="F101" i="15"/>
  <c r="G100" i="15"/>
  <c r="F100" i="15"/>
  <c r="D99" i="15"/>
  <c r="D98" i="15" s="1"/>
  <c r="B99" i="15"/>
  <c r="B98" i="15" s="1"/>
  <c r="G97" i="15"/>
  <c r="F97" i="15"/>
  <c r="G96" i="15"/>
  <c r="F96" i="15"/>
  <c r="G95" i="15"/>
  <c r="F95" i="15"/>
  <c r="G94" i="15"/>
  <c r="F94" i="15"/>
  <c r="G93" i="15"/>
  <c r="F93" i="15"/>
  <c r="G92" i="15"/>
  <c r="F92" i="15"/>
  <c r="D91" i="15"/>
  <c r="B91" i="15"/>
  <c r="G90" i="15"/>
  <c r="F90" i="15"/>
  <c r="G89" i="15"/>
  <c r="F89" i="15"/>
  <c r="G88" i="15"/>
  <c r="F88" i="15"/>
  <c r="G87" i="15"/>
  <c r="F87" i="15"/>
  <c r="G86" i="15"/>
  <c r="F86" i="15"/>
  <c r="G85" i="15"/>
  <c r="F85" i="15"/>
  <c r="D84" i="15"/>
  <c r="B84" i="15"/>
  <c r="G83" i="15"/>
  <c r="F83" i="15"/>
  <c r="D80" i="15"/>
  <c r="G81" i="15"/>
  <c r="F81" i="15"/>
  <c r="G79" i="15"/>
  <c r="F79" i="15"/>
  <c r="G78" i="15"/>
  <c r="F78" i="15"/>
  <c r="G77" i="15"/>
  <c r="F77" i="15"/>
  <c r="D76" i="15"/>
  <c r="B76" i="15"/>
  <c r="G76" i="15" s="1"/>
  <c r="D73" i="15"/>
  <c r="A73" i="15"/>
  <c r="G70" i="15"/>
  <c r="F70" i="15"/>
  <c r="G69" i="15"/>
  <c r="F69" i="15"/>
  <c r="D68" i="15"/>
  <c r="B68" i="15"/>
  <c r="G67" i="15"/>
  <c r="F67" i="15"/>
  <c r="G66" i="15"/>
  <c r="F66" i="15"/>
  <c r="G65" i="15"/>
  <c r="F65" i="15"/>
  <c r="G64" i="15"/>
  <c r="F64" i="15"/>
  <c r="G63" i="15"/>
  <c r="F63" i="15"/>
  <c r="G62" i="15"/>
  <c r="F62" i="15"/>
  <c r="G61" i="15"/>
  <c r="F61" i="15"/>
  <c r="D60" i="15"/>
  <c r="B60" i="15"/>
  <c r="G59" i="15"/>
  <c r="F59" i="15"/>
  <c r="G58" i="15"/>
  <c r="F58" i="15"/>
  <c r="G57" i="15"/>
  <c r="F57" i="15"/>
  <c r="G56" i="15"/>
  <c r="F56" i="15"/>
  <c r="G55" i="15"/>
  <c r="F55" i="15"/>
  <c r="G54" i="15"/>
  <c r="F54" i="15"/>
  <c r="D53" i="15"/>
  <c r="B53" i="15"/>
  <c r="G52" i="15"/>
  <c r="F52" i="15"/>
  <c r="G51" i="15"/>
  <c r="F51" i="15"/>
  <c r="G50" i="15"/>
  <c r="F50" i="15"/>
  <c r="G49" i="15"/>
  <c r="F49" i="15"/>
  <c r="G48" i="15"/>
  <c r="F48" i="15"/>
  <c r="G47" i="15"/>
  <c r="F47" i="15"/>
  <c r="G46" i="15"/>
  <c r="F46" i="15"/>
  <c r="D45" i="15"/>
  <c r="B45" i="15"/>
  <c r="G44" i="15"/>
  <c r="F44" i="15"/>
  <c r="G43" i="15"/>
  <c r="F43" i="15"/>
  <c r="G42" i="15"/>
  <c r="F42" i="15"/>
  <c r="G41" i="15"/>
  <c r="F41" i="15"/>
  <c r="G40" i="15"/>
  <c r="F40" i="15"/>
  <c r="G39" i="15"/>
  <c r="F39" i="15"/>
  <c r="D38" i="15"/>
  <c r="B38" i="15"/>
  <c r="G37" i="15"/>
  <c r="F37" i="15"/>
  <c r="G35" i="15"/>
  <c r="F35" i="15"/>
  <c r="G34" i="15"/>
  <c r="F34" i="15"/>
  <c r="G33" i="15"/>
  <c r="F33" i="15"/>
  <c r="G32" i="15"/>
  <c r="F32" i="15"/>
  <c r="G31" i="15"/>
  <c r="F31" i="15"/>
  <c r="G30" i="15"/>
  <c r="F30" i="15"/>
  <c r="G29" i="15"/>
  <c r="F29" i="15"/>
  <c r="G28" i="15"/>
  <c r="F28" i="15"/>
  <c r="D27" i="15"/>
  <c r="B27" i="15"/>
  <c r="G26" i="15"/>
  <c r="F26" i="15"/>
  <c r="G25" i="15"/>
  <c r="F25" i="15"/>
  <c r="G24" i="15"/>
  <c r="F24" i="15"/>
  <c r="G23" i="15"/>
  <c r="F23" i="15"/>
  <c r="G22" i="15"/>
  <c r="F22" i="15"/>
  <c r="G21" i="15"/>
  <c r="F21" i="15"/>
  <c r="D20" i="15"/>
  <c r="B20" i="15"/>
  <c r="F20" i="15" s="1"/>
  <c r="G19" i="15"/>
  <c r="F19" i="15"/>
  <c r="G18" i="15"/>
  <c r="F18" i="15"/>
  <c r="D17" i="15"/>
  <c r="B17" i="15"/>
  <c r="G16" i="15"/>
  <c r="F16" i="15"/>
  <c r="G15" i="15"/>
  <c r="F15" i="15"/>
  <c r="G14" i="15"/>
  <c r="F14" i="15"/>
  <c r="D13" i="15"/>
  <c r="B13" i="15"/>
  <c r="G12" i="15"/>
  <c r="F12" i="15"/>
  <c r="G11" i="15"/>
  <c r="F11" i="15"/>
  <c r="G10" i="15"/>
  <c r="F10" i="15"/>
  <c r="G9" i="15"/>
  <c r="F9" i="15"/>
  <c r="G8" i="15"/>
  <c r="F8" i="15"/>
  <c r="G7" i="15"/>
  <c r="F7" i="15"/>
  <c r="G6" i="15"/>
  <c r="F6" i="15"/>
  <c r="D5" i="15"/>
  <c r="G5" i="15" s="1"/>
  <c r="B5" i="15"/>
  <c r="B2" i="15"/>
  <c r="F68" i="15" l="1"/>
  <c r="F45" i="15"/>
  <c r="D115" i="15"/>
  <c r="D36" i="15"/>
  <c r="D4" i="15"/>
  <c r="G17" i="15"/>
  <c r="G13" i="15"/>
  <c r="G20" i="15"/>
  <c r="D71" i="15"/>
  <c r="E37" i="15" s="1"/>
  <c r="F27" i="15"/>
  <c r="G38" i="15"/>
  <c r="F118" i="15"/>
  <c r="B4" i="15"/>
  <c r="G27" i="15"/>
  <c r="G68" i="15"/>
  <c r="G91" i="15"/>
  <c r="B115" i="15"/>
  <c r="F115" i="15" s="1"/>
  <c r="F76" i="15"/>
  <c r="G53" i="15"/>
  <c r="F104" i="15"/>
  <c r="F60" i="15"/>
  <c r="G45" i="15"/>
  <c r="F38" i="15"/>
  <c r="G60" i="15"/>
  <c r="G118" i="15"/>
  <c r="D75" i="15"/>
  <c r="G98" i="15"/>
  <c r="F98" i="15"/>
  <c r="F13" i="15"/>
  <c r="B36" i="15"/>
  <c r="G84" i="15"/>
  <c r="F84" i="15"/>
  <c r="F82" i="15"/>
  <c r="B80" i="15"/>
  <c r="F5" i="15"/>
  <c r="G82" i="15"/>
  <c r="F91" i="15"/>
  <c r="F99" i="15"/>
  <c r="F17" i="15"/>
  <c r="F53" i="15"/>
  <c r="G99" i="15"/>
  <c r="F125" i="15"/>
  <c r="G44" i="13" l="1"/>
  <c r="E66" i="15"/>
  <c r="E8" i="15"/>
  <c r="E60" i="15"/>
  <c r="G4" i="15"/>
  <c r="E71" i="15"/>
  <c r="E40" i="15"/>
  <c r="E14" i="15"/>
  <c r="E62" i="15"/>
  <c r="E53" i="15"/>
  <c r="E18" i="15"/>
  <c r="E51" i="15"/>
  <c r="E68" i="15"/>
  <c r="E48" i="15"/>
  <c r="E49" i="15"/>
  <c r="E55" i="15"/>
  <c r="E4" i="15"/>
  <c r="E20" i="15"/>
  <c r="E69" i="15"/>
  <c r="E7" i="15"/>
  <c r="E11" i="15"/>
  <c r="E21" i="15"/>
  <c r="E29" i="15"/>
  <c r="E52" i="15"/>
  <c r="E64" i="15"/>
  <c r="E35" i="15"/>
  <c r="E32" i="15"/>
  <c r="E24" i="15"/>
  <c r="E63" i="15"/>
  <c r="E16" i="15"/>
  <c r="E33" i="15"/>
  <c r="E6" i="15"/>
  <c r="E19" i="15"/>
  <c r="E54" i="15"/>
  <c r="E27" i="15"/>
  <c r="E30" i="15"/>
  <c r="E46" i="15"/>
  <c r="E38" i="15"/>
  <c r="E34" i="15"/>
  <c r="E22" i="15"/>
  <c r="E57" i="15"/>
  <c r="E44" i="15"/>
  <c r="E70" i="15"/>
  <c r="E45" i="15"/>
  <c r="E9" i="15"/>
  <c r="E39" i="15"/>
  <c r="E42" i="15"/>
  <c r="E65" i="15"/>
  <c r="E61" i="15"/>
  <c r="E10" i="15"/>
  <c r="E43" i="15"/>
  <c r="E25" i="15"/>
  <c r="E58" i="15"/>
  <c r="E12" i="15"/>
  <c r="E50" i="15"/>
  <c r="E28" i="15"/>
  <c r="E67" i="15"/>
  <c r="E5" i="15"/>
  <c r="E13" i="15"/>
  <c r="E31" i="15"/>
  <c r="E15" i="15"/>
  <c r="E17" i="15"/>
  <c r="E23" i="15"/>
  <c r="F4" i="15"/>
  <c r="E36" i="15"/>
  <c r="E56" i="15"/>
  <c r="E26" i="15"/>
  <c r="E41" i="15"/>
  <c r="E47" i="15"/>
  <c r="E59" i="15"/>
  <c r="G115" i="15"/>
  <c r="B71" i="15"/>
  <c r="C36" i="15" s="1"/>
  <c r="G36" i="15"/>
  <c r="F36" i="15"/>
  <c r="D74" i="15"/>
  <c r="F80" i="15"/>
  <c r="G80" i="15"/>
  <c r="B75" i="15"/>
  <c r="D74" i="14"/>
  <c r="D82" i="1"/>
  <c r="D64" i="14"/>
  <c r="D62" i="14" s="1"/>
  <c r="D61" i="14"/>
  <c r="D57" i="14" s="1"/>
  <c r="D21" i="14"/>
  <c r="D28" i="14"/>
  <c r="D2" i="14"/>
  <c r="B2" i="14"/>
  <c r="D67" i="14"/>
  <c r="D50" i="14"/>
  <c r="D40" i="14"/>
  <c r="D9" i="14"/>
  <c r="D6" i="14"/>
  <c r="D35" i="14" s="1"/>
  <c r="D32" i="14" s="1"/>
  <c r="A2" i="14"/>
  <c r="F75" i="15" l="1"/>
  <c r="B74" i="15"/>
  <c r="G75" i="15"/>
  <c r="D135" i="15"/>
  <c r="C66" i="15"/>
  <c r="C63" i="15"/>
  <c r="C52" i="15"/>
  <c r="C49" i="15"/>
  <c r="C46" i="15"/>
  <c r="C24" i="15"/>
  <c r="C21" i="15"/>
  <c r="C16" i="15"/>
  <c r="C57" i="15"/>
  <c r="C54" i="15"/>
  <c r="C43" i="15"/>
  <c r="C40" i="15"/>
  <c r="C35" i="15"/>
  <c r="C32" i="15"/>
  <c r="C29" i="15"/>
  <c r="C18" i="15"/>
  <c r="C10" i="15"/>
  <c r="C7" i="15"/>
  <c r="C17" i="15"/>
  <c r="C68" i="15"/>
  <c r="C65" i="15"/>
  <c r="C62" i="15"/>
  <c r="C51" i="15"/>
  <c r="C48" i="15"/>
  <c r="C37" i="15"/>
  <c r="C26" i="15"/>
  <c r="C23" i="15"/>
  <c r="C15" i="15"/>
  <c r="C53" i="15"/>
  <c r="C13" i="15"/>
  <c r="C70" i="15"/>
  <c r="C59" i="15"/>
  <c r="C56" i="15"/>
  <c r="C42" i="15"/>
  <c r="C39" i="15"/>
  <c r="C34" i="15"/>
  <c r="C31" i="15"/>
  <c r="C28" i="15"/>
  <c r="C12" i="15"/>
  <c r="C9" i="15"/>
  <c r="C6" i="15"/>
  <c r="C67" i="15"/>
  <c r="C64" i="15"/>
  <c r="C61" i="15"/>
  <c r="C50" i="15"/>
  <c r="C47" i="15"/>
  <c r="C25" i="15"/>
  <c r="C22" i="15"/>
  <c r="C14" i="15"/>
  <c r="C38" i="15"/>
  <c r="C27" i="15"/>
  <c r="C5" i="15"/>
  <c r="G71" i="15"/>
  <c r="F71" i="15"/>
  <c r="C69" i="15"/>
  <c r="C58" i="15"/>
  <c r="C55" i="15"/>
  <c r="C44" i="15"/>
  <c r="C41" i="15"/>
  <c r="C33" i="15"/>
  <c r="C30" i="15"/>
  <c r="C19" i="15"/>
  <c r="C11" i="15"/>
  <c r="C8" i="15"/>
  <c r="C60" i="15"/>
  <c r="C71" i="15"/>
  <c r="C4" i="15"/>
  <c r="C45" i="15"/>
  <c r="C20" i="15"/>
  <c r="D17" i="14"/>
  <c r="D56" i="14"/>
  <c r="D70" i="14" s="1"/>
  <c r="D49" i="14" s="1"/>
  <c r="D48" i="14"/>
  <c r="D31" i="14" s="1"/>
  <c r="E123" i="15" l="1"/>
  <c r="E120" i="15"/>
  <c r="E112" i="15"/>
  <c r="E109" i="15"/>
  <c r="E106" i="15"/>
  <c r="E90" i="15"/>
  <c r="E87" i="15"/>
  <c r="E134" i="15"/>
  <c r="E131" i="15"/>
  <c r="E128" i="15"/>
  <c r="E117" i="15"/>
  <c r="E103" i="15"/>
  <c r="E100" i="15"/>
  <c r="E95" i="15"/>
  <c r="E92" i="15"/>
  <c r="E79" i="15"/>
  <c r="D137" i="15"/>
  <c r="E122" i="15"/>
  <c r="E119" i="15"/>
  <c r="E114" i="15"/>
  <c r="E111" i="15"/>
  <c r="E108" i="15"/>
  <c r="E105" i="15"/>
  <c r="E89" i="15"/>
  <c r="E86" i="15"/>
  <c r="E81" i="15"/>
  <c r="E133" i="15"/>
  <c r="E130" i="15"/>
  <c r="E127" i="15"/>
  <c r="E116" i="15"/>
  <c r="E102" i="15"/>
  <c r="E97" i="15"/>
  <c r="E94" i="15"/>
  <c r="E83" i="15"/>
  <c r="E78" i="15"/>
  <c r="E135" i="15"/>
  <c r="E137" i="15" s="1"/>
  <c r="E124" i="15"/>
  <c r="E121" i="15"/>
  <c r="E113" i="15"/>
  <c r="E110" i="15"/>
  <c r="E107" i="15"/>
  <c r="E88" i="15"/>
  <c r="E85" i="15"/>
  <c r="E132" i="15"/>
  <c r="E129" i="15"/>
  <c r="E126" i="15"/>
  <c r="E101" i="15"/>
  <c r="E96" i="15"/>
  <c r="E93" i="15"/>
  <c r="E77" i="15"/>
  <c r="E80" i="15"/>
  <c r="E118" i="15"/>
  <c r="E76" i="15"/>
  <c r="E115" i="15"/>
  <c r="E84" i="15"/>
  <c r="E82" i="15"/>
  <c r="E125" i="15"/>
  <c r="E91" i="15"/>
  <c r="E98" i="15"/>
  <c r="E99" i="15"/>
  <c r="E104" i="15"/>
  <c r="E75" i="15"/>
  <c r="E74" i="15"/>
  <c r="G74" i="15"/>
  <c r="F74" i="15"/>
  <c r="B135" i="15"/>
  <c r="B1" i="13"/>
  <c r="D139" i="1"/>
  <c r="B139" i="1"/>
  <c r="C123" i="15" l="1"/>
  <c r="C120" i="15"/>
  <c r="C87" i="15"/>
  <c r="C127" i="15"/>
  <c r="C134" i="15"/>
  <c r="C131" i="15"/>
  <c r="C128" i="15"/>
  <c r="C117" i="15"/>
  <c r="C103" i="15"/>
  <c r="C100" i="15"/>
  <c r="C95" i="15"/>
  <c r="C92" i="15"/>
  <c r="C79" i="15"/>
  <c r="C102" i="15"/>
  <c r="C83" i="15"/>
  <c r="B137" i="15"/>
  <c r="C122" i="15"/>
  <c r="C119" i="15"/>
  <c r="C114" i="15"/>
  <c r="C111" i="15"/>
  <c r="C108" i="15"/>
  <c r="C105" i="15"/>
  <c r="C89" i="15"/>
  <c r="C86" i="15"/>
  <c r="C81" i="15"/>
  <c r="C130" i="15"/>
  <c r="C94" i="15"/>
  <c r="G135" i="15"/>
  <c r="C133" i="15"/>
  <c r="C116" i="15"/>
  <c r="C97" i="15"/>
  <c r="C78" i="15"/>
  <c r="F135" i="15"/>
  <c r="C109" i="15"/>
  <c r="C124" i="15"/>
  <c r="C121" i="15"/>
  <c r="C113" i="15"/>
  <c r="C110" i="15"/>
  <c r="C107" i="15"/>
  <c r="C88" i="15"/>
  <c r="C85" i="15"/>
  <c r="C135" i="15"/>
  <c r="C137" i="15" s="1"/>
  <c r="C112" i="15"/>
  <c r="C132" i="15"/>
  <c r="C129" i="15"/>
  <c r="C126" i="15"/>
  <c r="C101" i="15"/>
  <c r="C96" i="15"/>
  <c r="C93" i="15"/>
  <c r="C77" i="15"/>
  <c r="C106" i="15"/>
  <c r="C90" i="15"/>
  <c r="C82" i="15"/>
  <c r="C76" i="15"/>
  <c r="C125" i="15"/>
  <c r="C91" i="15"/>
  <c r="C99" i="15"/>
  <c r="C104" i="15"/>
  <c r="C98" i="15"/>
  <c r="C115" i="15"/>
  <c r="C118" i="15"/>
  <c r="C84" i="15"/>
  <c r="C80" i="15"/>
  <c r="C75" i="15"/>
  <c r="C74" i="15"/>
  <c r="D73" i="1"/>
  <c r="B51" i="3"/>
  <c r="B47" i="3"/>
  <c r="B43" i="3"/>
  <c r="B16" i="5" s="1"/>
  <c r="B39" i="3"/>
  <c r="B36" i="3"/>
  <c r="B29" i="3"/>
  <c r="B20" i="3"/>
  <c r="B16" i="3"/>
  <c r="B13" i="3"/>
  <c r="B4" i="5" s="1"/>
  <c r="B8" i="3"/>
  <c r="B3" i="3"/>
  <c r="B2" i="3"/>
  <c r="B125" i="1"/>
  <c r="B118" i="1"/>
  <c r="B115" i="1"/>
  <c r="B104" i="1"/>
  <c r="B99" i="1"/>
  <c r="B98" i="1" s="1"/>
  <c r="B91" i="1"/>
  <c r="B84" i="1"/>
  <c r="B82" i="1"/>
  <c r="B80" i="1" s="1"/>
  <c r="B76" i="1"/>
  <c r="B68" i="1"/>
  <c r="B60" i="1"/>
  <c r="F60" i="1" s="1"/>
  <c r="B53" i="1"/>
  <c r="B36" i="1" s="1"/>
  <c r="B45" i="1"/>
  <c r="B38" i="1"/>
  <c r="B27" i="1"/>
  <c r="B20" i="1"/>
  <c r="B17" i="1"/>
  <c r="F17" i="1" s="1"/>
  <c r="B13" i="1"/>
  <c r="B5" i="1"/>
  <c r="F5" i="1" s="1"/>
  <c r="B4" i="1"/>
  <c r="F134" i="1"/>
  <c r="F133" i="1"/>
  <c r="F132" i="1"/>
  <c r="F131" i="1"/>
  <c r="F130" i="1"/>
  <c r="F129" i="1"/>
  <c r="F128" i="1"/>
  <c r="F127" i="1"/>
  <c r="F126" i="1"/>
  <c r="F124" i="1"/>
  <c r="F123" i="1"/>
  <c r="F122" i="1"/>
  <c r="F121" i="1"/>
  <c r="F120" i="1"/>
  <c r="F119" i="1"/>
  <c r="F117" i="1"/>
  <c r="F116" i="1"/>
  <c r="F114" i="1"/>
  <c r="F113" i="1"/>
  <c r="F112" i="1"/>
  <c r="F111" i="1"/>
  <c r="F110" i="1"/>
  <c r="F109" i="1"/>
  <c r="F108" i="1"/>
  <c r="F107" i="1"/>
  <c r="F106" i="1"/>
  <c r="F105" i="1"/>
  <c r="F103" i="1"/>
  <c r="F102" i="1"/>
  <c r="F101" i="1"/>
  <c r="F100" i="1"/>
  <c r="F99" i="1"/>
  <c r="F97" i="1"/>
  <c r="F96" i="1"/>
  <c r="F95" i="1"/>
  <c r="F94" i="1"/>
  <c r="F93" i="1"/>
  <c r="F92" i="1"/>
  <c r="F91" i="1"/>
  <c r="F90" i="1"/>
  <c r="F89" i="1"/>
  <c r="F88" i="1"/>
  <c r="F87" i="1"/>
  <c r="F86" i="1"/>
  <c r="F85" i="1"/>
  <c r="F84" i="1"/>
  <c r="F83" i="1"/>
  <c r="F82" i="1"/>
  <c r="F81" i="1"/>
  <c r="F79" i="1"/>
  <c r="F78" i="1"/>
  <c r="F77" i="1"/>
  <c r="F70" i="1"/>
  <c r="F69" i="1"/>
  <c r="F67" i="1"/>
  <c r="F66" i="1"/>
  <c r="F65" i="1"/>
  <c r="F64" i="1"/>
  <c r="F63" i="1"/>
  <c r="F62" i="1"/>
  <c r="F61" i="1"/>
  <c r="F59" i="1"/>
  <c r="F58" i="1"/>
  <c r="F57" i="1"/>
  <c r="F56" i="1"/>
  <c r="F55" i="1"/>
  <c r="F54" i="1"/>
  <c r="F53" i="1"/>
  <c r="F52" i="1"/>
  <c r="F51" i="1"/>
  <c r="F50" i="1"/>
  <c r="F49" i="1"/>
  <c r="F48" i="1"/>
  <c r="F47" i="1"/>
  <c r="F46" i="1"/>
  <c r="F44" i="1"/>
  <c r="F43" i="1"/>
  <c r="F42" i="1"/>
  <c r="F41" i="1"/>
  <c r="F40" i="1"/>
  <c r="F39" i="1"/>
  <c r="F37" i="1"/>
  <c r="F35" i="1"/>
  <c r="F34" i="1"/>
  <c r="F33" i="1"/>
  <c r="F32" i="1"/>
  <c r="F31" i="1"/>
  <c r="F30" i="1"/>
  <c r="F29" i="1"/>
  <c r="F28" i="1"/>
  <c r="F26" i="1"/>
  <c r="F25" i="1"/>
  <c r="F24" i="1"/>
  <c r="F23" i="1"/>
  <c r="F22" i="1"/>
  <c r="F21" i="1"/>
  <c r="F20" i="1"/>
  <c r="F19" i="1"/>
  <c r="F18" i="1"/>
  <c r="F16" i="1"/>
  <c r="F15" i="1"/>
  <c r="F14" i="1"/>
  <c r="F12" i="1"/>
  <c r="F11" i="1"/>
  <c r="F10" i="1"/>
  <c r="F9" i="1"/>
  <c r="F8" i="1"/>
  <c r="F7" i="1"/>
  <c r="F6" i="1"/>
  <c r="A73" i="1"/>
  <c r="D28" i="5"/>
  <c r="D26" i="5"/>
  <c r="D24" i="5"/>
  <c r="D21" i="5"/>
  <c r="D20" i="5"/>
  <c r="D18" i="5"/>
  <c r="D13" i="5"/>
  <c r="D12" i="5"/>
  <c r="D10" i="5"/>
  <c r="D8" i="5"/>
  <c r="D7" i="5"/>
  <c r="D5" i="5"/>
  <c r="B28" i="5"/>
  <c r="B26" i="5"/>
  <c r="B24" i="5"/>
  <c r="B23" i="5"/>
  <c r="B22" i="5"/>
  <c r="B21" i="5"/>
  <c r="B20" i="5"/>
  <c r="B18" i="5"/>
  <c r="B13" i="5"/>
  <c r="B12" i="5"/>
  <c r="B10" i="5"/>
  <c r="B8" i="5"/>
  <c r="B7" i="5"/>
  <c r="B5" i="5"/>
  <c r="B3" i="5"/>
  <c r="D125" i="1"/>
  <c r="D118" i="1"/>
  <c r="D104" i="1"/>
  <c r="D99" i="1"/>
  <c r="D91" i="1"/>
  <c r="D84" i="1"/>
  <c r="D80" i="1"/>
  <c r="D76" i="1"/>
  <c r="F76" i="1" s="1"/>
  <c r="D68" i="1"/>
  <c r="D60" i="1"/>
  <c r="D53" i="1"/>
  <c r="D45" i="1"/>
  <c r="D38" i="1"/>
  <c r="D27" i="1"/>
  <c r="F27" i="1" s="1"/>
  <c r="D20" i="1"/>
  <c r="D17" i="1"/>
  <c r="D13" i="1"/>
  <c r="D5" i="1"/>
  <c r="C36" i="13" l="1"/>
  <c r="B35" i="3"/>
  <c r="B15" i="5" s="1"/>
  <c r="D98" i="1"/>
  <c r="F45" i="1"/>
  <c r="F38" i="1"/>
  <c r="D75" i="14"/>
  <c r="B34" i="3"/>
  <c r="B6" i="5"/>
  <c r="B9" i="5" s="1"/>
  <c r="B11" i="5" s="1"/>
  <c r="B14" i="5" s="1"/>
  <c r="C30" i="13" s="1"/>
  <c r="F13" i="1"/>
  <c r="F125" i="1"/>
  <c r="F104" i="1"/>
  <c r="D75" i="1"/>
  <c r="F68" i="1"/>
  <c r="D36" i="1"/>
  <c r="D4" i="1"/>
  <c r="B17" i="5"/>
  <c r="B71" i="1"/>
  <c r="C5" i="1" s="1"/>
  <c r="C36" i="1"/>
  <c r="C4" i="1"/>
  <c r="F80" i="1"/>
  <c r="B75" i="1"/>
  <c r="F98" i="1"/>
  <c r="C17" i="1"/>
  <c r="F118" i="1"/>
  <c r="D115" i="1"/>
  <c r="F115" i="1" s="1"/>
  <c r="C32" i="13" l="1"/>
  <c r="C33" i="13" s="1"/>
  <c r="C29" i="13"/>
  <c r="B54" i="3"/>
  <c r="B19" i="5"/>
  <c r="B25" i="5" s="1"/>
  <c r="D74" i="1"/>
  <c r="F36" i="1"/>
  <c r="B55" i="3"/>
  <c r="D135" i="1"/>
  <c r="E134" i="1" s="1"/>
  <c r="D71" i="1"/>
  <c r="F4" i="1"/>
  <c r="C70" i="1"/>
  <c r="C58" i="1"/>
  <c r="C46" i="1"/>
  <c r="C34" i="1"/>
  <c r="C22" i="1"/>
  <c r="C10" i="1"/>
  <c r="C23" i="1"/>
  <c r="C69" i="1"/>
  <c r="C57" i="1"/>
  <c r="C45" i="1"/>
  <c r="C33" i="1"/>
  <c r="C21" i="1"/>
  <c r="C9" i="1"/>
  <c r="C50" i="1"/>
  <c r="C60" i="1"/>
  <c r="C24" i="1"/>
  <c r="C47" i="1"/>
  <c r="C56" i="1"/>
  <c r="C44" i="1"/>
  <c r="C32" i="1"/>
  <c r="C8" i="1"/>
  <c r="C67" i="1"/>
  <c r="C55" i="1"/>
  <c r="C31" i="1"/>
  <c r="C19" i="1"/>
  <c r="C7" i="1"/>
  <c r="C66" i="1"/>
  <c r="C42" i="1"/>
  <c r="C30" i="1"/>
  <c r="C18" i="1"/>
  <c r="C28" i="1"/>
  <c r="C16" i="1"/>
  <c r="C63" i="1"/>
  <c r="C39" i="1"/>
  <c r="C27" i="1"/>
  <c r="C62" i="1"/>
  <c r="C38" i="1"/>
  <c r="C14" i="1"/>
  <c r="C61" i="1"/>
  <c r="C37" i="1"/>
  <c r="C13" i="1"/>
  <c r="C71" i="1"/>
  <c r="C11" i="1"/>
  <c r="C43" i="1"/>
  <c r="C54" i="1"/>
  <c r="C40" i="1"/>
  <c r="C25" i="1"/>
  <c r="C6" i="1"/>
  <c r="C64" i="1"/>
  <c r="C26" i="1"/>
  <c r="C12" i="1"/>
  <c r="C35" i="1"/>
  <c r="C65" i="1"/>
  <c r="C53" i="1"/>
  <c r="C41" i="1"/>
  <c r="C29" i="1"/>
  <c r="C52" i="1"/>
  <c r="C51" i="1"/>
  <c r="C15" i="1"/>
  <c r="C49" i="1"/>
  <c r="C48" i="1"/>
  <c r="C59" i="1"/>
  <c r="C20" i="1"/>
  <c r="C68" i="1"/>
  <c r="F75" i="1"/>
  <c r="B74" i="1"/>
  <c r="B57" i="3" l="1"/>
  <c r="B59" i="3" s="1"/>
  <c r="C46" i="13" s="1"/>
  <c r="F55" i="3"/>
  <c r="B4" i="14"/>
  <c r="F57" i="3"/>
  <c r="F58" i="3" s="1"/>
  <c r="C43" i="13"/>
  <c r="C38" i="13"/>
  <c r="C34" i="13"/>
  <c r="B27" i="5"/>
  <c r="B29" i="5" s="1"/>
  <c r="E13" i="1"/>
  <c r="B61" i="3"/>
  <c r="E90" i="1"/>
  <c r="E126" i="1"/>
  <c r="E114" i="1"/>
  <c r="E109" i="1"/>
  <c r="E89" i="1"/>
  <c r="E107" i="1"/>
  <c r="E85" i="1"/>
  <c r="E120" i="1"/>
  <c r="E113" i="1"/>
  <c r="E124" i="1"/>
  <c r="E115" i="1"/>
  <c r="E83" i="1"/>
  <c r="E81" i="1"/>
  <c r="E133" i="1"/>
  <c r="E111" i="1"/>
  <c r="E96" i="1"/>
  <c r="E132" i="1"/>
  <c r="E121" i="1"/>
  <c r="E122" i="1"/>
  <c r="E91" i="1"/>
  <c r="E95" i="1"/>
  <c r="E87" i="1"/>
  <c r="E88" i="1"/>
  <c r="E78" i="1"/>
  <c r="E123" i="1"/>
  <c r="E97" i="1"/>
  <c r="E93" i="1"/>
  <c r="E108" i="1"/>
  <c r="E131" i="1"/>
  <c r="E127" i="1"/>
  <c r="E103" i="1"/>
  <c r="E104" i="1"/>
  <c r="E110" i="1"/>
  <c r="E106" i="1"/>
  <c r="E75" i="1"/>
  <c r="E116" i="1"/>
  <c r="E130" i="1"/>
  <c r="E79" i="1"/>
  <c r="E112" i="1"/>
  <c r="E101" i="1"/>
  <c r="E129" i="1"/>
  <c r="E86" i="1"/>
  <c r="E117" i="1"/>
  <c r="E119" i="1"/>
  <c r="E77" i="1"/>
  <c r="E135" i="1"/>
  <c r="E92" i="1"/>
  <c r="E80" i="1"/>
  <c r="E125" i="1"/>
  <c r="E102" i="1"/>
  <c r="E82" i="1"/>
  <c r="E94" i="1"/>
  <c r="E98" i="1"/>
  <c r="E99" i="1"/>
  <c r="E74" i="1"/>
  <c r="E128" i="1"/>
  <c r="E84" i="1"/>
  <c r="E76" i="1"/>
  <c r="E105" i="1"/>
  <c r="E118" i="1"/>
  <c r="E100" i="1"/>
  <c r="E6" i="1"/>
  <c r="E12" i="1"/>
  <c r="E11" i="1"/>
  <c r="E46" i="1"/>
  <c r="E42" i="1"/>
  <c r="E34" i="1"/>
  <c r="E70" i="1"/>
  <c r="E9" i="1"/>
  <c r="E71" i="1"/>
  <c r="E137" i="1" s="1"/>
  <c r="E36" i="1"/>
  <c r="E19" i="1"/>
  <c r="E40" i="1"/>
  <c r="E21" i="1"/>
  <c r="E14" i="1"/>
  <c r="E58" i="1"/>
  <c r="E30" i="1"/>
  <c r="E38" i="1"/>
  <c r="E44" i="1"/>
  <c r="E51" i="1"/>
  <c r="E28" i="1"/>
  <c r="E10" i="1"/>
  <c r="E61" i="1"/>
  <c r="E25" i="1"/>
  <c r="E52" i="1"/>
  <c r="E16" i="1"/>
  <c r="E29" i="1"/>
  <c r="E48" i="1"/>
  <c r="E62" i="1"/>
  <c r="E69" i="1"/>
  <c r="E22" i="1"/>
  <c r="E31" i="1"/>
  <c r="E7" i="1"/>
  <c r="E57" i="1"/>
  <c r="E41" i="1"/>
  <c r="E35" i="1"/>
  <c r="E5" i="1"/>
  <c r="E68" i="1"/>
  <c r="E63" i="1"/>
  <c r="E60" i="1"/>
  <c r="F71" i="1"/>
  <c r="E45" i="1"/>
  <c r="E67" i="1"/>
  <c r="E8" i="1"/>
  <c r="E66" i="1"/>
  <c r="E37" i="1"/>
  <c r="D137" i="1"/>
  <c r="E55" i="1"/>
  <c r="E24" i="1"/>
  <c r="E50" i="1"/>
  <c r="E65" i="1"/>
  <c r="E56" i="1"/>
  <c r="E33" i="1"/>
  <c r="E17" i="1"/>
  <c r="E43" i="1"/>
  <c r="E39" i="1"/>
  <c r="E18" i="1"/>
  <c r="E27" i="1"/>
  <c r="E23" i="1"/>
  <c r="E64" i="1"/>
  <c r="E20" i="1"/>
  <c r="E47" i="1"/>
  <c r="E26" i="1"/>
  <c r="E53" i="1"/>
  <c r="E32" i="1"/>
  <c r="E15" i="1"/>
  <c r="E59" i="1"/>
  <c r="E54" i="1"/>
  <c r="E49" i="1"/>
  <c r="E4" i="1"/>
  <c r="F74" i="1"/>
  <c r="B135" i="1"/>
  <c r="D26" i="10"/>
  <c r="D25" i="10"/>
  <c r="D23" i="10"/>
  <c r="B23" i="10"/>
  <c r="G23" i="10" s="1"/>
  <c r="B25" i="10"/>
  <c r="B26" i="10"/>
  <c r="D21" i="10"/>
  <c r="D18" i="10"/>
  <c r="D15" i="10"/>
  <c r="D13" i="10"/>
  <c r="D11" i="10"/>
  <c r="A26" i="10"/>
  <c r="A25" i="10"/>
  <c r="A24" i="10"/>
  <c r="A23" i="10"/>
  <c r="B18" i="10"/>
  <c r="B21" i="10"/>
  <c r="A21" i="10"/>
  <c r="A20" i="10"/>
  <c r="A19" i="10"/>
  <c r="B13" i="10"/>
  <c r="B15" i="10"/>
  <c r="A15" i="10"/>
  <c r="A13" i="10"/>
  <c r="A14" i="10"/>
  <c r="A2" i="10"/>
  <c r="B11" i="10"/>
  <c r="A11" i="10"/>
  <c r="A10" i="10"/>
  <c r="A9" i="10"/>
  <c r="A18" i="10"/>
  <c r="A1" i="5"/>
  <c r="C54" i="3"/>
  <c r="D51" i="3"/>
  <c r="D23" i="5" s="1"/>
  <c r="D2" i="3"/>
  <c r="D2" i="5" s="1"/>
  <c r="B2" i="5"/>
  <c r="A1" i="3"/>
  <c r="D2" i="10"/>
  <c r="B2" i="10"/>
  <c r="A1" i="10"/>
  <c r="C35" i="13" l="1"/>
  <c r="H4" i="14"/>
  <c r="C11" i="13" s="1"/>
  <c r="H5" i="14"/>
  <c r="C12" i="13" s="1"/>
  <c r="H6" i="14"/>
  <c r="B30" i="14"/>
  <c r="F135" i="1"/>
  <c r="C131" i="1"/>
  <c r="C119" i="1"/>
  <c r="C107" i="1"/>
  <c r="C95" i="1"/>
  <c r="C83" i="1"/>
  <c r="C132" i="1"/>
  <c r="C130" i="1"/>
  <c r="C106" i="1"/>
  <c r="C94" i="1"/>
  <c r="C82" i="1"/>
  <c r="C124" i="1"/>
  <c r="C111" i="1"/>
  <c r="C133" i="1"/>
  <c r="C109" i="1"/>
  <c r="C96" i="1"/>
  <c r="C129" i="1"/>
  <c r="C117" i="1"/>
  <c r="C105" i="1"/>
  <c r="C93" i="1"/>
  <c r="C81" i="1"/>
  <c r="C103" i="1"/>
  <c r="C91" i="1"/>
  <c r="C101" i="1"/>
  <c r="C77" i="1"/>
  <c r="C112" i="1"/>
  <c r="C88" i="1"/>
  <c r="C123" i="1"/>
  <c r="C87" i="1"/>
  <c r="C134" i="1"/>
  <c r="C121" i="1"/>
  <c r="C108" i="1"/>
  <c r="C128" i="1"/>
  <c r="C116" i="1"/>
  <c r="C92" i="1"/>
  <c r="C89" i="1"/>
  <c r="C99" i="1"/>
  <c r="C86" i="1"/>
  <c r="C127" i="1"/>
  <c r="C79" i="1"/>
  <c r="C76" i="1"/>
  <c r="C110" i="1"/>
  <c r="C85" i="1"/>
  <c r="C84" i="1"/>
  <c r="C126" i="1"/>
  <c r="C114" i="1"/>
  <c r="C102" i="1"/>
  <c r="C90" i="1"/>
  <c r="C78" i="1"/>
  <c r="B137" i="1"/>
  <c r="C113" i="1"/>
  <c r="C100" i="1"/>
  <c r="C135" i="1"/>
  <c r="C137" i="1" s="1"/>
  <c r="C122" i="1"/>
  <c r="C97" i="1"/>
  <c r="C120" i="1"/>
  <c r="C80" i="1"/>
  <c r="C104" i="1"/>
  <c r="C98" i="1"/>
  <c r="C115" i="1"/>
  <c r="C118" i="1"/>
  <c r="C125" i="1"/>
  <c r="C75" i="1"/>
  <c r="C74" i="1"/>
  <c r="G25" i="10"/>
  <c r="G26" i="10"/>
  <c r="G11" i="10"/>
  <c r="F18" i="10"/>
  <c r="F13" i="10"/>
  <c r="F15" i="10"/>
  <c r="F23" i="10"/>
  <c r="G15" i="10"/>
  <c r="G13" i="10"/>
  <c r="F26" i="10"/>
  <c r="F21" i="10"/>
  <c r="G18" i="10"/>
  <c r="F11" i="10"/>
  <c r="F25" i="10"/>
  <c r="G21" i="10"/>
  <c r="B72" i="14" l="1"/>
  <c r="B77" i="14" s="1"/>
  <c r="B3" i="14"/>
  <c r="C14" i="13"/>
  <c r="C17" i="13"/>
  <c r="C15" i="13"/>
  <c r="C13" i="13"/>
  <c r="C18" i="13"/>
  <c r="C20" i="13" s="1"/>
  <c r="C47" i="13"/>
  <c r="C41" i="13"/>
  <c r="D3" i="3"/>
  <c r="D3" i="5" s="1"/>
  <c r="E36" i="13" s="1"/>
  <c r="D13" i="3"/>
  <c r="D4" i="5" s="1"/>
  <c r="D36" i="3"/>
  <c r="D39" i="3"/>
  <c r="D43" i="3"/>
  <c r="D47" i="3"/>
  <c r="D17" i="5" s="1"/>
  <c r="D29" i="3"/>
  <c r="D22" i="5" s="1"/>
  <c r="D16" i="3"/>
  <c r="D20" i="3"/>
  <c r="D8" i="3"/>
  <c r="C19" i="13" l="1"/>
  <c r="C21" i="13" s="1"/>
  <c r="C16" i="13"/>
  <c r="E32" i="13"/>
  <c r="G36" i="13"/>
  <c r="D16" i="5"/>
  <c r="D13" i="14"/>
  <c r="D6" i="5"/>
  <c r="D9" i="5" s="1"/>
  <c r="D11" i="5" s="1"/>
  <c r="D14" i="5" s="1"/>
  <c r="E30" i="13" s="1"/>
  <c r="B19" i="10"/>
  <c r="D19" i="10"/>
  <c r="D24" i="10"/>
  <c r="D22" i="10" s="1"/>
  <c r="B24" i="10"/>
  <c r="B14" i="10"/>
  <c r="D14" i="10"/>
  <c r="D12" i="10" s="1"/>
  <c r="B20" i="10"/>
  <c r="D5" i="10"/>
  <c r="D20" i="10"/>
  <c r="B10" i="10"/>
  <c r="D10" i="10"/>
  <c r="D9" i="10"/>
  <c r="B9" i="10"/>
  <c r="F16" i="5"/>
  <c r="F7" i="5"/>
  <c r="F13" i="5"/>
  <c r="F26" i="5"/>
  <c r="F24" i="5"/>
  <c r="F18" i="5"/>
  <c r="F4" i="5"/>
  <c r="F12" i="5"/>
  <c r="F5" i="5"/>
  <c r="F20" i="5"/>
  <c r="F17" i="5"/>
  <c r="F22" i="5"/>
  <c r="F8" i="5"/>
  <c r="B6" i="10"/>
  <c r="B5" i="10"/>
  <c r="D6" i="10"/>
  <c r="D35" i="3"/>
  <c r="D34" i="3"/>
  <c r="E34" i="13" l="1"/>
  <c r="G34" i="13" s="1"/>
  <c r="G32" i="13"/>
  <c r="E33" i="13"/>
  <c r="G33" i="13" s="1"/>
  <c r="E29" i="13"/>
  <c r="G29" i="13" s="1"/>
  <c r="G30" i="13"/>
  <c r="D25" i="14"/>
  <c r="D24" i="14" s="1"/>
  <c r="D5" i="14"/>
  <c r="D8" i="10"/>
  <c r="D7" i="10" s="1"/>
  <c r="D15" i="5"/>
  <c r="F15" i="5" s="1"/>
  <c r="D54" i="3"/>
  <c r="D55" i="3" s="1"/>
  <c r="E24" i="5"/>
  <c r="D17" i="10"/>
  <c r="D16" i="10" s="1"/>
  <c r="G19" i="10"/>
  <c r="F19" i="10"/>
  <c r="G24" i="10"/>
  <c r="F24" i="10"/>
  <c r="B22" i="10"/>
  <c r="D4" i="10"/>
  <c r="F6" i="10"/>
  <c r="G6" i="10"/>
  <c r="G14" i="10"/>
  <c r="B12" i="10"/>
  <c r="F14" i="10"/>
  <c r="G20" i="10"/>
  <c r="F20" i="10"/>
  <c r="B17" i="10"/>
  <c r="G10" i="10"/>
  <c r="F10" i="10"/>
  <c r="F9" i="10"/>
  <c r="G9" i="10"/>
  <c r="B8" i="10"/>
  <c r="B4" i="10"/>
  <c r="F5" i="10"/>
  <c r="G5" i="10"/>
  <c r="F10" i="5"/>
  <c r="C3" i="5"/>
  <c r="F3" i="5"/>
  <c r="B3" i="10"/>
  <c r="E21" i="5"/>
  <c r="E17" i="5"/>
  <c r="E20" i="5"/>
  <c r="E28" i="5"/>
  <c r="E3" i="5"/>
  <c r="E23" i="5"/>
  <c r="E8" i="5"/>
  <c r="E13" i="5"/>
  <c r="E18" i="5"/>
  <c r="E6" i="5"/>
  <c r="E7" i="5"/>
  <c r="E22" i="5"/>
  <c r="E10" i="5"/>
  <c r="E12" i="5"/>
  <c r="E4" i="5"/>
  <c r="E26" i="5"/>
  <c r="E16" i="5"/>
  <c r="D4" i="14" l="1"/>
  <c r="E43" i="13"/>
  <c r="G43" i="13" s="1"/>
  <c r="E38" i="13"/>
  <c r="I4" i="14"/>
  <c r="D30" i="14"/>
  <c r="I6" i="14"/>
  <c r="I5" i="14"/>
  <c r="E13" i="13"/>
  <c r="E12" i="13"/>
  <c r="D72" i="14"/>
  <c r="D77" i="14" s="1"/>
  <c r="D3" i="14"/>
  <c r="D19" i="5"/>
  <c r="D25" i="5" s="1"/>
  <c r="F22" i="10"/>
  <c r="G22" i="10"/>
  <c r="G12" i="10"/>
  <c r="F12" i="10"/>
  <c r="F4" i="10"/>
  <c r="F3" i="10" s="1"/>
  <c r="G17" i="10"/>
  <c r="B16" i="10"/>
  <c r="F17" i="10"/>
  <c r="G4" i="10"/>
  <c r="G8" i="10"/>
  <c r="F8" i="10"/>
  <c r="B7" i="10"/>
  <c r="B1" i="10" s="1"/>
  <c r="C24" i="10"/>
  <c r="C21" i="10"/>
  <c r="C23" i="10"/>
  <c r="C19" i="10"/>
  <c r="C9" i="10"/>
  <c r="C15" i="10"/>
  <c r="C20" i="10"/>
  <c r="C4" i="10"/>
  <c r="C11" i="10"/>
  <c r="C25" i="10"/>
  <c r="C18" i="10"/>
  <c r="C3" i="10"/>
  <c r="C5" i="10"/>
  <c r="C6" i="10"/>
  <c r="C14" i="10"/>
  <c r="C10" i="10"/>
  <c r="C13" i="10"/>
  <c r="C26" i="10"/>
  <c r="C17" i="10"/>
  <c r="C12" i="10"/>
  <c r="C22" i="10"/>
  <c r="C8" i="10"/>
  <c r="D3" i="10"/>
  <c r="G3" i="10" s="1"/>
  <c r="F6" i="5"/>
  <c r="C21" i="5"/>
  <c r="C17" i="5"/>
  <c r="C13" i="5"/>
  <c r="C4" i="5"/>
  <c r="C23" i="5"/>
  <c r="C15" i="5"/>
  <c r="C7" i="5"/>
  <c r="C26" i="5"/>
  <c r="C18" i="5"/>
  <c r="C6" i="5"/>
  <c r="C28" i="5"/>
  <c r="C24" i="5"/>
  <c r="C20" i="5"/>
  <c r="C16" i="5"/>
  <c r="C12" i="5"/>
  <c r="C8" i="5"/>
  <c r="C22" i="5"/>
  <c r="C10" i="5"/>
  <c r="D57" i="3"/>
  <c r="D59" i="3" s="1"/>
  <c r="E46" i="13" s="1"/>
  <c r="G46" i="13" s="1"/>
  <c r="E15" i="5"/>
  <c r="E9" i="5"/>
  <c r="E35" i="13" l="1"/>
  <c r="G38" i="13"/>
  <c r="D11" i="13"/>
  <c r="E11" i="13"/>
  <c r="E18" i="13"/>
  <c r="E15" i="13"/>
  <c r="G15" i="13" s="1"/>
  <c r="G12" i="13"/>
  <c r="E19" i="13"/>
  <c r="E16" i="13"/>
  <c r="G16" i="13" s="1"/>
  <c r="G13" i="13"/>
  <c r="D27" i="5"/>
  <c r="D29" i="5" s="1"/>
  <c r="D61" i="3"/>
  <c r="G16" i="10"/>
  <c r="F16" i="10"/>
  <c r="C16" i="10"/>
  <c r="C7" i="10"/>
  <c r="G7" i="10"/>
  <c r="F7" i="10"/>
  <c r="E13" i="10"/>
  <c r="E11" i="10"/>
  <c r="E10" i="10"/>
  <c r="E14" i="10"/>
  <c r="E15" i="10"/>
  <c r="E19" i="10"/>
  <c r="E24" i="10"/>
  <c r="E9" i="10"/>
  <c r="E3" i="10"/>
  <c r="E26" i="10"/>
  <c r="E23" i="10"/>
  <c r="E20" i="10"/>
  <c r="E18" i="10"/>
  <c r="E25" i="10"/>
  <c r="E6" i="10"/>
  <c r="E5" i="10"/>
  <c r="E21" i="10"/>
  <c r="E17" i="10"/>
  <c r="E8" i="10"/>
  <c r="E22" i="10"/>
  <c r="E12" i="10"/>
  <c r="E4" i="10"/>
  <c r="E16" i="10"/>
  <c r="E7" i="10"/>
  <c r="C9" i="5"/>
  <c r="F9" i="5"/>
  <c r="E11" i="5"/>
  <c r="E41" i="13" l="1"/>
  <c r="G41" i="13" s="1"/>
  <c r="E47" i="13"/>
  <c r="G47" i="13" s="1"/>
  <c r="G35" i="13"/>
  <c r="D14" i="13"/>
  <c r="D17" i="13"/>
  <c r="E14" i="13"/>
  <c r="G14" i="13" s="1"/>
  <c r="E17" i="13"/>
  <c r="G17" i="13" s="1"/>
  <c r="G11" i="13"/>
  <c r="E21" i="13"/>
  <c r="G21" i="13" s="1"/>
  <c r="G19" i="13"/>
  <c r="E20" i="13"/>
  <c r="G20" i="13" s="1"/>
  <c r="G18" i="13"/>
  <c r="F11" i="5"/>
  <c r="C11" i="5"/>
  <c r="E14" i="5"/>
  <c r="F14" i="5" l="1"/>
  <c r="C14" i="5"/>
  <c r="E19" i="5"/>
  <c r="C19" i="5" l="1"/>
  <c r="F19" i="5"/>
  <c r="E25" i="5"/>
  <c r="C25" i="5" l="1"/>
  <c r="F25" i="5"/>
  <c r="E27" i="5"/>
  <c r="C27" i="5" l="1"/>
  <c r="F27" i="5"/>
  <c r="E29" i="5"/>
  <c r="C29" i="5" l="1"/>
  <c r="F2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tc={9D485EAB-37AF-4809-95AD-D88E62179DEF}</author>
    <author>tc={B5C6A2DD-FD4C-4DC7-85B9-014F28D83759}</author>
    <author>tc={BDEA7BF4-7F20-4777-A71E-858E95BB93BA}</author>
    <author>tc={7E944CCC-5459-4FEB-8BC7-E36CAE859494}</author>
    <author>tc={F072FD0D-89E3-477F-A90B-A213F727AF84}</author>
    <author>tc={18C6221A-007A-40F3-94D3-35F334D2C8DD}</author>
    <author>tc={64B435E9-9906-4417-A8B5-C310EA4D2E9B}</author>
    <author>tc={E772D4FE-D0F8-4968-8BBE-52A450BF8DC9}</author>
    <author>tc={5EAB6EE9-D232-4F44-9111-7B1365728391}</author>
    <author>tc={D18454AB-D9B1-4899-904E-E3B3313F3003}</author>
    <author>tc={CFEB8458-F15D-4C27-84CE-7D3E77F15C21}</author>
    <author>tc={17BDB80B-E8DA-4C33-A9B9-215571700CBD}</author>
    <author>tc={6ECA549E-5DE0-4C77-BABA-6B5D87A65DDC}</author>
  </authors>
  <commentList>
    <comment ref="A11" authorId="0" shapeId="0" xr:uid="{9D485EAB-37AF-4809-95AD-D88E62179DEF}">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6."Otro inmovilizado intangible"</t>
        </r>
      </text>
    </comment>
    <comment ref="A26" authorId="1" shapeId="0" xr:uid="{B5C6A2DD-FD4C-4DC7-85B9-014F28D8375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5.Otros activos financieros</t>
        </r>
      </text>
    </comment>
    <comment ref="A33" authorId="2" shapeId="0" xr:uid="{BDEA7BF4-7F20-4777-A71E-858E95BB93BA}">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5.Otros activos financieros</t>
        </r>
      </text>
    </comment>
    <comment ref="A35" authorId="3" shapeId="0" xr:uid="{7E944CCC-5459-4FEB-8BC7-E36CAE859494}">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no aparece en el modelo de PGC</t>
        </r>
      </text>
    </comment>
    <comment ref="A59" authorId="4" shapeId="0" xr:uid="{F072FD0D-89E3-477F-A90B-A213F727AF84}">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5.Otros activos financieros</t>
        </r>
      </text>
    </comment>
    <comment ref="B62" authorId="5" shapeId="0" xr:uid="{18C6221A-007A-40F3-94D3-35F334D2C8D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la nota 9 aparece esta cantidad, que es la que cuadra.
En el balance del RM aparece por 95.583</t>
        </r>
      </text>
    </comment>
    <comment ref="D62" authorId="6" shapeId="0" xr:uid="{64B435E9-9906-4417-A8B5-C310EA4D2E9B}">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la nota 9 aparece esta cantidad, que es la que cuadra.
En el balance del RM aparece por 95.583</t>
        </r>
      </text>
    </comment>
    <comment ref="A66" authorId="7" shapeId="0" xr:uid="{E772D4FE-D0F8-4968-8BBE-52A450BF8DC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5.Otros activos financieros</t>
        </r>
      </text>
    </comment>
    <comment ref="A92" authorId="8" shapeId="0" xr:uid="{5EAB6EE9-D232-4F44-9111-7B1365728391}">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en 2021 por "Activos financieros a valor razonable con cambios en patrimonio neto"</t>
        </r>
      </text>
    </comment>
    <comment ref="A96" authorId="9" shapeId="0" xr:uid="{D18454AB-D9B1-4899-904E-E3B3313F3003}">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2021 se unifican los 3 últimos epígrafes en "III.Otros"</t>
        </r>
      </text>
    </comment>
    <comment ref="A113" authorId="10" shapeId="0" xr:uid="{CFEB8458-F15D-4C27-84CE-7D3E77F15C21}">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no aparece en el modelo de PGC</t>
        </r>
      </text>
    </comment>
    <comment ref="A114" authorId="11" shapeId="0" xr:uid="{17BDB80B-E8DA-4C33-A9B9-215571700CB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partida no aparece en el modelo del PGC</t>
        </r>
      </text>
    </comment>
    <comment ref="A134" authorId="12" shapeId="0" xr:uid="{6ECA549E-5DE0-4C77-BABA-6B5D87A65DD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partida no aparece en el modelo del PGC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tc={8013CAF0-A66A-454F-9CE0-598C9CAB40CC}</author>
    <author>tc={C25C4651-3EBC-4455-95F4-2D86AC0B8434}</author>
    <author>tc={49B518B7-329F-44D5-BA91-3EC0316E8009}</author>
    <author>tc={8DC83FA9-FC23-429F-BD88-D6396417A16A}</author>
    <author>tc={F8253916-3F59-4546-83DA-12D6F8914895}</author>
    <author>tc={4073E6DF-6DE7-4118-9628-DF96A4CD2C29}</author>
    <author>tc={357A96E3-E1B0-4F0D-B396-31D382FE3778}</author>
    <author>tc={963A7A3A-C4DF-4F39-9956-900C3A71B41E}</author>
    <author>tc={B4AC2F40-A1F5-4727-ACE5-B5819D82AD0B}</author>
    <author>tc={7AF06075-C6E5-492D-9DED-DFEEC9B3D8B6}</author>
    <author>tc={13BE2DB3-8616-49A7-A734-2516A3E407DF}</author>
    <author>tc={513EE095-C097-4F29-8719-B6FCEE1CEEDA}</author>
    <author>tc={9199796E-A0FA-4A2D-88C5-E1BFDCA2C59C}</author>
  </authors>
  <commentList>
    <comment ref="A11" authorId="0" shapeId="0" xr:uid="{8013CAF0-A66A-454F-9CE0-598C9CAB40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6."Otro inmovilizado intangible"</t>
        </r>
      </text>
    </comment>
    <comment ref="A26" authorId="1" shapeId="0" xr:uid="{C25C4651-3EBC-4455-95F4-2D86AC0B8434}">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5.Otros activos financieros</t>
        </r>
      </text>
    </comment>
    <comment ref="A33" authorId="2" shapeId="0" xr:uid="{49B518B7-329F-44D5-BA91-3EC0316E800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5.Otros activos financieros</t>
        </r>
      </text>
    </comment>
    <comment ref="A35" authorId="3" shapeId="0" xr:uid="{8DC83FA9-FC23-429F-BD88-D6396417A16A}">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no aparece en el modelo de PGC</t>
        </r>
      </text>
    </comment>
    <comment ref="A59" authorId="4" shapeId="0" xr:uid="{F8253916-3F59-4546-83DA-12D6F8914895}">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5.Otros activos financieros</t>
        </r>
      </text>
    </comment>
    <comment ref="B62" authorId="5" shapeId="0" xr:uid="{4073E6DF-6DE7-4118-9628-DF96A4CD2C29}">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la nota 9 aparece esta cantidad, que es la que cuadra.
En el balance del RM aparece por 95.583</t>
        </r>
      </text>
    </comment>
    <comment ref="D62" authorId="6" shapeId="0" xr:uid="{357A96E3-E1B0-4F0D-B396-31D382FE377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la nota 9 aparece esta cantidad, que es la que cuadra.
En el balance del RM aparece por 95.583</t>
        </r>
      </text>
    </comment>
    <comment ref="A66" authorId="7" shapeId="0" xr:uid="{963A7A3A-C4DF-4F39-9956-900C3A71B41E}">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el modelo del PGC se incluye en 5.Otros activos financieros</t>
        </r>
      </text>
    </comment>
    <comment ref="A92" authorId="8" shapeId="0" xr:uid="{B4AC2F40-A1F5-4727-ACE5-B5819D82AD0B}">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en 2021 por "Activos financieros a valor razonable con cambios en patrimonio neto"</t>
        </r>
      </text>
    </comment>
    <comment ref="A96" authorId="9" shapeId="0" xr:uid="{7AF06075-C6E5-492D-9DED-DFEEC9B3D8B6}">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2021 se unifican los 3 últimos epígrafes en "III.Otros"</t>
        </r>
      </text>
    </comment>
    <comment ref="A113" authorId="10" shapeId="0" xr:uid="{13BE2DB3-8616-49A7-A734-2516A3E407DF}">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no aparece en el modelo de PGC</t>
        </r>
      </text>
    </comment>
    <comment ref="A114" authorId="11" shapeId="0" xr:uid="{513EE095-C097-4F29-8719-B6FCEE1CEEDA}">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partida no aparece en el modelo del PGC</t>
        </r>
      </text>
    </comment>
    <comment ref="A134" authorId="12" shapeId="0" xr:uid="{9199796E-A0FA-4A2D-88C5-E1BFDCA2C59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partida no aparece en el modelo del PGC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tc={3B395834-503F-4B77-A0A2-E6C0BC959165}</author>
    <author>tc={55D702C3-8BBE-40FD-9681-00CB2B808FCD}</author>
    <author>tc={C1D151B9-A4F3-4F65-812C-DE9B9D68093C}</author>
  </authors>
  <commentList>
    <comment ref="A32" authorId="0" shapeId="0" xr:uid="{3B395834-503F-4B77-A0A2-E6C0BC959165}">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No aparece en el modelo del PGC, aunque en el texto se dice que debe aparecer</t>
        </r>
      </text>
    </comment>
    <comment ref="A42" authorId="1" shapeId="0" xr:uid="{55D702C3-8BBE-40FD-9681-00CB2B808FCD}">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No aparece en el modelo del PGC</t>
        </r>
      </text>
    </comment>
    <comment ref="A47" authorId="2" shapeId="0" xr:uid="{C1D151B9-A4F3-4F65-812C-DE9B9D68093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En la actualización de 2021 se desglosa en:
a) Valor razonable con cambios en pérdidas y ganancias.
b) Transferencia de ajustes de valor razonable con cambios en el patrimonio neto.</t>
        </r>
      </text>
    </comment>
  </commentList>
</comments>
</file>

<file path=xl/sharedStrings.xml><?xml version="1.0" encoding="utf-8"?>
<sst xmlns="http://schemas.openxmlformats.org/spreadsheetml/2006/main" count="555" uniqueCount="368">
  <si>
    <t xml:space="preserve">A) ACTIVO NO CORRIENTE </t>
  </si>
  <si>
    <t xml:space="preserve">1. Desarrollo </t>
  </si>
  <si>
    <t xml:space="preserve">2. Concesiones. </t>
  </si>
  <si>
    <t xml:space="preserve">6. Investigación  </t>
  </si>
  <si>
    <t xml:space="preserve">2. Créditos a empresas </t>
  </si>
  <si>
    <t xml:space="preserve">3. Valores representativos de deuda </t>
  </si>
  <si>
    <t xml:space="preserve">4. Derivados </t>
  </si>
  <si>
    <t xml:space="preserve">5. Otros activos financieros </t>
  </si>
  <si>
    <t xml:space="preserve">6. Otras inversiones </t>
  </si>
  <si>
    <t xml:space="preserve">2. Créditos a terceros  </t>
  </si>
  <si>
    <t xml:space="preserve">VI. Activos por impuesto diferido </t>
  </si>
  <si>
    <t xml:space="preserve">VII. Deudas comerciales no corrientes </t>
  </si>
  <si>
    <t xml:space="preserve">B) ACTIVO CORRIENTE </t>
  </si>
  <si>
    <t xml:space="preserve">5. Subproductos, residuos y materiales recuperados </t>
  </si>
  <si>
    <t xml:space="preserve">1. Clientes por ventas y prestaciones de servicios  </t>
  </si>
  <si>
    <t xml:space="preserve">2. Clientes empresas del grupo y asociadas </t>
  </si>
  <si>
    <t xml:space="preserve">TOTAL ACTIVO (A + B) </t>
  </si>
  <si>
    <t xml:space="preserve">A) PATRIMONIO NETO </t>
  </si>
  <si>
    <t>A-1) FONDOS PROPIOS</t>
  </si>
  <si>
    <t>I. Capital</t>
  </si>
  <si>
    <t>1. Capital escriturado</t>
  </si>
  <si>
    <t>2. (Capital no exigido)</t>
  </si>
  <si>
    <t>II. Prima de emisión</t>
  </si>
  <si>
    <t>III. Reservas</t>
  </si>
  <si>
    <t>1. Legal y estaturias</t>
  </si>
  <si>
    <t>IV. (Acciones y participaciones en patrimonio propias)</t>
  </si>
  <si>
    <t>A-2) AJUSTES POR CAMBIO DE VALOR</t>
  </si>
  <si>
    <t xml:space="preserve">I. Activos financieros disponibles para la venta </t>
  </si>
  <si>
    <t xml:space="preserve">III. Activos no corrientes y pasivos vinculados, mantenidos para la venta </t>
  </si>
  <si>
    <t>A-3) SUBVENCIONES, DONACIONES Y LEGADOS RECIBIDOS</t>
  </si>
  <si>
    <t xml:space="preserve">B) PASIVO NO CORRIENTE </t>
  </si>
  <si>
    <t xml:space="preserve">3. Acreedores por arrendamiento financiero </t>
  </si>
  <si>
    <t xml:space="preserve">5. Otros pasivos financieros </t>
  </si>
  <si>
    <t xml:space="preserve">V. Periodificaciones a largo plazo </t>
  </si>
  <si>
    <t xml:space="preserve">VI. Acreedores comerciales no corrientes </t>
  </si>
  <si>
    <t xml:space="preserve">VII. Deuda con características especiales a largo plazo  </t>
  </si>
  <si>
    <t xml:space="preserve">C) PASIVO CORRIENTE </t>
  </si>
  <si>
    <t xml:space="preserve">1. Proveedores </t>
  </si>
  <si>
    <t xml:space="preserve">VII. Deuda con características especiales a corto plazo  </t>
  </si>
  <si>
    <t xml:space="preserve">TOTAL PATRIMONIO NETO Y PASIVO (A + B + C) </t>
  </si>
  <si>
    <t xml:space="preserve">1. Importe neto de la cifra de negocios </t>
  </si>
  <si>
    <t xml:space="preserve">a) Ventas </t>
  </si>
  <si>
    <t xml:space="preserve">b) Prestaciones de servicios </t>
  </si>
  <si>
    <t xml:space="preserve">2. Variación de existencias de productos terminados y en curso de fabricación. </t>
  </si>
  <si>
    <t xml:space="preserve">3. Trabajos realizados por la empresa para su activo </t>
  </si>
  <si>
    <t xml:space="preserve">4. Aprovisionamientos </t>
  </si>
  <si>
    <t xml:space="preserve">a) Consumo de mercaderías </t>
  </si>
  <si>
    <t xml:space="preserve">b) Consumo de materias primas y otras materias consumibles </t>
  </si>
  <si>
    <t xml:space="preserve">c) Trabajos realizados por otras empresas </t>
  </si>
  <si>
    <t xml:space="preserve">d) Deterioro de mercaderías, materias primas y otros aprovisionamientos </t>
  </si>
  <si>
    <t xml:space="preserve">5. Otros ingresos de explotación </t>
  </si>
  <si>
    <t xml:space="preserve">a) Ingresos accesorios y otros de gestión corriente </t>
  </si>
  <si>
    <t xml:space="preserve">b) Subvenciones de explotación incorporadas al resultado del ejercicio </t>
  </si>
  <si>
    <t xml:space="preserve">6. Gastos de personal </t>
  </si>
  <si>
    <t xml:space="preserve">a) Sueldos, salarios y asimilados </t>
  </si>
  <si>
    <t xml:space="preserve">b) Cargas sociales </t>
  </si>
  <si>
    <t xml:space="preserve">c) Provisiones </t>
  </si>
  <si>
    <t xml:space="preserve">7. Otros gastos de explotación </t>
  </si>
  <si>
    <t xml:space="preserve">a) Servicios exteriores </t>
  </si>
  <si>
    <t xml:space="preserve">b) Tributos </t>
  </si>
  <si>
    <t xml:space="preserve">c) Pérdidas, deterioro y variación de provisiones por operaciones comerciales </t>
  </si>
  <si>
    <t xml:space="preserve">d) Otros gastos de gestión corriente </t>
  </si>
  <si>
    <t xml:space="preserve">8. Amortización del inmovilizado </t>
  </si>
  <si>
    <t xml:space="preserve">9. Imputación de subvenciones de inmovilizado no financiero y otras </t>
  </si>
  <si>
    <t xml:space="preserve">10. Excesos de provisiones </t>
  </si>
  <si>
    <t xml:space="preserve">11. Deterioro y resultado por enajenaciones del inmovilizado </t>
  </si>
  <si>
    <t xml:space="preserve">a) Deterioro y pérdidas </t>
  </si>
  <si>
    <t xml:space="preserve">b) Resultados por enajenaciones y otras </t>
  </si>
  <si>
    <t xml:space="preserve">12. Diferencia negativa de combinaciones de negocio </t>
  </si>
  <si>
    <t xml:space="preserve">13. Otros resultados </t>
  </si>
  <si>
    <t xml:space="preserve">A.1) RESULTADO DE EXPLOTACION </t>
  </si>
  <si>
    <t xml:space="preserve">14. Ingresos financieros </t>
  </si>
  <si>
    <t xml:space="preserve">a) De participaciones en instrumentos de patrimonio </t>
  </si>
  <si>
    <t xml:space="preserve">a 1) En empresas del grupo y asociadas </t>
  </si>
  <si>
    <t xml:space="preserve">a 2) En terceros </t>
  </si>
  <si>
    <t xml:space="preserve">b) De valores negociables y otros instrumentos financieros </t>
  </si>
  <si>
    <t xml:space="preserve">b 1) De empresas del grupo y asociadas </t>
  </si>
  <si>
    <t xml:space="preserve">b 2) De terceros </t>
  </si>
  <si>
    <t xml:space="preserve">c) Imputación de subvenciones, donaciones y legados de carácter financiero  </t>
  </si>
  <si>
    <t xml:space="preserve">15. Gastos financieros </t>
  </si>
  <si>
    <t xml:space="preserve">a) Por deudas con empresas del grupo y asociadas </t>
  </si>
  <si>
    <t xml:space="preserve">b) Por deudas con terceros </t>
  </si>
  <si>
    <t xml:space="preserve">c) Por actualización de provisiones </t>
  </si>
  <si>
    <t xml:space="preserve">16. Variación de valor razonable en instrumentos financieros </t>
  </si>
  <si>
    <t xml:space="preserve">a) Cartera de negociación y otros </t>
  </si>
  <si>
    <t xml:space="preserve">b) Imputación al resultado del ejercicio por activos financieros disponibles para la venta. </t>
  </si>
  <si>
    <t xml:space="preserve">17. Diferencias de cambio </t>
  </si>
  <si>
    <t xml:space="preserve">18. Deterioro y resultado por enajenaciones de instrumentos financieros. </t>
  </si>
  <si>
    <t xml:space="preserve">a) Deterioros y pérdidas  </t>
  </si>
  <si>
    <t>A.2) RESULTADO FINANCIERO</t>
  </si>
  <si>
    <t xml:space="preserve">A.3) RESULTADO ANTES DE IMPUESTOS </t>
  </si>
  <si>
    <t xml:space="preserve">19. Impuestos sobre beneficios. </t>
  </si>
  <si>
    <t xml:space="preserve">A.4) RESULTADO DEL EJERCICIO PROCEDENTE DE OPERACIONES CONTINUADAS </t>
  </si>
  <si>
    <t xml:space="preserve">20. Resultado del ejercicio por operaciones interrumpidas neto de impuestos  </t>
  </si>
  <si>
    <t xml:space="preserve">A.5) RESULTADO DEL EJERCICIO </t>
  </si>
  <si>
    <t>Peso</t>
  </si>
  <si>
    <t>CUENTA DE PÉRDIDAS Y GANANCIAS FUNCIONAL</t>
  </si>
  <si>
    <t>Importe neto de la cifra de negocios</t>
  </si>
  <si>
    <t>+ Otros ingresos de la explotación</t>
  </si>
  <si>
    <t>- Consumos de la explotación</t>
  </si>
  <si>
    <t>- Otros gastos de la explotación</t>
  </si>
  <si>
    <t>- Gastos de personal</t>
  </si>
  <si>
    <t>- Amortización del inmovilizado</t>
  </si>
  <si>
    <t>- Deterioro y variación de provisiones</t>
  </si>
  <si>
    <t>+ Ingresos financieros</t>
  </si>
  <si>
    <t>- Gastos financieros</t>
  </si>
  <si>
    <t>+/- Diferencias de cambio</t>
  </si>
  <si>
    <t>+/- Variación valor razonable en instrumentos financieros</t>
  </si>
  <si>
    <t>+ Imputación de subvenciones inmovilizado no financiero y otras</t>
  </si>
  <si>
    <t>+ Excesos de provisiones</t>
  </si>
  <si>
    <t>+/- Deterioro y resultado por enajenaciones del inmovilizado</t>
  </si>
  <si>
    <t>+/- Deterioro y resultado por enajenaciones de instrumentos financieros</t>
  </si>
  <si>
    <t>+/- Otros resultados</t>
  </si>
  <si>
    <t>- Impuesto sobre beneficios</t>
  </si>
  <si>
    <t>+/- Resultado del ejercicio por operaciones interrumpidas neto de impuestos</t>
  </si>
  <si>
    <t xml:space="preserve"> INGRESOS DE LA EXPLOTACIÓN</t>
  </si>
  <si>
    <t xml:space="preserve"> VALOR AÑADIDO DE LA EMPRESA (MARGEN BRUTO)</t>
  </si>
  <si>
    <t xml:space="preserve"> RESULTADO BRUTO EXPLOTACIÓN</t>
  </si>
  <si>
    <t xml:space="preserve"> RESULTADO NETO DE LA EXPLOTACIÓN (RNE)</t>
  </si>
  <si>
    <t xml:space="preserve"> RESULTADO ACTIVIDADES ORDINARIAS</t>
  </si>
  <si>
    <t xml:space="preserve"> RESULTADO POR OPERACIONES CONTINUADAS ANTES DE IMPUESTOS</t>
  </si>
  <si>
    <t xml:space="preserve"> RESULTADO DEL EJERCICIO POR OPERACIONES CONTINUADAS</t>
  </si>
  <si>
    <t>RESULTADO DEL EJERCICIO</t>
  </si>
  <si>
    <t>Grado envejecimiento activo</t>
  </si>
  <si>
    <t>Nivel de endeudamiento</t>
  </si>
  <si>
    <t>Composición del endeudamiento</t>
  </si>
  <si>
    <t>Garantía</t>
  </si>
  <si>
    <t>Solvencia</t>
  </si>
  <si>
    <t>Fondo de Maniobra</t>
  </si>
  <si>
    <t>Necesidades Operativas de Financiación (NOF)</t>
  </si>
  <si>
    <t>Recursos Líquidos Netos (RLN)</t>
  </si>
  <si>
    <t>Rentabilidad financiera (fórmula larga)</t>
  </si>
  <si>
    <t>INDICADORES FINANCIEROS</t>
  </si>
  <si>
    <t>Subperiodo de cobro a clientes</t>
  </si>
  <si>
    <t>Subperiodo de pago a proveedores</t>
  </si>
  <si>
    <t>INDICADORES ECONÓMICOS</t>
  </si>
  <si>
    <t>Tasa variación</t>
  </si>
  <si>
    <t>VARIACIÓN ABSOLUTA</t>
  </si>
  <si>
    <t>FONDO MANIOBRA TOTAL</t>
  </si>
  <si>
    <t>Activo Circulante Explotación</t>
  </si>
  <si>
    <t>Pasivo Circulante Explotación</t>
  </si>
  <si>
    <t>Activo circulante ajeno explotación</t>
  </si>
  <si>
    <t>Pasivo circulante ajeno explotación</t>
  </si>
  <si>
    <t>CUENTA DE PÉRDIDAS Y GANANCIAS</t>
  </si>
  <si>
    <t>BALANCE DE SITUACIÓN</t>
  </si>
  <si>
    <t xml:space="preserve">Tasa variación </t>
  </si>
  <si>
    <t>TOTAL ACTIVO</t>
  </si>
  <si>
    <t>Activo Corriente</t>
  </si>
  <si>
    <t>Pasivo Corriente</t>
  </si>
  <si>
    <t>NECESIDADES OPERATIVAS FINANCIACIÓN</t>
  </si>
  <si>
    <t>RECURSOS LÍQUIDOS NETOS</t>
  </si>
  <si>
    <t>Variación absoluta</t>
  </si>
  <si>
    <t>II. Existencias</t>
  </si>
  <si>
    <t>III. Deudores comerciales y otras cuentas a cobrar</t>
  </si>
  <si>
    <t>V. Inversiones financieras a corto plazo</t>
  </si>
  <si>
    <t>VI. Periodificaciones a corto plazo</t>
  </si>
  <si>
    <t>VII. Efectivo y otros activos líquidos equivalentes</t>
  </si>
  <si>
    <t>V. Acreedores comerciales y otras cuentas a pagar</t>
  </si>
  <si>
    <t>PERFUMERIAS PRIMOR</t>
  </si>
  <si>
    <t xml:space="preserve">I. Inmovilizado intangible </t>
  </si>
  <si>
    <t xml:space="preserve">3. Patentes, licencias, marcas y similares </t>
  </si>
  <si>
    <t xml:space="preserve">4. Fondo de comercio </t>
  </si>
  <si>
    <t xml:space="preserve">5. Aplicaciones informáticas </t>
  </si>
  <si>
    <t xml:space="preserve">7. Otro inmovilizado intangible </t>
  </si>
  <si>
    <t>II. Inmovilizado material</t>
  </si>
  <si>
    <t>1. Terrenos y construcciones</t>
  </si>
  <si>
    <t>2. Instalaciones técnicas y otro inmovilizado material</t>
  </si>
  <si>
    <t xml:space="preserve">3. Inmovilizado en curso y anticipos </t>
  </si>
  <si>
    <t>III. Inversiones inmobiliarias</t>
  </si>
  <si>
    <t>1. Terrenos</t>
  </si>
  <si>
    <t>2. Construcciones</t>
  </si>
  <si>
    <t>IV. Inversiones en empresas del grupo y asociadas a largo plazo</t>
  </si>
  <si>
    <t>1. Instrumentos de patrimonio</t>
  </si>
  <si>
    <t>V. Inversiones financieras a largo plazo</t>
  </si>
  <si>
    <t>I. Activos no corrientes mantenidos para la venta</t>
  </si>
  <si>
    <t>1. Comerciales</t>
  </si>
  <si>
    <t>2. Materias primas y otros aprovisionamientos</t>
  </si>
  <si>
    <t>3. Productos en curso</t>
  </si>
  <si>
    <t>4. Productos terminados</t>
  </si>
  <si>
    <t>6. Anticipos a proveedores</t>
  </si>
  <si>
    <t>3. Deudores varios</t>
  </si>
  <si>
    <t>4. Personal</t>
  </si>
  <si>
    <t>5. Activos por impuesto corriente</t>
  </si>
  <si>
    <t>6. Otros créditos con las Administraciones públicas</t>
  </si>
  <si>
    <t>7. Accionistas (socios) por desembolsos exigidos</t>
  </si>
  <si>
    <t>IV. Inversiones en empresas del grupo y asociadas a corto plazo</t>
  </si>
  <si>
    <t>1. Tesorería</t>
  </si>
  <si>
    <t>2. Otros activos líquidos equivalentes</t>
  </si>
  <si>
    <t>2. Otras reservas</t>
  </si>
  <si>
    <t>V. Resultados de ejercicios anteriores</t>
  </si>
  <si>
    <t>1. Remanente</t>
  </si>
  <si>
    <t>2. (Resultados negativos de ejercicios anteriores)</t>
  </si>
  <si>
    <t>VI. Otras aportaciones de socios</t>
  </si>
  <si>
    <t>VII. Resultado del ejercicio</t>
  </si>
  <si>
    <t>VIII. (Dividendo a cuenta)</t>
  </si>
  <si>
    <t>IX. Otros instrumentos de patrimonio neto</t>
  </si>
  <si>
    <t xml:space="preserve">II. Operaciones de cobertura </t>
  </si>
  <si>
    <t xml:space="preserve">IV. Diferencia de conversión </t>
  </si>
  <si>
    <t>V. Otros</t>
  </si>
  <si>
    <t>I. Provisiones a largo plazo</t>
  </si>
  <si>
    <t>1. Obligaciones por prestaciones a largo plazo al personal</t>
  </si>
  <si>
    <t>2. Actuaciones medioambientales</t>
  </si>
  <si>
    <t>3. Provisiones por reestructuración</t>
  </si>
  <si>
    <t>4. Otras provisiones</t>
  </si>
  <si>
    <t>II. Deudas a largo plazo</t>
  </si>
  <si>
    <t>1. Obligaciones y otros valores negociables</t>
  </si>
  <si>
    <t>2. Deudas con entidades de crédito</t>
  </si>
  <si>
    <t xml:space="preserve">III. Deudas con empresas del grupo y asociadas a largo plazo </t>
  </si>
  <si>
    <t>IV. Pasivos por impuesto diferido</t>
  </si>
  <si>
    <t>I. Pasivos vinculados con activos no corrientes mantenidos para la venta</t>
  </si>
  <si>
    <t>II. Provisiones a corto plazo</t>
  </si>
  <si>
    <t>III. Deudas a corto plazo</t>
  </si>
  <si>
    <t xml:space="preserve">IV. Deudas con empresas del grupo y asociadas a corto plazo </t>
  </si>
  <si>
    <t xml:space="preserve">2. Proveedores, empresas del grupo y asociadas </t>
  </si>
  <si>
    <t>3. Acreedores varios</t>
  </si>
  <si>
    <t>4. Personal (remuneraciones pendientes de pago)</t>
  </si>
  <si>
    <t>5. Pasivos por impuesto corriente</t>
  </si>
  <si>
    <t xml:space="preserve">6. Otras deudas con las Administraciones Públicas </t>
  </si>
  <si>
    <t>7. Anticipos de clientes</t>
  </si>
  <si>
    <t>Peso (%)</t>
  </si>
  <si>
    <t>Tasa variación (%)</t>
  </si>
  <si>
    <t>Datos en euros</t>
  </si>
  <si>
    <t>AMORTIZACIÓN ACUMULADA</t>
  </si>
  <si>
    <t>Inmovilizado Intangible</t>
  </si>
  <si>
    <t>Inmovilizado Material</t>
  </si>
  <si>
    <t>e) Gastos por emisión de gases de efecto invernadero</t>
  </si>
  <si>
    <t>Subperiodo de venta (empresa comercial)</t>
  </si>
  <si>
    <t>Subperiodo de pago a acreedores varios</t>
  </si>
  <si>
    <t>Rentabilidad económica de explotación
(Calculada con la cuenta de PyG funcional)</t>
  </si>
  <si>
    <t>Margen de explotación
(Calculado con la cuenta de PyG funcional)</t>
  </si>
  <si>
    <t>Rotación del activo de explotación
(Calculado con la cuenta de PyG funcional)</t>
  </si>
  <si>
    <t>Rentabilidad económica global o total
(Calculado cuenta de PyG funcional)</t>
  </si>
  <si>
    <t>Coste del endeudamiento
(Calculado cuenta de PyG funcional)</t>
  </si>
  <si>
    <t>Rentabilidad financiera (fórmula corta)</t>
  </si>
  <si>
    <t>Coste financiación no propia</t>
  </si>
  <si>
    <t>Tasa impositiva efectiva (en tanto por 1)</t>
  </si>
  <si>
    <t xml:space="preserve">A) FLUJOS  EFECTIVO ACTIVIDADES  EXPLOTACIÓN </t>
  </si>
  <si>
    <t>1. Resultado  del ejercicio antes de impuestos</t>
  </si>
  <si>
    <t>2. Ajustes del resultado</t>
  </si>
  <si>
    <t>a) Amortización del inmovilizado (+) (dotación a la amortización)</t>
  </si>
  <si>
    <t xml:space="preserve">b) Correcciones valorativas por deterioro (+/-) </t>
  </si>
  <si>
    <t>c) Variación de provisiones (+/-) (FIJO)</t>
  </si>
  <si>
    <t>d) Imputación de subvenciones (-)</t>
  </si>
  <si>
    <t>f) Resultados por bajas y enajenaciones de instrumentos financieros (+/-)</t>
  </si>
  <si>
    <t>h) Gastos financieros (+)</t>
  </si>
  <si>
    <t>i) Diferencias de cambio (+/-)</t>
  </si>
  <si>
    <t xml:space="preserve">j) Variación de valor razonable en instrumentos financieros (+/-) </t>
  </si>
  <si>
    <t>k) Otros ingresos y gastos (-/+)</t>
  </si>
  <si>
    <t>3. Cambios en el capital corriente (var. NOF)</t>
  </si>
  <si>
    <t xml:space="preserve">b) Deudores y otras cuentas a cobrar (+/-) </t>
  </si>
  <si>
    <t xml:space="preserve">c) Otros activos corrientes(+/-) </t>
  </si>
  <si>
    <t xml:space="preserve">    d) Acreedores y otras cuentas a pagar(+/-) </t>
  </si>
  <si>
    <t>e) Otros pasivos corrientes (+/-)</t>
  </si>
  <si>
    <t xml:space="preserve">f) Otros activos y pasivos no corrientes (+/-) </t>
  </si>
  <si>
    <t xml:space="preserve">4. Otros flujos de efectivo de las actividades de explotación </t>
  </si>
  <si>
    <t>a) Pagos de intereses (-)</t>
  </si>
  <si>
    <t>b) Cobros de dividendos (+)</t>
  </si>
  <si>
    <t>c) Cobros de intereses (+)</t>
  </si>
  <si>
    <t>d) Cobros (pagos) por impuesto sobre beneficios (-/+)</t>
  </si>
  <si>
    <t xml:space="preserve">e) Otros pagos (cobros) (-/+) </t>
  </si>
  <si>
    <t xml:space="preserve">= 5. Flujos de efectivo de las actividades de explotación (+/-1+/-2+/-3+/-4) </t>
  </si>
  <si>
    <t xml:space="preserve">B) FLUJOS  EFECTIVO ACTIVIDADES  INVERSIÓN </t>
  </si>
  <si>
    <t>6. Pagos por inversiones (-)</t>
  </si>
  <si>
    <t>a) Empresas del grupo y asociadas</t>
  </si>
  <si>
    <t>b) Inmovilizado intangible</t>
  </si>
  <si>
    <t>c) Inmovilizado material</t>
  </si>
  <si>
    <t>d) Inversiones inmobiliarias</t>
  </si>
  <si>
    <t>e) Otros activos financieros</t>
  </si>
  <si>
    <t xml:space="preserve">f) Activos no corrientes mantenidos para venta   </t>
  </si>
  <si>
    <t>g) Otros activos</t>
  </si>
  <si>
    <t>7. Cobros por desinversiones (+)</t>
  </si>
  <si>
    <t xml:space="preserve">    c) Inmovilizado material</t>
  </si>
  <si>
    <t>f) Activos no corrientes mantenidos para venta</t>
  </si>
  <si>
    <t xml:space="preserve">= 8. Flujos de efectivo de las actividades de inversión (7-6) </t>
  </si>
  <si>
    <t xml:space="preserve">C) FLUJOS EFECTIVO ACTIVIDADES DE FINANCIACIÓN  </t>
  </si>
  <si>
    <t>9. Cobros y pagos por instrumentos de patrimonio</t>
  </si>
  <si>
    <t>a) Emisión de instrumentos de patrimonio</t>
  </si>
  <si>
    <t>b) Amortización de instrumentos de patrimonio</t>
  </si>
  <si>
    <t>c) Adquisición de instrumentos de patrimonio propio</t>
  </si>
  <si>
    <t>d) Enajenación de instrumentos de patrimonio propio</t>
  </si>
  <si>
    <t xml:space="preserve">e) Subvenciones, donaciones y legados recibidos </t>
  </si>
  <si>
    <t xml:space="preserve">10  Cobros y pagos por Instrumentos de pasivo financiero </t>
  </si>
  <si>
    <t>a) Emisión:</t>
  </si>
  <si>
    <t>1. Obligaciones y otros valores negociables (+)</t>
  </si>
  <si>
    <t>2. Deudas con entidades de crédito (+)</t>
  </si>
  <si>
    <t>3. Deudas con empresas del grupo y asociadas (+)</t>
  </si>
  <si>
    <t>4. Otras deudas (+)</t>
  </si>
  <si>
    <t>b) Devolución y amortización de:</t>
  </si>
  <si>
    <t>1. Obligaciones y otros valores negociables (-)</t>
  </si>
  <si>
    <t>2. Deudas con entidades de crédito (-)</t>
  </si>
  <si>
    <t>3. Deudas con empresas del grupo y asociadas (-)</t>
  </si>
  <si>
    <t>4. Otras deudas (-)</t>
  </si>
  <si>
    <t>11. Pagos por dividendos y remuneraciones de otros instrum. Patrim.</t>
  </si>
  <si>
    <t>a) Dividendos (-)</t>
  </si>
  <si>
    <t>b) Remuneración de otros instrumentos de patrimonio (-)</t>
  </si>
  <si>
    <t xml:space="preserve">= 12. Flujos de efectivo de las actividades de financiación (+/-9+/-10-11) </t>
  </si>
  <si>
    <t>D) EFECTO DE LAS VARIACIONES DE LOS TIPOS DE CAMBIO</t>
  </si>
  <si>
    <t>E) AUMENTO/DISMINUCIÓN NETA DEL EFECTIVO</t>
  </si>
  <si>
    <t>Efectivo o equivalente al comienzo del ejercicio</t>
  </si>
  <si>
    <t>Efectivo o equivalente al final del ejercicio</t>
  </si>
  <si>
    <t xml:space="preserve">ESTADO DE FLUJOS DE EFECTIVO </t>
  </si>
  <si>
    <t xml:space="preserve">a) Existencias (+/-) </t>
  </si>
  <si>
    <t xml:space="preserve">     e) Resultados por bajas y enajenaciones del inmovilizado (+/-)</t>
  </si>
  <si>
    <t>g) Ingresos financieros (-)</t>
  </si>
  <si>
    <t>APLICACIONES</t>
  </si>
  <si>
    <t>ORIGENES</t>
  </si>
  <si>
    <t>NOF</t>
  </si>
  <si>
    <t>Devol.ctos.empr.grupo</t>
  </si>
  <si>
    <t>aumento efectivo</t>
  </si>
  <si>
    <t>TIPO DE OPERACIÓN
(Explotación/Inversión/Financiación)</t>
  </si>
  <si>
    <t>Conclusión</t>
  </si>
  <si>
    <t>Fórmulas</t>
  </si>
  <si>
    <t>Como nos sale mayor que 1 quiere decir que el pasivo es mayor que el patrimonio neto por lo que la empresa se basa en una financiacion ajena. Aunque ha bajado un poco respecto a 2018</t>
  </si>
  <si>
    <t>Como es mayor que 1, quiere decir que la empresa si vendiese todo los activos seria capaz de devolver todas las deudas.</t>
  </si>
  <si>
    <t>Como es mayor que 1, podemos comentar que los activos corrientes son capaces de devolver las deudas a c/p.</t>
  </si>
  <si>
    <t>Como el FM sale (+) quiere decir que los recursos permanentes son capaces de financiar el Activo Corriente.</t>
  </si>
  <si>
    <t>[Suposicion] Si son positivas quiere decir que tenemos mas Origenes (por ejemplo, proveedores) que Aplicaciones (por ejemplo, una maquinaria). Al contrario seria FAO.</t>
  </si>
  <si>
    <t>FEAE (TGO) ==&gt; FGO - 4 NOF</t>
  </si>
  <si>
    <t>Como son menores que 1, quiere decir que no podria financiar dichas deudas con el FEAE</t>
  </si>
  <si>
    <t>Estos son los años que tardaria en devolver la deuda total si el FGO se mantiene constante.</t>
  </si>
  <si>
    <t>Estos son los años que tardaria en devolver la deuda total si el FEAE se mantiene constante.</t>
  </si>
  <si>
    <t>Resultados Netos Explotacion</t>
  </si>
  <si>
    <t>Activo explotacion</t>
  </si>
  <si>
    <t>Ingresos de la explotacion</t>
  </si>
  <si>
    <t>% de beneficios sobre el total de ingresos de explotacion</t>
  </si>
  <si>
    <t>Como la Rentabilidad Global es mayor que la Rentabilidad Economica de Explotacion podemos decir que sale mas rentable utilizar tambien actividades ajenas de la expplotacion porque aumentaria nuestro rendimiento</t>
  </si>
  <si>
    <t>BAIT = R. antes de impuestos+Gastos financieros</t>
  </si>
  <si>
    <t>Me he es rentable ya que el coste de endeudamiento es menor que la rentabilidad economica global, entonces sacariamos beneficios.</t>
  </si>
  <si>
    <t>Fondos Ajenos</t>
  </si>
  <si>
    <t>Fondos Propios</t>
  </si>
  <si>
    <t>Activo Total</t>
  </si>
  <si>
    <t>Incremento del total de explotacion no viene del margen</t>
  </si>
  <si>
    <t>Numero de veces que se renueva el activo con los ingresos de la explotacion. En 2018 he renovado mi activo 2 veces y en 2019 3 veces.</t>
  </si>
  <si>
    <t>Para calcular los ingresos de explotacion se saca del PyGRM</t>
  </si>
  <si>
    <t>Los fondos propios han incrementado mucho para explicar porque el pasivo no coirriente a incrementado tanto y el pasivo corriente ha disminuido</t>
  </si>
  <si>
    <t>Efecto apalancamiento financiero (leverage) o Nivel de endeudamiento</t>
  </si>
  <si>
    <t>Disminuye el riesgo de impago</t>
  </si>
  <si>
    <t>Quiere decir que mi rentabilidad economica ha incrementado en 34 puntos porcentuales</t>
  </si>
  <si>
    <t xml:space="preserve">Rentabilidad financiera antes de impuesto </t>
  </si>
  <si>
    <t>son practicamente iguales, por el efecto impositivo que es casi igual  y por el efecto apalancamiento financiero que es mayor</t>
  </si>
  <si>
    <t>Como estan del 50% podemos decir que el inmovilizado esta bien o renovado y no hay que hacer nada.</t>
  </si>
  <si>
    <t>Nuestras deudas son a c/p principalmente. Aunque hay que mencionar que han aumentado las deudas a lp.</t>
  </si>
  <si>
    <t>Son positivas, quiere decir que hay una parte del ciclo de explotacion que son financiadas por las NOF, no solo los proveedores. Pero si salen negativas todo el ciclo de explotacion lo cubren los proveedores.</t>
  </si>
  <si>
    <t>Como es positivo podemos cubrir las NOF con el FM. Cuando los RLN son negativos quiere decir que la financiacion basica (P.N+P.N.C) no es suficiente para financiar los activos de explotacion por lo que intervienes estos.</t>
  </si>
  <si>
    <t>Metodo Directo (2019)</t>
  </si>
  <si>
    <t>Metodo Indirecto (2019)</t>
  </si>
  <si>
    <t xml:space="preserve">FGO </t>
  </si>
  <si>
    <t>Fondos Generados por Operaciones (FGO) antes de Intereses e Impuestos (EFE)</t>
  </si>
  <si>
    <t>Fondos Generados por Operaciones (FGO) (EFE)</t>
  </si>
  <si>
    <t>Flujos de Efectivo de las Actividades de Explotación (FEAE) (EFE)</t>
  </si>
  <si>
    <r>
      <t>Capacidad devolución</t>
    </r>
    <r>
      <rPr>
        <sz val="12"/>
        <color rgb="FF000000"/>
        <rFont val="Calibri"/>
        <family val="2"/>
        <scheme val="minor"/>
      </rPr>
      <t xml:space="preserve"> deuda c/p</t>
    </r>
    <r>
      <rPr>
        <sz val="12"/>
        <color indexed="8"/>
        <rFont val="Calibri"/>
        <family val="2"/>
        <scheme val="minor"/>
      </rPr>
      <t xml:space="preserve"> (con FGO antes Intereses e Impuestos) (EFE)</t>
    </r>
  </si>
  <si>
    <r>
      <t xml:space="preserve">Capacidad devolución </t>
    </r>
    <r>
      <rPr>
        <sz val="12"/>
        <color rgb="FF000000"/>
        <rFont val="Calibri"/>
        <family val="2"/>
        <scheme val="minor"/>
      </rPr>
      <t>deuda c/p</t>
    </r>
    <r>
      <rPr>
        <sz val="12"/>
        <color indexed="8"/>
        <rFont val="Calibri"/>
        <family val="2"/>
        <scheme val="minor"/>
      </rPr>
      <t xml:space="preserve"> (con FGO) (EFE)</t>
    </r>
  </si>
  <si>
    <r>
      <t xml:space="preserve">Capacidad devolución </t>
    </r>
    <r>
      <rPr>
        <sz val="12"/>
        <color rgb="FF000000"/>
        <rFont val="Calibri"/>
        <family val="2"/>
        <scheme val="minor"/>
      </rPr>
      <t>deuda c/p</t>
    </r>
    <r>
      <rPr>
        <sz val="12"/>
        <color indexed="8"/>
        <rFont val="Calibri"/>
        <family val="2"/>
        <scheme val="minor"/>
      </rPr>
      <t xml:space="preserve"> (con FEAE) (EFE)</t>
    </r>
  </si>
  <si>
    <t>Capacidad devolución deuda total (con FGO antes Intereses e Impuestos) (EFE)</t>
  </si>
  <si>
    <t>Capacidad devolución deuda total (con FGO) (EFE)</t>
  </si>
  <si>
    <t>Capacidad devolución deuda total (con FEAE) (EFE)</t>
  </si>
  <si>
    <t>Tiempo de devolución deuda total (FGO) (EFE)</t>
  </si>
  <si>
    <t>Tiempo de devolución deuda total (FEAE) (EFE)</t>
  </si>
  <si>
    <t>FGO Antes de Impuesto</t>
  </si>
  <si>
    <t>FGO ANTES DE IMPUESTOS</t>
  </si>
  <si>
    <t>DUDA TIRADO</t>
  </si>
  <si>
    <t>FEAE</t>
  </si>
  <si>
    <t>DUDA TIRADO METODO INDIRECTO NO SALE</t>
  </si>
  <si>
    <t>Como es mayor que 1, podemos financiar las deudas a c/p, con lo que generamos en 1 año, seremos capaces de saldar las deudas de ese año. Pero si era menor que 1, que cuidado. Como son menores que 1, quiere decir que no podria financiar dichas deudas con el FGO antes de impuestos.</t>
  </si>
  <si>
    <t>Parto  desde el resultado neto sumando gastos y restando ingresos que no vyaa a pagar y a cobrar.</t>
  </si>
  <si>
    <t>Los resultados financieros tambien se incluyen y otros resultados, para el metodo indirecto.</t>
  </si>
  <si>
    <t>FGO es el RESULTADO BRUTO - IMPUESTO +- GASTOS INGRESOS +- OTROS RESULTADO</t>
  </si>
  <si>
    <t>Si te sale negativo por su propia explotacion va a necesitar Financiacion externa por realizar la actividad. Y si te sale positiva, estas generando financiacion para cualquier cosa.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</si>
</sst>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_€_-;\-* #,##0.00\ _€_-;_-* &quot;-&quot;??\ _€_-;_-@_-"/>
    <numFmt numFmtId="165" formatCode="#,##0_);\(#,##0\)"/>
    <numFmt numFmtId="166" formatCode="0.0%"/>
    <numFmt numFmtId="167" formatCode="#,##0.00_);\(#,##0.00\)"/>
    <numFmt numFmtId="168" formatCode="0.000"/>
    <numFmt numFmtId="169" formatCode="#,##0.000"/>
    <numFmt numFmtId="170" formatCode="0.00000000"/>
    <numFmt numFmtId="171" formatCode="0.0000"/>
  </numFmts>
  <fonts count="39" x14ac:knownFonts="1">
    <font>
      <sz val="11"/>
      <color theme="1"/>
      <name val="Calibri"/>
      <family val="2"/>
      <scheme val="minor"/>
    </font>
    <font>
      <sz val="10"/>
      <name val="Arial"/>
      <family val="2"/>
    </font>
    <font>
      <b/>
      <sz val="10"/>
      <name val="Arial"/>
      <family val="2"/>
    </font>
    <font>
      <sz val="11"/>
      <name val="Arial"/>
      <family val="2"/>
    </font>
    <font>
      <sz val="11"/>
      <color indexed="8"/>
      <name val="Calibri"/>
      <family val="2"/>
    </font>
    <font>
      <b/>
      <sz val="11"/>
      <color indexed="8"/>
      <name val="Calibri"/>
      <family val="2"/>
    </font>
    <font>
      <b/>
      <u/>
      <sz val="11"/>
      <color indexed="8"/>
      <name val="Calibri"/>
      <family val="2"/>
    </font>
    <font>
      <sz val="11"/>
      <name val="Calibri"/>
      <family val="2"/>
      <scheme val="minor"/>
    </font>
    <font>
      <b/>
      <sz val="11"/>
      <name val="Calibri"/>
      <family val="2"/>
    </font>
    <font>
      <sz val="11"/>
      <color theme="1"/>
      <name val="Calibri"/>
      <family val="2"/>
      <scheme val="minor"/>
    </font>
    <font>
      <u/>
      <sz val="11"/>
      <color theme="10"/>
      <name val="Calibri"/>
      <family val="2"/>
      <scheme val="minor"/>
    </font>
    <font>
      <u/>
      <sz val="11"/>
      <color theme="11"/>
      <name val="Calibri"/>
      <family val="2"/>
      <scheme val="minor"/>
    </font>
    <font>
      <b/>
      <sz val="11"/>
      <name val="Arial"/>
      <family val="2"/>
    </font>
    <font>
      <b/>
      <sz val="12"/>
      <color theme="1"/>
      <name val="Calibri"/>
      <family val="2"/>
      <scheme val="minor"/>
    </font>
    <font>
      <b/>
      <sz val="11"/>
      <color theme="1"/>
      <name val="Calibri"/>
      <family val="2"/>
      <scheme val="minor"/>
    </font>
    <font>
      <sz val="12"/>
      <name val="Calibri"/>
      <family val="2"/>
      <scheme val="minor"/>
    </font>
    <font>
      <b/>
      <sz val="12"/>
      <color indexed="8"/>
      <name val="Arial"/>
      <family val="2"/>
    </font>
    <font>
      <b/>
      <sz val="11"/>
      <color indexed="8"/>
      <name val="Calibri"/>
      <family val="2"/>
      <scheme val="minor"/>
    </font>
    <font>
      <b/>
      <sz val="11"/>
      <name val="Calibri"/>
      <family val="2"/>
      <scheme val="minor"/>
    </font>
    <font>
      <sz val="11"/>
      <color indexed="8"/>
      <name val="Calibri"/>
      <family val="2"/>
      <scheme val="minor"/>
    </font>
    <font>
      <b/>
      <sz val="12"/>
      <color indexed="8"/>
      <name val="Calibri"/>
      <family val="2"/>
    </font>
    <font>
      <b/>
      <sz val="14"/>
      <color indexed="8"/>
      <name val="Calibri"/>
      <family val="2"/>
    </font>
    <font>
      <b/>
      <sz val="16"/>
      <color theme="1"/>
      <name val="Calibri"/>
      <family val="2"/>
      <scheme val="minor"/>
    </font>
    <font>
      <b/>
      <sz val="10"/>
      <color indexed="8"/>
      <name val="Calibri"/>
      <family val="2"/>
      <scheme val="minor"/>
    </font>
    <font>
      <b/>
      <sz val="12"/>
      <name val="Calibri"/>
      <family val="2"/>
      <scheme val="minor"/>
    </font>
    <font>
      <sz val="12"/>
      <color indexed="8"/>
      <name val="Calibri"/>
      <family val="2"/>
      <scheme val="minor"/>
    </font>
    <font>
      <b/>
      <sz val="12"/>
      <color indexed="8"/>
      <name val="Calibri"/>
      <family val="2"/>
      <scheme val="minor"/>
    </font>
    <font>
      <b/>
      <u/>
      <sz val="11"/>
      <name val="Calibri"/>
      <family val="2"/>
    </font>
    <font>
      <b/>
      <sz val="12"/>
      <color theme="1"/>
      <name val="Arial"/>
      <family val="2"/>
    </font>
    <font>
      <b/>
      <sz val="12"/>
      <color rgb="FF000000"/>
      <name val="Arial"/>
      <family val="2"/>
    </font>
    <font>
      <b/>
      <sz val="16"/>
      <color theme="1"/>
      <name val="Arial"/>
      <family val="2"/>
    </font>
    <font>
      <b/>
      <sz val="10"/>
      <color rgb="FFFF0000"/>
      <name val="Arial"/>
      <family val="2"/>
    </font>
    <font>
      <b/>
      <sz val="11"/>
      <color rgb="FFFF0000"/>
      <name val="Calibri"/>
      <family val="2"/>
      <scheme val="minor"/>
    </font>
    <font>
      <b/>
      <sz val="11"/>
      <color theme="3" tint="0.39997558519241921"/>
      <name val="Calibri"/>
      <family val="2"/>
      <scheme val="minor"/>
    </font>
    <font>
      <b/>
      <sz val="11"/>
      <color theme="4" tint="-0.249977111117893"/>
      <name val="Calibri"/>
      <family val="2"/>
      <scheme val="minor"/>
    </font>
    <font>
      <b/>
      <sz val="11"/>
      <color theme="6" tint="-0.499984740745262"/>
      <name val="Calibri"/>
      <family val="2"/>
      <scheme val="minor"/>
    </font>
    <font>
      <b/>
      <sz val="14"/>
      <name val="Calibri"/>
      <family val="2"/>
      <scheme val="minor"/>
    </font>
    <font>
      <sz val="11"/>
      <name val="Calibri"/>
      <family val="2"/>
    </font>
    <font>
      <sz val="12"/>
      <color rgb="FF000000"/>
      <name val="Calibri"/>
      <family val="2"/>
      <scheme val="minor"/>
    </font>
  </fonts>
  <fills count="21">
    <fill>
      <patternFill patternType="none"/>
    </fill>
    <fill>
      <patternFill patternType="gray125"/>
    </fill>
    <fill>
      <patternFill patternType="solid">
        <fgColor indexed="44"/>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CCFFCC"/>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3"/>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6"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s>
  <cellStyleXfs count="84">
    <xf numFmtId="0" fontId="0" fillId="0" borderId="0"/>
    <xf numFmtId="9" fontId="4" fillId="0" borderId="0" applyFont="0" applyFill="0" applyBorder="0" applyAlignment="0" applyProtection="0"/>
    <xf numFmtId="164"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9" fillId="0" borderId="0"/>
  </cellStyleXfs>
  <cellXfs count="255">
    <xf numFmtId="0" fontId="0" fillId="0" borderId="0" xfId="0"/>
    <xf numFmtId="0" fontId="0" fillId="0" borderId="1" xfId="0" applyBorder="1"/>
    <xf numFmtId="0" fontId="0" fillId="0" borderId="1" xfId="0" applyBorder="1" applyAlignment="1">
      <alignment horizontal="left" indent="3"/>
    </xf>
    <xf numFmtId="0" fontId="0" fillId="0" borderId="1" xfId="0" applyBorder="1" applyAlignment="1">
      <alignment horizontal="left" indent="5"/>
    </xf>
    <xf numFmtId="165" fontId="1" fillId="0" borderId="0" xfId="0" applyNumberFormat="1" applyFont="1"/>
    <xf numFmtId="0" fontId="6" fillId="0" borderId="1" xfId="0" applyFont="1" applyBorder="1"/>
    <xf numFmtId="0" fontId="0" fillId="0" borderId="0" xfId="0" applyAlignment="1">
      <alignment horizontal="right"/>
    </xf>
    <xf numFmtId="0" fontId="0" fillId="0" borderId="0" xfId="0" applyAlignment="1">
      <alignment vertical="center"/>
    </xf>
    <xf numFmtId="0" fontId="0" fillId="6" borderId="1" xfId="0" applyFill="1" applyBorder="1"/>
    <xf numFmtId="0" fontId="0" fillId="0" borderId="0" xfId="0" applyAlignment="1">
      <alignment horizontal="center" vertical="center"/>
    </xf>
    <xf numFmtId="0" fontId="5" fillId="3" borderId="1" xfId="0" applyFont="1" applyFill="1" applyBorder="1" applyAlignment="1">
      <alignment vertical="center"/>
    </xf>
    <xf numFmtId="164" fontId="0" fillId="0" borderId="0" xfId="0" applyNumberFormat="1"/>
    <xf numFmtId="0" fontId="13" fillId="0" borderId="0" xfId="0" applyFont="1" applyAlignment="1">
      <alignment vertical="center"/>
    </xf>
    <xf numFmtId="0" fontId="0" fillId="0" borderId="4" xfId="0" applyBorder="1"/>
    <xf numFmtId="0" fontId="16" fillId="0" borderId="0" xfId="0" applyFont="1" applyAlignment="1">
      <alignment vertical="center"/>
    </xf>
    <xf numFmtId="0" fontId="2" fillId="0" borderId="1" xfId="0" applyFont="1" applyBorder="1" applyAlignment="1">
      <alignment horizontal="center" vertical="center" wrapText="1"/>
    </xf>
    <xf numFmtId="0" fontId="17" fillId="0" borderId="1" xfId="0" applyFont="1" applyBorder="1" applyAlignment="1">
      <alignment horizontal="center" vertical="center"/>
    </xf>
    <xf numFmtId="0" fontId="4" fillId="0" borderId="0" xfId="0" applyFont="1"/>
    <xf numFmtId="0" fontId="20"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21" fillId="2" borderId="1" xfId="0" applyFont="1" applyFill="1" applyBorder="1" applyAlignment="1">
      <alignment vertical="center"/>
    </xf>
    <xf numFmtId="3" fontId="6" fillId="0" borderId="1" xfId="2" applyNumberFormat="1" applyFont="1" applyBorder="1" applyAlignment="1">
      <alignment horizontal="right"/>
    </xf>
    <xf numFmtId="0" fontId="22" fillId="0" borderId="0" xfId="0" applyFont="1" applyAlignment="1">
      <alignment vertical="center"/>
    </xf>
    <xf numFmtId="165" fontId="18" fillId="9" borderId="1" xfId="0" applyNumberFormat="1" applyFont="1" applyFill="1" applyBorder="1" applyAlignment="1">
      <alignment horizontal="left" vertical="center"/>
    </xf>
    <xf numFmtId="0" fontId="18" fillId="9" borderId="1" xfId="0" applyFont="1" applyFill="1" applyBorder="1" applyAlignment="1">
      <alignment horizontal="center" vertical="center" wrapText="1"/>
    </xf>
    <xf numFmtId="49" fontId="18" fillId="0" borderId="1" xfId="0" quotePrefix="1" applyNumberFormat="1" applyFont="1" applyBorder="1" applyAlignment="1">
      <alignment horizontal="left" vertical="center"/>
    </xf>
    <xf numFmtId="49" fontId="18" fillId="9" borderId="1" xfId="0" quotePrefix="1" applyNumberFormat="1" applyFont="1" applyFill="1" applyBorder="1" applyAlignment="1">
      <alignment horizontal="left" vertical="center"/>
    </xf>
    <xf numFmtId="49" fontId="18" fillId="5" borderId="1" xfId="0" quotePrefix="1" applyNumberFormat="1" applyFont="1" applyFill="1" applyBorder="1" applyAlignment="1">
      <alignment horizontal="left" vertical="center"/>
    </xf>
    <xf numFmtId="165" fontId="1" fillId="0" borderId="0" xfId="0" applyNumberFormat="1" applyFont="1" applyAlignment="1">
      <alignment horizontal="right" vertical="center"/>
    </xf>
    <xf numFmtId="49" fontId="7" fillId="0" borderId="1" xfId="0" applyNumberFormat="1" applyFont="1" applyBorder="1" applyAlignment="1">
      <alignment vertical="center"/>
    </xf>
    <xf numFmtId="49" fontId="7" fillId="0" borderId="1" xfId="0" quotePrefix="1" applyNumberFormat="1" applyFont="1" applyBorder="1" applyAlignment="1">
      <alignment vertical="center"/>
    </xf>
    <xf numFmtId="49" fontId="7" fillId="0" borderId="1" xfId="0" quotePrefix="1" applyNumberFormat="1" applyFont="1" applyBorder="1" applyAlignment="1">
      <alignment horizontal="left" vertical="center"/>
    </xf>
    <xf numFmtId="165" fontId="0" fillId="0" borderId="0" xfId="0" applyNumberFormat="1"/>
    <xf numFmtId="0" fontId="23" fillId="0" borderId="1" xfId="0" applyFont="1" applyBorder="1" applyAlignment="1">
      <alignment horizontal="center" vertical="center" wrapText="1"/>
    </xf>
    <xf numFmtId="0" fontId="17" fillId="0" borderId="1" xfId="0" applyFont="1" applyBorder="1" applyAlignment="1">
      <alignment horizontal="center" vertical="center" wrapText="1"/>
    </xf>
    <xf numFmtId="165" fontId="24" fillId="0" borderId="3" xfId="0" applyNumberFormat="1" applyFont="1" applyBorder="1" applyAlignment="1">
      <alignment vertical="center"/>
    </xf>
    <xf numFmtId="3" fontId="24" fillId="0" borderId="1" xfId="0" applyNumberFormat="1" applyFont="1" applyBorder="1" applyAlignment="1">
      <alignment vertical="center"/>
    </xf>
    <xf numFmtId="166" fontId="24" fillId="0" borderId="1" xfId="1" applyNumberFormat="1" applyFont="1" applyFill="1" applyBorder="1" applyAlignment="1">
      <alignment vertical="center"/>
    </xf>
    <xf numFmtId="165" fontId="24" fillId="0" borderId="1" xfId="0" applyNumberFormat="1" applyFont="1" applyBorder="1" applyAlignment="1">
      <alignment vertical="center"/>
    </xf>
    <xf numFmtId="10" fontId="24" fillId="0" borderId="1" xfId="1" applyNumberFormat="1" applyFont="1" applyFill="1" applyBorder="1" applyAlignment="1">
      <alignment vertical="center"/>
    </xf>
    <xf numFmtId="0" fontId="25" fillId="0" borderId="1" xfId="0" applyFont="1" applyBorder="1" applyAlignment="1">
      <alignment vertical="center"/>
    </xf>
    <xf numFmtId="3" fontId="25" fillId="0" borderId="1" xfId="0" applyNumberFormat="1" applyFont="1" applyBorder="1" applyAlignment="1">
      <alignment vertical="center"/>
    </xf>
    <xf numFmtId="10" fontId="25" fillId="0" borderId="1" xfId="1" applyNumberFormat="1" applyFont="1" applyFill="1" applyBorder="1" applyAlignment="1">
      <alignment vertical="center"/>
    </xf>
    <xf numFmtId="10" fontId="26" fillId="0" borderId="1" xfId="1" applyNumberFormat="1" applyFont="1" applyFill="1" applyBorder="1" applyAlignment="1">
      <alignment vertical="center"/>
    </xf>
    <xf numFmtId="10" fontId="15" fillId="0" borderId="1" xfId="1" applyNumberFormat="1" applyFont="1" applyFill="1" applyBorder="1" applyAlignment="1">
      <alignment vertical="center"/>
    </xf>
    <xf numFmtId="165" fontId="7" fillId="0" borderId="1" xfId="0" applyNumberFormat="1" applyFont="1" applyBorder="1" applyAlignment="1">
      <alignment vertical="center"/>
    </xf>
    <xf numFmtId="165" fontId="15" fillId="0" borderId="1" xfId="0" applyNumberFormat="1" applyFont="1" applyBorder="1" applyAlignment="1">
      <alignment vertical="center"/>
    </xf>
    <xf numFmtId="0" fontId="25" fillId="0" borderId="1" xfId="0" applyFont="1" applyBorder="1" applyAlignment="1">
      <alignment vertical="center" wrapText="1"/>
    </xf>
    <xf numFmtId="10" fontId="25" fillId="0" borderId="7" xfId="1" applyNumberFormat="1" applyFont="1" applyFill="1" applyBorder="1" applyAlignment="1">
      <alignment vertical="center"/>
    </xf>
    <xf numFmtId="165" fontId="18" fillId="0" borderId="1" xfId="0" applyNumberFormat="1" applyFont="1" applyBorder="1" applyAlignment="1">
      <alignment horizontal="center" vertical="center"/>
    </xf>
    <xf numFmtId="165" fontId="24" fillId="11" borderId="1" xfId="0" applyNumberFormat="1" applyFont="1" applyFill="1" applyBorder="1" applyAlignment="1">
      <alignment vertical="center"/>
    </xf>
    <xf numFmtId="10" fontId="24" fillId="11" borderId="1" xfId="1" applyNumberFormat="1" applyFont="1" applyFill="1" applyBorder="1" applyAlignment="1">
      <alignment vertical="center"/>
    </xf>
    <xf numFmtId="4" fontId="0" fillId="8" borderId="1" xfId="2" applyNumberFormat="1" applyFont="1" applyFill="1" applyBorder="1" applyAlignment="1">
      <alignment horizontal="right"/>
    </xf>
    <xf numFmtId="4" fontId="0" fillId="0" borderId="2" xfId="2" applyNumberFormat="1" applyFont="1" applyBorder="1" applyAlignment="1">
      <alignment horizontal="right"/>
    </xf>
    <xf numFmtId="4" fontId="0" fillId="0" borderId="1" xfId="2" applyNumberFormat="1" applyFont="1" applyBorder="1" applyAlignment="1">
      <alignment horizontal="right"/>
    </xf>
    <xf numFmtId="4" fontId="0" fillId="0" borderId="6" xfId="2" applyNumberFormat="1" applyFont="1" applyBorder="1" applyAlignment="1">
      <alignment horizontal="right"/>
    </xf>
    <xf numFmtId="4" fontId="0" fillId="8" borderId="7" xfId="2" applyNumberFormat="1" applyFont="1" applyFill="1" applyBorder="1" applyAlignment="1">
      <alignment horizontal="right"/>
    </xf>
    <xf numFmtId="4" fontId="0" fillId="0" borderId="6" xfId="2" applyNumberFormat="1" applyFont="1" applyFill="1" applyBorder="1" applyAlignment="1">
      <alignment horizontal="right"/>
    </xf>
    <xf numFmtId="4" fontId="0" fillId="0" borderId="1" xfId="0" applyNumberFormat="1" applyBorder="1" applyAlignment="1">
      <alignment horizontal="right"/>
    </xf>
    <xf numFmtId="4" fontId="0" fillId="0" borderId="3" xfId="2" applyNumberFormat="1" applyFont="1" applyBorder="1" applyAlignment="1">
      <alignment horizontal="right"/>
    </xf>
    <xf numFmtId="4" fontId="6" fillId="0" borderId="1" xfId="2" applyNumberFormat="1" applyFont="1" applyBorder="1" applyAlignment="1">
      <alignment horizontal="right"/>
    </xf>
    <xf numFmtId="4" fontId="7" fillId="0" borderId="1" xfId="2" applyNumberFormat="1" applyFont="1" applyBorder="1" applyAlignment="1">
      <alignment horizontal="right"/>
    </xf>
    <xf numFmtId="4" fontId="7" fillId="0" borderId="1" xfId="2" applyNumberFormat="1" applyFont="1" applyFill="1" applyBorder="1" applyAlignment="1">
      <alignment horizontal="right"/>
    </xf>
    <xf numFmtId="4" fontId="0" fillId="0" borderId="0" xfId="0" applyNumberFormat="1" applyAlignment="1">
      <alignment horizontal="right"/>
    </xf>
    <xf numFmtId="4" fontId="0" fillId="6" borderId="1" xfId="2" applyNumberFormat="1" applyFont="1" applyFill="1" applyBorder="1" applyAlignment="1">
      <alignment horizontal="right"/>
    </xf>
    <xf numFmtId="4" fontId="5" fillId="3" borderId="1" xfId="2" applyNumberFormat="1" applyFont="1" applyFill="1" applyBorder="1" applyAlignment="1">
      <alignment horizontal="right" vertical="center"/>
    </xf>
    <xf numFmtId="4" fontId="0" fillId="0" borderId="0" xfId="2" applyNumberFormat="1" applyFont="1" applyAlignment="1">
      <alignment horizontal="right"/>
    </xf>
    <xf numFmtId="4" fontId="7" fillId="0" borderId="1" xfId="2" applyNumberFormat="1" applyFont="1" applyFill="1" applyBorder="1" applyAlignment="1">
      <alignment horizontal="right" vertical="center"/>
    </xf>
    <xf numFmtId="4" fontId="18" fillId="0" borderId="1" xfId="2" applyNumberFormat="1" applyFont="1" applyFill="1" applyBorder="1" applyAlignment="1">
      <alignment horizontal="right" vertical="center"/>
    </xf>
    <xf numFmtId="4" fontId="0" fillId="0" borderId="1" xfId="2" applyNumberFormat="1" applyFont="1" applyBorder="1" applyAlignment="1">
      <alignment horizontal="right" vertical="center"/>
    </xf>
    <xf numFmtId="4" fontId="18" fillId="9" borderId="1" xfId="2" applyNumberFormat="1" applyFont="1" applyFill="1" applyBorder="1" applyAlignment="1">
      <alignment horizontal="right" vertical="center"/>
    </xf>
    <xf numFmtId="4" fontId="18" fillId="5" borderId="1" xfId="2" applyNumberFormat="1" applyFont="1" applyFill="1" applyBorder="1" applyAlignment="1">
      <alignment horizontal="right" vertical="center"/>
    </xf>
    <xf numFmtId="4" fontId="24" fillId="11" borderId="1" xfId="0" applyNumberFormat="1" applyFont="1" applyFill="1" applyBorder="1" applyAlignment="1">
      <alignment vertical="center"/>
    </xf>
    <xf numFmtId="4" fontId="25" fillId="0" borderId="1" xfId="0" applyNumberFormat="1" applyFont="1" applyBorder="1" applyAlignment="1">
      <alignment vertical="center"/>
    </xf>
    <xf numFmtId="4" fontId="24" fillId="0" borderId="1" xfId="0" applyNumberFormat="1" applyFont="1" applyBorder="1" applyAlignment="1">
      <alignment vertical="center"/>
    </xf>
    <xf numFmtId="4" fontId="7" fillId="0" borderId="1" xfId="0" applyNumberFormat="1" applyFont="1" applyBorder="1" applyAlignment="1">
      <alignment vertical="center"/>
    </xf>
    <xf numFmtId="4" fontId="15" fillId="0" borderId="1" xfId="0" applyNumberFormat="1" applyFont="1" applyBorder="1" applyAlignment="1">
      <alignment vertical="center"/>
    </xf>
    <xf numFmtId="4" fontId="25" fillId="0" borderId="1" xfId="0" applyNumberFormat="1" applyFont="1" applyBorder="1" applyAlignment="1">
      <alignment vertical="center" wrapText="1"/>
    </xf>
    <xf numFmtId="0" fontId="5" fillId="4" borderId="1" xfId="0" applyFont="1" applyFill="1" applyBorder="1" applyAlignment="1">
      <alignment horizontal="left" vertical="center"/>
    </xf>
    <xf numFmtId="0" fontId="0" fillId="8" borderId="1" xfId="0" applyFill="1" applyBorder="1"/>
    <xf numFmtId="0" fontId="0" fillId="0" borderId="1" xfId="0" applyBorder="1" applyAlignment="1">
      <alignment horizontal="left" indent="1"/>
    </xf>
    <xf numFmtId="0" fontId="6" fillId="7" borderId="1" xfId="0" applyFont="1" applyFill="1" applyBorder="1" applyAlignment="1">
      <alignment horizontal="left" vertical="center"/>
    </xf>
    <xf numFmtId="10" fontId="8" fillId="4" borderId="7" xfId="1" applyNumberFormat="1" applyFont="1" applyFill="1" applyBorder="1" applyAlignment="1">
      <alignment horizontal="right" vertical="center"/>
    </xf>
    <xf numFmtId="10" fontId="0" fillId="8" borderId="1" xfId="1" applyNumberFormat="1" applyFont="1" applyFill="1" applyBorder="1" applyAlignment="1">
      <alignment horizontal="right"/>
    </xf>
    <xf numFmtId="10" fontId="0" fillId="0" borderId="2" xfId="1" applyNumberFormat="1" applyFont="1" applyBorder="1" applyAlignment="1">
      <alignment horizontal="right"/>
    </xf>
    <xf numFmtId="10" fontId="0" fillId="0" borderId="1" xfId="1" applyNumberFormat="1" applyFont="1" applyBorder="1" applyAlignment="1">
      <alignment horizontal="right"/>
    </xf>
    <xf numFmtId="10" fontId="0" fillId="0" borderId="6" xfId="1" applyNumberFormat="1" applyFont="1" applyBorder="1" applyAlignment="1">
      <alignment horizontal="right"/>
    </xf>
    <xf numFmtId="10" fontId="0" fillId="8" borderId="7" xfId="1" applyNumberFormat="1" applyFont="1" applyFill="1" applyBorder="1" applyAlignment="1">
      <alignment horizontal="right"/>
    </xf>
    <xf numFmtId="10" fontId="0" fillId="0" borderId="6" xfId="1" applyNumberFormat="1" applyFont="1" applyFill="1" applyBorder="1" applyAlignment="1">
      <alignment horizontal="right"/>
    </xf>
    <xf numFmtId="10" fontId="27" fillId="7" borderId="1" xfId="1" applyNumberFormat="1" applyFont="1" applyFill="1" applyBorder="1" applyAlignment="1">
      <alignment horizontal="center" vertical="center"/>
    </xf>
    <xf numFmtId="10" fontId="0" fillId="8" borderId="1" xfId="1" applyNumberFormat="1" applyFont="1" applyFill="1" applyBorder="1" applyAlignment="1">
      <alignment horizontal="right" vertical="center"/>
    </xf>
    <xf numFmtId="10" fontId="7" fillId="0" borderId="1" xfId="1" applyNumberFormat="1" applyFont="1" applyBorder="1" applyAlignment="1">
      <alignment horizontal="right" vertical="center"/>
    </xf>
    <xf numFmtId="10" fontId="7" fillId="0" borderId="1" xfId="1" applyNumberFormat="1" applyFont="1" applyFill="1" applyBorder="1" applyAlignment="1">
      <alignment horizontal="right" vertical="center"/>
    </xf>
    <xf numFmtId="3" fontId="0" fillId="0" borderId="0" xfId="0" applyNumberFormat="1" applyAlignment="1">
      <alignment horizontal="right"/>
    </xf>
    <xf numFmtId="0" fontId="5" fillId="0" borderId="1" xfId="0" applyFont="1" applyBorder="1" applyAlignment="1">
      <alignment vertical="center"/>
    </xf>
    <xf numFmtId="4" fontId="8" fillId="4" borderId="7" xfId="2" applyNumberFormat="1" applyFont="1" applyFill="1" applyBorder="1" applyAlignment="1">
      <alignment horizontal="right" vertical="center"/>
    </xf>
    <xf numFmtId="4" fontId="8" fillId="7" borderId="1" xfId="2" applyNumberFormat="1" applyFont="1" applyFill="1" applyBorder="1" applyAlignment="1">
      <alignment horizontal="right" vertical="center"/>
    </xf>
    <xf numFmtId="10" fontId="27" fillId="7" borderId="1" xfId="1" applyNumberFormat="1" applyFont="1" applyFill="1" applyBorder="1" applyAlignment="1">
      <alignment horizontal="right" vertical="center"/>
    </xf>
    <xf numFmtId="4" fontId="7" fillId="8" borderId="1" xfId="2" applyNumberFormat="1" applyFont="1" applyFill="1" applyBorder="1" applyAlignment="1">
      <alignment horizontal="right"/>
    </xf>
    <xf numFmtId="4" fontId="0" fillId="8" borderId="1" xfId="2" applyNumberFormat="1" applyFont="1" applyFill="1" applyBorder="1" applyAlignment="1">
      <alignment horizontal="right" vertical="center"/>
    </xf>
    <xf numFmtId="4" fontId="7" fillId="0" borderId="1" xfId="2" applyNumberFormat="1" applyFont="1" applyBorder="1" applyAlignment="1">
      <alignment horizontal="right" vertical="center"/>
    </xf>
    <xf numFmtId="4" fontId="0" fillId="8" borderId="1" xfId="1" applyNumberFormat="1" applyFont="1" applyFill="1" applyBorder="1" applyAlignment="1">
      <alignment horizontal="right" vertical="center"/>
    </xf>
    <xf numFmtId="4" fontId="7" fillId="0" borderId="1" xfId="1" applyNumberFormat="1" applyFont="1" applyBorder="1" applyAlignment="1">
      <alignment horizontal="right" vertical="center"/>
    </xf>
    <xf numFmtId="4" fontId="7" fillId="0" borderId="1" xfId="1" applyNumberFormat="1" applyFont="1" applyFill="1" applyBorder="1" applyAlignment="1">
      <alignment horizontal="right" vertical="center"/>
    </xf>
    <xf numFmtId="4" fontId="27" fillId="7" borderId="1" xfId="2" applyNumberFormat="1" applyFont="1" applyFill="1" applyBorder="1" applyAlignment="1">
      <alignment horizontal="right" vertical="center"/>
    </xf>
    <xf numFmtId="10" fontId="7" fillId="0" borderId="1" xfId="1" applyNumberFormat="1" applyFont="1" applyBorder="1" applyAlignment="1">
      <alignment horizontal="right"/>
    </xf>
    <xf numFmtId="10" fontId="7" fillId="8" borderId="1" xfId="1" applyNumberFormat="1" applyFont="1" applyFill="1" applyBorder="1" applyAlignment="1">
      <alignment horizontal="right"/>
    </xf>
    <xf numFmtId="4" fontId="26" fillId="0" borderId="1" xfId="0" applyNumberFormat="1" applyFont="1" applyBorder="1" applyAlignment="1">
      <alignment vertical="center"/>
    </xf>
    <xf numFmtId="0" fontId="7" fillId="0" borderId="0" xfId="0" applyFont="1"/>
    <xf numFmtId="0" fontId="14" fillId="0" borderId="1" xfId="0" applyFont="1" applyBorder="1"/>
    <xf numFmtId="4" fontId="14" fillId="0" borderId="1" xfId="0" applyNumberFormat="1" applyFont="1" applyBorder="1" applyAlignment="1">
      <alignment horizontal="right"/>
    </xf>
    <xf numFmtId="4" fontId="14" fillId="0" borderId="0" xfId="0" applyNumberFormat="1" applyFont="1" applyAlignment="1">
      <alignment horizontal="right"/>
    </xf>
    <xf numFmtId="4" fontId="0" fillId="0" borderId="1" xfId="2" applyNumberFormat="1" applyFont="1" applyFill="1" applyBorder="1" applyAlignment="1">
      <alignment horizontal="right"/>
    </xf>
    <xf numFmtId="4" fontId="0" fillId="0" borderId="0" xfId="0" applyNumberFormat="1"/>
    <xf numFmtId="0" fontId="18" fillId="0" borderId="0" xfId="0" applyFont="1" applyAlignment="1">
      <alignment horizontal="left" vertical="center"/>
    </xf>
    <xf numFmtId="10" fontId="7" fillId="0" borderId="1" xfId="0" applyNumberFormat="1" applyFont="1" applyBorder="1" applyAlignment="1">
      <alignment horizontal="right" vertical="center"/>
    </xf>
    <xf numFmtId="4" fontId="7" fillId="0" borderId="0" xfId="0" applyNumberFormat="1" applyFont="1"/>
    <xf numFmtId="0" fontId="9" fillId="0" borderId="0" xfId="83"/>
    <xf numFmtId="1" fontId="29" fillId="0" borderId="2" xfId="83" applyNumberFormat="1" applyFont="1" applyBorder="1" applyAlignment="1">
      <alignment horizontal="center" vertical="center" wrapText="1"/>
    </xf>
    <xf numFmtId="0" fontId="12" fillId="10" borderId="1" xfId="83" applyFont="1" applyFill="1" applyBorder="1" applyAlignment="1">
      <alignment horizontal="left" vertical="center" wrapText="1"/>
    </xf>
    <xf numFmtId="0" fontId="12" fillId="0" borderId="1" xfId="83" applyFont="1" applyBorder="1"/>
    <xf numFmtId="0" fontId="3" fillId="0" borderId="1" xfId="83" applyFont="1" applyBorder="1" applyAlignment="1">
      <alignment horizontal="left" indent="2"/>
    </xf>
    <xf numFmtId="0" fontId="3" fillId="0" borderId="1" xfId="83" applyFont="1" applyBorder="1" applyAlignment="1">
      <alignment horizontal="left" wrapText="1" indent="2"/>
    </xf>
    <xf numFmtId="0" fontId="3" fillId="0" borderId="1" xfId="83" applyFont="1" applyBorder="1"/>
    <xf numFmtId="0" fontId="3" fillId="0" borderId="1" xfId="83" applyFont="1" applyBorder="1" applyAlignment="1">
      <alignment horizontal="left" vertical="center"/>
    </xf>
    <xf numFmtId="0" fontId="12" fillId="0" borderId="1" xfId="83" applyFont="1" applyBorder="1" applyAlignment="1">
      <alignment horizontal="left" vertical="center" wrapText="1"/>
    </xf>
    <xf numFmtId="0" fontId="12" fillId="0" borderId="1" xfId="83" applyFont="1" applyBorder="1" applyAlignment="1">
      <alignment horizontal="left" vertical="center"/>
    </xf>
    <xf numFmtId="0" fontId="3" fillId="0" borderId="1" xfId="83" applyFont="1" applyBorder="1" applyAlignment="1">
      <alignment horizontal="left" indent="3"/>
    </xf>
    <xf numFmtId="0" fontId="12" fillId="0" borderId="1" xfId="83" applyFont="1" applyBorder="1" applyAlignment="1">
      <alignment horizontal="left"/>
    </xf>
    <xf numFmtId="0" fontId="7" fillId="0" borderId="1" xfId="83" applyFont="1" applyBorder="1"/>
    <xf numFmtId="168" fontId="9" fillId="0" borderId="0" xfId="83" applyNumberFormat="1"/>
    <xf numFmtId="0" fontId="30" fillId="0" borderId="2" xfId="83" applyFont="1" applyBorder="1" applyAlignment="1">
      <alignment horizontal="center" vertical="center"/>
    </xf>
    <xf numFmtId="4" fontId="12" fillId="10" borderId="1" xfId="83" applyNumberFormat="1" applyFont="1" applyFill="1" applyBorder="1" applyAlignment="1">
      <alignment horizontal="right" vertical="center"/>
    </xf>
    <xf numFmtId="4" fontId="12" fillId="0" borderId="1" xfId="83" applyNumberFormat="1" applyFont="1" applyBorder="1" applyAlignment="1">
      <alignment horizontal="right"/>
    </xf>
    <xf numFmtId="4" fontId="3" fillId="0" borderId="1" xfId="83" applyNumberFormat="1" applyFont="1" applyBorder="1" applyAlignment="1">
      <alignment horizontal="right"/>
    </xf>
    <xf numFmtId="4" fontId="3" fillId="0" borderId="1" xfId="83" applyNumberFormat="1" applyFont="1" applyBorder="1"/>
    <xf numFmtId="4" fontId="12" fillId="0" borderId="1" xfId="83" applyNumberFormat="1" applyFont="1" applyBorder="1" applyAlignment="1">
      <alignment horizontal="right" vertical="center"/>
    </xf>
    <xf numFmtId="4" fontId="7" fillId="0" borderId="0" xfId="83" applyNumberFormat="1" applyFont="1"/>
    <xf numFmtId="1" fontId="29" fillId="0" borderId="1" xfId="83" applyNumberFormat="1" applyFont="1" applyBorder="1" applyAlignment="1">
      <alignment horizontal="center" vertical="center" wrapText="1"/>
    </xf>
    <xf numFmtId="0" fontId="28" fillId="0" borderId="3" xfId="83" applyFont="1" applyBorder="1" applyAlignment="1">
      <alignment vertical="center"/>
    </xf>
    <xf numFmtId="0" fontId="28" fillId="0" borderId="7" xfId="83" applyFont="1" applyBorder="1" applyAlignment="1">
      <alignment vertical="center"/>
    </xf>
    <xf numFmtId="10" fontId="0" fillId="0" borderId="0" xfId="0" applyNumberFormat="1" applyAlignment="1">
      <alignment horizontal="center" vertical="center"/>
    </xf>
    <xf numFmtId="10" fontId="18" fillId="9" borderId="1" xfId="0" applyNumberFormat="1" applyFont="1" applyFill="1" applyBorder="1" applyAlignment="1">
      <alignment horizontal="center" vertical="center"/>
    </xf>
    <xf numFmtId="10" fontId="18" fillId="0" borderId="1" xfId="0" applyNumberFormat="1" applyFont="1" applyBorder="1" applyAlignment="1">
      <alignment horizontal="right" vertical="center"/>
    </xf>
    <xf numFmtId="10" fontId="18" fillId="9" borderId="1" xfId="0" applyNumberFormat="1" applyFont="1" applyFill="1" applyBorder="1" applyAlignment="1">
      <alignment horizontal="right" vertical="center"/>
    </xf>
    <xf numFmtId="10" fontId="18" fillId="5" borderId="1" xfId="0" applyNumberFormat="1" applyFont="1" applyFill="1" applyBorder="1" applyAlignment="1">
      <alignment horizontal="right" vertical="center"/>
    </xf>
    <xf numFmtId="10" fontId="1" fillId="0" borderId="0" xfId="0" applyNumberFormat="1" applyFont="1" applyAlignment="1">
      <alignment horizontal="right" vertical="center"/>
    </xf>
    <xf numFmtId="10" fontId="0" fillId="0" borderId="0" xfId="0" applyNumberFormat="1" applyAlignment="1">
      <alignment horizontal="center"/>
    </xf>
    <xf numFmtId="10" fontId="18" fillId="9"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2" fillId="0" borderId="0" xfId="0" applyFont="1"/>
    <xf numFmtId="0" fontId="33" fillId="0" borderId="0" xfId="0" applyFont="1"/>
    <xf numFmtId="0" fontId="34" fillId="0" borderId="0" xfId="0" applyFont="1"/>
    <xf numFmtId="0" fontId="35" fillId="0" borderId="0" xfId="0" applyFont="1"/>
    <xf numFmtId="167" fontId="7" fillId="0" borderId="0" xfId="0" applyNumberFormat="1" applyFont="1"/>
    <xf numFmtId="4" fontId="8" fillId="4" borderId="8" xfId="2" applyNumberFormat="1" applyFont="1" applyFill="1" applyBorder="1" applyAlignment="1">
      <alignment horizontal="right" vertical="center"/>
    </xf>
    <xf numFmtId="4" fontId="0" fillId="8" borderId="3" xfId="2" applyNumberFormat="1" applyFont="1" applyFill="1" applyBorder="1" applyAlignment="1">
      <alignment horizontal="right"/>
    </xf>
    <xf numFmtId="4" fontId="0" fillId="0" borderId="9" xfId="2" applyNumberFormat="1" applyFont="1" applyBorder="1" applyAlignment="1">
      <alignment horizontal="right"/>
    </xf>
    <xf numFmtId="4" fontId="0" fillId="0" borderId="5" xfId="2" applyNumberFormat="1" applyFont="1" applyBorder="1" applyAlignment="1">
      <alignment horizontal="right"/>
    </xf>
    <xf numFmtId="4" fontId="0" fillId="8" borderId="8" xfId="2" applyNumberFormat="1" applyFont="1" applyFill="1" applyBorder="1" applyAlignment="1">
      <alignment horizontal="right"/>
    </xf>
    <xf numFmtId="4" fontId="0" fillId="0" borderId="5" xfId="2" applyNumberFormat="1" applyFont="1" applyFill="1" applyBorder="1" applyAlignment="1">
      <alignment horizontal="right"/>
    </xf>
    <xf numFmtId="4" fontId="0" fillId="0" borderId="3" xfId="0" applyNumberFormat="1" applyBorder="1" applyAlignment="1">
      <alignment horizontal="right"/>
    </xf>
    <xf numFmtId="4" fontId="8" fillId="7" borderId="3" xfId="2" applyNumberFormat="1" applyFont="1" applyFill="1" applyBorder="1" applyAlignment="1">
      <alignment horizontal="right" vertical="center"/>
    </xf>
    <xf numFmtId="4" fontId="6" fillId="0" borderId="3" xfId="2" applyNumberFormat="1" applyFont="1" applyBorder="1" applyAlignment="1">
      <alignment horizontal="right"/>
    </xf>
    <xf numFmtId="0" fontId="5" fillId="0" borderId="3" xfId="0" applyFont="1" applyBorder="1" applyAlignment="1">
      <alignment horizontal="center" vertical="center" wrapText="1"/>
    </xf>
    <xf numFmtId="4" fontId="7" fillId="0" borderId="3" xfId="2" applyNumberFormat="1" applyFont="1" applyBorder="1" applyAlignment="1">
      <alignment horizontal="right"/>
    </xf>
    <xf numFmtId="4" fontId="7" fillId="0" borderId="3" xfId="2" applyNumberFormat="1" applyFont="1" applyFill="1" applyBorder="1" applyAlignment="1">
      <alignment horizontal="right"/>
    </xf>
    <xf numFmtId="165" fontId="31" fillId="0" borderId="1" xfId="0" applyNumberFormat="1" applyFont="1" applyBorder="1" applyAlignment="1">
      <alignment vertical="center"/>
    </xf>
    <xf numFmtId="0" fontId="7" fillId="0" borderId="1" xfId="0" applyFont="1" applyBorder="1"/>
    <xf numFmtId="4" fontId="7" fillId="0" borderId="1" xfId="0" applyNumberFormat="1" applyFont="1" applyBorder="1"/>
    <xf numFmtId="0" fontId="18" fillId="0" borderId="1" xfId="0" applyFont="1" applyBorder="1"/>
    <xf numFmtId="0" fontId="7" fillId="0" borderId="1" xfId="0" applyFont="1" applyBorder="1" applyAlignment="1">
      <alignment horizontal="center" vertical="center"/>
    </xf>
    <xf numFmtId="0" fontId="7" fillId="0" borderId="1" xfId="0" applyFont="1" applyBorder="1" applyAlignment="1">
      <alignment vertical="center"/>
    </xf>
    <xf numFmtId="0" fontId="0" fillId="0" borderId="4" xfId="0" applyBorder="1" applyAlignment="1">
      <alignment vertical="center"/>
    </xf>
    <xf numFmtId="0" fontId="36" fillId="7" borderId="1" xfId="0" applyFont="1" applyFill="1" applyBorder="1" applyAlignment="1">
      <alignment horizontal="left" vertical="center" wrapText="1" indent="1"/>
    </xf>
    <xf numFmtId="14" fontId="36" fillId="7" borderId="1" xfId="0" applyNumberFormat="1" applyFont="1" applyFill="1" applyBorder="1" applyAlignment="1">
      <alignment horizontal="center" vertical="center"/>
    </xf>
    <xf numFmtId="14" fontId="18" fillId="7" borderId="1" xfId="0" applyNumberFormat="1" applyFont="1" applyFill="1" applyBorder="1" applyAlignment="1">
      <alignment horizontal="center" vertical="center"/>
    </xf>
    <xf numFmtId="0" fontId="21" fillId="7" borderId="1" xfId="0" applyFont="1" applyFill="1" applyBorder="1" applyAlignment="1">
      <alignment horizontal="center" vertical="center" wrapText="1"/>
    </xf>
    <xf numFmtId="0" fontId="25" fillId="5" borderId="1" xfId="0" applyFont="1" applyFill="1" applyBorder="1" applyAlignment="1">
      <alignment horizontal="left" vertical="center" wrapText="1" indent="1"/>
    </xf>
    <xf numFmtId="10" fontId="7" fillId="12" borderId="1" xfId="1" applyNumberFormat="1" applyFont="1" applyFill="1" applyBorder="1" applyAlignment="1">
      <alignment horizontal="right" vertical="center"/>
    </xf>
    <xf numFmtId="10" fontId="37" fillId="12" borderId="7" xfId="1" applyNumberFormat="1" applyFont="1" applyFill="1" applyBorder="1" applyAlignment="1">
      <alignment horizontal="right" vertical="center"/>
    </xf>
    <xf numFmtId="10" fontId="8" fillId="13" borderId="7" xfId="1" applyNumberFormat="1" applyFont="1" applyFill="1" applyBorder="1" applyAlignment="1">
      <alignment horizontal="center" vertical="center" wrapText="1"/>
    </xf>
    <xf numFmtId="2" fontId="7" fillId="12" borderId="1" xfId="0" applyNumberFormat="1" applyFont="1" applyFill="1" applyBorder="1" applyAlignment="1">
      <alignment horizontal="right" vertical="center"/>
    </xf>
    <xf numFmtId="2" fontId="7" fillId="12" borderId="7" xfId="0" applyNumberFormat="1" applyFont="1" applyFill="1" applyBorder="1" applyAlignment="1">
      <alignment horizontal="right" vertical="center"/>
    </xf>
    <xf numFmtId="10" fontId="8" fillId="13" borderId="7" xfId="1" applyNumberFormat="1" applyFont="1" applyFill="1" applyBorder="1" applyAlignment="1">
      <alignment horizontal="center" vertical="center"/>
    </xf>
    <xf numFmtId="3" fontId="7" fillId="12" borderId="1" xfId="0" applyNumberFormat="1" applyFont="1" applyFill="1" applyBorder="1" applyAlignment="1">
      <alignment horizontal="right" vertical="center"/>
    </xf>
    <xf numFmtId="3" fontId="7" fillId="12" borderId="7" xfId="0" applyNumberFormat="1" applyFont="1" applyFill="1" applyBorder="1" applyAlignment="1">
      <alignment horizontal="right" vertical="center"/>
    </xf>
    <xf numFmtId="0" fontId="15" fillId="4" borderId="1" xfId="0" applyFont="1" applyFill="1" applyBorder="1" applyAlignment="1">
      <alignment horizontal="left" vertical="center" wrapText="1" indent="1"/>
    </xf>
    <xf numFmtId="3" fontId="7" fillId="11" borderId="1" xfId="0" applyNumberFormat="1" applyFont="1" applyFill="1" applyBorder="1" applyAlignment="1">
      <alignment horizontal="right" vertical="center"/>
    </xf>
    <xf numFmtId="3" fontId="7" fillId="11" borderId="7" xfId="0" applyNumberFormat="1" applyFont="1" applyFill="1" applyBorder="1" applyAlignment="1">
      <alignment horizontal="right" vertical="center"/>
    </xf>
    <xf numFmtId="10" fontId="37" fillId="11" borderId="7" xfId="1" applyNumberFormat="1" applyFont="1" applyFill="1" applyBorder="1" applyAlignment="1">
      <alignment horizontal="right" vertical="center"/>
    </xf>
    <xf numFmtId="10" fontId="37" fillId="13" borderId="7" xfId="1" applyNumberFormat="1" applyFont="1" applyFill="1" applyBorder="1" applyAlignment="1">
      <alignment horizontal="center" vertical="center"/>
    </xf>
    <xf numFmtId="0" fontId="25" fillId="4" borderId="1" xfId="0" applyFont="1" applyFill="1" applyBorder="1" applyAlignment="1">
      <alignment horizontal="left" vertical="center" wrapText="1" indent="1"/>
    </xf>
    <xf numFmtId="169" fontId="7" fillId="11" borderId="1" xfId="0" applyNumberFormat="1" applyFont="1" applyFill="1" applyBorder="1" applyAlignment="1">
      <alignment horizontal="right" vertical="center" wrapText="1"/>
    </xf>
    <xf numFmtId="3" fontId="7" fillId="11" borderId="7" xfId="0" applyNumberFormat="1" applyFont="1" applyFill="1" applyBorder="1" applyAlignment="1">
      <alignment horizontal="right" vertical="center" wrapText="1"/>
    </xf>
    <xf numFmtId="0" fontId="7" fillId="11" borderId="7" xfId="0" applyFont="1" applyFill="1" applyBorder="1" applyAlignment="1">
      <alignment horizontal="left" vertical="center" wrapText="1"/>
    </xf>
    <xf numFmtId="168" fontId="7" fillId="11" borderId="1" xfId="0" applyNumberFormat="1" applyFont="1" applyFill="1" applyBorder="1" applyAlignment="1">
      <alignment horizontal="right" vertical="center" wrapText="1"/>
    </xf>
    <xf numFmtId="2" fontId="7" fillId="11" borderId="7" xfId="0" applyNumberFormat="1" applyFont="1" applyFill="1" applyBorder="1" applyAlignment="1">
      <alignment horizontal="right" vertical="center" wrapText="1"/>
    </xf>
    <xf numFmtId="170" fontId="7" fillId="11" borderId="1" xfId="0" applyNumberFormat="1" applyFont="1" applyFill="1" applyBorder="1" applyAlignment="1">
      <alignment horizontal="right" vertical="center" wrapText="1"/>
    </xf>
    <xf numFmtId="2" fontId="7" fillId="11" borderId="1" xfId="0" applyNumberFormat="1" applyFont="1" applyFill="1" applyBorder="1" applyAlignment="1">
      <alignment horizontal="right" vertical="center" wrapText="1"/>
    </xf>
    <xf numFmtId="0" fontId="36" fillId="4" borderId="1" xfId="0" applyFont="1" applyFill="1" applyBorder="1" applyAlignment="1">
      <alignment horizontal="left" vertical="center" wrapText="1" indent="1"/>
    </xf>
    <xf numFmtId="2" fontId="7" fillId="4" borderId="1" xfId="0" applyNumberFormat="1" applyFont="1" applyFill="1" applyBorder="1" applyAlignment="1">
      <alignment horizontal="right" vertical="center"/>
    </xf>
    <xf numFmtId="171" fontId="7" fillId="4" borderId="1" xfId="0" applyNumberFormat="1" applyFont="1" applyFill="1" applyBorder="1" applyAlignment="1">
      <alignment horizontal="right" vertical="center"/>
    </xf>
    <xf numFmtId="2" fontId="7" fillId="4" borderId="7" xfId="0" applyNumberFormat="1" applyFont="1" applyFill="1" applyBorder="1" applyAlignment="1">
      <alignment horizontal="right" vertical="center"/>
    </xf>
    <xf numFmtId="10" fontId="37" fillId="4" borderId="7" xfId="1" applyNumberFormat="1" applyFont="1" applyFill="1" applyBorder="1" applyAlignment="1">
      <alignment horizontal="center" vertical="center" wrapText="1"/>
    </xf>
    <xf numFmtId="10" fontId="37" fillId="4" borderId="7" xfId="1" applyNumberFormat="1" applyFont="1" applyFill="1" applyBorder="1" applyAlignment="1">
      <alignment horizontal="center" vertical="center"/>
    </xf>
    <xf numFmtId="0" fontId="26" fillId="4" borderId="1" xfId="0" applyFont="1" applyFill="1" applyBorder="1" applyAlignment="1">
      <alignment horizontal="left" vertical="center" wrapText="1" indent="1"/>
    </xf>
    <xf numFmtId="10" fontId="7" fillId="4" borderId="1" xfId="0" applyNumberFormat="1" applyFont="1" applyFill="1" applyBorder="1" applyAlignment="1">
      <alignment vertical="center"/>
    </xf>
    <xf numFmtId="2" fontId="7" fillId="4" borderId="1" xfId="0" applyNumberFormat="1" applyFont="1" applyFill="1" applyBorder="1" applyAlignment="1">
      <alignment vertical="center"/>
    </xf>
    <xf numFmtId="10" fontId="37" fillId="13" borderId="1" xfId="1" applyNumberFormat="1" applyFont="1" applyFill="1" applyBorder="1" applyAlignment="1">
      <alignment horizontal="center" vertical="center" wrapText="1"/>
    </xf>
    <xf numFmtId="10" fontId="8" fillId="13" borderId="1" xfId="1" applyNumberFormat="1" applyFont="1" applyFill="1" applyBorder="1" applyAlignment="1">
      <alignment horizontal="center" vertical="center" wrapText="1"/>
    </xf>
    <xf numFmtId="0" fontId="25" fillId="15" borderId="1" xfId="0" applyFont="1" applyFill="1" applyBorder="1" applyAlignment="1">
      <alignment horizontal="left" vertical="center" wrapText="1" indent="1"/>
    </xf>
    <xf numFmtId="2" fontId="7" fillId="11" borderId="1" xfId="0" applyNumberFormat="1" applyFont="1" applyFill="1" applyBorder="1" applyAlignment="1">
      <alignment vertical="center"/>
    </xf>
    <xf numFmtId="0" fontId="25" fillId="16" borderId="1" xfId="0" applyFont="1" applyFill="1" applyBorder="1" applyAlignment="1">
      <alignment horizontal="left" vertical="center" wrapText="1" indent="1"/>
    </xf>
    <xf numFmtId="10" fontId="7" fillId="11" borderId="1" xfId="0" applyNumberFormat="1" applyFont="1" applyFill="1" applyBorder="1"/>
    <xf numFmtId="0" fontId="7" fillId="11" borderId="1" xfId="0" applyFont="1" applyFill="1" applyBorder="1"/>
    <xf numFmtId="10" fontId="37" fillId="13" borderId="1" xfId="1" applyNumberFormat="1" applyFont="1" applyFill="1" applyBorder="1" applyAlignment="1">
      <alignment horizontal="center" vertical="center"/>
    </xf>
    <xf numFmtId="0" fontId="18" fillId="11" borderId="1" xfId="0" applyFont="1" applyFill="1" applyBorder="1" applyAlignment="1">
      <alignment horizontal="left" vertical="center"/>
    </xf>
    <xf numFmtId="0" fontId="18" fillId="11" borderId="7" xfId="0" applyFont="1" applyFill="1" applyBorder="1" applyAlignment="1">
      <alignment horizontal="left" vertical="center"/>
    </xf>
    <xf numFmtId="10" fontId="18" fillId="4" borderId="1" xfId="0" applyNumberFormat="1" applyFont="1" applyFill="1" applyBorder="1" applyAlignment="1">
      <alignment horizontal="left" vertical="center"/>
    </xf>
    <xf numFmtId="0" fontId="18" fillId="4" borderId="7" xfId="0" applyFont="1" applyFill="1" applyBorder="1" applyAlignment="1">
      <alignment horizontal="left" vertical="center"/>
    </xf>
    <xf numFmtId="4" fontId="18" fillId="11" borderId="1" xfId="0" applyNumberFormat="1" applyFont="1" applyFill="1" applyBorder="1" applyAlignment="1">
      <alignment horizontal="left" vertical="center"/>
    </xf>
    <xf numFmtId="10" fontId="37" fillId="13" borderId="7" xfId="1" applyNumberFormat="1" applyFont="1" applyFill="1" applyBorder="1" applyAlignment="1">
      <alignment horizontal="center" vertical="center" wrapText="1"/>
    </xf>
    <xf numFmtId="4" fontId="7" fillId="11" borderId="1" xfId="1" applyNumberFormat="1" applyFont="1" applyFill="1" applyBorder="1" applyAlignment="1">
      <alignment horizontal="right" vertical="center"/>
    </xf>
    <xf numFmtId="0" fontId="7" fillId="11" borderId="1" xfId="1" applyNumberFormat="1" applyFont="1" applyFill="1" applyBorder="1" applyAlignment="1">
      <alignment horizontal="right" vertical="center"/>
    </xf>
    <xf numFmtId="0" fontId="7" fillId="11" borderId="7" xfId="1" applyNumberFormat="1" applyFont="1" applyFill="1" applyBorder="1" applyAlignment="1">
      <alignment horizontal="right" vertical="center"/>
    </xf>
    <xf numFmtId="10" fontId="7" fillId="11" borderId="1" xfId="1" applyNumberFormat="1" applyFont="1" applyFill="1" applyBorder="1" applyAlignment="1">
      <alignment horizontal="right" vertical="center"/>
    </xf>
    <xf numFmtId="10" fontId="7" fillId="11" borderId="1" xfId="0" applyNumberFormat="1" applyFont="1" applyFill="1" applyBorder="1" applyAlignment="1">
      <alignment horizontal="right" vertical="center"/>
    </xf>
    <xf numFmtId="2" fontId="7" fillId="11" borderId="7" xfId="0" applyNumberFormat="1" applyFont="1" applyFill="1" applyBorder="1" applyAlignment="1">
      <alignment horizontal="right" vertical="center"/>
    </xf>
    <xf numFmtId="10" fontId="7" fillId="11" borderId="7" xfId="1" applyNumberFormat="1" applyFont="1" applyFill="1" applyBorder="1" applyAlignment="1">
      <alignment horizontal="right" vertical="center"/>
    </xf>
    <xf numFmtId="0" fontId="15" fillId="15" borderId="1" xfId="0" applyFont="1" applyFill="1" applyBorder="1" applyAlignment="1">
      <alignment horizontal="left" vertical="center" wrapText="1" indent="1"/>
    </xf>
    <xf numFmtId="0" fontId="7" fillId="11" borderId="1" xfId="1" applyNumberFormat="1" applyFont="1" applyFill="1" applyBorder="1" applyAlignment="1">
      <alignment vertical="center"/>
    </xf>
    <xf numFmtId="10" fontId="7" fillId="11" borderId="7" xfId="1" applyNumberFormat="1" applyFont="1" applyFill="1" applyBorder="1" applyAlignment="1">
      <alignment vertical="center"/>
    </xf>
    <xf numFmtId="0" fontId="7" fillId="11" borderId="7" xfId="1" applyNumberFormat="1" applyFont="1" applyFill="1" applyBorder="1" applyAlignment="1">
      <alignment vertical="center"/>
    </xf>
    <xf numFmtId="10" fontId="7" fillId="11" borderId="1" xfId="1" applyNumberFormat="1" applyFont="1" applyFill="1" applyBorder="1" applyAlignment="1">
      <alignment vertical="center"/>
    </xf>
    <xf numFmtId="4" fontId="7" fillId="11" borderId="1" xfId="1" applyNumberFormat="1" applyFont="1" applyFill="1" applyBorder="1" applyAlignment="1">
      <alignment vertical="center"/>
    </xf>
    <xf numFmtId="0" fontId="18" fillId="17" borderId="1" xfId="0" applyFont="1" applyFill="1" applyBorder="1" applyAlignment="1">
      <alignment horizontal="left" vertical="center"/>
    </xf>
    <xf numFmtId="4" fontId="18" fillId="17" borderId="1" xfId="0" applyNumberFormat="1" applyFont="1" applyFill="1" applyBorder="1" applyAlignment="1">
      <alignment horizontal="left" vertical="center"/>
    </xf>
    <xf numFmtId="0" fontId="0" fillId="17" borderId="0" xfId="0" applyFill="1"/>
    <xf numFmtId="0" fontId="19" fillId="18" borderId="1" xfId="0" applyFont="1" applyFill="1" applyBorder="1" applyAlignment="1">
      <alignment horizontal="left" vertical="center"/>
    </xf>
    <xf numFmtId="0" fontId="7" fillId="18" borderId="1" xfId="0" applyFont="1" applyFill="1" applyBorder="1" applyAlignment="1">
      <alignment horizontal="left" vertical="center"/>
    </xf>
    <xf numFmtId="0" fontId="19" fillId="18" borderId="1" xfId="0" applyFont="1" applyFill="1" applyBorder="1" applyAlignment="1">
      <alignment vertical="center"/>
    </xf>
    <xf numFmtId="4" fontId="0" fillId="6" borderId="6" xfId="2" applyNumberFormat="1" applyFont="1" applyFill="1" applyBorder="1" applyAlignment="1">
      <alignment horizontal="right"/>
    </xf>
    <xf numFmtId="4" fontId="0" fillId="12" borderId="1" xfId="0" applyNumberFormat="1" applyFill="1" applyBorder="1"/>
    <xf numFmtId="0" fontId="9" fillId="19" borderId="0" xfId="83" applyFill="1"/>
    <xf numFmtId="4" fontId="9" fillId="20" borderId="1" xfId="83" applyNumberFormat="1" applyFill="1" applyBorder="1"/>
    <xf numFmtId="10" fontId="8" fillId="14" borderId="7" xfId="1" applyNumberFormat="1" applyFont="1" applyFill="1" applyBorder="1" applyAlignment="1">
      <alignment horizontal="center" vertical="center" wrapText="1"/>
    </xf>
    <xf numFmtId="0" fontId="0" fillId="14" borderId="1" xfId="0" applyFill="1" applyBorder="1" applyAlignment="1">
      <alignment horizontal="center"/>
    </xf>
    <xf numFmtId="0" fontId="0" fillId="14" borderId="1" xfId="0" applyFill="1" applyBorder="1" applyAlignment="1">
      <alignment horizontal="center" vertical="center" wrapText="1"/>
    </xf>
    <xf numFmtId="0" fontId="14" fillId="14" borderId="1" xfId="0" applyFont="1" applyFill="1" applyBorder="1" applyAlignment="1">
      <alignment horizontal="center" vertical="center" wrapText="1"/>
    </xf>
    <xf numFmtId="164" fontId="14" fillId="14"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9" fillId="14" borderId="1" xfId="83" applyFill="1" applyBorder="1" applyAlignment="1">
      <alignment horizontal="center"/>
    </xf>
    <xf numFmtId="0" fontId="14" fillId="14" borderId="1" xfId="83" applyFont="1" applyFill="1" applyBorder="1" applyAlignment="1">
      <alignment horizontal="center" vertical="center"/>
    </xf>
  </cellXfs>
  <cellStyles count="84">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Millares" xfId="2" builtinId="3"/>
    <cellStyle name="Normal" xfId="0" builtinId="0"/>
    <cellStyle name="Normal 5" xfId="83" xr:uid="{321D7BF9-0531-4CBD-8BA4-A0F96E59D6AF}"/>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8</xdr:col>
      <xdr:colOff>4465320</xdr:colOff>
      <xdr:row>4</xdr:row>
      <xdr:rowOff>262890</xdr:rowOff>
    </xdr:from>
    <xdr:ext cx="65" cy="172227"/>
    <xdr:sp macro="" textlink="">
      <xdr:nvSpPr>
        <xdr:cNvPr id="2" name="CuadroTexto 1">
          <a:extLst>
            <a:ext uri="{FF2B5EF4-FFF2-40B4-BE49-F238E27FC236}">
              <a16:creationId xmlns:a16="http://schemas.microsoft.com/office/drawing/2014/main" id="{647FCD21-A19E-4795-A225-AD5BCB8D9DAB}"/>
            </a:ext>
          </a:extLst>
        </xdr:cNvPr>
        <xdr:cNvSpPr txBox="1"/>
      </xdr:nvSpPr>
      <xdr:spPr>
        <a:xfrm>
          <a:off x="16931640" y="217551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es-ES">
            <a:effectLst/>
          </a:endParaRPr>
        </a:p>
      </xdr:txBody>
    </xdr:sp>
    <xdr:clientData/>
  </xdr:oneCellAnchor>
  <xdr:oneCellAnchor>
    <xdr:from>
      <xdr:col>8</xdr:col>
      <xdr:colOff>525780</xdr:colOff>
      <xdr:row>2</xdr:row>
      <xdr:rowOff>102870</xdr:rowOff>
    </xdr:from>
    <xdr:ext cx="3159904" cy="34650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AE688AB7-8D78-4301-ACA9-5CF3BCBA4F58}"/>
                </a:ext>
              </a:extLst>
            </xdr:cNvPr>
            <xdr:cNvSpPr txBox="1"/>
          </xdr:nvSpPr>
          <xdr:spPr>
            <a:xfrm>
              <a:off x="12992100" y="864870"/>
              <a:ext cx="3159904"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𝐺</m:t>
                    </m:r>
                    <m:r>
                      <a:rPr lang="es-ES" sz="1100" b="0" i="1">
                        <a:latin typeface="Cambria Math" panose="02040503050406030204" pitchFamily="18" charset="0"/>
                      </a:rPr>
                      <m:t>.</m:t>
                    </m:r>
                    <m:r>
                      <a:rPr lang="es-ES" sz="1100" b="0" i="1">
                        <a:latin typeface="Cambria Math" panose="02040503050406030204" pitchFamily="18" charset="0"/>
                      </a:rPr>
                      <m:t>𝐸𝑛𝑣𝑒𝑗𝑒𝑐𝑖𝑚𝑖𝑒𝑛𝑡𝑜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𝐴𝑚𝑜𝑟𝑡</m:t>
                        </m:r>
                        <m:r>
                          <a:rPr lang="es-ES" sz="1100" b="0" i="1">
                            <a:solidFill>
                              <a:schemeClr val="tx1"/>
                            </a:solidFill>
                            <a:effectLst/>
                            <a:latin typeface="Cambria Math" panose="02040503050406030204" pitchFamily="18" charset="0"/>
                            <a:ea typeface="+mn-ea"/>
                            <a:cs typeface="+mn-cs"/>
                          </a:rPr>
                          <m:t>.</m:t>
                        </m:r>
                        <m:r>
                          <a:rPr lang="es-ES" sz="1100" b="0" i="1">
                            <a:latin typeface="Cambria Math" panose="02040503050406030204" pitchFamily="18" charset="0"/>
                          </a:rPr>
                          <m:t>𝐴𝑐𝑐</m:t>
                        </m:r>
                      </m:num>
                      <m:den>
                        <m:r>
                          <a:rPr lang="es-ES" sz="1100" b="0" i="1">
                            <a:solidFill>
                              <a:schemeClr val="tx1"/>
                            </a:solidFill>
                            <a:effectLst/>
                            <a:latin typeface="Cambria Math" panose="02040503050406030204" pitchFamily="18" charset="0"/>
                            <a:ea typeface="+mn-ea"/>
                            <a:cs typeface="+mn-cs"/>
                          </a:rPr>
                          <m:t>𝐼𝑚𝑝𝑜𝑟𝑡𝑒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𝐵𝑟𝑢𝑡𝑜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𝐼𝑛𝑚𝑜𝑣𝑖𝑙𝑖𝑧𝑎𝑑𝑜</m:t>
                        </m:r>
                      </m:den>
                    </m:f>
                  </m:oMath>
                </m:oMathPara>
              </a14:m>
              <a:endParaRPr lang="es-ES" sz="1100"/>
            </a:p>
          </xdr:txBody>
        </xdr:sp>
      </mc:Choice>
      <mc:Fallback xmlns="">
        <xdr:sp macro="" textlink="">
          <xdr:nvSpPr>
            <xdr:cNvPr id="3" name="CuadroTexto 2">
              <a:extLst>
                <a:ext uri="{FF2B5EF4-FFF2-40B4-BE49-F238E27FC236}">
                  <a16:creationId xmlns:a16="http://schemas.microsoft.com/office/drawing/2014/main" id="{AE688AB7-8D78-4301-ACA9-5CF3BCBA4F58}"/>
                </a:ext>
              </a:extLst>
            </xdr:cNvPr>
            <xdr:cNvSpPr txBox="1"/>
          </xdr:nvSpPr>
          <xdr:spPr>
            <a:xfrm>
              <a:off x="12992100" y="864870"/>
              <a:ext cx="3159904"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𝐺.𝐸𝑛𝑣𝑒𝑗𝑒𝑐𝑖𝑚𝑖𝑒𝑛𝑡𝑜=(</a:t>
              </a:r>
              <a:r>
                <a:rPr lang="es-ES" sz="1100" b="0" i="0">
                  <a:solidFill>
                    <a:schemeClr val="tx1"/>
                  </a:solidFill>
                  <a:effectLst/>
                  <a:latin typeface="Cambria Math" panose="02040503050406030204" pitchFamily="18" charset="0"/>
                  <a:ea typeface="+mn-ea"/>
                  <a:cs typeface="+mn-cs"/>
                </a:rPr>
                <a:t>𝐴𝑚𝑜𝑟𝑡.</a:t>
              </a:r>
              <a:r>
                <a:rPr lang="es-ES" sz="1100" b="0" i="0">
                  <a:latin typeface="Cambria Math" panose="02040503050406030204" pitchFamily="18" charset="0"/>
                </a:rPr>
                <a:t>𝐴𝑐𝑐)/(</a:t>
              </a:r>
              <a:r>
                <a:rPr lang="es-ES" sz="1100" b="0" i="0">
                  <a:solidFill>
                    <a:schemeClr val="tx1"/>
                  </a:solidFill>
                  <a:effectLst/>
                  <a:latin typeface="Cambria Math" panose="02040503050406030204" pitchFamily="18" charset="0"/>
                  <a:ea typeface="+mn-ea"/>
                  <a:cs typeface="+mn-cs"/>
                </a:rPr>
                <a:t>𝐼𝑚𝑝𝑜𝑟𝑡𝑒 𝐵𝑟𝑢𝑡𝑜 𝐼𝑛𝑚𝑜𝑣𝑖𝑙𝑖𝑧𝑎𝑑𝑜)</a:t>
              </a:r>
              <a:endParaRPr lang="es-ES" sz="1100"/>
            </a:p>
          </xdr:txBody>
        </xdr:sp>
      </mc:Fallback>
    </mc:AlternateContent>
    <xdr:clientData/>
  </xdr:oneCellAnchor>
  <xdr:oneCellAnchor>
    <xdr:from>
      <xdr:col>8</xdr:col>
      <xdr:colOff>678180</xdr:colOff>
      <xdr:row>3</xdr:row>
      <xdr:rowOff>160020</xdr:rowOff>
    </xdr:from>
    <xdr:ext cx="2669000" cy="321435"/>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2C29F705-3DD5-419C-8FDA-59D599D3855D}"/>
                </a:ext>
              </a:extLst>
            </xdr:cNvPr>
            <xdr:cNvSpPr txBox="1"/>
          </xdr:nvSpPr>
          <xdr:spPr>
            <a:xfrm>
              <a:off x="13144500" y="1440180"/>
              <a:ext cx="2669000"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𝑁𝑖𝑣𝑒𝑙</m:t>
                    </m:r>
                    <m:r>
                      <a:rPr lang="es-ES" sz="1100" b="0" i="1">
                        <a:latin typeface="Cambria Math" panose="02040503050406030204" pitchFamily="18" charset="0"/>
                      </a:rPr>
                      <m:t> </m:t>
                    </m:r>
                    <m:r>
                      <a:rPr lang="es-ES" sz="1100" b="0" i="1">
                        <a:latin typeface="Cambria Math" panose="02040503050406030204" pitchFamily="18" charset="0"/>
                      </a:rPr>
                      <m:t>𝐸𝑛𝑑𝑒𝑢𝑑𝑎𝑚𝑖𝑒𝑛𝑡𝑜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𝑇𝑜𝑡𝑎𝑙</m:t>
                        </m:r>
                      </m:num>
                      <m:den>
                        <m:r>
                          <a:rPr lang="es-ES" sz="1100" b="0" i="1">
                            <a:latin typeface="Cambria Math" panose="02040503050406030204" pitchFamily="18" charset="0"/>
                          </a:rPr>
                          <m:t>𝑃𝑎𝑡𝑟𝑖𝑚𝑜𝑛𝑖𝑜</m:t>
                        </m:r>
                        <m:r>
                          <a:rPr lang="es-ES" sz="1100" b="0" i="1">
                            <a:latin typeface="Cambria Math" panose="02040503050406030204" pitchFamily="18" charset="0"/>
                          </a:rPr>
                          <m:t> </m:t>
                        </m:r>
                        <m:r>
                          <a:rPr lang="es-ES" sz="1100" b="0" i="1">
                            <a:latin typeface="Cambria Math" panose="02040503050406030204" pitchFamily="18" charset="0"/>
                          </a:rPr>
                          <m:t>𝑁𝑒𝑡𝑜</m:t>
                        </m:r>
                      </m:den>
                    </m:f>
                  </m:oMath>
                </m:oMathPara>
              </a14:m>
              <a:endParaRPr lang="es-ES" sz="1100"/>
            </a:p>
          </xdr:txBody>
        </xdr:sp>
      </mc:Choice>
      <mc:Fallback xmlns="">
        <xdr:sp macro="" textlink="">
          <xdr:nvSpPr>
            <xdr:cNvPr id="4" name="CuadroTexto 3">
              <a:extLst>
                <a:ext uri="{FF2B5EF4-FFF2-40B4-BE49-F238E27FC236}">
                  <a16:creationId xmlns:a16="http://schemas.microsoft.com/office/drawing/2014/main" id="{2C29F705-3DD5-419C-8FDA-59D599D3855D}"/>
                </a:ext>
              </a:extLst>
            </xdr:cNvPr>
            <xdr:cNvSpPr txBox="1"/>
          </xdr:nvSpPr>
          <xdr:spPr>
            <a:xfrm>
              <a:off x="13144500" y="1440180"/>
              <a:ext cx="2669000"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𝑁𝑖𝑣𝑒𝑙 𝐸𝑛𝑑𝑒𝑢𝑑𝑎𝑚𝑖𝑒𝑛𝑡𝑜=(</a:t>
              </a:r>
              <a:r>
                <a:rPr lang="es-ES" sz="1100" b="0" i="0">
                  <a:solidFill>
                    <a:schemeClr val="tx1"/>
                  </a:solidFill>
                  <a:effectLst/>
                  <a:latin typeface="Cambria Math" panose="02040503050406030204" pitchFamily="18" charset="0"/>
                  <a:ea typeface="+mn-ea"/>
                  <a:cs typeface="+mn-cs"/>
                </a:rPr>
                <a:t>𝑃𝑎𝑠𝑖𝑣𝑜 𝑇𝑜𝑡𝑎𝑙)/(</a:t>
              </a:r>
              <a:r>
                <a:rPr lang="es-ES" sz="1100" b="0" i="0">
                  <a:latin typeface="Cambria Math" panose="02040503050406030204" pitchFamily="18" charset="0"/>
                </a:rPr>
                <a:t>𝑃𝑎𝑡𝑟𝑖𝑚𝑜𝑛𝑖𝑜 𝑁𝑒𝑡𝑜)</a:t>
              </a:r>
              <a:endParaRPr lang="es-ES" sz="1100"/>
            </a:p>
          </xdr:txBody>
        </xdr:sp>
      </mc:Fallback>
    </mc:AlternateContent>
    <xdr:clientData/>
  </xdr:oneCellAnchor>
  <xdr:oneCellAnchor>
    <xdr:from>
      <xdr:col>8</xdr:col>
      <xdr:colOff>599856</xdr:colOff>
      <xdr:row>4</xdr:row>
      <xdr:rowOff>239031</xdr:rowOff>
    </xdr:from>
    <xdr:ext cx="3357906" cy="31803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3399DC67-521E-4986-B779-2D4436C8D01B}"/>
                </a:ext>
              </a:extLst>
            </xdr:cNvPr>
            <xdr:cNvSpPr txBox="1"/>
          </xdr:nvSpPr>
          <xdr:spPr>
            <a:xfrm>
              <a:off x="11992381" y="2387621"/>
              <a:ext cx="335790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𝐶𝑜𝑚𝑝𝑜𝑠𝑖𝑐𝑖𝑜𝑛</m:t>
                    </m:r>
                    <m:r>
                      <a:rPr lang="es-ES" sz="1100" b="0" i="1">
                        <a:latin typeface="Cambria Math" panose="02040503050406030204" pitchFamily="18" charset="0"/>
                      </a:rPr>
                      <m:t> </m:t>
                    </m:r>
                    <m:r>
                      <a:rPr lang="es-ES" sz="1100" b="0" i="1">
                        <a:latin typeface="Cambria Math" panose="02040503050406030204" pitchFamily="18" charset="0"/>
                      </a:rPr>
                      <m:t>𝐸𝑛𝑑𝑒𝑢𝑑𝑎𝑚𝑖𝑒𝑛𝑡𝑜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𝑁𝑜</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𝐶𝑜𝑟𝑟𝑖𝑒𝑛𝑡𝑒</m:t>
                        </m:r>
                      </m:num>
                      <m:den>
                        <m:r>
                          <a:rPr lang="es-ES" sz="1100" b="0" i="1">
                            <a:latin typeface="Cambria Math" panose="02040503050406030204" pitchFamily="18" charset="0"/>
                          </a:rPr>
                          <m:t>𝑃𝑎𝑠𝑖𝑣𝑜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den>
                    </m:f>
                  </m:oMath>
                </m:oMathPara>
              </a14:m>
              <a:endParaRPr lang="es-ES" sz="1100"/>
            </a:p>
          </xdr:txBody>
        </xdr:sp>
      </mc:Choice>
      <mc:Fallback xmlns="">
        <xdr:sp macro="" textlink="">
          <xdr:nvSpPr>
            <xdr:cNvPr id="5" name="CuadroTexto 4">
              <a:extLst>
                <a:ext uri="{FF2B5EF4-FFF2-40B4-BE49-F238E27FC236}">
                  <a16:creationId xmlns:a16="http://schemas.microsoft.com/office/drawing/2014/main" id="{3399DC67-521E-4986-B779-2D4436C8D01B}"/>
                </a:ext>
              </a:extLst>
            </xdr:cNvPr>
            <xdr:cNvSpPr txBox="1"/>
          </xdr:nvSpPr>
          <xdr:spPr>
            <a:xfrm>
              <a:off x="11992381" y="2387621"/>
              <a:ext cx="335790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𝐶𝑜𝑚𝑝𝑜𝑠𝑖𝑐𝑖𝑜𝑛 𝐸𝑛𝑑𝑒𝑢𝑑𝑎𝑚𝑖𝑒𝑛𝑡𝑜=(</a:t>
              </a:r>
              <a:r>
                <a:rPr lang="es-ES" sz="1100" b="0" i="0">
                  <a:solidFill>
                    <a:schemeClr val="tx1"/>
                  </a:solidFill>
                  <a:effectLst/>
                  <a:latin typeface="Cambria Math" panose="02040503050406030204" pitchFamily="18" charset="0"/>
                  <a:ea typeface="+mn-ea"/>
                  <a:cs typeface="+mn-cs"/>
                </a:rPr>
                <a:t>𝑃𝑎𝑠𝑖𝑣𝑜 𝑁𝑜 </a:t>
              </a:r>
              <a:r>
                <a:rPr lang="es-ES" sz="1100" b="0" i="0">
                  <a:latin typeface="Cambria Math" panose="02040503050406030204" pitchFamily="18" charset="0"/>
                </a:rPr>
                <a:t>𝐶𝑜𝑟𝑟𝑖𝑒𝑛𝑡𝑒)/(𝑃𝑎𝑠𝑖𝑣𝑜 𝐶𝑜𝑟𝑟𝑖𝑒𝑛𝑡𝑒)</a:t>
              </a:r>
              <a:endParaRPr lang="es-ES" sz="1100"/>
            </a:p>
          </xdr:txBody>
        </xdr:sp>
      </mc:Fallback>
    </mc:AlternateContent>
    <xdr:clientData/>
  </xdr:oneCellAnchor>
  <xdr:oneCellAnchor>
    <xdr:from>
      <xdr:col>8</xdr:col>
      <xdr:colOff>1580588</xdr:colOff>
      <xdr:row>5</xdr:row>
      <xdr:rowOff>209175</xdr:rowOff>
    </xdr:from>
    <xdr:ext cx="1593450" cy="320280"/>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21022FE9-1042-410C-9B93-F3D48763D658}"/>
                </a:ext>
              </a:extLst>
            </xdr:cNvPr>
            <xdr:cNvSpPr txBox="1"/>
          </xdr:nvSpPr>
          <xdr:spPr>
            <a:xfrm>
              <a:off x="12973113" y="3207208"/>
              <a:ext cx="1593450"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𝐺𝑎𝑟𝑎𝑛𝑡𝑖𝑎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𝐴𝑐𝑡𝑖𝑣𝑜𝑇𝑜𝑡𝑎𝑙</m:t>
                        </m:r>
                      </m:num>
                      <m:den>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𝑇𝑜𝑡𝑎𝑙</m:t>
                        </m:r>
                      </m:den>
                    </m:f>
                  </m:oMath>
                </m:oMathPara>
              </a14:m>
              <a:endParaRPr lang="es-ES" sz="1100"/>
            </a:p>
          </xdr:txBody>
        </xdr:sp>
      </mc:Choice>
      <mc:Fallback xmlns="">
        <xdr:sp macro="" textlink="">
          <xdr:nvSpPr>
            <xdr:cNvPr id="6" name="CuadroTexto 5">
              <a:extLst>
                <a:ext uri="{FF2B5EF4-FFF2-40B4-BE49-F238E27FC236}">
                  <a16:creationId xmlns:a16="http://schemas.microsoft.com/office/drawing/2014/main" id="{21022FE9-1042-410C-9B93-F3D48763D658}"/>
                </a:ext>
              </a:extLst>
            </xdr:cNvPr>
            <xdr:cNvSpPr txBox="1"/>
          </xdr:nvSpPr>
          <xdr:spPr>
            <a:xfrm>
              <a:off x="12973113" y="3207208"/>
              <a:ext cx="1593450"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𝐺𝑎𝑟𝑎𝑛𝑡𝑖𝑎=𝐴𝑐𝑡𝑖𝑣𝑜𝑇𝑜𝑡𝑎𝑙/(𝑃.𝑇𝑜𝑡𝑎𝑙)</a:t>
              </a:r>
              <a:endParaRPr lang="es-ES" sz="1100"/>
            </a:p>
          </xdr:txBody>
        </xdr:sp>
      </mc:Fallback>
    </mc:AlternateContent>
    <xdr:clientData/>
  </xdr:oneCellAnchor>
  <xdr:oneCellAnchor>
    <xdr:from>
      <xdr:col>8</xdr:col>
      <xdr:colOff>1079917</xdr:colOff>
      <xdr:row>6</xdr:row>
      <xdr:rowOff>210237</xdr:rowOff>
    </xdr:from>
    <xdr:ext cx="1933543" cy="321435"/>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78033516-5DFB-4B8B-917D-BFCF970F314F}"/>
                </a:ext>
              </a:extLst>
            </xdr:cNvPr>
            <xdr:cNvSpPr txBox="1"/>
          </xdr:nvSpPr>
          <xdr:spPr>
            <a:xfrm>
              <a:off x="12472442" y="4020237"/>
              <a:ext cx="193354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𝑆𝑜𝑙𝑣𝑒𝑛𝑐𝑖𝑎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𝐴𝑐𝑡𝑖𝑣𝑜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num>
                      <m:den>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𝐶𝑜𝑟𝑟𝑖𝑒𝑛𝑡𝑒</m:t>
                        </m:r>
                      </m:den>
                    </m:f>
                  </m:oMath>
                </m:oMathPara>
              </a14:m>
              <a:endParaRPr lang="es-ES" sz="1100"/>
            </a:p>
          </xdr:txBody>
        </xdr:sp>
      </mc:Choice>
      <mc:Fallback xmlns="">
        <xdr:sp macro="" textlink="">
          <xdr:nvSpPr>
            <xdr:cNvPr id="7" name="CuadroTexto 6">
              <a:extLst>
                <a:ext uri="{FF2B5EF4-FFF2-40B4-BE49-F238E27FC236}">
                  <a16:creationId xmlns:a16="http://schemas.microsoft.com/office/drawing/2014/main" id="{78033516-5DFB-4B8B-917D-BFCF970F314F}"/>
                </a:ext>
              </a:extLst>
            </xdr:cNvPr>
            <xdr:cNvSpPr txBox="1"/>
          </xdr:nvSpPr>
          <xdr:spPr>
            <a:xfrm>
              <a:off x="12472442" y="4020237"/>
              <a:ext cx="193354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𝑆𝑜𝑙𝑣𝑒𝑛𝑐𝑖𝑎=(𝐴𝑐𝑡𝑖𝑣𝑜 𝐶𝑜𝑟𝑟𝑖𝑒𝑛𝑡𝑒)/(𝑃.𝐶𝑜𝑟𝑟𝑖𝑒𝑛𝑡𝑒)</a:t>
              </a:r>
              <a:endParaRPr lang="es-ES" sz="1100"/>
            </a:p>
          </xdr:txBody>
        </xdr:sp>
      </mc:Fallback>
    </mc:AlternateContent>
    <xdr:clientData/>
  </xdr:oneCellAnchor>
  <xdr:oneCellAnchor>
    <xdr:from>
      <xdr:col>8</xdr:col>
      <xdr:colOff>7620</xdr:colOff>
      <xdr:row>7</xdr:row>
      <xdr:rowOff>140970</xdr:rowOff>
    </xdr:from>
    <xdr:ext cx="4741876" cy="33759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E9226F3A-5E72-42E2-9C1C-C47A756404A2}"/>
                </a:ext>
              </a:extLst>
            </xdr:cNvPr>
            <xdr:cNvSpPr txBox="1"/>
          </xdr:nvSpPr>
          <xdr:spPr>
            <a:xfrm>
              <a:off x="12473940" y="3196590"/>
              <a:ext cx="4741876"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𝐹𝑜𝑛𝑑𝑜</m:t>
                    </m:r>
                    <m:r>
                      <a:rPr lang="es-ES" sz="1100" b="0" i="1">
                        <a:latin typeface="Cambria Math" panose="02040503050406030204" pitchFamily="18" charset="0"/>
                      </a:rPr>
                      <m:t> </m:t>
                    </m:r>
                    <m:r>
                      <a:rPr lang="es-ES" sz="1100" b="0" i="1">
                        <a:latin typeface="Cambria Math" panose="02040503050406030204" pitchFamily="18" charset="0"/>
                      </a:rPr>
                      <m:t>𝑀𝑎𝑛𝑖𝑜𝑏𝑟𝑎</m:t>
                    </m:r>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r>
                      <a:rPr lang="es-ES" sz="1100" b="0" i="1">
                        <a:latin typeface="Cambria Math" panose="02040503050406030204" pitchFamily="18" charset="0"/>
                      </a:rPr>
                      <m:t>𝑃</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oMath>
                  <m:oMath xmlns:m="http://schemas.openxmlformats.org/officeDocument/2006/math">
                    <m:r>
                      <a:rPr lang="es-ES" sz="1100" b="0" i="1">
                        <a:solidFill>
                          <a:schemeClr val="tx1"/>
                        </a:solidFill>
                        <a:effectLst/>
                        <a:latin typeface="Cambria Math" panose="02040503050406030204" pitchFamily="18" charset="0"/>
                        <a:ea typeface="+mn-ea"/>
                        <a:cs typeface="+mn-cs"/>
                      </a:rPr>
                      <m:t>𝐹𝑜𝑛𝑑𝑜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𝑀𝑎𝑛𝑖𝑜𝑏𝑟𝑎</m:t>
                    </m:r>
                    <m:r>
                      <a:rPr lang="es-ES" sz="1100" b="0" i="1">
                        <a:solidFill>
                          <a:schemeClr val="tx1"/>
                        </a:solidFill>
                        <a:effectLst/>
                        <a:latin typeface="Cambria Math" panose="02040503050406030204" pitchFamily="18" charset="0"/>
                        <a:ea typeface="+mn-ea"/>
                        <a:cs typeface="+mn-cs"/>
                      </a:rPr>
                      <m:t>=</m:t>
                    </m:r>
                    <m:d>
                      <m:dPr>
                        <m:ctrlPr>
                          <a:rPr lang="es-ES" sz="1100" b="0" i="1">
                            <a:latin typeface="Cambria Math" panose="02040503050406030204" pitchFamily="18" charset="0"/>
                          </a:rPr>
                        </m:ctrlPr>
                      </m:dPr>
                      <m:e>
                        <m:r>
                          <a:rPr lang="es-ES" sz="1100" b="0" i="1">
                            <a:latin typeface="Cambria Math" panose="02040503050406030204" pitchFamily="18" charset="0"/>
                          </a:rPr>
                          <m:t>𝑃𝑎𝑡𝑟𝑖𝑚𝑜𝑛𝑖𝑜</m:t>
                        </m:r>
                        <m:r>
                          <a:rPr lang="es-ES" sz="1100" b="0" i="1">
                            <a:latin typeface="Cambria Math" panose="02040503050406030204" pitchFamily="18" charset="0"/>
                          </a:rPr>
                          <m:t> </m:t>
                        </m:r>
                        <m:r>
                          <a:rPr lang="es-ES" sz="1100" b="0" i="1">
                            <a:latin typeface="Cambria Math" panose="02040503050406030204" pitchFamily="18" charset="0"/>
                          </a:rPr>
                          <m:t>𝑁𝑒𝑡𝑜</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𝐶𝑜𝑟𝑟𝑖𝑒𝑛𝑡𝑒</m:t>
                        </m:r>
                      </m:e>
                    </m:d>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oMath>
                </m:oMathPara>
              </a14:m>
              <a:endParaRPr lang="es-ES" sz="1100"/>
            </a:p>
          </xdr:txBody>
        </xdr:sp>
      </mc:Choice>
      <mc:Fallback xmlns="">
        <xdr:sp macro="" textlink="">
          <xdr:nvSpPr>
            <xdr:cNvPr id="8" name="CuadroTexto 7">
              <a:extLst>
                <a:ext uri="{FF2B5EF4-FFF2-40B4-BE49-F238E27FC236}">
                  <a16:creationId xmlns:a16="http://schemas.microsoft.com/office/drawing/2014/main" id="{E9226F3A-5E72-42E2-9C1C-C47A756404A2}"/>
                </a:ext>
              </a:extLst>
            </xdr:cNvPr>
            <xdr:cNvSpPr txBox="1"/>
          </xdr:nvSpPr>
          <xdr:spPr>
            <a:xfrm>
              <a:off x="12473940" y="3196590"/>
              <a:ext cx="4741876"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𝐹𝑜𝑛𝑑𝑜 𝑀𝑎𝑛𝑖𝑜𝑏𝑟𝑎=𝐴. 𝐶𝑜𝑟𝑟𝑖𝑒𝑛𝑡𝑒 −𝑃. 𝐶𝑜𝑟𝑟𝑖𝑒𝑛𝑡𝑒</a:t>
              </a:r>
              <a:br>
                <a:rPr lang="es-ES" sz="1100" b="0" i="1">
                  <a:latin typeface="Cambria Math" panose="02040503050406030204" pitchFamily="18" charset="0"/>
                </a:rPr>
              </a:br>
              <a:r>
                <a:rPr lang="es-ES" sz="1100" b="0" i="0">
                  <a:solidFill>
                    <a:schemeClr val="tx1"/>
                  </a:solidFill>
                  <a:effectLst/>
                  <a:latin typeface="Cambria Math" panose="02040503050406030204" pitchFamily="18" charset="0"/>
                  <a:ea typeface="+mn-ea"/>
                  <a:cs typeface="+mn-cs"/>
                </a:rPr>
                <a:t>𝐹𝑜𝑛𝑑𝑜 𝑀𝑎𝑛𝑖𝑜𝑏𝑟𝑎=</a:t>
              </a:r>
              <a:r>
                <a:rPr lang="es-ES" sz="1100" b="0" i="0">
                  <a:latin typeface="Cambria Math" panose="02040503050406030204" pitchFamily="18" charset="0"/>
                </a:rPr>
                <a:t>(𝑃𝑎𝑡𝑟𝑖𝑚𝑜𝑛𝑖𝑜 𝑁𝑒𝑡𝑜+𝑃.𝑁.𝐶𝑜𝑟𝑟𝑖𝑒𝑛𝑡𝑒)−𝐴. 𝑁𝑜. 𝐶𝑜𝑟𝑟𝑖𝑒𝑛𝑡𝑒 </a:t>
              </a:r>
              <a:endParaRPr lang="es-ES" sz="1100"/>
            </a:p>
          </xdr:txBody>
        </xdr:sp>
      </mc:Fallback>
    </mc:AlternateContent>
    <xdr:clientData/>
  </xdr:oneCellAnchor>
  <xdr:oneCellAnchor>
    <xdr:from>
      <xdr:col>8</xdr:col>
      <xdr:colOff>182880</xdr:colOff>
      <xdr:row>8</xdr:row>
      <xdr:rowOff>110490</xdr:rowOff>
    </xdr:from>
    <xdr:ext cx="4398127" cy="33759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85904464-F068-4CBB-AE1D-2C4841BBC557}"/>
                </a:ext>
              </a:extLst>
            </xdr:cNvPr>
            <xdr:cNvSpPr txBox="1"/>
          </xdr:nvSpPr>
          <xdr:spPr>
            <a:xfrm>
              <a:off x="12649200" y="3760470"/>
              <a:ext cx="4398127"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𝑁𝑂𝐹</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𝐷𝑒𝑢𝑑𝑜𝑟𝑒𝑠</m:t>
                        </m:r>
                        <m:r>
                          <a:rPr lang="es-ES" sz="1100" b="0" i="1">
                            <a:latin typeface="Cambria Math" panose="02040503050406030204" pitchFamily="18" charset="0"/>
                          </a:rPr>
                          <m:t> </m:t>
                        </m:r>
                        <m:r>
                          <a:rPr lang="es-ES" sz="1100" b="0" i="1">
                            <a:latin typeface="Cambria Math" panose="02040503050406030204" pitchFamily="18" charset="0"/>
                          </a:rPr>
                          <m:t>𝐶𝑜𝑚𝑒𝑟𝑐𝑖𝑎𝑙𝑒𝑠</m:t>
                        </m:r>
                        <m:r>
                          <a:rPr lang="es-ES" sz="1100" b="0" i="1">
                            <a:latin typeface="Cambria Math" panose="02040503050406030204" pitchFamily="18" charset="0"/>
                          </a:rPr>
                          <m:t>+</m:t>
                        </m:r>
                        <m:r>
                          <a:rPr lang="es-ES" sz="1100" b="0" i="1">
                            <a:latin typeface="Cambria Math" panose="02040503050406030204" pitchFamily="18" charset="0"/>
                          </a:rPr>
                          <m:t>𝐸𝑥𝑖𝑠𝑡𝑒𝑛𝑐𝑖𝑎𝑠</m:t>
                        </m:r>
                        <m:r>
                          <a:rPr lang="es-ES" sz="1100" b="0" i="1">
                            <a:latin typeface="Cambria Math" panose="02040503050406030204" pitchFamily="18" charset="0"/>
                          </a:rPr>
                          <m:t>+</m:t>
                        </m:r>
                        <m:r>
                          <a:rPr lang="es-ES" sz="1100" b="0" i="1">
                            <a:latin typeface="Cambria Math" panose="02040503050406030204" pitchFamily="18" charset="0"/>
                          </a:rPr>
                          <m:t>𝑃𝑒𝑟𝑖𝑜𝑑𝑖𝑓𝑖𝑐𝑎𝑐𝑖𝑜𝑛𝑒𝑠</m:t>
                        </m:r>
                      </m:e>
                    </m:d>
                    <m:r>
                      <a:rPr lang="es-ES" sz="1100" b="0" i="1">
                        <a:latin typeface="Cambria Math" panose="02040503050406030204" pitchFamily="18" charset="0"/>
                      </a:rPr>
                      <m:t>−</m:t>
                    </m:r>
                  </m:oMath>
                  <m:oMath xmlns:m="http://schemas.openxmlformats.org/officeDocument/2006/math">
                    <m:r>
                      <a:rPr lang="es-ES" sz="1100" b="0" i="1">
                        <a:latin typeface="Cambria Math" panose="02040503050406030204" pitchFamily="18" charset="0"/>
                      </a:rPr>
                      <m:t>(</m:t>
                    </m:r>
                    <m:r>
                      <a:rPr lang="es-ES" sz="1100" b="0" i="1">
                        <a:latin typeface="Cambria Math" panose="02040503050406030204" pitchFamily="18" charset="0"/>
                      </a:rPr>
                      <m:t>𝐴𝑐𝑟𝑒𝑒𝑑𝑜𝑟𝑒𝑠</m:t>
                    </m:r>
                    <m:r>
                      <a:rPr lang="es-ES" sz="1100" b="0" i="1">
                        <a:latin typeface="Cambria Math" panose="02040503050406030204" pitchFamily="18" charset="0"/>
                      </a:rPr>
                      <m:t> </m:t>
                    </m:r>
                    <m:r>
                      <a:rPr lang="es-ES" sz="1100" b="0" i="1">
                        <a:latin typeface="Cambria Math" panose="02040503050406030204" pitchFamily="18" charset="0"/>
                      </a:rPr>
                      <m:t>𝑐𝑜𝑚𝑒𝑟𝑐𝑖𝑎𝑙𝑒𝑠</m:t>
                    </m:r>
                    <m:r>
                      <a:rPr lang="es-ES" sz="1100" b="0" i="1">
                        <a:latin typeface="Cambria Math" panose="02040503050406030204" pitchFamily="18" charset="0"/>
                      </a:rPr>
                      <m:t>+</m:t>
                    </m:r>
                    <m:r>
                      <a:rPr lang="es-ES" sz="1100" b="0" i="1">
                        <a:latin typeface="Cambria Math" panose="02040503050406030204" pitchFamily="18" charset="0"/>
                      </a:rPr>
                      <m:t>𝑃𝑒𝑟𝑖𝑜𝑑𝑖𝑓𝑖𝑐𝑎𝑐𝑖𝑜𝑛𝑒𝑠</m:t>
                    </m:r>
                    <m:r>
                      <a:rPr lang="es-ES" sz="1100" b="0" i="1">
                        <a:latin typeface="Cambria Math" panose="02040503050406030204" pitchFamily="18" charset="0"/>
                      </a:rPr>
                      <m:t>+</m:t>
                    </m:r>
                    <m:r>
                      <a:rPr lang="es-ES" sz="1100" b="0" i="1">
                        <a:latin typeface="Cambria Math" panose="02040503050406030204" pitchFamily="18" charset="0"/>
                      </a:rPr>
                      <m:t>𝑃𝑟𝑜𝑣𝑖𝑠𝑖𝑜𝑛𝑒𝑠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r>
                      <a:rPr lang="es-ES" sz="1100" b="0" i="1">
                        <a:latin typeface="Cambria Math" panose="02040503050406030204" pitchFamily="18" charset="0"/>
                      </a:rPr>
                      <m:t>)</m:t>
                    </m:r>
                  </m:oMath>
                </m:oMathPara>
              </a14:m>
              <a:endParaRPr lang="es-ES" sz="1100"/>
            </a:p>
          </xdr:txBody>
        </xdr:sp>
      </mc:Choice>
      <mc:Fallback xmlns="">
        <xdr:sp macro="" textlink="">
          <xdr:nvSpPr>
            <xdr:cNvPr id="9" name="CuadroTexto 8">
              <a:extLst>
                <a:ext uri="{FF2B5EF4-FFF2-40B4-BE49-F238E27FC236}">
                  <a16:creationId xmlns:a16="http://schemas.microsoft.com/office/drawing/2014/main" id="{85904464-F068-4CBB-AE1D-2C4841BBC557}"/>
                </a:ext>
              </a:extLst>
            </xdr:cNvPr>
            <xdr:cNvSpPr txBox="1"/>
          </xdr:nvSpPr>
          <xdr:spPr>
            <a:xfrm>
              <a:off x="12649200" y="3760470"/>
              <a:ext cx="4398127" cy="337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𝑁𝑂𝐹=(𝐷𝑒𝑢𝑑𝑜𝑟𝑒𝑠 𝐶𝑜𝑚𝑒𝑟𝑐𝑖𝑎𝑙𝑒𝑠+𝐸𝑥𝑖𝑠𝑡𝑒𝑛𝑐𝑖𝑎𝑠+𝑃𝑒𝑟𝑖𝑜𝑑𝑖𝑓𝑖𝑐𝑎𝑐𝑖𝑜𝑛𝑒𝑠)−</a:t>
              </a:r>
              <a:br>
                <a:rPr lang="es-ES" sz="1100" b="0" i="1">
                  <a:latin typeface="Cambria Math" panose="02040503050406030204" pitchFamily="18" charset="0"/>
                </a:rPr>
              </a:br>
              <a:r>
                <a:rPr lang="es-ES" sz="1100" b="0" i="0">
                  <a:latin typeface="Cambria Math" panose="02040503050406030204" pitchFamily="18" charset="0"/>
                </a:rPr>
                <a:t>(𝐴𝑐𝑟𝑒𝑒𝑑𝑜𝑟𝑒𝑠 𝑐𝑜𝑚𝑒𝑟𝑐𝑖𝑎𝑙𝑒𝑠+𝑃𝑒𝑟𝑖𝑜𝑑𝑖𝑓𝑖𝑐𝑎𝑐𝑖𝑜𝑛𝑒𝑠+𝑃𝑟𝑜𝑣𝑖𝑠𝑖𝑜𝑛𝑒𝑠 𝑎 𝑐/𝑝)</a:t>
              </a:r>
              <a:endParaRPr lang="es-ES" sz="1100"/>
            </a:p>
          </xdr:txBody>
        </xdr:sp>
      </mc:Fallback>
    </mc:AlternateContent>
    <xdr:clientData/>
  </xdr:oneCellAnchor>
  <xdr:oneCellAnchor>
    <xdr:from>
      <xdr:col>8</xdr:col>
      <xdr:colOff>91440</xdr:colOff>
      <xdr:row>9</xdr:row>
      <xdr:rowOff>80010</xdr:rowOff>
    </xdr:from>
    <xdr:ext cx="4249753" cy="516680"/>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B982D7DF-BB28-42E5-9D82-CC3CBF155C08}"/>
                </a:ext>
              </a:extLst>
            </xdr:cNvPr>
            <xdr:cNvSpPr txBox="1"/>
          </xdr:nvSpPr>
          <xdr:spPr>
            <a:xfrm>
              <a:off x="12557760" y="4271010"/>
              <a:ext cx="4249753" cy="516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𝑅𝐿𝑁</m:t>
                    </m:r>
                    <m:r>
                      <a:rPr lang="es-ES" sz="1100" b="0" i="1">
                        <a:latin typeface="Cambria Math" panose="02040503050406030204" pitchFamily="18" charset="0"/>
                      </a:rPr>
                      <m:t>=</m:t>
                    </m:r>
                    <m:r>
                      <a:rPr lang="es-ES" sz="1100" b="0" i="1">
                        <a:latin typeface="Cambria Math" panose="02040503050406030204" pitchFamily="18" charset="0"/>
                      </a:rPr>
                      <m:t>𝐹𝑜𝑛𝑑𝑜</m:t>
                    </m:r>
                    <m:r>
                      <a:rPr lang="es-ES" sz="1100" b="0" i="1">
                        <a:latin typeface="Cambria Math" panose="02040503050406030204" pitchFamily="18" charset="0"/>
                      </a:rPr>
                      <m:t> </m:t>
                    </m:r>
                    <m:r>
                      <a:rPr lang="es-ES" sz="1100" b="0" i="1">
                        <a:latin typeface="Cambria Math" panose="02040503050406030204" pitchFamily="18" charset="0"/>
                      </a:rPr>
                      <m:t>𝑀𝑎𝑛𝑖𝑜𝑏𝑟𝑎</m:t>
                    </m:r>
                    <m:r>
                      <a:rPr lang="es-ES" sz="1100" b="0" i="1">
                        <a:latin typeface="Cambria Math" panose="02040503050406030204" pitchFamily="18" charset="0"/>
                      </a:rPr>
                      <m:t> −</m:t>
                    </m:r>
                    <m:r>
                      <a:rPr lang="es-ES" sz="1100" b="0" i="1">
                        <a:latin typeface="Cambria Math" panose="02040503050406030204" pitchFamily="18" charset="0"/>
                      </a:rPr>
                      <m:t>𝑁𝑂𝐹</m:t>
                    </m:r>
                  </m:oMath>
                  <m:oMath xmlns:m="http://schemas.openxmlformats.org/officeDocument/2006/math">
                    <m:r>
                      <a:rPr lang="es-ES" sz="1100" b="0" i="1">
                        <a:latin typeface="Cambria Math" panose="02040503050406030204" pitchFamily="18" charset="0"/>
                      </a:rPr>
                      <m:t>𝑅𝐿𝑁</m:t>
                    </m:r>
                    <m:r>
                      <a:rPr lang="es-ES" sz="1100" b="0" i="1">
                        <a:latin typeface="Cambria Math" panose="02040503050406030204" pitchFamily="18" charset="0"/>
                      </a:rPr>
                      <m:t>=</m:t>
                    </m:r>
                    <m:r>
                      <a:rPr lang="es-ES" sz="1100" b="0" i="1">
                        <a:latin typeface="Cambria Math" panose="02040503050406030204" pitchFamily="18" charset="0"/>
                      </a:rPr>
                      <m:t>𝐴</m:t>
                    </m:r>
                    <m:r>
                      <a:rPr lang="es-ES" sz="1100" b="0" i="1">
                        <a:latin typeface="Cambria Math" panose="02040503050406030204" pitchFamily="18" charset="0"/>
                      </a:rPr>
                      <m:t>. </m:t>
                    </m:r>
                    <m:r>
                      <a:rPr lang="es-ES" sz="1100" b="0" i="1">
                        <a:latin typeface="Cambria Math" panose="02040503050406030204" pitchFamily="18" charset="0"/>
                      </a:rPr>
                      <m:t>𝐶𝑜𝑟𝑟𝑖𝑒𝑛𝑡𝑒𝑠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𝐹𝑖𝑛𝑎𝑛𝑐𝑖𝑎𝑐𝑖𝑜𝑛</m:t>
                    </m:r>
                    <m:r>
                      <a:rPr lang="es-ES" sz="1100" b="0" i="1">
                        <a:latin typeface="Cambria Math" panose="02040503050406030204" pitchFamily="18" charset="0"/>
                      </a:rPr>
                      <m:t> −</m:t>
                    </m:r>
                    <m:r>
                      <a:rPr lang="es-ES" sz="1100" b="0" i="1">
                        <a:latin typeface="Cambria Math" panose="02040503050406030204" pitchFamily="18" charset="0"/>
                      </a:rPr>
                      <m:t>𝑃</m:t>
                    </m:r>
                    <m:r>
                      <a:rPr lang="es-ES" sz="1100" b="0" i="1">
                        <a:latin typeface="Cambria Math" panose="02040503050406030204" pitchFamily="18" charset="0"/>
                      </a:rPr>
                      <m:t>. </m:t>
                    </m:r>
                    <m:r>
                      <a:rPr lang="es-ES" sz="1100" b="0" i="1">
                        <a:latin typeface="Cambria Math" panose="02040503050406030204" pitchFamily="18" charset="0"/>
                      </a:rPr>
                      <m:t>𝐶𝑜𝑟𝑟𝑖𝑒𝑛𝑡𝑒</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𝐶𝑜𝑚𝑒𝑟𝑐𝑖𝑎𝑙</m:t>
                    </m:r>
                  </m:oMath>
                </m:oMathPara>
              </a14:m>
              <a:endParaRPr lang="es-ES" sz="1100" b="0"/>
            </a:p>
            <a:p>
              <a:endParaRPr lang="es-ES" sz="1100"/>
            </a:p>
          </xdr:txBody>
        </xdr:sp>
      </mc:Choice>
      <mc:Fallback xmlns="">
        <xdr:sp macro="" textlink="">
          <xdr:nvSpPr>
            <xdr:cNvPr id="10" name="CuadroTexto 9">
              <a:extLst>
                <a:ext uri="{FF2B5EF4-FFF2-40B4-BE49-F238E27FC236}">
                  <a16:creationId xmlns:a16="http://schemas.microsoft.com/office/drawing/2014/main" id="{B982D7DF-BB28-42E5-9D82-CC3CBF155C08}"/>
                </a:ext>
              </a:extLst>
            </xdr:cNvPr>
            <xdr:cNvSpPr txBox="1"/>
          </xdr:nvSpPr>
          <xdr:spPr>
            <a:xfrm>
              <a:off x="12557760" y="4271010"/>
              <a:ext cx="4249753" cy="516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𝑅𝐿𝑁=𝐹𝑜𝑛𝑑𝑜 𝑀𝑎𝑛𝑖𝑜𝑏𝑟𝑎 −𝑁𝑂𝐹</a:t>
              </a:r>
              <a:br>
                <a:rPr lang="es-ES" sz="1100" b="0" i="1">
                  <a:latin typeface="Cambria Math" panose="02040503050406030204" pitchFamily="18" charset="0"/>
                </a:rPr>
              </a:br>
              <a:r>
                <a:rPr lang="es-ES" sz="1100" b="0" i="0">
                  <a:latin typeface="Cambria Math" panose="02040503050406030204" pitchFamily="18" charset="0"/>
                </a:rPr>
                <a:t>𝑅𝐿𝑁=𝐴. 𝐶𝑜𝑟𝑟𝑖𝑒𝑛𝑡𝑒𝑠 𝑑𝑒 𝐹𝑖𝑛𝑎𝑛𝑐𝑖𝑎𝑐𝑖𝑜𝑛 −𝑃. 𝐶𝑜𝑟𝑟𝑖𝑒𝑛𝑡𝑒 𝑁𝑜 𝐶𝑜𝑚𝑒𝑟𝑐𝑖𝑎𝑙</a:t>
              </a:r>
              <a:endParaRPr lang="es-ES" sz="1100" b="0"/>
            </a:p>
            <a:p>
              <a:endParaRPr lang="es-ES" sz="1100"/>
            </a:p>
          </xdr:txBody>
        </xdr:sp>
      </mc:Fallback>
    </mc:AlternateContent>
    <xdr:clientData/>
  </xdr:oneCellAnchor>
  <xdr:oneCellAnchor>
    <xdr:from>
      <xdr:col>8</xdr:col>
      <xdr:colOff>114300</xdr:colOff>
      <xdr:row>10</xdr:row>
      <xdr:rowOff>293370</xdr:rowOff>
    </xdr:from>
    <xdr:ext cx="4814075" cy="281744"/>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4082A48D-8C61-4DAC-87FC-9506BDD8B7E7}"/>
                </a:ext>
              </a:extLst>
            </xdr:cNvPr>
            <xdr:cNvSpPr txBox="1"/>
          </xdr:nvSpPr>
          <xdr:spPr>
            <a:xfrm>
              <a:off x="12580620" y="5010150"/>
              <a:ext cx="4814075"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𝐹𝐺𝑂</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𝑀𝑒𝑡𝑜𝑑𝑜</m:t>
                        </m:r>
                        <m:r>
                          <a:rPr lang="es-ES" sz="900" b="0" i="1">
                            <a:latin typeface="Cambria Math" panose="02040503050406030204" pitchFamily="18" charset="0"/>
                          </a:rPr>
                          <m:t> </m:t>
                        </m:r>
                        <m:r>
                          <a:rPr lang="es-ES" sz="900" b="0" i="1">
                            <a:latin typeface="Cambria Math" panose="02040503050406030204" pitchFamily="18" charset="0"/>
                          </a:rPr>
                          <m:t>𝐷𝑖𝑟𝑒𝑐𝑡𝑜</m:t>
                        </m:r>
                      </m:e>
                    </m:d>
                    <m:r>
                      <a:rPr lang="es-ES" sz="900" b="0" i="1">
                        <a:latin typeface="Cambria Math" panose="02040503050406030204" pitchFamily="18" charset="0"/>
                      </a:rPr>
                      <m:t>=</m:t>
                    </m:r>
                    <m:r>
                      <a:rPr lang="es-ES" sz="900" b="0" i="1">
                        <a:latin typeface="Cambria Math" panose="02040503050406030204" pitchFamily="18" charset="0"/>
                      </a:rPr>
                      <m:t>𝐼𝑛𝑔𝑟𝑒𝑠𝑜𝑠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𝑐𝑜𝑏𝑟𝑜</m:t>
                        </m:r>
                      </m:e>
                    </m:d>
                    <m:r>
                      <a:rPr lang="es-ES" sz="900" b="0" i="1">
                        <a:latin typeface="Cambria Math" panose="02040503050406030204" pitchFamily="18" charset="0"/>
                      </a:rPr>
                      <m:t>−</m:t>
                    </m:r>
                    <m:r>
                      <a:rPr lang="es-ES" sz="900" b="0" i="1">
                        <a:latin typeface="Cambria Math" panose="02040503050406030204" pitchFamily="18" charset="0"/>
                      </a:rPr>
                      <m:t>𝐺𝑎𝑠𝑡𝑜𝑠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𝑐𝑜𝑏𝑟𝑜</m:t>
                        </m:r>
                      </m:e>
                    </m:d>
                    <m:r>
                      <a:rPr lang="es-ES" sz="900" b="0" i="1">
                        <a:latin typeface="Cambria Math" panose="02040503050406030204" pitchFamily="18" charset="0"/>
                      </a:rPr>
                      <m:t>.</m:t>
                    </m:r>
                  </m:oMath>
                  <m:oMath xmlns:m="http://schemas.openxmlformats.org/officeDocument/2006/math">
                    <m:r>
                      <a:rPr lang="es-ES" sz="900" b="0" i="1">
                        <a:latin typeface="Cambria Math" panose="02040503050406030204" pitchFamily="18" charset="0"/>
                      </a:rPr>
                      <m:t>𝐹𝐺𝑂</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𝑀𝑒𝑡𝑜𝑑𝑜</m:t>
                        </m:r>
                        <m:r>
                          <a:rPr lang="es-ES" sz="900" b="0" i="1">
                            <a:latin typeface="Cambria Math" panose="02040503050406030204" pitchFamily="18" charset="0"/>
                          </a:rPr>
                          <m:t> </m:t>
                        </m:r>
                        <m:r>
                          <a:rPr lang="es-ES" sz="900" b="0" i="1">
                            <a:latin typeface="Cambria Math" panose="02040503050406030204" pitchFamily="18" charset="0"/>
                          </a:rPr>
                          <m:t>𝐼𝑛𝑑𝑖𝑟𝑒𝑐𝑡𝑜</m:t>
                        </m:r>
                      </m:e>
                    </m:d>
                    <m:r>
                      <a:rPr lang="es-ES" sz="900" b="0" i="1">
                        <a:latin typeface="Cambria Math" panose="02040503050406030204" pitchFamily="18" charset="0"/>
                      </a:rPr>
                      <m:t>=</m:t>
                    </m:r>
                    <m:r>
                      <a:rPr lang="es-ES" sz="900" b="0" i="1">
                        <a:latin typeface="Cambria Math" panose="02040503050406030204" pitchFamily="18" charset="0"/>
                      </a:rPr>
                      <m:t>𝑅𝑒𝑠𝑢𝑙𝑡𝑎𝑑𝑜</m:t>
                    </m:r>
                    <m:r>
                      <a:rPr lang="es-ES" sz="900" b="0" i="1">
                        <a:latin typeface="Cambria Math" panose="02040503050406030204" pitchFamily="18" charset="0"/>
                      </a:rPr>
                      <m:t> </m:t>
                    </m:r>
                    <m:r>
                      <a:rPr lang="es-ES" sz="900" b="0" i="1">
                        <a:latin typeface="Cambria Math" panose="02040503050406030204" pitchFamily="18" charset="0"/>
                      </a:rPr>
                      <m:t>𝐸𝑗𝑒𝑟𝑐𝑖𝑐𝑖𝑜</m:t>
                    </m:r>
                    <m:r>
                      <a:rPr lang="es-ES" sz="900" b="0" i="1">
                        <a:latin typeface="Cambria Math" panose="02040503050406030204" pitchFamily="18" charset="0"/>
                      </a:rPr>
                      <m:t> −[</m:t>
                    </m:r>
                    <m:r>
                      <a:rPr lang="es-ES" sz="900" b="0" i="1">
                        <a:latin typeface="Cambria Math" panose="02040503050406030204" pitchFamily="18" charset="0"/>
                      </a:rPr>
                      <m:t>𝐼𝑛𝑔𝑟𝑒𝑠𝑜𝑠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𝑛𝑜</m:t>
                        </m:r>
                        <m:r>
                          <a:rPr lang="es-ES" sz="900" b="0" i="1">
                            <a:latin typeface="Cambria Math" panose="02040503050406030204" pitchFamily="18" charset="0"/>
                          </a:rPr>
                          <m:t> </m:t>
                        </m:r>
                        <m:r>
                          <a:rPr lang="es-ES" sz="900" b="0" i="1">
                            <a:latin typeface="Cambria Math" panose="02040503050406030204" pitchFamily="18" charset="0"/>
                          </a:rPr>
                          <m:t>𝑐𝑜𝑏𝑟𝑜</m:t>
                        </m:r>
                      </m:e>
                    </m:d>
                    <m:r>
                      <a:rPr lang="es-ES" sz="900" b="0" i="1">
                        <a:latin typeface="Cambria Math" panose="02040503050406030204" pitchFamily="18" charset="0"/>
                      </a:rPr>
                      <m:t>+</m:t>
                    </m:r>
                    <m:r>
                      <a:rPr lang="es-ES" sz="900" b="0" i="1">
                        <a:latin typeface="Cambria Math" panose="02040503050406030204" pitchFamily="18" charset="0"/>
                      </a:rPr>
                      <m:t>𝐺𝑎𝑠𝑡𝑜𝑠</m:t>
                    </m:r>
                    <m:r>
                      <a:rPr lang="es-ES" sz="900" b="0" i="1">
                        <a:latin typeface="Cambria Math" panose="02040503050406030204" pitchFamily="18" charset="0"/>
                      </a:rPr>
                      <m:t> </m:t>
                    </m:r>
                    <m:d>
                      <m:dPr>
                        <m:ctrlPr>
                          <a:rPr lang="es-ES" sz="900" b="0" i="1">
                            <a:latin typeface="Cambria Math" panose="02040503050406030204" pitchFamily="18" charset="0"/>
                          </a:rPr>
                        </m:ctrlPr>
                      </m:dPr>
                      <m:e>
                        <m:r>
                          <a:rPr lang="es-ES" sz="900" b="0" i="1">
                            <a:latin typeface="Cambria Math" panose="02040503050406030204" pitchFamily="18" charset="0"/>
                          </a:rPr>
                          <m:t>𝑛𝑜</m:t>
                        </m:r>
                        <m:r>
                          <a:rPr lang="es-ES" sz="900" b="0" i="1">
                            <a:latin typeface="Cambria Math" panose="02040503050406030204" pitchFamily="18" charset="0"/>
                          </a:rPr>
                          <m:t> </m:t>
                        </m:r>
                        <m:r>
                          <a:rPr lang="es-ES" sz="900" b="0" i="1">
                            <a:latin typeface="Cambria Math" panose="02040503050406030204" pitchFamily="18" charset="0"/>
                          </a:rPr>
                          <m:t>𝑝𝑎𝑔𝑜𝑠</m:t>
                        </m:r>
                      </m:e>
                    </m:d>
                    <m:r>
                      <a:rPr lang="es-ES" sz="900" b="0" i="1">
                        <a:latin typeface="Cambria Math" panose="02040503050406030204" pitchFamily="18" charset="0"/>
                      </a:rPr>
                      <m:t>]</m:t>
                    </m:r>
                  </m:oMath>
                </m:oMathPara>
              </a14:m>
              <a:endParaRPr lang="es-ES" sz="900"/>
            </a:p>
          </xdr:txBody>
        </xdr:sp>
      </mc:Choice>
      <mc:Fallback xmlns="">
        <xdr:sp macro="" textlink="">
          <xdr:nvSpPr>
            <xdr:cNvPr id="11" name="CuadroTexto 10">
              <a:extLst>
                <a:ext uri="{FF2B5EF4-FFF2-40B4-BE49-F238E27FC236}">
                  <a16:creationId xmlns:a16="http://schemas.microsoft.com/office/drawing/2014/main" id="{4082A48D-8C61-4DAC-87FC-9506BDD8B7E7}"/>
                </a:ext>
              </a:extLst>
            </xdr:cNvPr>
            <xdr:cNvSpPr txBox="1"/>
          </xdr:nvSpPr>
          <xdr:spPr>
            <a:xfrm>
              <a:off x="12580620" y="5010150"/>
              <a:ext cx="4814075"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𝐹𝐺𝑂 (𝑀𝑒𝑡𝑜𝑑𝑜 𝐷𝑖𝑟𝑒𝑐𝑡𝑜)=𝐼𝑛𝑔𝑟𝑒𝑠𝑜𝑠 (𝑐𝑜𝑏𝑟𝑜)−𝐺𝑎𝑠𝑡𝑜𝑠 (𝑐𝑜𝑏𝑟𝑜).</a:t>
              </a:r>
              <a:br>
                <a:rPr lang="es-ES" sz="900" b="0" i="1">
                  <a:latin typeface="Cambria Math" panose="02040503050406030204" pitchFamily="18" charset="0"/>
                </a:rPr>
              </a:br>
              <a:r>
                <a:rPr lang="es-ES" sz="900" b="0" i="0">
                  <a:latin typeface="Cambria Math" panose="02040503050406030204" pitchFamily="18" charset="0"/>
                </a:rPr>
                <a:t>𝐹𝐺𝑂 (𝑀𝑒𝑡𝑜𝑑𝑜 𝐼𝑛𝑑𝑖𝑟𝑒𝑐𝑡𝑜)=𝑅𝑒𝑠𝑢𝑙𝑡𝑎𝑑𝑜 𝐸𝑗𝑒𝑟𝑐𝑖𝑐𝑖𝑜 −[𝐼𝑛𝑔𝑟𝑒𝑠𝑜𝑠 (𝑛𝑜 𝑐𝑜𝑏𝑟𝑜)+𝐺𝑎𝑠𝑡𝑜𝑠 (𝑛𝑜 𝑝𝑎𝑔𝑜𝑠)]</a:t>
              </a:r>
              <a:endParaRPr lang="es-ES" sz="900"/>
            </a:p>
          </xdr:txBody>
        </xdr:sp>
      </mc:Fallback>
    </mc:AlternateContent>
    <xdr:clientData/>
  </xdr:oneCellAnchor>
  <xdr:oneCellAnchor>
    <xdr:from>
      <xdr:col>8</xdr:col>
      <xdr:colOff>632460</xdr:colOff>
      <xdr:row>13</xdr:row>
      <xdr:rowOff>217170</xdr:rowOff>
    </xdr:from>
    <xdr:ext cx="3855286" cy="349904"/>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C43577EB-BF22-4589-A0DA-B3A46DB9F213}"/>
                </a:ext>
              </a:extLst>
            </xdr:cNvPr>
            <xdr:cNvSpPr txBox="1"/>
          </xdr:nvSpPr>
          <xdr:spPr>
            <a:xfrm>
              <a:off x="12026601" y="9459782"/>
              <a:ext cx="38552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r>
                          <a:rPr lang="es-ES" sz="1100" b="0" i="1">
                            <a:latin typeface="Cambria Math" panose="02040503050406030204" pitchFamily="18" charset="0"/>
                          </a:rPr>
                          <m:t> </m:t>
                        </m:r>
                        <m:r>
                          <a:rPr lang="es-ES" sz="1100" b="0" i="1">
                            <a:latin typeface="Cambria Math" panose="02040503050406030204" pitchFamily="18" charset="0"/>
                          </a:rPr>
                          <m:t>𝐴𝑛𝑡𝑒𝑠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𝐼𝑚𝑝𝑢𝑒𝑠𝑡𝑜</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mlns="">
        <xdr:sp macro="" textlink="">
          <xdr:nvSpPr>
            <xdr:cNvPr id="12" name="CuadroTexto 11">
              <a:extLst>
                <a:ext uri="{FF2B5EF4-FFF2-40B4-BE49-F238E27FC236}">
                  <a16:creationId xmlns:a16="http://schemas.microsoft.com/office/drawing/2014/main" id="{C43577EB-BF22-4589-A0DA-B3A46DB9F213}"/>
                </a:ext>
              </a:extLst>
            </xdr:cNvPr>
            <xdr:cNvSpPr txBox="1"/>
          </xdr:nvSpPr>
          <xdr:spPr>
            <a:xfrm>
              <a:off x="12026601" y="9459782"/>
              <a:ext cx="38552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𝑐/𝑝=⇒(𝐹𝐺𝑂 𝐴𝑛𝑡𝑒𝑠 𝑑𝑒 𝐼𝑚𝑝𝑢𝑒𝑠𝑡𝑜)/(𝐷𝑒𝑢𝑑𝑎𝑠 𝑎 𝑐/𝑝)</a:t>
              </a:r>
              <a:endParaRPr lang="es-ES" sz="1100"/>
            </a:p>
          </xdr:txBody>
        </xdr:sp>
      </mc:Fallback>
    </mc:AlternateContent>
    <xdr:clientData/>
  </xdr:oneCellAnchor>
  <xdr:oneCellAnchor>
    <xdr:from>
      <xdr:col>8</xdr:col>
      <xdr:colOff>746760</xdr:colOff>
      <xdr:row>15</xdr:row>
      <xdr:rowOff>76200</xdr:rowOff>
    </xdr:from>
    <xdr:ext cx="3209340" cy="34541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A54C2F46-678C-4F53-982C-E48ABB53B81A}"/>
                </a:ext>
              </a:extLst>
            </xdr:cNvPr>
            <xdr:cNvSpPr txBox="1"/>
          </xdr:nvSpPr>
          <xdr:spPr>
            <a:xfrm>
              <a:off x="13213080" y="8077200"/>
              <a:ext cx="3209340"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𝐹𝐸𝐴𝐸</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mlns="">
        <xdr:sp macro="" textlink="">
          <xdr:nvSpPr>
            <xdr:cNvPr id="13" name="CuadroTexto 12">
              <a:extLst>
                <a:ext uri="{FF2B5EF4-FFF2-40B4-BE49-F238E27FC236}">
                  <a16:creationId xmlns:a16="http://schemas.microsoft.com/office/drawing/2014/main" id="{A54C2F46-678C-4F53-982C-E48ABB53B81A}"/>
                </a:ext>
              </a:extLst>
            </xdr:cNvPr>
            <xdr:cNvSpPr txBox="1"/>
          </xdr:nvSpPr>
          <xdr:spPr>
            <a:xfrm>
              <a:off x="13213080" y="8077200"/>
              <a:ext cx="3209340" cy="345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𝑐/𝑝=⇒𝐹𝐸𝐴𝐸/(𝐷𝑒𝑢𝑑𝑎𝑠 𝑎 𝑐/𝑝)</a:t>
              </a:r>
              <a:endParaRPr lang="es-ES" sz="1100"/>
            </a:p>
          </xdr:txBody>
        </xdr:sp>
      </mc:Fallback>
    </mc:AlternateContent>
    <xdr:clientData/>
  </xdr:oneCellAnchor>
  <xdr:oneCellAnchor>
    <xdr:from>
      <xdr:col>7</xdr:col>
      <xdr:colOff>3832860</xdr:colOff>
      <xdr:row>16</xdr:row>
      <xdr:rowOff>53340</xdr:rowOff>
    </xdr:from>
    <xdr:ext cx="4828886" cy="489814"/>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654D708B-F607-4CEE-AA6D-BD816EBF60DF}"/>
                </a:ext>
              </a:extLst>
            </xdr:cNvPr>
            <xdr:cNvSpPr txBox="1"/>
          </xdr:nvSpPr>
          <xdr:spPr>
            <a:xfrm>
              <a:off x="11390107" y="12783222"/>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r>
                          <a:rPr lang="es-ES" sz="1100" b="0" i="1">
                            <a:latin typeface="Cambria Math" panose="02040503050406030204" pitchFamily="18" charset="0"/>
                          </a:rPr>
                          <m:t> </m:t>
                        </m:r>
                        <m:r>
                          <a:rPr lang="es-ES" sz="1100" b="0" i="1">
                            <a:latin typeface="Cambria Math" panose="02040503050406030204" pitchFamily="18" charset="0"/>
                          </a:rPr>
                          <m:t>𝐴𝑛𝑡𝑒𝑠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𝐼𝑚𝑝𝑢𝑒𝑠𝑡𝑜</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den>
                    </m:f>
                  </m:oMath>
                </m:oMathPara>
              </a14:m>
              <a:endParaRPr lang="es-ES" sz="1100"/>
            </a:p>
          </xdr:txBody>
        </xdr:sp>
      </mc:Choice>
      <mc:Fallback xmlns="">
        <xdr:sp macro="" textlink="">
          <xdr:nvSpPr>
            <xdr:cNvPr id="14" name="CuadroTexto 13">
              <a:extLst>
                <a:ext uri="{FF2B5EF4-FFF2-40B4-BE49-F238E27FC236}">
                  <a16:creationId xmlns:a16="http://schemas.microsoft.com/office/drawing/2014/main" id="{654D708B-F607-4CEE-AA6D-BD816EBF60DF}"/>
                </a:ext>
              </a:extLst>
            </xdr:cNvPr>
            <xdr:cNvSpPr txBox="1"/>
          </xdr:nvSpPr>
          <xdr:spPr>
            <a:xfrm>
              <a:off x="11390107" y="12783222"/>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𝑙/𝑝=⇒(𝐹𝐺𝑂 𝐴𝑛𝑡𝑒𝑠 𝑑𝑒 𝐼𝑚𝑝𝑢𝑒𝑠𝑡𝑜)/(𝐷𝑒𝑢𝑑𝑎𝑠 𝑎 𝑙/𝑝=⇒(𝑃.𝑁.𝐶+𝐷𝑒𝑢𝑑𝑎𝑠 𝑎 𝑐/𝑝))</a:t>
              </a:r>
              <a:endParaRPr lang="es-ES" sz="1100"/>
            </a:p>
          </xdr:txBody>
        </xdr:sp>
      </mc:Fallback>
    </mc:AlternateContent>
    <xdr:clientData/>
  </xdr:oneCellAnchor>
  <xdr:oneCellAnchor>
    <xdr:from>
      <xdr:col>8</xdr:col>
      <xdr:colOff>30480</xdr:colOff>
      <xdr:row>18</xdr:row>
      <xdr:rowOff>114300</xdr:rowOff>
    </xdr:from>
    <xdr:ext cx="4828886" cy="489814"/>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E0DA52B3-D74D-4574-8AE3-A271DF8D2B90}"/>
                </a:ext>
              </a:extLst>
            </xdr:cNvPr>
            <xdr:cNvSpPr txBox="1"/>
          </xdr:nvSpPr>
          <xdr:spPr>
            <a:xfrm>
              <a:off x="12496800" y="1003554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𝐹𝐸𝐴𝐸</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𝑙</m:t>
                            </m:r>
                          </m:num>
                          <m:den>
                            <m:r>
                              <a:rPr lang="es-ES" sz="1100" b="0" i="1">
                                <a:latin typeface="Cambria Math" panose="02040503050406030204" pitchFamily="18" charset="0"/>
                              </a:rPr>
                              <m:t>𝑝</m:t>
                            </m:r>
                          </m:den>
                        </m:f>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den>
                    </m:f>
                  </m:oMath>
                </m:oMathPara>
              </a14:m>
              <a:endParaRPr lang="es-ES" sz="1100"/>
            </a:p>
          </xdr:txBody>
        </xdr:sp>
      </mc:Choice>
      <mc:Fallback xmlns="">
        <xdr:sp macro="" textlink="">
          <xdr:nvSpPr>
            <xdr:cNvPr id="15" name="CuadroTexto 14">
              <a:extLst>
                <a:ext uri="{FF2B5EF4-FFF2-40B4-BE49-F238E27FC236}">
                  <a16:creationId xmlns:a16="http://schemas.microsoft.com/office/drawing/2014/main" id="{E0DA52B3-D74D-4574-8AE3-A271DF8D2B90}"/>
                </a:ext>
              </a:extLst>
            </xdr:cNvPr>
            <xdr:cNvSpPr txBox="1"/>
          </xdr:nvSpPr>
          <xdr:spPr>
            <a:xfrm>
              <a:off x="12496800" y="10035540"/>
              <a:ext cx="4828886" cy="4898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𝑙/𝑝=⇒𝐹𝐸𝐴𝐸/(𝐷𝑒𝑢𝑑𝑎𝑠 𝑎 𝑙/𝑝=⇒(𝑃.𝑁.𝐶+𝐷𝑒𝑢𝑑𝑎𝑠 𝑎 𝑐/𝑝))</a:t>
              </a:r>
              <a:endParaRPr lang="es-ES" sz="1100"/>
            </a:p>
          </xdr:txBody>
        </xdr:sp>
      </mc:Fallback>
    </mc:AlternateContent>
    <xdr:clientData/>
  </xdr:oneCellAnchor>
  <xdr:oneCellAnchor>
    <xdr:from>
      <xdr:col>8</xdr:col>
      <xdr:colOff>518160</xdr:colOff>
      <xdr:row>19</xdr:row>
      <xdr:rowOff>133350</xdr:rowOff>
    </xdr:from>
    <xdr:ext cx="3768788" cy="348044"/>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1A460BA3-FC5B-4A7F-84A5-F69AF357802E}"/>
                </a:ext>
              </a:extLst>
            </xdr:cNvPr>
            <xdr:cNvSpPr txBox="1"/>
          </xdr:nvSpPr>
          <xdr:spPr>
            <a:xfrm>
              <a:off x="12984480" y="10709910"/>
              <a:ext cx="3768788" cy="348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𝑇𝑖𝑒𝑚𝑝𝑜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𝐸𝑣𝑜𝑙𝑢𝑐𝑖𝑜𝑛</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d>
                          <m:dPr>
                            <m:ctrlPr>
                              <a:rPr lang="es-ES" sz="1100" b="0" i="1">
                                <a:latin typeface="Cambria Math" panose="02040503050406030204" pitchFamily="18" charset="0"/>
                              </a:rPr>
                            </m:ctrlPr>
                          </m:dPr>
                          <m:e>
                            <m:r>
                              <a:rPr lang="es-ES" sz="1100" b="0" i="1">
                                <a:latin typeface="Cambria Math" panose="02040503050406030204" pitchFamily="18" charset="0"/>
                              </a:rPr>
                              <m:t>𝐹𝐺𝑂</m:t>
                            </m:r>
                          </m:e>
                        </m:d>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𝑙</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mlns="">
        <xdr:sp macro="" textlink="">
          <xdr:nvSpPr>
            <xdr:cNvPr id="16" name="CuadroTexto 15">
              <a:extLst>
                <a:ext uri="{FF2B5EF4-FFF2-40B4-BE49-F238E27FC236}">
                  <a16:creationId xmlns:a16="http://schemas.microsoft.com/office/drawing/2014/main" id="{1A460BA3-FC5B-4A7F-84A5-F69AF357802E}"/>
                </a:ext>
              </a:extLst>
            </xdr:cNvPr>
            <xdr:cNvSpPr txBox="1"/>
          </xdr:nvSpPr>
          <xdr:spPr>
            <a:xfrm>
              <a:off x="12984480" y="10709910"/>
              <a:ext cx="3768788" cy="348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𝑇𝑖𝑒𝑚𝑝𝑜 𝑑𝑒 𝐸𝑣𝑜𝑙𝑢𝑐𝑖𝑜𝑛⇒1/((𝐹𝐺𝑂)𝐶𝑎𝑝𝑎𝑐𝑖𝑑𝑎𝑑 𝑑𝑒 𝑑𝑒𝑣𝑜𝑙𝑢𝑐𝑖𝑜𝑛 𝑙/𝑝)</a:t>
              </a:r>
              <a:endParaRPr lang="es-ES" sz="1100"/>
            </a:p>
          </xdr:txBody>
        </xdr:sp>
      </mc:Fallback>
    </mc:AlternateContent>
    <xdr:clientData/>
  </xdr:oneCellAnchor>
  <xdr:oneCellAnchor>
    <xdr:from>
      <xdr:col>8</xdr:col>
      <xdr:colOff>350520</xdr:colOff>
      <xdr:row>20</xdr:row>
      <xdr:rowOff>76200</xdr:rowOff>
    </xdr:from>
    <xdr:ext cx="3850798" cy="346505"/>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7D71411C-6807-4162-8C24-77B7F2BB526B}"/>
                </a:ext>
              </a:extLst>
            </xdr:cNvPr>
            <xdr:cNvSpPr txBox="1"/>
          </xdr:nvSpPr>
          <xdr:spPr>
            <a:xfrm>
              <a:off x="12816840" y="11262360"/>
              <a:ext cx="3850798"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𝑇𝑖𝑒𝑚𝑝𝑜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𝐸𝑣𝑜𝑙𝑢𝑐𝑖𝑜𝑛</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1</m:t>
                        </m:r>
                      </m:num>
                      <m:den>
                        <m:d>
                          <m:dPr>
                            <m:ctrlPr>
                              <a:rPr lang="es-ES" sz="1100" b="0" i="1">
                                <a:latin typeface="Cambria Math" panose="02040503050406030204" pitchFamily="18" charset="0"/>
                              </a:rPr>
                            </m:ctrlPr>
                          </m:dPr>
                          <m:e>
                            <m:r>
                              <a:rPr lang="es-ES" sz="1100" b="0" i="1">
                                <a:latin typeface="Cambria Math" panose="02040503050406030204" pitchFamily="18" charset="0"/>
                              </a:rPr>
                              <m:t>𝐹𝐸𝐴𝐸</m:t>
                            </m:r>
                          </m:e>
                        </m:d>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𝑙</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mlns="">
        <xdr:sp macro="" textlink="">
          <xdr:nvSpPr>
            <xdr:cNvPr id="17" name="CuadroTexto 16">
              <a:extLst>
                <a:ext uri="{FF2B5EF4-FFF2-40B4-BE49-F238E27FC236}">
                  <a16:creationId xmlns:a16="http://schemas.microsoft.com/office/drawing/2014/main" id="{7D71411C-6807-4162-8C24-77B7F2BB526B}"/>
                </a:ext>
              </a:extLst>
            </xdr:cNvPr>
            <xdr:cNvSpPr txBox="1"/>
          </xdr:nvSpPr>
          <xdr:spPr>
            <a:xfrm>
              <a:off x="12816840" y="11262360"/>
              <a:ext cx="3850798"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𝑇𝑖𝑒𝑚𝑝𝑜 𝑑𝑒 𝐸𝑣𝑜𝑙𝑢𝑐𝑖𝑜𝑛⇒1/((𝐹𝐸𝐴𝐸)𝐶𝑎𝑝𝑎𝑐𝑖𝑑𝑎𝑑 𝑑𝑒 𝑑𝑒𝑣𝑜𝑙𝑢𝑐𝑖𝑜𝑛 𝑙/𝑝)</a:t>
              </a:r>
              <a:endParaRPr lang="es-ES" sz="1100"/>
            </a:p>
          </xdr:txBody>
        </xdr:sp>
      </mc:Fallback>
    </mc:AlternateContent>
    <xdr:clientData/>
  </xdr:oneCellAnchor>
  <xdr:oneCellAnchor>
    <xdr:from>
      <xdr:col>8</xdr:col>
      <xdr:colOff>129540</xdr:colOff>
      <xdr:row>34</xdr:row>
      <xdr:rowOff>209550</xdr:rowOff>
    </xdr:from>
    <xdr:ext cx="5615255" cy="287515"/>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F4E02B38-F35A-4987-886E-C98CDEBA42D5}"/>
                </a:ext>
              </a:extLst>
            </xdr:cNvPr>
            <xdr:cNvSpPr txBox="1"/>
          </xdr:nvSpPr>
          <xdr:spPr>
            <a:xfrm>
              <a:off x="11515997" y="24550007"/>
              <a:ext cx="5615255" cy="28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𝑅</m:t>
                    </m:r>
                    <m:r>
                      <a:rPr lang="es-ES" sz="900" b="0" i="1">
                        <a:latin typeface="Cambria Math" panose="02040503050406030204" pitchFamily="18" charset="0"/>
                      </a:rPr>
                      <m:t>. </m:t>
                    </m:r>
                    <m:r>
                      <a:rPr lang="es-ES" sz="900" b="0" i="1">
                        <a:latin typeface="Cambria Math" panose="02040503050406030204" pitchFamily="18" charset="0"/>
                      </a:rPr>
                      <m:t>𝐺𝑙𝑜𝑏𝑎𝑙</m:t>
                    </m:r>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𝐵𝐴𝐼𝑇</m:t>
                        </m:r>
                      </m:num>
                      <m:den>
                        <m:r>
                          <a:rPr lang="es-ES" sz="900" b="0" i="1">
                            <a:latin typeface="Cambria Math" panose="02040503050406030204" pitchFamily="18" charset="0"/>
                          </a:rPr>
                          <m:t>𝐴𝑐𝑡𝑖𝑣𝑜</m:t>
                        </m:r>
                        <m:r>
                          <a:rPr lang="es-ES" sz="900" b="0" i="1">
                            <a:latin typeface="Cambria Math" panose="02040503050406030204" pitchFamily="18" charset="0"/>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𝐹𝑜𝑛𝑑𝑜𝑠</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𝑃𝑟𝑜𝑝𝑖𝑜𝑠</m:t>
                        </m:r>
                        <m:r>
                          <a:rPr lang="es-ES" sz="900" b="0" i="1">
                            <a:solidFill>
                              <a:schemeClr val="tx1"/>
                            </a:solidFill>
                            <a:effectLst/>
                            <a:latin typeface="Cambria Math" panose="02040503050406030204" pitchFamily="18" charset="0"/>
                            <a:ea typeface="+mn-ea"/>
                            <a:cs typeface="+mn-cs"/>
                          </a:rPr>
                          <m:t>+</m:t>
                        </m:r>
                        <m:r>
                          <a:rPr lang="es-ES" sz="900" b="0" i="1">
                            <a:solidFill>
                              <a:schemeClr val="tx1"/>
                            </a:solidFill>
                            <a:effectLst/>
                            <a:latin typeface="Cambria Math" panose="02040503050406030204" pitchFamily="18" charset="0"/>
                            <a:ea typeface="+mn-ea"/>
                            <a:cs typeface="+mn-cs"/>
                          </a:rPr>
                          <m:t>𝐹𝑜𝑛𝑑𝑜𝑠</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𝐴𝑗𝑒𝑛𝑜𝑠</m:t>
                        </m:r>
                        <m:r>
                          <a:rPr lang="es-ES" sz="900" b="0" i="0">
                            <a:solidFill>
                              <a:schemeClr val="tx1"/>
                            </a:solidFill>
                            <a:effectLst/>
                            <a:latin typeface="Cambria Math" panose="02040503050406030204" pitchFamily="18" charset="0"/>
                            <a:ea typeface="+mn-ea"/>
                            <a:cs typeface="+mn-cs"/>
                          </a:rPr>
                          <m:t>) </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𝐵𝐴𝐼𝑇</m:t>
                        </m:r>
                      </m:num>
                      <m:den>
                        <m:r>
                          <a:rPr lang="es-ES" sz="900" b="0" i="1">
                            <a:latin typeface="Cambria Math" panose="02040503050406030204" pitchFamily="18" charset="0"/>
                          </a:rPr>
                          <m:t>𝐼𝑛𝑔𝑟𝑒𝑠𝑜𝑠</m:t>
                        </m:r>
                        <m:r>
                          <a:rPr lang="es-ES" sz="900" b="0" i="1">
                            <a:latin typeface="Cambria Math" panose="02040503050406030204" pitchFamily="18" charset="0"/>
                          </a:rPr>
                          <m:t> </m:t>
                        </m:r>
                        <m:r>
                          <a:rPr lang="es-ES" sz="900" b="0" i="1">
                            <a:latin typeface="Cambria Math" panose="02040503050406030204" pitchFamily="18" charset="0"/>
                          </a:rPr>
                          <m:t>𝑒𝑥𝑝𝑙𝑜𝑡𝑎𝑐𝑖𝑜𝑛</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solidFill>
                              <a:schemeClr val="tx1"/>
                            </a:solidFill>
                            <a:effectLst/>
                            <a:latin typeface="Cambria Math" panose="02040503050406030204" pitchFamily="18" charset="0"/>
                            <a:ea typeface="+mn-ea"/>
                            <a:cs typeface="+mn-cs"/>
                          </a:rPr>
                          <m:t>𝐼𝑛𝑔𝑟𝑒𝑠𝑜𝑠</m:t>
                        </m:r>
                        <m:r>
                          <a:rPr lang="es-ES" sz="900" b="0" i="1">
                            <a:solidFill>
                              <a:schemeClr val="tx1"/>
                            </a:solidFill>
                            <a:effectLst/>
                            <a:latin typeface="Cambria Math" panose="02040503050406030204" pitchFamily="18" charset="0"/>
                            <a:ea typeface="+mn-ea"/>
                            <a:cs typeface="+mn-cs"/>
                          </a:rPr>
                          <m:t> </m:t>
                        </m:r>
                        <m:r>
                          <a:rPr lang="es-ES" sz="900" b="0" i="1">
                            <a:latin typeface="Cambria Math" panose="02040503050406030204" pitchFamily="18" charset="0"/>
                          </a:rPr>
                          <m:t>𝑒𝑥𝑝𝑙𝑜𝑡𝑎𝑐𝑖𝑜𝑛</m:t>
                        </m:r>
                      </m:num>
                      <m:den>
                        <m:r>
                          <a:rPr lang="es-ES" sz="900" b="0" i="1">
                            <a:solidFill>
                              <a:schemeClr val="tx1"/>
                            </a:solidFill>
                            <a:effectLst/>
                            <a:latin typeface="Cambria Math" panose="02040503050406030204" pitchFamily="18" charset="0"/>
                            <a:ea typeface="+mn-ea"/>
                            <a:cs typeface="+mn-cs"/>
                          </a:rPr>
                          <m:t>𝐴𝑐𝑡𝑖𝑣𝑜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den>
                    </m:f>
                  </m:oMath>
                </m:oMathPara>
              </a14:m>
              <a:endParaRPr lang="es-ES" sz="1100" b="0"/>
            </a:p>
          </xdr:txBody>
        </xdr:sp>
      </mc:Choice>
      <mc:Fallback xmlns="">
        <xdr:sp macro="" textlink="">
          <xdr:nvSpPr>
            <xdr:cNvPr id="18" name="CuadroTexto 17">
              <a:extLst>
                <a:ext uri="{FF2B5EF4-FFF2-40B4-BE49-F238E27FC236}">
                  <a16:creationId xmlns:a16="http://schemas.microsoft.com/office/drawing/2014/main" id="{F4E02B38-F35A-4987-886E-C98CDEBA42D5}"/>
                </a:ext>
              </a:extLst>
            </xdr:cNvPr>
            <xdr:cNvSpPr txBox="1"/>
          </xdr:nvSpPr>
          <xdr:spPr>
            <a:xfrm>
              <a:off x="11515997" y="24550007"/>
              <a:ext cx="5615255" cy="2875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𝑅. 𝐺𝑙𝑜𝑏𝑎𝑙=𝐵𝐴𝐼𝑇/(𝐴𝑐𝑡𝑖𝑣𝑜 </a:t>
              </a:r>
              <a:r>
                <a:rPr lang="es-ES" sz="900" b="0" i="0">
                  <a:solidFill>
                    <a:schemeClr val="tx1"/>
                  </a:solidFill>
                  <a:effectLst/>
                  <a:latin typeface="Cambria Math" panose="02040503050406030204" pitchFamily="18" charset="0"/>
                  <a:ea typeface="+mn-ea"/>
                  <a:cs typeface="+mn-cs"/>
                </a:rPr>
                <a:t>𝑇𝑜𝑡𝑎𝑙  (𝐹𝑜𝑛𝑑𝑜𝑠 𝑃𝑟𝑜𝑝𝑖𝑜𝑠+𝐹𝑜𝑛𝑑𝑜𝑠 𝐴𝑗𝑒𝑛𝑜𝑠) )</a:t>
              </a:r>
              <a:r>
                <a:rPr lang="es-ES" sz="900" b="0" i="0">
                  <a:latin typeface="Cambria Math" panose="02040503050406030204" pitchFamily="18" charset="0"/>
                </a:rPr>
                <a:t>=𝐵𝐴𝐼𝑇/(𝐼𝑛𝑔𝑟𝑒𝑠𝑜𝑠 𝑒𝑥𝑝𝑙𝑜𝑡𝑎𝑐𝑖𝑜𝑛)∗(</a:t>
              </a:r>
              <a:r>
                <a:rPr lang="es-ES" sz="900" b="0" i="0">
                  <a:solidFill>
                    <a:schemeClr val="tx1"/>
                  </a:solidFill>
                  <a:effectLst/>
                  <a:latin typeface="Cambria Math" panose="02040503050406030204" pitchFamily="18" charset="0"/>
                  <a:ea typeface="+mn-ea"/>
                  <a:cs typeface="+mn-cs"/>
                </a:rPr>
                <a:t>𝐼𝑛𝑔𝑟𝑒𝑠𝑜𝑠 </a:t>
              </a:r>
              <a:r>
                <a:rPr lang="es-ES" sz="900" b="0" i="0">
                  <a:latin typeface="Cambria Math" panose="02040503050406030204" pitchFamily="18" charset="0"/>
                </a:rPr>
                <a:t>𝑒𝑥𝑝𝑙𝑜𝑡𝑎𝑐𝑖𝑜𝑛)/(</a:t>
              </a:r>
              <a:r>
                <a:rPr lang="es-ES" sz="900" b="0" i="0">
                  <a:solidFill>
                    <a:schemeClr val="tx1"/>
                  </a:solidFill>
                  <a:effectLst/>
                  <a:latin typeface="Cambria Math" panose="02040503050406030204" pitchFamily="18" charset="0"/>
                  <a:ea typeface="+mn-ea"/>
                  <a:cs typeface="+mn-cs"/>
                </a:rPr>
                <a:t>𝐴𝑐𝑡𝑖𝑣𝑜 𝑇𝑜𝑡𝑎𝑙 )</a:t>
              </a:r>
              <a:endParaRPr lang="es-ES" sz="1100" b="0"/>
            </a:p>
          </xdr:txBody>
        </xdr:sp>
      </mc:Fallback>
    </mc:AlternateContent>
    <xdr:clientData/>
  </xdr:oneCellAnchor>
  <xdr:oneCellAnchor>
    <xdr:from>
      <xdr:col>8</xdr:col>
      <xdr:colOff>83820</xdr:colOff>
      <xdr:row>28</xdr:row>
      <xdr:rowOff>175260</xdr:rowOff>
    </xdr:from>
    <xdr:ext cx="4044119" cy="287258"/>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79E6FF94-D19A-497F-99FE-AC40AB522415}"/>
                </a:ext>
              </a:extLst>
            </xdr:cNvPr>
            <xdr:cNvSpPr txBox="1"/>
          </xdr:nvSpPr>
          <xdr:spPr>
            <a:xfrm>
              <a:off x="11470277" y="20128774"/>
              <a:ext cx="4044119"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900" b="0" i="1">
                        <a:latin typeface="Cambria Math" panose="02040503050406030204" pitchFamily="18" charset="0"/>
                      </a:rPr>
                      <m:t>𝑅</m:t>
                    </m:r>
                    <m:r>
                      <a:rPr lang="es-ES" sz="900" b="0" i="1">
                        <a:latin typeface="Cambria Math" panose="02040503050406030204" pitchFamily="18" charset="0"/>
                      </a:rPr>
                      <m:t>.</m:t>
                    </m:r>
                    <m:r>
                      <a:rPr lang="es-ES" sz="900" b="0" i="1">
                        <a:latin typeface="Cambria Math" panose="02040503050406030204" pitchFamily="18" charset="0"/>
                      </a:rPr>
                      <m:t>𝐸</m:t>
                    </m:r>
                    <m:r>
                      <a:rPr lang="es-ES" sz="900" b="0" i="1">
                        <a:latin typeface="Cambria Math" panose="02040503050406030204" pitchFamily="18" charset="0"/>
                      </a:rPr>
                      <m:t> </m:t>
                    </m:r>
                    <m:r>
                      <a:rPr lang="es-ES" sz="900" b="0" i="1">
                        <a:latin typeface="Cambria Math" panose="02040503050406030204" pitchFamily="18" charset="0"/>
                      </a:rPr>
                      <m:t>𝐸𝑥𝑝</m:t>
                    </m:r>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𝑅𝑁𝐸</m:t>
                        </m:r>
                      </m:num>
                      <m:den>
                        <m:r>
                          <a:rPr lang="es-ES" sz="900" b="0" i="1">
                            <a:latin typeface="Cambria Math" panose="02040503050406030204" pitchFamily="18" charset="0"/>
                          </a:rPr>
                          <m:t>𝐴𝑐𝑡𝑖𝑣𝑜</m:t>
                        </m:r>
                        <m:r>
                          <a:rPr lang="es-ES" sz="900" b="0" i="1">
                            <a:latin typeface="Cambria Math" panose="02040503050406030204" pitchFamily="18" charset="0"/>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0">
                            <a:solidFill>
                              <a:schemeClr val="tx1"/>
                            </a:solidFill>
                            <a:effectLst/>
                            <a:latin typeface="Cambria Math" panose="02040503050406030204" pitchFamily="18" charset="0"/>
                            <a:ea typeface="+mn-ea"/>
                            <a:cs typeface="+mn-cs"/>
                          </a:rPr>
                          <m:t> </m:t>
                        </m:r>
                        <m:r>
                          <m:rPr>
                            <m:sty m:val="p"/>
                          </m:rPr>
                          <a:rPr lang="es-ES" sz="900" b="0" i="0">
                            <a:solidFill>
                              <a:schemeClr val="tx1"/>
                            </a:solidFill>
                            <a:effectLst/>
                            <a:latin typeface="Cambria Math" panose="02040503050406030204" pitchFamily="18" charset="0"/>
                            <a:ea typeface="+mn-ea"/>
                            <a:cs typeface="+mn-cs"/>
                          </a:rPr>
                          <m:t>exp</m:t>
                        </m:r>
                        <m:r>
                          <a:rPr lang="es-ES" sz="900" b="0" i="0">
                            <a:solidFill>
                              <a:schemeClr val="tx1"/>
                            </a:solidFill>
                            <a:effectLst/>
                            <a:latin typeface="Cambria Math" panose="02040503050406030204" pitchFamily="18" charset="0"/>
                            <a:ea typeface="+mn-ea"/>
                            <a:cs typeface="+mn-cs"/>
                          </a:rPr>
                          <m:t> </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latin typeface="Cambria Math" panose="02040503050406030204" pitchFamily="18" charset="0"/>
                          </a:rPr>
                          <m:t>𝑅𝑁𝐸</m:t>
                        </m:r>
                      </m:num>
                      <m:den>
                        <m:r>
                          <a:rPr lang="es-ES" sz="900" b="0" i="1">
                            <a:latin typeface="Cambria Math" panose="02040503050406030204" pitchFamily="18" charset="0"/>
                          </a:rPr>
                          <m:t>𝐼𝑛𝑔𝑟𝑒𝑠𝑜𝑠</m:t>
                        </m:r>
                        <m:r>
                          <a:rPr lang="es-ES" sz="900" b="0" i="1">
                            <a:latin typeface="Cambria Math" panose="02040503050406030204" pitchFamily="18" charset="0"/>
                          </a:rPr>
                          <m:t> </m:t>
                        </m:r>
                        <m:r>
                          <a:rPr lang="es-ES" sz="900" b="0" i="1">
                            <a:latin typeface="Cambria Math" panose="02040503050406030204" pitchFamily="18" charset="0"/>
                          </a:rPr>
                          <m:t>𝑒𝑥𝑝𝑙𝑜𝑡𝑎𝑐𝑖𝑜𝑛</m:t>
                        </m:r>
                      </m:den>
                    </m:f>
                    <m:r>
                      <a:rPr lang="es-ES" sz="900" b="0" i="1">
                        <a:latin typeface="Cambria Math" panose="02040503050406030204" pitchFamily="18" charset="0"/>
                      </a:rPr>
                      <m:t>∗</m:t>
                    </m:r>
                    <m:f>
                      <m:fPr>
                        <m:ctrlPr>
                          <a:rPr lang="es-ES" sz="900" b="0" i="1">
                            <a:latin typeface="Cambria Math" panose="02040503050406030204" pitchFamily="18" charset="0"/>
                          </a:rPr>
                        </m:ctrlPr>
                      </m:fPr>
                      <m:num>
                        <m:r>
                          <a:rPr lang="es-ES" sz="900" b="0" i="1">
                            <a:solidFill>
                              <a:schemeClr val="tx1"/>
                            </a:solidFill>
                            <a:effectLst/>
                            <a:latin typeface="Cambria Math" panose="02040503050406030204" pitchFamily="18" charset="0"/>
                            <a:ea typeface="+mn-ea"/>
                            <a:cs typeface="+mn-cs"/>
                          </a:rPr>
                          <m:t>𝐼𝑛𝑔𝑟𝑒𝑠𝑜𝑠</m:t>
                        </m:r>
                        <m:r>
                          <a:rPr lang="es-ES" sz="900" b="0" i="1">
                            <a:solidFill>
                              <a:schemeClr val="tx1"/>
                            </a:solidFill>
                            <a:effectLst/>
                            <a:latin typeface="Cambria Math" panose="02040503050406030204" pitchFamily="18" charset="0"/>
                            <a:ea typeface="+mn-ea"/>
                            <a:cs typeface="+mn-cs"/>
                          </a:rPr>
                          <m:t> </m:t>
                        </m:r>
                        <m:r>
                          <a:rPr lang="es-ES" sz="900" b="0" i="1">
                            <a:latin typeface="Cambria Math" panose="02040503050406030204" pitchFamily="18" charset="0"/>
                          </a:rPr>
                          <m:t>𝑒𝑥𝑝𝑙𝑜𝑡𝑎𝑐𝑖𝑜𝑛</m:t>
                        </m:r>
                      </m:num>
                      <m:den>
                        <m:r>
                          <a:rPr lang="es-ES" sz="900" b="0" i="1">
                            <a:solidFill>
                              <a:schemeClr val="tx1"/>
                            </a:solidFill>
                            <a:effectLst/>
                            <a:latin typeface="Cambria Math" panose="02040503050406030204" pitchFamily="18" charset="0"/>
                            <a:ea typeface="+mn-ea"/>
                            <a:cs typeface="+mn-cs"/>
                          </a:rPr>
                          <m:t>𝐴𝑐𝑡𝑖𝑣𝑜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𝑇𝑜𝑡𝑎𝑙</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𝑚𝑒𝑑𝑖𝑜</m:t>
                        </m:r>
                        <m:r>
                          <a:rPr lang="es-ES" sz="900" b="0" i="1">
                            <a:solidFill>
                              <a:schemeClr val="tx1"/>
                            </a:solidFill>
                            <a:effectLst/>
                            <a:latin typeface="Cambria Math" panose="02040503050406030204" pitchFamily="18" charset="0"/>
                            <a:ea typeface="+mn-ea"/>
                            <a:cs typeface="+mn-cs"/>
                          </a:rPr>
                          <m:t> </m:t>
                        </m:r>
                        <m:r>
                          <a:rPr lang="es-ES" sz="900" b="0" i="1">
                            <a:solidFill>
                              <a:schemeClr val="tx1"/>
                            </a:solidFill>
                            <a:effectLst/>
                            <a:latin typeface="Cambria Math" panose="02040503050406030204" pitchFamily="18" charset="0"/>
                            <a:ea typeface="+mn-ea"/>
                            <a:cs typeface="+mn-cs"/>
                          </a:rPr>
                          <m:t>𝑒𝑥𝑝</m:t>
                        </m:r>
                      </m:den>
                    </m:f>
                  </m:oMath>
                </m:oMathPara>
              </a14:m>
              <a:endParaRPr lang="es-ES" sz="1100" b="0"/>
            </a:p>
          </xdr:txBody>
        </xdr:sp>
      </mc:Choice>
      <mc:Fallback xmlns="">
        <xdr:sp macro="" textlink="">
          <xdr:nvSpPr>
            <xdr:cNvPr id="19" name="CuadroTexto 18">
              <a:extLst>
                <a:ext uri="{FF2B5EF4-FFF2-40B4-BE49-F238E27FC236}">
                  <a16:creationId xmlns:a16="http://schemas.microsoft.com/office/drawing/2014/main" id="{79E6FF94-D19A-497F-99FE-AC40AB522415}"/>
                </a:ext>
              </a:extLst>
            </xdr:cNvPr>
            <xdr:cNvSpPr txBox="1"/>
          </xdr:nvSpPr>
          <xdr:spPr>
            <a:xfrm>
              <a:off x="11470277" y="20128774"/>
              <a:ext cx="4044119" cy="2872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900" b="0" i="0">
                  <a:latin typeface="Cambria Math" panose="02040503050406030204" pitchFamily="18" charset="0"/>
                </a:rPr>
                <a:t>𝑅.𝐸 𝐸𝑥𝑝=𝑅𝑁𝐸/(𝐴𝑐𝑡𝑖𝑣𝑜 </a:t>
              </a:r>
              <a:r>
                <a:rPr lang="es-ES" sz="900" b="0" i="0">
                  <a:solidFill>
                    <a:schemeClr val="tx1"/>
                  </a:solidFill>
                  <a:effectLst/>
                  <a:latin typeface="Cambria Math" panose="02040503050406030204" pitchFamily="18" charset="0"/>
                  <a:ea typeface="+mn-ea"/>
                  <a:cs typeface="+mn-cs"/>
                </a:rPr>
                <a:t>𝑇𝑜𝑡𝑎𝑙  exp )</a:t>
              </a:r>
              <a:r>
                <a:rPr lang="es-ES" sz="900" b="0" i="0">
                  <a:latin typeface="Cambria Math" panose="02040503050406030204" pitchFamily="18" charset="0"/>
                </a:rPr>
                <a:t>=𝑅𝑁𝐸/(𝐼𝑛𝑔𝑟𝑒𝑠𝑜𝑠 𝑒𝑥𝑝𝑙𝑜𝑡𝑎𝑐𝑖𝑜𝑛)∗(</a:t>
              </a:r>
              <a:r>
                <a:rPr lang="es-ES" sz="900" b="0" i="0">
                  <a:solidFill>
                    <a:schemeClr val="tx1"/>
                  </a:solidFill>
                  <a:effectLst/>
                  <a:latin typeface="Cambria Math" panose="02040503050406030204" pitchFamily="18" charset="0"/>
                  <a:ea typeface="+mn-ea"/>
                  <a:cs typeface="+mn-cs"/>
                </a:rPr>
                <a:t>𝐼𝑛𝑔𝑟𝑒𝑠𝑜𝑠 </a:t>
              </a:r>
              <a:r>
                <a:rPr lang="es-ES" sz="900" b="0" i="0">
                  <a:latin typeface="Cambria Math" panose="02040503050406030204" pitchFamily="18" charset="0"/>
                </a:rPr>
                <a:t>𝑒𝑥𝑝𝑙𝑜𝑡𝑎𝑐𝑖𝑜𝑛)/(</a:t>
              </a:r>
              <a:r>
                <a:rPr lang="es-ES" sz="900" b="0" i="0">
                  <a:solidFill>
                    <a:schemeClr val="tx1"/>
                  </a:solidFill>
                  <a:effectLst/>
                  <a:latin typeface="Cambria Math" panose="02040503050406030204" pitchFamily="18" charset="0"/>
                  <a:ea typeface="+mn-ea"/>
                  <a:cs typeface="+mn-cs"/>
                </a:rPr>
                <a:t>𝐴𝑐𝑡𝑖𝑣𝑜 𝑇𝑜𝑡𝑎𝑙 𝑚𝑒𝑑𝑖𝑜 𝑒𝑥𝑝)</a:t>
              </a:r>
              <a:endParaRPr lang="es-ES" sz="1100" b="0"/>
            </a:p>
          </xdr:txBody>
        </xdr:sp>
      </mc:Fallback>
    </mc:AlternateContent>
    <xdr:clientData/>
  </xdr:oneCellAnchor>
  <xdr:oneCellAnchor>
    <xdr:from>
      <xdr:col>8</xdr:col>
      <xdr:colOff>60960</xdr:colOff>
      <xdr:row>40</xdr:row>
      <xdr:rowOff>87630</xdr:rowOff>
    </xdr:from>
    <xdr:ext cx="2780825" cy="172227"/>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78A42A3C-E815-40B1-8D20-678E75083B33}"/>
                </a:ext>
              </a:extLst>
            </xdr:cNvPr>
            <xdr:cNvSpPr txBox="1"/>
          </xdr:nvSpPr>
          <xdr:spPr>
            <a:xfrm>
              <a:off x="12527280" y="24585930"/>
              <a:ext cx="278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d>
                      <m:dPr>
                        <m:endChr m:val="]"/>
                        <m:ctrlPr>
                          <a:rPr lang="es-ES" sz="1100" b="0" i="1">
                            <a:latin typeface="Cambria Math" panose="02040503050406030204" pitchFamily="18" charset="0"/>
                          </a:rPr>
                        </m:ctrlPr>
                      </m:dPr>
                      <m:e>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𝐸</m:t>
                        </m:r>
                        <m:r>
                          <a:rPr lang="es-ES" sz="1100" b="0" i="1">
                            <a:latin typeface="Cambria Math" panose="02040503050406030204" pitchFamily="18" charset="0"/>
                          </a:rPr>
                          <m:t>+</m:t>
                        </m:r>
                        <m:r>
                          <a:rPr lang="es-ES" sz="1100" b="0" i="1">
                            <a:latin typeface="Cambria Math" panose="02040503050406030204" pitchFamily="18" charset="0"/>
                          </a:rPr>
                          <m:t>𝐿</m:t>
                        </m:r>
                        <m:d>
                          <m:dPr>
                            <m:ctrlPr>
                              <a:rPr lang="es-ES" sz="1100" b="0" i="1">
                                <a:latin typeface="Cambria Math" panose="02040503050406030204" pitchFamily="18" charset="0"/>
                              </a:rPr>
                            </m:ctrlPr>
                          </m:dPr>
                          <m:e>
                            <m:r>
                              <a:rPr lang="es-ES" sz="1100" b="0" i="1">
                                <a:latin typeface="Cambria Math" panose="02040503050406030204" pitchFamily="18" charset="0"/>
                              </a:rPr>
                              <m:t>𝑅𝐸</m:t>
                            </m:r>
                            <m:r>
                              <a:rPr lang="es-ES" sz="1100" b="0" i="1">
                                <a:latin typeface="Cambria Math" panose="02040503050406030204" pitchFamily="18" charset="0"/>
                              </a:rPr>
                              <m:t>−</m:t>
                            </m:r>
                            <m:r>
                              <a:rPr lang="es-ES" sz="1100" b="0" i="1">
                                <a:latin typeface="Cambria Math" panose="02040503050406030204" pitchFamily="18" charset="0"/>
                              </a:rPr>
                              <m:t>𝐾</m:t>
                            </m:r>
                          </m:e>
                        </m:d>
                      </m:e>
                    </m:d>
                    <m:r>
                      <a:rPr lang="es-ES" sz="1100" b="0" i="1">
                        <a:latin typeface="Cambria Math" panose="02040503050406030204" pitchFamily="18" charset="0"/>
                      </a:rPr>
                      <m:t>∗(1−</m:t>
                    </m:r>
                    <m:r>
                      <a:rPr lang="es-ES" sz="1100" b="0" i="1">
                        <a:latin typeface="Cambria Math" panose="02040503050406030204" pitchFamily="18" charset="0"/>
                      </a:rPr>
                      <m:t>𝑡</m:t>
                    </m:r>
                    <m:r>
                      <a:rPr lang="es-ES" sz="1100" b="0" i="1">
                        <a:latin typeface="Cambria Math" panose="02040503050406030204" pitchFamily="18" charset="0"/>
                      </a:rPr>
                      <m:t>)</m:t>
                    </m:r>
                  </m:oMath>
                </m:oMathPara>
              </a14:m>
              <a:endParaRPr lang="es-ES" sz="1100" b="0"/>
            </a:p>
          </xdr:txBody>
        </xdr:sp>
      </mc:Choice>
      <mc:Fallback xmlns="">
        <xdr:sp macro="" textlink="">
          <xdr:nvSpPr>
            <xdr:cNvPr id="20" name="CuadroTexto 19">
              <a:extLst>
                <a:ext uri="{FF2B5EF4-FFF2-40B4-BE49-F238E27FC236}">
                  <a16:creationId xmlns:a16="http://schemas.microsoft.com/office/drawing/2014/main" id="{78A42A3C-E815-40B1-8D20-678E75083B33}"/>
                </a:ext>
              </a:extLst>
            </xdr:cNvPr>
            <xdr:cNvSpPr txBox="1"/>
          </xdr:nvSpPr>
          <xdr:spPr>
            <a:xfrm>
              <a:off x="12527280" y="24585930"/>
              <a:ext cx="27808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𝑅.𝐹𝑖𝑛𝑎𝑛𝑐𝑖𝑒𝑟𝑎=(𝑅.𝐸+𝐿(𝑅𝐸−𝐾)]∗(1−𝑡)</a:t>
              </a:r>
              <a:endParaRPr lang="es-ES" sz="1100" b="0"/>
            </a:p>
          </xdr:txBody>
        </xdr:sp>
      </mc:Fallback>
    </mc:AlternateContent>
    <xdr:clientData/>
  </xdr:oneCellAnchor>
  <xdr:oneCellAnchor>
    <xdr:from>
      <xdr:col>8</xdr:col>
      <xdr:colOff>156777</xdr:colOff>
      <xdr:row>41</xdr:row>
      <xdr:rowOff>114219</xdr:rowOff>
    </xdr:from>
    <xdr:ext cx="3762761" cy="347659"/>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E413B1DE-1BC1-451A-A268-0BA3E024969A}"/>
                </a:ext>
              </a:extLst>
            </xdr:cNvPr>
            <xdr:cNvSpPr txBox="1"/>
          </xdr:nvSpPr>
          <xdr:spPr>
            <a:xfrm>
              <a:off x="12623097" y="25199259"/>
              <a:ext cx="3762761" cy="34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𝐶𝑜𝑠𝑡𝑒</m:t>
                    </m:r>
                    <m:r>
                      <a:rPr lang="es-ES" sz="1100" b="0" i="1">
                        <a:latin typeface="Cambria Math" panose="02040503050406030204" pitchFamily="18" charset="0"/>
                      </a:rPr>
                      <m:t> </m:t>
                    </m:r>
                    <m:r>
                      <a:rPr lang="es-ES" sz="1100" b="0" i="1">
                        <a:latin typeface="Cambria Math" panose="02040503050406030204" pitchFamily="18" charset="0"/>
                      </a:rPr>
                      <m:t>𝐸𝑛𝑑𝑢𝑒𝑑𝑎𝑚𝑖𝑒𝑛𝑡𝑜</m:t>
                    </m:r>
                    <m:r>
                      <a:rPr lang="es-ES" sz="1100" b="0" i="1">
                        <a:latin typeface="Cambria Math" panose="02040503050406030204" pitchFamily="18" charset="0"/>
                      </a:rPr>
                      <m:t> </m:t>
                    </m:r>
                    <m:r>
                      <a:rPr lang="es-ES" sz="1100" b="0" i="1">
                        <a:latin typeface="Cambria Math" panose="02040503050406030204" pitchFamily="18" charset="0"/>
                      </a:rPr>
                      <m:t>𝑁𝑜</m:t>
                    </m:r>
                    <m:r>
                      <a:rPr lang="es-ES" sz="1100" b="0" i="1">
                        <a:latin typeface="Cambria Math" panose="02040503050406030204" pitchFamily="18" charset="0"/>
                      </a:rPr>
                      <m:t> </m:t>
                    </m:r>
                    <m:r>
                      <a:rPr lang="es-ES" sz="1100" b="0" i="1">
                        <a:latin typeface="Cambria Math" panose="02040503050406030204" pitchFamily="18" charset="0"/>
                      </a:rPr>
                      <m:t>𝑃𝑟𝑜𝑝𝑖𝑎</m:t>
                    </m:r>
                    <m:r>
                      <a:rPr lang="es-ES" sz="1100" b="0" i="1">
                        <a:latin typeface="Cambria Math" panose="02040503050406030204" pitchFamily="18" charset="0"/>
                      </a:rPr>
                      <m:t> </m:t>
                    </m:r>
                    <m:d>
                      <m:dPr>
                        <m:ctrlPr>
                          <a:rPr lang="es-ES" sz="1100" b="0" i="1">
                            <a:latin typeface="Cambria Math" panose="02040503050406030204" pitchFamily="18" charset="0"/>
                          </a:rPr>
                        </m:ctrlPr>
                      </m:dPr>
                      <m:e>
                        <m:r>
                          <a:rPr lang="es-ES" sz="1100" b="0" i="1">
                            <a:latin typeface="Cambria Math" panose="02040503050406030204" pitchFamily="18" charset="0"/>
                          </a:rPr>
                          <m:t>𝐾</m:t>
                        </m:r>
                      </m:e>
                    </m:d>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𝐺𝑎𝑠𝑡𝑜𝑠</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𝐹𝑖𝑛𝑎𝑛𝑐𝑖𝑒𝑟𝑜𝑠</m:t>
                        </m:r>
                      </m:num>
                      <m:den>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𝑎𝑗𝑒𝑛𝑜𝑠</m:t>
                        </m:r>
                      </m:den>
                    </m:f>
                  </m:oMath>
                </m:oMathPara>
              </a14:m>
              <a:endParaRPr lang="es-ES" sz="1100"/>
            </a:p>
          </xdr:txBody>
        </xdr:sp>
      </mc:Choice>
      <mc:Fallback xmlns="">
        <xdr:sp macro="" textlink="">
          <xdr:nvSpPr>
            <xdr:cNvPr id="21" name="CuadroTexto 20">
              <a:extLst>
                <a:ext uri="{FF2B5EF4-FFF2-40B4-BE49-F238E27FC236}">
                  <a16:creationId xmlns:a16="http://schemas.microsoft.com/office/drawing/2014/main" id="{E413B1DE-1BC1-451A-A268-0BA3E024969A}"/>
                </a:ext>
              </a:extLst>
            </xdr:cNvPr>
            <xdr:cNvSpPr txBox="1"/>
          </xdr:nvSpPr>
          <xdr:spPr>
            <a:xfrm>
              <a:off x="12623097" y="25199259"/>
              <a:ext cx="3762761" cy="3476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𝐶𝑜𝑠𝑡𝑒 𝐸𝑛𝑑𝑢𝑒𝑑𝑎𝑚𝑖𝑒𝑛𝑡𝑜 𝑁𝑜 𝑃𝑟𝑜𝑝𝑖𝑎 (𝐾)=(</a:t>
              </a:r>
              <a:r>
                <a:rPr lang="es-ES" sz="1100" b="0" i="0">
                  <a:solidFill>
                    <a:schemeClr val="tx1"/>
                  </a:solidFill>
                  <a:effectLst/>
                  <a:latin typeface="Cambria Math" panose="02040503050406030204" pitchFamily="18" charset="0"/>
                  <a:ea typeface="+mn-ea"/>
                  <a:cs typeface="+mn-cs"/>
                </a:rPr>
                <a:t>𝐺𝑎𝑠𝑡𝑜𝑠 </a:t>
              </a:r>
              <a:r>
                <a:rPr lang="es-ES" sz="1100" b="0" i="0">
                  <a:latin typeface="Cambria Math" panose="02040503050406030204" pitchFamily="18" charset="0"/>
                </a:rPr>
                <a:t>𝐹𝑖𝑛𝑎𝑛𝑐𝑖𝑒𝑟𝑜𝑠)/(𝐹𝑜𝑛𝑑𝑜𝑠 𝑎𝑗𝑒𝑛𝑜𝑠)</a:t>
              </a:r>
              <a:endParaRPr lang="es-ES" sz="1100"/>
            </a:p>
          </xdr:txBody>
        </xdr:sp>
      </mc:Fallback>
    </mc:AlternateContent>
    <xdr:clientData/>
  </xdr:oneCellAnchor>
  <xdr:oneCellAnchor>
    <xdr:from>
      <xdr:col>8</xdr:col>
      <xdr:colOff>160020</xdr:colOff>
      <xdr:row>37</xdr:row>
      <xdr:rowOff>247650</xdr:rowOff>
    </xdr:from>
    <xdr:ext cx="3221779" cy="172227"/>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983D72FC-F17C-43E9-ACD9-AE9D47E4E29B}"/>
                </a:ext>
              </a:extLst>
            </xdr:cNvPr>
            <xdr:cNvSpPr txBox="1"/>
          </xdr:nvSpPr>
          <xdr:spPr>
            <a:xfrm>
              <a:off x="11554161" y="26675603"/>
              <a:ext cx="32217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𝐵𝐴𝐼𝑇</m:t>
                  </m:r>
                  <m:r>
                    <a:rPr lang="es-ES" sz="1100" b="0" i="1">
                      <a:latin typeface="Cambria Math" panose="02040503050406030204" pitchFamily="18" charset="0"/>
                    </a:rPr>
                    <m:t>=⇒</m:t>
                  </m:r>
                </m:oMath>
              </a14:m>
              <a:r>
                <a:rPr lang="es-ES" sz="1100"/>
                <a:t> </a:t>
              </a:r>
              <a14:m>
                <m:oMath xmlns:m="http://schemas.openxmlformats.org/officeDocument/2006/math">
                  <m:r>
                    <a:rPr lang="es-ES" sz="1100" b="0" i="1">
                      <a:solidFill>
                        <a:schemeClr val="tx1"/>
                      </a:solidFill>
                      <a:effectLst/>
                      <a:latin typeface="Cambria Math" panose="02040503050406030204" pitchFamily="18" charset="0"/>
                      <a:ea typeface="+mn-ea"/>
                      <a:cs typeface="+mn-cs"/>
                    </a:rPr>
                    <m:t>𝑅</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𝐴𝑛𝑡𝑒𝑠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𝐼𝑚𝑝𝑢𝑒𝑠𝑡𝑜𝑠</m:t>
                  </m:r>
                </m:oMath>
              </a14:m>
              <a:r>
                <a:rPr lang="es-ES" sz="1100"/>
                <a:t> + Gastos Financieros</a:t>
              </a:r>
            </a:p>
          </xdr:txBody>
        </xdr:sp>
      </mc:Choice>
      <mc:Fallback>
        <xdr:sp macro="" textlink="">
          <xdr:nvSpPr>
            <xdr:cNvPr id="22" name="CuadroTexto 21">
              <a:extLst>
                <a:ext uri="{FF2B5EF4-FFF2-40B4-BE49-F238E27FC236}">
                  <a16:creationId xmlns:a16="http://schemas.microsoft.com/office/drawing/2014/main" id="{983D72FC-F17C-43E9-ACD9-AE9D47E4E29B}"/>
                </a:ext>
              </a:extLst>
            </xdr:cNvPr>
            <xdr:cNvSpPr txBox="1"/>
          </xdr:nvSpPr>
          <xdr:spPr>
            <a:xfrm>
              <a:off x="11554161" y="26675603"/>
              <a:ext cx="32217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𝐵𝐴𝐼𝑇=⇒</a:t>
              </a:r>
              <a:r>
                <a:rPr lang="es-ES" sz="1100"/>
                <a:t> </a:t>
              </a:r>
              <a:r>
                <a:rPr lang="es-ES" sz="1100" b="0" i="0">
                  <a:solidFill>
                    <a:schemeClr val="tx1"/>
                  </a:solidFill>
                  <a:effectLst/>
                  <a:latin typeface="Cambria Math" panose="02040503050406030204" pitchFamily="18" charset="0"/>
                  <a:ea typeface="+mn-ea"/>
                  <a:cs typeface="+mn-cs"/>
                </a:rPr>
                <a:t>𝑅. 𝐴𝑛𝑡𝑒𝑠 𝑑𝑒 𝐼𝑚𝑝𝑢𝑒𝑠𝑡𝑜𝑠</a:t>
              </a:r>
              <a:r>
                <a:rPr lang="es-ES" sz="1100"/>
                <a:t> + Gastos Financieros</a:t>
              </a:r>
            </a:p>
          </xdr:txBody>
        </xdr:sp>
      </mc:Fallback>
    </mc:AlternateContent>
    <xdr:clientData/>
  </xdr:oneCellAnchor>
  <xdr:oneCellAnchor>
    <xdr:from>
      <xdr:col>8</xdr:col>
      <xdr:colOff>1013460</xdr:colOff>
      <xdr:row>32</xdr:row>
      <xdr:rowOff>118110</xdr:rowOff>
    </xdr:from>
    <xdr:ext cx="2369495" cy="346570"/>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BC7CA2A4-9D6D-4488-A6A5-7CCE7E8D0B31}"/>
                </a:ext>
              </a:extLst>
            </xdr:cNvPr>
            <xdr:cNvSpPr txBox="1"/>
          </xdr:nvSpPr>
          <xdr:spPr>
            <a:xfrm>
              <a:off x="13479780" y="18421350"/>
              <a:ext cx="236949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𝑀𝑎𝑟𝑔𝑒𝑛</m:t>
                    </m:r>
                    <m:r>
                      <a:rPr lang="es-ES" sz="1100" b="0" i="1">
                        <a:latin typeface="Cambria Math" panose="02040503050406030204" pitchFamily="18" charset="0"/>
                      </a:rPr>
                      <m:t> </m:t>
                    </m:r>
                    <m:r>
                      <a:rPr lang="es-ES" sz="1100" b="0" i="1">
                        <a:latin typeface="Cambria Math" panose="02040503050406030204" pitchFamily="18" charset="0"/>
                      </a:rPr>
                      <m:t>𝐸𝑥𝑝</m:t>
                    </m:r>
                    <m:r>
                      <a:rPr lang="es-ES" sz="1100" b="0" i="1">
                        <a:latin typeface="Cambria Math" panose="02040503050406030204" pitchFamily="18" charset="0"/>
                      </a:rPr>
                      <m:t>= </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𝑅𝑁𝐸</m:t>
                        </m:r>
                      </m:num>
                      <m:den>
                        <m:r>
                          <a:rPr lang="es-ES" sz="1100" b="0" i="1">
                            <a:solidFill>
                              <a:schemeClr val="tx1"/>
                            </a:solidFill>
                            <a:effectLst/>
                            <a:latin typeface="Cambria Math" panose="02040503050406030204" pitchFamily="18" charset="0"/>
                            <a:ea typeface="+mn-ea"/>
                            <a:cs typeface="+mn-cs"/>
                          </a:rPr>
                          <m:t>𝐼𝑛𝑔𝑟𝑒𝑠𝑜𝑠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𝑒𝑥𝑝𝑙𝑜𝑡𝑎𝑐𝑖𝑜𝑛</m:t>
                        </m:r>
                      </m:den>
                    </m:f>
                  </m:oMath>
                </m:oMathPara>
              </a14:m>
              <a:endParaRPr lang="es-ES" sz="1100"/>
            </a:p>
          </xdr:txBody>
        </xdr:sp>
      </mc:Choice>
      <mc:Fallback xmlns="">
        <xdr:sp macro="" textlink="">
          <xdr:nvSpPr>
            <xdr:cNvPr id="23" name="CuadroTexto 22">
              <a:extLst>
                <a:ext uri="{FF2B5EF4-FFF2-40B4-BE49-F238E27FC236}">
                  <a16:creationId xmlns:a16="http://schemas.microsoft.com/office/drawing/2014/main" id="{BC7CA2A4-9D6D-4488-A6A5-7CCE7E8D0B31}"/>
                </a:ext>
              </a:extLst>
            </xdr:cNvPr>
            <xdr:cNvSpPr txBox="1"/>
          </xdr:nvSpPr>
          <xdr:spPr>
            <a:xfrm>
              <a:off x="13479780" y="18421350"/>
              <a:ext cx="236949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𝑀𝑎𝑟𝑔𝑒𝑛 𝐸𝑥𝑝= </a:t>
              </a:r>
              <a:r>
                <a:rPr lang="es-ES" sz="1100" b="0" i="0">
                  <a:solidFill>
                    <a:schemeClr val="tx1"/>
                  </a:solidFill>
                  <a:effectLst/>
                  <a:latin typeface="Cambria Math" panose="02040503050406030204" pitchFamily="18" charset="0"/>
                  <a:ea typeface="+mn-ea"/>
                  <a:cs typeface="+mn-cs"/>
                </a:rPr>
                <a:t> 𝑅𝑁𝐸/(𝐼𝑛𝑔𝑟𝑒𝑠𝑜𝑠 𝑒𝑥𝑝𝑙𝑜𝑡𝑎𝑐𝑖𝑜𝑛)</a:t>
              </a:r>
              <a:endParaRPr lang="es-ES" sz="1100"/>
            </a:p>
          </xdr:txBody>
        </xdr:sp>
      </mc:Fallback>
    </mc:AlternateContent>
    <xdr:clientData/>
  </xdr:oneCellAnchor>
  <xdr:oneCellAnchor>
    <xdr:from>
      <xdr:col>8</xdr:col>
      <xdr:colOff>883920</xdr:colOff>
      <xdr:row>33</xdr:row>
      <xdr:rowOff>163830</xdr:rowOff>
    </xdr:from>
    <xdr:ext cx="2431563" cy="34990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1DF5640B-4227-4907-AC65-81A7670DF99F}"/>
                </a:ext>
              </a:extLst>
            </xdr:cNvPr>
            <xdr:cNvSpPr txBox="1"/>
          </xdr:nvSpPr>
          <xdr:spPr>
            <a:xfrm>
              <a:off x="12270377" y="23546344"/>
              <a:ext cx="2431563"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𝑅𝑜𝑡𝑎𝑐𝑖𝑜𝑛</m:t>
                    </m:r>
                    <m:r>
                      <a:rPr lang="es-ES" sz="1100" b="0" i="1">
                        <a:latin typeface="Cambria Math" panose="02040503050406030204" pitchFamily="18" charset="0"/>
                      </a:rPr>
                      <m:t> </m:t>
                    </m:r>
                    <m:r>
                      <a:rPr lang="es-ES" sz="1100" b="0" i="1">
                        <a:latin typeface="Cambria Math" panose="02040503050406030204" pitchFamily="18" charset="0"/>
                      </a:rPr>
                      <m:t>𝐸𝑥𝑝</m:t>
                    </m:r>
                    <m:r>
                      <a:rPr lang="es-ES" sz="1100" b="0" i="1">
                        <a:latin typeface="Cambria Math" panose="02040503050406030204" pitchFamily="18" charset="0"/>
                      </a:rPr>
                      <m:t>= </m:t>
                    </m:r>
                    <m:f>
                      <m:fPr>
                        <m:ctrlPr>
                          <a:rPr lang="es-ES" sz="1100" b="0" i="1">
                            <a:solidFill>
                              <a:schemeClr val="tx1"/>
                            </a:solidFill>
                            <a:effectLst/>
                            <a:latin typeface="Cambria Math" panose="02040503050406030204" pitchFamily="18" charset="0"/>
                            <a:ea typeface="+mn-ea"/>
                            <a:cs typeface="+mn-cs"/>
                          </a:rPr>
                        </m:ctrlPr>
                      </m:fPr>
                      <m:num>
                        <m:r>
                          <a:rPr lang="es-ES" sz="1100" b="0" i="1">
                            <a:solidFill>
                              <a:schemeClr val="tx1"/>
                            </a:solidFill>
                            <a:effectLst/>
                            <a:latin typeface="Cambria Math" panose="02040503050406030204" pitchFamily="18" charset="0"/>
                            <a:ea typeface="+mn-ea"/>
                            <a:cs typeface="+mn-cs"/>
                          </a:rPr>
                          <m:t>𝐼𝑛𝑔𝑟𝑒𝑠𝑜𝑠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𝑒𝑥𝑝𝑙𝑜𝑡𝑎𝑐𝑖𝑜𝑛</m:t>
                        </m:r>
                      </m:num>
                      <m:den>
                        <m:r>
                          <a:rPr lang="es-ES" sz="1100" b="0" i="1">
                            <a:solidFill>
                              <a:schemeClr val="tx1"/>
                            </a:solidFill>
                            <a:effectLst/>
                            <a:latin typeface="Cambria Math" panose="02040503050406030204" pitchFamily="18" charset="0"/>
                            <a:ea typeface="+mn-ea"/>
                            <a:cs typeface="+mn-cs"/>
                          </a:rPr>
                          <m:t>𝐴𝑐𝑡𝑖𝑣𝑜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𝑇𝑜𝑡𝑎𝑙</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𝑒𝑥𝑝</m:t>
                        </m:r>
                      </m:den>
                    </m:f>
                  </m:oMath>
                </m:oMathPara>
              </a14:m>
              <a:endParaRPr lang="es-ES" sz="1100"/>
            </a:p>
          </xdr:txBody>
        </xdr:sp>
      </mc:Choice>
      <mc:Fallback xmlns="">
        <xdr:sp macro="" textlink="">
          <xdr:nvSpPr>
            <xdr:cNvPr id="24" name="CuadroTexto 23">
              <a:extLst>
                <a:ext uri="{FF2B5EF4-FFF2-40B4-BE49-F238E27FC236}">
                  <a16:creationId xmlns:a16="http://schemas.microsoft.com/office/drawing/2014/main" id="{1DF5640B-4227-4907-AC65-81A7670DF99F}"/>
                </a:ext>
              </a:extLst>
            </xdr:cNvPr>
            <xdr:cNvSpPr txBox="1"/>
          </xdr:nvSpPr>
          <xdr:spPr>
            <a:xfrm>
              <a:off x="12270377" y="23546344"/>
              <a:ext cx="2431563"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𝑅𝑜𝑡𝑎𝑐𝑖𝑜𝑛 𝐸𝑥𝑝= </a:t>
              </a:r>
              <a:r>
                <a:rPr lang="es-ES" sz="1100" b="0" i="0">
                  <a:solidFill>
                    <a:schemeClr val="tx1"/>
                  </a:solidFill>
                  <a:effectLst/>
                  <a:latin typeface="Cambria Math" panose="02040503050406030204" pitchFamily="18" charset="0"/>
                  <a:ea typeface="+mn-ea"/>
                  <a:cs typeface="+mn-cs"/>
                </a:rPr>
                <a:t> (𝐼𝑛𝑔𝑟𝑒𝑠𝑜𝑠 𝑒𝑥𝑝𝑙𝑜𝑡𝑎𝑐𝑖𝑜𝑛)/(𝐴𝑐𝑡𝑖𝑣𝑜 𝑇𝑜𝑡𝑎𝑙  𝑒𝑥𝑝)</a:t>
              </a:r>
              <a:endParaRPr lang="es-ES" sz="1100"/>
            </a:p>
          </xdr:txBody>
        </xdr:sp>
      </mc:Fallback>
    </mc:AlternateContent>
    <xdr:clientData/>
  </xdr:oneCellAnchor>
  <xdr:oneCellAnchor>
    <xdr:from>
      <xdr:col>8</xdr:col>
      <xdr:colOff>83820</xdr:colOff>
      <xdr:row>39</xdr:row>
      <xdr:rowOff>232410</xdr:rowOff>
    </xdr:from>
    <xdr:ext cx="4501552" cy="344453"/>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18AA10BD-E5BB-4539-8856-2B41ECF039A6}"/>
                </a:ext>
              </a:extLst>
            </xdr:cNvPr>
            <xdr:cNvSpPr txBox="1"/>
          </xdr:nvSpPr>
          <xdr:spPr>
            <a:xfrm>
              <a:off x="12550140" y="23374350"/>
              <a:ext cx="450155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𝐴𝑗𝑒𝑛𝑜𝑠</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𝑁</m:t>
                        </m:r>
                        <m:r>
                          <a:rPr lang="es-ES" sz="1100" b="0" i="1">
                            <a:latin typeface="Cambria Math" panose="02040503050406030204" pitchFamily="18" charset="0"/>
                          </a:rPr>
                          <m:t>.</m:t>
                        </m:r>
                        <m:r>
                          <a:rPr lang="es-ES" sz="1100" b="0" i="1">
                            <a:latin typeface="Cambria Math" panose="02040503050406030204" pitchFamily="18" charset="0"/>
                          </a:rPr>
                          <m:t>𝐶</m:t>
                        </m:r>
                        <m:r>
                          <a:rPr lang="es-ES" sz="1100" b="0" i="1">
                            <a:latin typeface="Cambria Math" panose="02040503050406030204" pitchFamily="18" charset="0"/>
                          </a:rPr>
                          <m:t>+</m:t>
                        </m:r>
                        <m:r>
                          <a:rPr lang="es-ES" sz="1100" b="0" i="1">
                            <a:latin typeface="Cambria Math" panose="02040503050406030204" pitchFamily="18" charset="0"/>
                          </a:rPr>
                          <m:t>𝑃</m:t>
                        </m:r>
                        <m:r>
                          <a:rPr lang="es-ES" sz="1100" b="0" i="1">
                            <a:latin typeface="Cambria Math" panose="02040503050406030204" pitchFamily="18" charset="0"/>
                          </a:rPr>
                          <m:t>.</m:t>
                        </m:r>
                        <m:r>
                          <a:rPr lang="es-ES" sz="1100" b="0" i="1">
                            <a:latin typeface="Cambria Math" panose="02040503050406030204" pitchFamily="18" charset="0"/>
                          </a:rPr>
                          <m:t>𝐶</m:t>
                        </m:r>
                      </m:e>
                    </m:d>
                    <m:r>
                      <a:rPr lang="es-ES" sz="1100" b="0" i="1">
                        <a:latin typeface="Cambria Math" panose="02040503050406030204" pitchFamily="18" charset="0"/>
                      </a:rPr>
                      <m:t>−</m:t>
                    </m:r>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𝑃𝑟𝑜𝑝𝑖𝑜𝑠</m:t>
                    </m:r>
                  </m:oMath>
                </m:oMathPara>
              </a14:m>
              <a:endParaRPr lang="es-ES" sz="1100" b="0"/>
            </a:p>
            <a:p>
              <a:pPr/>
              <a14:m>
                <m:oMathPara xmlns:m="http://schemas.openxmlformats.org/officeDocument/2006/math">
                  <m:oMathParaPr>
                    <m:jc m:val="centerGroup"/>
                  </m:oMathParaPr>
                  <m:oMath xmlns:m="http://schemas.openxmlformats.org/officeDocument/2006/math">
                    <m:r>
                      <a:rPr lang="es-ES" sz="1100" b="0" i="1">
                        <a:solidFill>
                          <a:schemeClr val="tx1"/>
                        </a:solidFill>
                        <a:effectLst/>
                        <a:latin typeface="Cambria Math" panose="02040503050406030204" pitchFamily="18" charset="0"/>
                        <a:ea typeface="+mn-ea"/>
                        <a:cs typeface="+mn-cs"/>
                      </a:rPr>
                      <m:t>𝐹𝑜𝑛𝑑𝑜𝑠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𝐴𝑗𝑒𝑛𝑜𝑠</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𝑃𝑎𝑠𝑖𝑣𝑜</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𝑆𝑢𝑏𝑣𝑒𝑛𝑐𝑖𝑜𝑛𝑒𝑠</m:t>
                    </m:r>
                    <m:r>
                      <a:rPr lang="es-ES" sz="1100" b="0" i="1">
                        <a:solidFill>
                          <a:schemeClr val="tx1"/>
                        </a:solidFill>
                        <a:effectLst/>
                        <a:latin typeface="Cambria Math" panose="02040503050406030204" pitchFamily="18" charset="0"/>
                        <a:ea typeface="+mn-ea"/>
                        <a:cs typeface="+mn-cs"/>
                      </a:rPr>
                      <m:t>+</m:t>
                    </m:r>
                    <m:r>
                      <a:rPr lang="es-ES" sz="1100" b="0" i="1">
                        <a:solidFill>
                          <a:schemeClr val="tx1"/>
                        </a:solidFill>
                        <a:effectLst/>
                        <a:latin typeface="Cambria Math" panose="02040503050406030204" pitchFamily="18" charset="0"/>
                        <a:ea typeface="+mn-ea"/>
                        <a:cs typeface="+mn-cs"/>
                      </a:rPr>
                      <m:t>𝐴𝑗𝑢𝑠𝑡𝑒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𝑝𝑜𝑟</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𝑐𝑎𝑚𝑏𝑖𝑜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𝑣𝑎𝑙𝑜𝑟</m:t>
                    </m:r>
                  </m:oMath>
                </m:oMathPara>
              </a14:m>
              <a:endParaRPr lang="es-ES" sz="1100" b="0"/>
            </a:p>
          </xdr:txBody>
        </xdr:sp>
      </mc:Choice>
      <mc:Fallback xmlns="">
        <xdr:sp macro="" textlink="">
          <xdr:nvSpPr>
            <xdr:cNvPr id="25" name="CuadroTexto 24">
              <a:extLst>
                <a:ext uri="{FF2B5EF4-FFF2-40B4-BE49-F238E27FC236}">
                  <a16:creationId xmlns:a16="http://schemas.microsoft.com/office/drawing/2014/main" id="{18AA10BD-E5BB-4539-8856-2B41ECF039A6}"/>
                </a:ext>
              </a:extLst>
            </xdr:cNvPr>
            <xdr:cNvSpPr txBox="1"/>
          </xdr:nvSpPr>
          <xdr:spPr>
            <a:xfrm>
              <a:off x="12550140" y="23374350"/>
              <a:ext cx="4501552"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𝐹𝑜𝑛𝑑𝑜𝑠 𝐴𝑗𝑒𝑛𝑜𝑠=(𝑃.𝑁+𝑃.𝑁.𝐶+𝑃.𝐶)−𝐹𝑜𝑛𝑑𝑜𝑠 𝑃𝑟𝑜𝑝𝑖𝑜𝑠</a:t>
              </a:r>
              <a:endParaRPr lang="es-ES" sz="1100" b="0"/>
            </a:p>
            <a:p>
              <a:pPr/>
              <a:r>
                <a:rPr lang="es-ES" sz="1100" b="0" i="0">
                  <a:solidFill>
                    <a:schemeClr val="tx1"/>
                  </a:solidFill>
                  <a:effectLst/>
                  <a:latin typeface="Cambria Math" panose="02040503050406030204" pitchFamily="18" charset="0"/>
                  <a:ea typeface="+mn-ea"/>
                  <a:cs typeface="+mn-cs"/>
                </a:rPr>
                <a:t>𝐹𝑜𝑛𝑑𝑜𝑠 𝐴𝑗𝑒𝑛𝑜𝑠=𝑃𝑎𝑠𝑖𝑣𝑜+𝑆𝑢𝑏𝑣𝑒𝑛𝑐𝑖𝑜𝑛𝑒𝑠+𝐴𝑗𝑢𝑠𝑡𝑒 𝑝𝑜𝑟 𝑐𝑎𝑚𝑏𝑖𝑜 𝑑𝑒 𝑣𝑎𝑙𝑜𝑟</a:t>
              </a:r>
              <a:endParaRPr lang="es-ES" sz="1100" b="0"/>
            </a:p>
          </xdr:txBody>
        </xdr:sp>
      </mc:Fallback>
    </mc:AlternateContent>
    <xdr:clientData/>
  </xdr:oneCellAnchor>
  <xdr:oneCellAnchor>
    <xdr:from>
      <xdr:col>8</xdr:col>
      <xdr:colOff>243840</xdr:colOff>
      <xdr:row>43</xdr:row>
      <xdr:rowOff>118110</xdr:rowOff>
    </xdr:from>
    <xdr:ext cx="1820435" cy="351506"/>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14B04C61-20D3-46EA-8E11-751451611C7C}"/>
                </a:ext>
              </a:extLst>
            </xdr:cNvPr>
            <xdr:cNvSpPr txBox="1"/>
          </xdr:nvSpPr>
          <xdr:spPr>
            <a:xfrm>
              <a:off x="11630297" y="30195339"/>
              <a:ext cx="1820435"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𝐿𝑒𝑣𝑒𝑟𝑎𝑔𝑒</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𝑓𝑜𝑛𝑑𝑜𝑠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𝑎𝑗𝑒𝑛𝑜𝑠</m:t>
                        </m:r>
                        <m:r>
                          <a:rPr lang="es-ES" sz="1100" b="0" i="1">
                            <a:solidFill>
                              <a:schemeClr val="tx1"/>
                            </a:solidFill>
                            <a:effectLst/>
                            <a:latin typeface="Cambria Math" panose="02040503050406030204" pitchFamily="18" charset="0"/>
                            <a:ea typeface="+mn-ea"/>
                            <a:cs typeface="+mn-cs"/>
                          </a:rPr>
                          <m:t> </m:t>
                        </m:r>
                      </m:num>
                      <m:den>
                        <m:r>
                          <a:rPr lang="es-ES" sz="1100" b="0" i="1">
                            <a:latin typeface="Cambria Math" panose="02040503050406030204" pitchFamily="18" charset="0"/>
                          </a:rPr>
                          <m:t>𝑓𝑜𝑛𝑑𝑜𝑠</m:t>
                        </m:r>
                        <m:r>
                          <a:rPr lang="es-ES" sz="1100" b="0" i="1">
                            <a:latin typeface="Cambria Math" panose="02040503050406030204" pitchFamily="18" charset="0"/>
                          </a:rPr>
                          <m:t> </m:t>
                        </m:r>
                        <m:r>
                          <a:rPr lang="es-ES" sz="1100" b="0" i="1">
                            <a:latin typeface="Cambria Math" panose="02040503050406030204" pitchFamily="18" charset="0"/>
                          </a:rPr>
                          <m:t>𝑝𝑟𝑜𝑝𝑖𝑜𝑠</m:t>
                        </m:r>
                        <m:r>
                          <a:rPr lang="es-ES" sz="1100" b="0" i="1">
                            <a:latin typeface="Cambria Math" panose="02040503050406030204" pitchFamily="18" charset="0"/>
                          </a:rPr>
                          <m:t> </m:t>
                        </m:r>
                      </m:den>
                    </m:f>
                  </m:oMath>
                </m:oMathPara>
              </a14:m>
              <a:endParaRPr lang="es-ES" sz="1100"/>
            </a:p>
          </xdr:txBody>
        </xdr:sp>
      </mc:Choice>
      <mc:Fallback xmlns="">
        <xdr:sp macro="" textlink="">
          <xdr:nvSpPr>
            <xdr:cNvPr id="26" name="CuadroTexto 25">
              <a:extLst>
                <a:ext uri="{FF2B5EF4-FFF2-40B4-BE49-F238E27FC236}">
                  <a16:creationId xmlns:a16="http://schemas.microsoft.com/office/drawing/2014/main" id="{14B04C61-20D3-46EA-8E11-751451611C7C}"/>
                </a:ext>
              </a:extLst>
            </xdr:cNvPr>
            <xdr:cNvSpPr txBox="1"/>
          </xdr:nvSpPr>
          <xdr:spPr>
            <a:xfrm>
              <a:off x="11630297" y="30195339"/>
              <a:ext cx="1820435" cy="351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𝐿𝑒𝑣𝑒𝑟𝑎𝑔𝑒=(</a:t>
              </a:r>
              <a:r>
                <a:rPr lang="es-ES" sz="1100" b="0" i="0">
                  <a:solidFill>
                    <a:schemeClr val="tx1"/>
                  </a:solidFill>
                  <a:effectLst/>
                  <a:latin typeface="Cambria Math" panose="02040503050406030204" pitchFamily="18" charset="0"/>
                  <a:ea typeface="+mn-ea"/>
                  <a:cs typeface="+mn-cs"/>
                </a:rPr>
                <a:t>𝑓𝑜𝑛𝑑𝑜𝑠 𝑎𝑗𝑒𝑛𝑜𝑠 )/(</a:t>
              </a:r>
              <a:r>
                <a:rPr lang="es-ES" sz="1100" b="0" i="0">
                  <a:latin typeface="Cambria Math" panose="02040503050406030204" pitchFamily="18" charset="0"/>
                </a:rPr>
                <a:t>𝑓𝑜𝑛𝑑𝑜𝑠 𝑝𝑟𝑜𝑝𝑖𝑜𝑠 )</a:t>
              </a:r>
              <a:endParaRPr lang="es-ES" sz="1100"/>
            </a:p>
          </xdr:txBody>
        </xdr:sp>
      </mc:Fallback>
    </mc:AlternateContent>
    <xdr:clientData/>
  </xdr:oneCellAnchor>
  <xdr:oneCellAnchor>
    <xdr:from>
      <xdr:col>8</xdr:col>
      <xdr:colOff>220980</xdr:colOff>
      <xdr:row>42</xdr:row>
      <xdr:rowOff>110490</xdr:rowOff>
    </xdr:from>
    <xdr:ext cx="3153234" cy="350352"/>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9E7D2097-DC91-4247-BDEE-FE991A09BF82}"/>
                </a:ext>
              </a:extLst>
            </xdr:cNvPr>
            <xdr:cNvSpPr txBox="1"/>
          </xdr:nvSpPr>
          <xdr:spPr>
            <a:xfrm>
              <a:off x="12687300" y="25759410"/>
              <a:ext cx="3153234" cy="35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𝑇𝑎𝑠𝑎</m:t>
                    </m:r>
                    <m:r>
                      <a:rPr lang="es-ES" sz="1100" b="0" i="1">
                        <a:latin typeface="Cambria Math" panose="02040503050406030204" pitchFamily="18" charset="0"/>
                      </a:rPr>
                      <m:t> </m:t>
                    </m:r>
                    <m:r>
                      <a:rPr lang="es-ES" sz="1100" b="0" i="1">
                        <a:latin typeface="Cambria Math" panose="02040503050406030204" pitchFamily="18" charset="0"/>
                      </a:rPr>
                      <m:t>𝐼𝑚𝑝𝑜𝑠𝑖𝑡𝑖𝑣𝑎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𝐼𝑚𝑝𝑢𝑒𝑠𝑡𝑜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𝑠𝑜𝑏𝑟𝑒</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𝑏𝑒𝑛𝑒𝑓𝑖𝑐𝑖𝑜𝑠</m:t>
                        </m:r>
                      </m:num>
                      <m:den>
                        <m:r>
                          <a:rPr lang="es-ES" sz="1100" b="0" i="1">
                            <a:latin typeface="Cambria Math" panose="02040503050406030204" pitchFamily="18" charset="0"/>
                          </a:rPr>
                          <m:t>𝑅𝑒𝑠𝑢𝑙𝑡𝑎𝑑𝑜</m:t>
                        </m:r>
                        <m:r>
                          <a:rPr lang="es-ES" sz="1100" b="0" i="1">
                            <a:latin typeface="Cambria Math" panose="02040503050406030204" pitchFamily="18" charset="0"/>
                          </a:rPr>
                          <m:t> </m:t>
                        </m:r>
                        <m:r>
                          <a:rPr lang="es-ES" sz="1100" b="0" i="1">
                            <a:solidFill>
                              <a:schemeClr val="tx1"/>
                            </a:solidFill>
                            <a:effectLst/>
                            <a:latin typeface="Cambria Math" panose="02040503050406030204" pitchFamily="18" charset="0"/>
                            <a:ea typeface="+mn-ea"/>
                            <a:cs typeface="+mn-cs"/>
                          </a:rPr>
                          <m:t>𝑎𝑛𝑡𝑒𝑠</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𝑑𝑒</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𝑖𝑚𝑝𝑢𝑒𝑠𝑡𝑜𝑠</m:t>
                        </m:r>
                      </m:den>
                    </m:f>
                  </m:oMath>
                </m:oMathPara>
              </a14:m>
              <a:endParaRPr lang="es-ES" sz="1100"/>
            </a:p>
          </xdr:txBody>
        </xdr:sp>
      </mc:Choice>
      <mc:Fallback xmlns="">
        <xdr:sp macro="" textlink="">
          <xdr:nvSpPr>
            <xdr:cNvPr id="27" name="CuadroTexto 26">
              <a:extLst>
                <a:ext uri="{FF2B5EF4-FFF2-40B4-BE49-F238E27FC236}">
                  <a16:creationId xmlns:a16="http://schemas.microsoft.com/office/drawing/2014/main" id="{9E7D2097-DC91-4247-BDEE-FE991A09BF82}"/>
                </a:ext>
              </a:extLst>
            </xdr:cNvPr>
            <xdr:cNvSpPr txBox="1"/>
          </xdr:nvSpPr>
          <xdr:spPr>
            <a:xfrm>
              <a:off x="12687300" y="25759410"/>
              <a:ext cx="3153234" cy="35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𝑇𝑎𝑠𝑎 𝐼𝑚𝑝𝑜𝑠𝑖𝑡𝑖𝑣𝑎=(</a:t>
              </a:r>
              <a:r>
                <a:rPr lang="es-ES" sz="1100" b="0" i="0">
                  <a:solidFill>
                    <a:schemeClr val="tx1"/>
                  </a:solidFill>
                  <a:effectLst/>
                  <a:latin typeface="Cambria Math" panose="02040503050406030204" pitchFamily="18" charset="0"/>
                  <a:ea typeface="+mn-ea"/>
                  <a:cs typeface="+mn-cs"/>
                </a:rPr>
                <a:t>𝐼𝑚𝑝𝑢𝑒𝑠𝑡𝑜 𝑠𝑜𝑏𝑟𝑒 </a:t>
              </a:r>
              <a:r>
                <a:rPr lang="es-ES" sz="1100" b="0" i="0">
                  <a:latin typeface="Cambria Math" panose="02040503050406030204" pitchFamily="18" charset="0"/>
                </a:rPr>
                <a:t>𝑏𝑒𝑛𝑒𝑓𝑖𝑐𝑖𝑜𝑠)/(𝑅𝑒𝑠𝑢𝑙𝑡𝑎𝑑𝑜 </a:t>
              </a:r>
              <a:r>
                <a:rPr lang="es-ES" sz="1100" b="0" i="0">
                  <a:solidFill>
                    <a:schemeClr val="tx1"/>
                  </a:solidFill>
                  <a:effectLst/>
                  <a:latin typeface="Cambria Math" panose="02040503050406030204" pitchFamily="18" charset="0"/>
                  <a:ea typeface="+mn-ea"/>
                  <a:cs typeface="+mn-cs"/>
                </a:rPr>
                <a:t>𝑎𝑛𝑡𝑒𝑠 𝑑𝑒 𝑖𝑚𝑝𝑢𝑒𝑠𝑡𝑜𝑠)</a:t>
              </a:r>
              <a:endParaRPr lang="es-ES" sz="1100"/>
            </a:p>
          </xdr:txBody>
        </xdr:sp>
      </mc:Fallback>
    </mc:AlternateContent>
    <xdr:clientData/>
  </xdr:oneCellAnchor>
  <xdr:oneCellAnchor>
    <xdr:from>
      <xdr:col>8</xdr:col>
      <xdr:colOff>121920</xdr:colOff>
      <xdr:row>45</xdr:row>
      <xdr:rowOff>114300</xdr:rowOff>
    </xdr:from>
    <xdr:ext cx="2292935" cy="349904"/>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B523E6F3-C6E3-4F65-8D11-D29A1E0E82B5}"/>
                </a:ext>
              </a:extLst>
            </xdr:cNvPr>
            <xdr:cNvSpPr txBox="1"/>
          </xdr:nvSpPr>
          <xdr:spPr>
            <a:xfrm>
              <a:off x="11514445" y="31331316"/>
              <a:ext cx="2292935"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𝑅𝑒𝑠𝑢𝑙𝑡𝑎𝑑𝑜</m:t>
                        </m:r>
                        <m:r>
                          <a:rPr lang="es-ES" sz="1100" b="0" i="1">
                            <a:latin typeface="Cambria Math" panose="02040503050406030204" pitchFamily="18" charset="0"/>
                          </a:rPr>
                          <m:t> </m:t>
                        </m:r>
                        <m:r>
                          <a:rPr lang="es-ES" sz="1100" b="0" i="1">
                            <a:latin typeface="Cambria Math" panose="02040503050406030204" pitchFamily="18" charset="0"/>
                          </a:rPr>
                          <m:t>𝑒𝑗𝑒𝑟𝑐𝑖𝑐𝑖𝑜</m:t>
                        </m:r>
                      </m:num>
                      <m:den>
                        <m:r>
                          <a:rPr lang="es-ES" sz="1100" b="0" i="1">
                            <a:latin typeface="Cambria Math" panose="02040503050406030204" pitchFamily="18" charset="0"/>
                          </a:rPr>
                          <m:t>𝐹𝑜𝑛𝑑𝑜𝑠</m:t>
                        </m:r>
                        <m:r>
                          <a:rPr lang="es-ES" sz="1100" b="0" i="1">
                            <a:latin typeface="Cambria Math" panose="02040503050406030204" pitchFamily="18" charset="0"/>
                          </a:rPr>
                          <m:t> </m:t>
                        </m:r>
                        <m:r>
                          <a:rPr lang="es-ES" sz="1100" b="0" i="1">
                            <a:latin typeface="Cambria Math" panose="02040503050406030204" pitchFamily="18" charset="0"/>
                          </a:rPr>
                          <m:t>𝑃𝑟𝑜𝑝𝑖𝑜𝑠</m:t>
                        </m:r>
                        <m:r>
                          <a:rPr lang="es-ES" sz="1100" b="0" i="1">
                            <a:latin typeface="Cambria Math" panose="02040503050406030204" pitchFamily="18" charset="0"/>
                          </a:rPr>
                          <m:t> </m:t>
                        </m:r>
                      </m:den>
                    </m:f>
                  </m:oMath>
                </m:oMathPara>
              </a14:m>
              <a:endParaRPr lang="es-ES" sz="1100" b="0"/>
            </a:p>
          </xdr:txBody>
        </xdr:sp>
      </mc:Choice>
      <mc:Fallback xmlns="">
        <xdr:sp macro="" textlink="">
          <xdr:nvSpPr>
            <xdr:cNvPr id="28" name="CuadroTexto 27">
              <a:extLst>
                <a:ext uri="{FF2B5EF4-FFF2-40B4-BE49-F238E27FC236}">
                  <a16:creationId xmlns:a16="http://schemas.microsoft.com/office/drawing/2014/main" id="{B523E6F3-C6E3-4F65-8D11-D29A1E0E82B5}"/>
                </a:ext>
              </a:extLst>
            </xdr:cNvPr>
            <xdr:cNvSpPr txBox="1"/>
          </xdr:nvSpPr>
          <xdr:spPr>
            <a:xfrm>
              <a:off x="11514445" y="31331316"/>
              <a:ext cx="2292935"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𝑅.𝐹𝑖𝑛𝑎𝑛𝑐𝑖𝑒𝑟𝑎=(𝑅𝑒𝑠𝑢𝑙𝑡𝑎𝑑𝑜 𝑒𝑗𝑒𝑟𝑐𝑖𝑐𝑖𝑜)/(𝐹𝑜𝑛𝑑𝑜𝑠 𝑃𝑟𝑜𝑝𝑖𝑜𝑠 )</a:t>
              </a:r>
              <a:endParaRPr lang="es-ES" sz="1100" b="0"/>
            </a:p>
          </xdr:txBody>
        </xdr:sp>
      </mc:Fallback>
    </mc:AlternateContent>
    <xdr:clientData/>
  </xdr:oneCellAnchor>
  <xdr:oneCellAnchor>
    <xdr:from>
      <xdr:col>8</xdr:col>
      <xdr:colOff>58271</xdr:colOff>
      <xdr:row>30</xdr:row>
      <xdr:rowOff>233082</xdr:rowOff>
    </xdr:from>
    <xdr:ext cx="5590505"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68EB446-8521-47D9-AFB7-E5DF94FE034B}"/>
                </a:ext>
              </a:extLst>
            </xdr:cNvPr>
            <xdr:cNvSpPr txBox="1"/>
          </xdr:nvSpPr>
          <xdr:spPr>
            <a:xfrm>
              <a:off x="12524591" y="16395102"/>
              <a:ext cx="55905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𝐴𝑐𝑡𝑖𝑣𝑜𝑠</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𝐸𝑥𝑝𝑙𝑜𝑡𝑎𝑐𝑖𝑜𝑛</m:t>
                    </m:r>
                    <m:r>
                      <a:rPr lang="es-ES" sz="1100" b="0" i="1">
                        <a:latin typeface="Cambria Math" panose="02040503050406030204" pitchFamily="18" charset="0"/>
                      </a:rPr>
                      <m:t>=</m:t>
                    </m:r>
                    <m:r>
                      <a:rPr lang="es-ES" sz="1100" b="0" i="1">
                        <a:latin typeface="Cambria Math" panose="02040503050406030204" pitchFamily="18" charset="0"/>
                      </a:rPr>
                      <m:t>𝐼𝑛𝑣𝑒𝑟𝑠𝑖𝑜𝑛</m:t>
                    </m:r>
                    <m:r>
                      <a:rPr lang="es-ES" sz="1100" b="0" i="1">
                        <a:latin typeface="Cambria Math" panose="02040503050406030204" pitchFamily="18" charset="0"/>
                      </a:rPr>
                      <m:t> −</m:t>
                    </m:r>
                    <m:r>
                      <a:rPr lang="es-ES" sz="1100" b="0" i="1">
                        <a:latin typeface="Cambria Math" panose="02040503050406030204" pitchFamily="18" charset="0"/>
                      </a:rPr>
                      <m:t>𝑂𝑡𝑟𝑜</m:t>
                    </m:r>
                    <m:r>
                      <a:rPr lang="es-ES" sz="1100" b="0" i="1">
                        <a:latin typeface="Cambria Math" panose="02040503050406030204" pitchFamily="18" charset="0"/>
                      </a:rPr>
                      <m:t> </m:t>
                    </m:r>
                    <m:r>
                      <a:rPr lang="es-ES" sz="1100" b="0" i="1">
                        <a:latin typeface="Cambria Math" panose="02040503050406030204" pitchFamily="18" charset="0"/>
                      </a:rPr>
                      <m:t>𝐼𝑛𝑚𝑜𝑣𝑖𝑙𝑖𝑧𝑎𝑑𝑜</m:t>
                    </m:r>
                    <m:r>
                      <a:rPr lang="es-ES" sz="1100" b="0" i="1">
                        <a:latin typeface="Cambria Math" panose="02040503050406030204" pitchFamily="18" charset="0"/>
                      </a:rPr>
                      <m:t> </m:t>
                    </m:r>
                    <m:r>
                      <a:rPr lang="es-ES" sz="1100" b="0" i="1">
                        <a:latin typeface="Cambria Math" panose="02040503050406030204" pitchFamily="18" charset="0"/>
                      </a:rPr>
                      <m:t>𝑛𝑒𝑡𝑜</m:t>
                    </m:r>
                    <m:r>
                      <a:rPr lang="es-ES" sz="1100" b="0" i="1">
                        <a:latin typeface="Cambria Math" panose="02040503050406030204" pitchFamily="18" charset="0"/>
                      </a:rPr>
                      <m:t> −</m:t>
                    </m:r>
                    <m:r>
                      <a:rPr lang="es-ES" sz="1100" b="0" i="1">
                        <a:latin typeface="Cambria Math" panose="02040503050406030204" pitchFamily="18" charset="0"/>
                      </a:rPr>
                      <m:t>𝑂𝑡𝑟𝑎</m:t>
                    </m:r>
                    <m:r>
                      <a:rPr lang="es-ES" sz="1100" b="0" i="1">
                        <a:latin typeface="Cambria Math" panose="02040503050406030204" pitchFamily="18" charset="0"/>
                      </a:rPr>
                      <m:t> </m:t>
                    </m:r>
                    <m:r>
                      <a:rPr lang="es-ES" sz="1100" b="0" i="1">
                        <a:latin typeface="Cambria Math" panose="02040503050406030204" pitchFamily="18" charset="0"/>
                      </a:rPr>
                      <m:t>𝑎𝑐𝑡𝑖𝑣𝑜</m:t>
                    </m:r>
                    <m:r>
                      <a:rPr lang="es-ES" sz="1100" b="0" i="1">
                        <a:latin typeface="Cambria Math" panose="02040503050406030204" pitchFamily="18" charset="0"/>
                      </a:rPr>
                      <m:t> </m:t>
                    </m:r>
                    <m:r>
                      <a:rPr lang="es-ES" sz="1100" b="0" i="1">
                        <a:latin typeface="Cambria Math" panose="02040503050406030204" pitchFamily="18" charset="0"/>
                      </a:rPr>
                      <m:t>𝑐𝑖𝑟𝑐𝑢𝑙𝑎𝑛𝑡𝑒</m:t>
                    </m:r>
                  </m:oMath>
                </m:oMathPara>
              </a14:m>
              <a:endParaRPr lang="es-ES" sz="1100"/>
            </a:p>
          </xdr:txBody>
        </xdr:sp>
      </mc:Choice>
      <mc:Fallback xmlns="">
        <xdr:sp macro="" textlink="">
          <xdr:nvSpPr>
            <xdr:cNvPr id="29" name="CuadroTexto 28">
              <a:extLst>
                <a:ext uri="{FF2B5EF4-FFF2-40B4-BE49-F238E27FC236}">
                  <a16:creationId xmlns:a16="http://schemas.microsoft.com/office/drawing/2014/main" id="{F68EB446-8521-47D9-AFB7-E5DF94FE034B}"/>
                </a:ext>
              </a:extLst>
            </xdr:cNvPr>
            <xdr:cNvSpPr txBox="1"/>
          </xdr:nvSpPr>
          <xdr:spPr>
            <a:xfrm>
              <a:off x="12524591" y="16395102"/>
              <a:ext cx="55905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𝐴𝑐𝑡𝑖𝑣𝑜𝑠 𝑑𝑒 𝐸𝑥𝑝𝑙𝑜𝑡𝑎𝑐𝑖𝑜𝑛=𝐼𝑛𝑣𝑒𝑟𝑠𝑖𝑜𝑛 −𝑂𝑡𝑟𝑜 𝐼𝑛𝑚𝑜𝑣𝑖𝑙𝑖𝑧𝑎𝑑𝑜 𝑛𝑒𝑡𝑜 −𝑂𝑡𝑟𝑎 𝑎𝑐𝑡𝑖𝑣𝑜 𝑐𝑖𝑟𝑐𝑢𝑙𝑎𝑛𝑡𝑒</a:t>
              </a:r>
              <a:endParaRPr lang="es-ES" sz="1100"/>
            </a:p>
          </xdr:txBody>
        </xdr:sp>
      </mc:Fallback>
    </mc:AlternateContent>
    <xdr:clientData/>
  </xdr:oneCellAnchor>
  <xdr:oneCellAnchor>
    <xdr:from>
      <xdr:col>8</xdr:col>
      <xdr:colOff>308043</xdr:colOff>
      <xdr:row>38</xdr:row>
      <xdr:rowOff>121596</xdr:rowOff>
    </xdr:from>
    <xdr:ext cx="2864182" cy="318036"/>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64590AEE-08EA-4C3A-A1CF-CABD1BD468EA}"/>
                </a:ext>
              </a:extLst>
            </xdr:cNvPr>
            <xdr:cNvSpPr txBox="1"/>
          </xdr:nvSpPr>
          <xdr:spPr>
            <a:xfrm>
              <a:off x="12774363" y="22585356"/>
              <a:ext cx="286418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𝐶𝑜𝑠𝑡𝑒</m:t>
                    </m:r>
                    <m:r>
                      <a:rPr lang="es-ES" sz="1100" b="0" i="1">
                        <a:latin typeface="Cambria Math" panose="02040503050406030204" pitchFamily="18" charset="0"/>
                      </a:rPr>
                      <m:t> </m:t>
                    </m:r>
                    <m:r>
                      <a:rPr lang="es-ES" sz="1100" b="0" i="1">
                        <a:latin typeface="Cambria Math" panose="02040503050406030204" pitchFamily="18" charset="0"/>
                      </a:rPr>
                      <m:t>𝐸𝑛𝑑𝑢𝑒𝑑𝑎𝑚𝑖𝑒𝑛𝑡𝑜</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𝐺𝑎𝑠𝑡𝑜𝑠</m:t>
                        </m:r>
                        <m:r>
                          <a:rPr lang="es-ES" sz="1100" b="0" i="1">
                            <a:solidFill>
                              <a:schemeClr val="tx1"/>
                            </a:solidFill>
                            <a:effectLst/>
                            <a:latin typeface="Cambria Math" panose="02040503050406030204" pitchFamily="18" charset="0"/>
                            <a:ea typeface="+mn-ea"/>
                            <a:cs typeface="+mn-cs"/>
                          </a:rPr>
                          <m:t> </m:t>
                        </m:r>
                        <m:r>
                          <a:rPr lang="es-ES" sz="1100" b="0" i="1">
                            <a:latin typeface="Cambria Math" panose="02040503050406030204" pitchFamily="18" charset="0"/>
                          </a:rPr>
                          <m:t>𝐹𝑖𝑛𝑎𝑛𝑐𝑖𝑒𝑟𝑜𝑠</m:t>
                        </m:r>
                      </m:num>
                      <m:den>
                        <m:r>
                          <a:rPr lang="es-ES" sz="1100" b="0" i="1">
                            <a:latin typeface="Cambria Math" panose="02040503050406030204" pitchFamily="18" charset="0"/>
                          </a:rPr>
                          <m:t>𝑃𝑎𝑠𝑖𝑣𝑜</m:t>
                        </m:r>
                      </m:den>
                    </m:f>
                  </m:oMath>
                </m:oMathPara>
              </a14:m>
              <a:endParaRPr lang="es-ES" sz="1100"/>
            </a:p>
          </xdr:txBody>
        </xdr:sp>
      </mc:Choice>
      <mc:Fallback xmlns="">
        <xdr:sp macro="" textlink="">
          <xdr:nvSpPr>
            <xdr:cNvPr id="30" name="CuadroTexto 29">
              <a:extLst>
                <a:ext uri="{FF2B5EF4-FFF2-40B4-BE49-F238E27FC236}">
                  <a16:creationId xmlns:a16="http://schemas.microsoft.com/office/drawing/2014/main" id="{64590AEE-08EA-4C3A-A1CF-CABD1BD468EA}"/>
                </a:ext>
              </a:extLst>
            </xdr:cNvPr>
            <xdr:cNvSpPr txBox="1"/>
          </xdr:nvSpPr>
          <xdr:spPr>
            <a:xfrm>
              <a:off x="12774363" y="22585356"/>
              <a:ext cx="286418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𝐶𝑜𝑠𝑡𝑒 𝐸𝑛𝑑𝑢𝑒𝑑𝑎𝑚𝑖𝑒𝑛𝑡𝑜=(</a:t>
              </a:r>
              <a:r>
                <a:rPr lang="es-ES" sz="1100" b="0" i="0">
                  <a:solidFill>
                    <a:schemeClr val="tx1"/>
                  </a:solidFill>
                  <a:effectLst/>
                  <a:latin typeface="Cambria Math" panose="02040503050406030204" pitchFamily="18" charset="0"/>
                  <a:ea typeface="+mn-ea"/>
                  <a:cs typeface="+mn-cs"/>
                </a:rPr>
                <a:t>𝐺𝑎𝑠𝑡𝑜𝑠 </a:t>
              </a:r>
              <a:r>
                <a:rPr lang="es-ES" sz="1100" b="0" i="0">
                  <a:latin typeface="Cambria Math" panose="02040503050406030204" pitchFamily="18" charset="0"/>
                </a:rPr>
                <a:t>𝐹𝑖𝑛𝑎𝑛𝑐𝑖𝑒𝑟𝑜𝑠)/𝑃𝑎𝑠𝑖𝑣𝑜</a:t>
              </a:r>
              <a:endParaRPr lang="es-ES" sz="1100"/>
            </a:p>
          </xdr:txBody>
        </xdr:sp>
      </mc:Fallback>
    </mc:AlternateContent>
    <xdr:clientData/>
  </xdr:oneCellAnchor>
  <xdr:oneCellAnchor>
    <xdr:from>
      <xdr:col>1</xdr:col>
      <xdr:colOff>1730828</xdr:colOff>
      <xdr:row>52</xdr:row>
      <xdr:rowOff>32658</xdr:rowOff>
    </xdr:from>
    <xdr:ext cx="1732334" cy="281084"/>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58F438A3-9454-4BBD-9254-36DD52E24934}"/>
                </a:ext>
              </a:extLst>
            </xdr:cNvPr>
            <xdr:cNvSpPr txBox="1"/>
          </xdr:nvSpPr>
          <xdr:spPr>
            <a:xfrm>
              <a:off x="2340428" y="32885744"/>
              <a:ext cx="1732334" cy="2810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𝐿</m:t>
                    </m:r>
                    <m:r>
                      <a:rPr lang="es-ES" sz="1100" b="0" i="1">
                        <a:latin typeface="Cambria Math" panose="02040503050406030204" pitchFamily="18" charset="0"/>
                      </a:rPr>
                      <m:t>∗(</m:t>
                    </m:r>
                    <m:r>
                      <a:rPr lang="es-ES" sz="1100" b="0" i="1">
                        <a:latin typeface="Cambria Math" panose="02040503050406030204" pitchFamily="18" charset="0"/>
                      </a:rPr>
                      <m:t>𝑅𝐸</m:t>
                    </m:r>
                    <m:r>
                      <a:rPr lang="es-ES" sz="1100" b="0" i="1">
                        <a:latin typeface="Cambria Math" panose="02040503050406030204" pitchFamily="18" charset="0"/>
                      </a:rPr>
                      <m:t>−</m:t>
                    </m:r>
                    <m:r>
                      <a:rPr lang="es-ES" sz="1100" b="0" i="1">
                        <a:latin typeface="Cambria Math" panose="02040503050406030204" pitchFamily="18" charset="0"/>
                      </a:rPr>
                      <m:t>𝑘</m:t>
                    </m:r>
                    <m:r>
                      <a:rPr lang="es-ES" sz="1100" b="0" i="1">
                        <a:latin typeface="Cambria Math" panose="02040503050406030204" pitchFamily="18" charset="0"/>
                      </a:rPr>
                      <m:t>)</m:t>
                    </m:r>
                  </m:oMath>
                </m:oMathPara>
              </a14:m>
              <a:endParaRPr lang="es-ES" sz="1100" b="0"/>
            </a:p>
          </xdr:txBody>
        </xdr:sp>
      </mc:Choice>
      <mc:Fallback xmlns="">
        <xdr:sp macro="" textlink="">
          <xdr:nvSpPr>
            <xdr:cNvPr id="31" name="CuadroTexto 30">
              <a:extLst>
                <a:ext uri="{FF2B5EF4-FFF2-40B4-BE49-F238E27FC236}">
                  <a16:creationId xmlns:a16="http://schemas.microsoft.com/office/drawing/2014/main" id="{58F438A3-9454-4BBD-9254-36DD52E24934}"/>
                </a:ext>
              </a:extLst>
            </xdr:cNvPr>
            <xdr:cNvSpPr txBox="1"/>
          </xdr:nvSpPr>
          <xdr:spPr>
            <a:xfrm>
              <a:off x="2340428" y="32885744"/>
              <a:ext cx="1732334" cy="2810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𝐿∗(𝑅𝐸−𝑘)</a:t>
              </a:r>
              <a:endParaRPr lang="es-ES" sz="1100" b="0"/>
            </a:p>
          </xdr:txBody>
        </xdr:sp>
      </mc:Fallback>
    </mc:AlternateContent>
    <xdr:clientData/>
  </xdr:oneCellAnchor>
  <xdr:oneCellAnchor>
    <xdr:from>
      <xdr:col>8</xdr:col>
      <xdr:colOff>217714</xdr:colOff>
      <xdr:row>46</xdr:row>
      <xdr:rowOff>272143</xdr:rowOff>
    </xdr:from>
    <xdr:ext cx="2227596" cy="172227"/>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44E7731A-6FDE-4345-8143-229CD403C7F8}"/>
                </a:ext>
              </a:extLst>
            </xdr:cNvPr>
            <xdr:cNvSpPr txBox="1"/>
          </xdr:nvSpPr>
          <xdr:spPr>
            <a:xfrm>
              <a:off x="11604171" y="32014886"/>
              <a:ext cx="22275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𝐹𝑖𝑛𝑎𝑛𝑐𝑖𝑒𝑟𝑎</m:t>
                    </m:r>
                    <m:r>
                      <a:rPr lang="es-ES" sz="1100" b="0" i="1">
                        <a:latin typeface="Cambria Math" panose="02040503050406030204" pitchFamily="18" charset="0"/>
                      </a:rPr>
                      <m:t>=</m:t>
                    </m:r>
                    <m:d>
                      <m:dPr>
                        <m:endChr m:val="]"/>
                        <m:ctrlPr>
                          <a:rPr lang="es-ES" sz="1100" b="0" i="1">
                            <a:latin typeface="Cambria Math" panose="02040503050406030204" pitchFamily="18" charset="0"/>
                          </a:rPr>
                        </m:ctrlPr>
                      </m:dPr>
                      <m:e>
                        <m:r>
                          <a:rPr lang="es-ES" sz="1100" b="0" i="1">
                            <a:latin typeface="Cambria Math" panose="02040503050406030204" pitchFamily="18" charset="0"/>
                          </a:rPr>
                          <m:t>𝑅</m:t>
                        </m:r>
                        <m:r>
                          <a:rPr lang="es-ES" sz="1100" b="0" i="1">
                            <a:latin typeface="Cambria Math" panose="02040503050406030204" pitchFamily="18" charset="0"/>
                          </a:rPr>
                          <m:t>.</m:t>
                        </m:r>
                        <m:r>
                          <a:rPr lang="es-ES" sz="1100" b="0" i="1">
                            <a:latin typeface="Cambria Math" panose="02040503050406030204" pitchFamily="18" charset="0"/>
                          </a:rPr>
                          <m:t>𝐸</m:t>
                        </m:r>
                        <m:r>
                          <a:rPr lang="es-ES" sz="1100" b="0" i="1">
                            <a:latin typeface="Cambria Math" panose="02040503050406030204" pitchFamily="18" charset="0"/>
                          </a:rPr>
                          <m:t>+</m:t>
                        </m:r>
                        <m:r>
                          <a:rPr lang="es-ES" sz="1100" b="0" i="1">
                            <a:latin typeface="Cambria Math" panose="02040503050406030204" pitchFamily="18" charset="0"/>
                          </a:rPr>
                          <m:t>𝐿</m:t>
                        </m:r>
                        <m:d>
                          <m:dPr>
                            <m:ctrlPr>
                              <a:rPr lang="es-ES" sz="1100" b="0" i="1">
                                <a:latin typeface="Cambria Math" panose="02040503050406030204" pitchFamily="18" charset="0"/>
                              </a:rPr>
                            </m:ctrlPr>
                          </m:dPr>
                          <m:e>
                            <m:r>
                              <a:rPr lang="es-ES" sz="1100" b="0" i="1">
                                <a:latin typeface="Cambria Math" panose="02040503050406030204" pitchFamily="18" charset="0"/>
                              </a:rPr>
                              <m:t>𝑅𝐸</m:t>
                            </m:r>
                            <m:r>
                              <a:rPr lang="es-ES" sz="1100" b="0" i="1">
                                <a:latin typeface="Cambria Math" panose="02040503050406030204" pitchFamily="18" charset="0"/>
                              </a:rPr>
                              <m:t>−</m:t>
                            </m:r>
                            <m:r>
                              <a:rPr lang="es-ES" sz="1100" b="0" i="1">
                                <a:latin typeface="Cambria Math" panose="02040503050406030204" pitchFamily="18" charset="0"/>
                              </a:rPr>
                              <m:t>𝐾</m:t>
                            </m:r>
                          </m:e>
                        </m:d>
                      </m:e>
                    </m:d>
                  </m:oMath>
                </m:oMathPara>
              </a14:m>
              <a:endParaRPr lang="es-ES" sz="1100" b="0"/>
            </a:p>
          </xdr:txBody>
        </xdr:sp>
      </mc:Choice>
      <mc:Fallback xmlns="">
        <xdr:sp macro="" textlink="">
          <xdr:nvSpPr>
            <xdr:cNvPr id="33" name="CuadroTexto 32">
              <a:extLst>
                <a:ext uri="{FF2B5EF4-FFF2-40B4-BE49-F238E27FC236}">
                  <a16:creationId xmlns:a16="http://schemas.microsoft.com/office/drawing/2014/main" id="{44E7731A-6FDE-4345-8143-229CD403C7F8}"/>
                </a:ext>
              </a:extLst>
            </xdr:cNvPr>
            <xdr:cNvSpPr txBox="1"/>
          </xdr:nvSpPr>
          <xdr:spPr>
            <a:xfrm>
              <a:off x="11604171" y="32014886"/>
              <a:ext cx="22275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𝑅.𝐹𝑖𝑛𝑎𝑛𝑐𝑖𝑒𝑟𝑎=(𝑅.𝐸+𝐿(𝑅𝐸−𝐾)]</a:t>
              </a:r>
              <a:endParaRPr lang="es-ES" sz="1100" b="0"/>
            </a:p>
          </xdr:txBody>
        </xdr:sp>
      </mc:Fallback>
    </mc:AlternateContent>
    <xdr:clientData/>
  </xdr:oneCellAnchor>
  <xdr:twoCellAnchor editAs="oneCell">
    <xdr:from>
      <xdr:col>9</xdr:col>
      <xdr:colOff>43542</xdr:colOff>
      <xdr:row>8</xdr:row>
      <xdr:rowOff>864859</xdr:rowOff>
    </xdr:from>
    <xdr:to>
      <xdr:col>20</xdr:col>
      <xdr:colOff>666759</xdr:colOff>
      <xdr:row>10</xdr:row>
      <xdr:rowOff>51847</xdr:rowOff>
    </xdr:to>
    <xdr:pic>
      <xdr:nvPicPr>
        <xdr:cNvPr id="32" name="Imagen 31">
          <a:extLst>
            <a:ext uri="{FF2B5EF4-FFF2-40B4-BE49-F238E27FC236}">
              <a16:creationId xmlns:a16="http://schemas.microsoft.com/office/drawing/2014/main" id="{782BA100-DD5B-76FA-970F-5D5729B67772}"/>
            </a:ext>
          </a:extLst>
        </xdr:cNvPr>
        <xdr:cNvPicPr>
          <a:picLocks noChangeAspect="1"/>
        </xdr:cNvPicPr>
      </xdr:nvPicPr>
      <xdr:blipFill>
        <a:blip xmlns:r="http://schemas.openxmlformats.org/officeDocument/2006/relationships" r:embed="rId1"/>
        <a:stretch>
          <a:fillRect/>
        </a:stretch>
      </xdr:blipFill>
      <xdr:spPr>
        <a:xfrm>
          <a:off x="17830799" y="6264173"/>
          <a:ext cx="9244703" cy="950474"/>
        </a:xfrm>
        <a:prstGeom prst="rect">
          <a:avLst/>
        </a:prstGeom>
      </xdr:spPr>
    </xdr:pic>
    <xdr:clientData/>
  </xdr:twoCellAnchor>
  <xdr:oneCellAnchor>
    <xdr:from>
      <xdr:col>8</xdr:col>
      <xdr:colOff>851647</xdr:colOff>
      <xdr:row>14</xdr:row>
      <xdr:rowOff>367553</xdr:rowOff>
    </xdr:from>
    <xdr:ext cx="3209340" cy="346505"/>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E772F73-A194-4229-8F7A-17A37B1834A9}"/>
                </a:ext>
              </a:extLst>
            </xdr:cNvPr>
            <xdr:cNvSpPr txBox="1"/>
          </xdr:nvSpPr>
          <xdr:spPr>
            <a:xfrm>
              <a:off x="12245788" y="11098306"/>
              <a:ext cx="3209340"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𝐶𝑎𝑝𝑎𝑐𝑖𝑑𝑎𝑑</m:t>
                    </m:r>
                    <m:r>
                      <a:rPr lang="es-ES" sz="1100" b="0" i="1">
                        <a:latin typeface="Cambria Math" panose="02040503050406030204" pitchFamily="18" charset="0"/>
                      </a:rPr>
                      <m:t> </m:t>
                    </m:r>
                    <m:r>
                      <a:rPr lang="es-ES" sz="1100" b="0" i="1">
                        <a:latin typeface="Cambria Math" panose="02040503050406030204" pitchFamily="18" charset="0"/>
                      </a:rPr>
                      <m:t>𝑑𝑒𝑣𝑜𝑙𝑢𝑐𝑖𝑜𝑛</m:t>
                    </m:r>
                    <m:r>
                      <a:rPr lang="es-ES" sz="1100" b="0" i="1">
                        <a:latin typeface="Cambria Math" panose="02040503050406030204" pitchFamily="18" charset="0"/>
                      </a:rPr>
                      <m:t> </m:t>
                    </m:r>
                    <m:r>
                      <a:rPr lang="es-ES" sz="1100" b="0" i="1">
                        <a:latin typeface="Cambria Math" panose="02040503050406030204" pitchFamily="18" charset="0"/>
                      </a:rPr>
                      <m:t>𝑑𝑒𝑢𝑑𝑎𝑠</m:t>
                    </m:r>
                    <m:r>
                      <a:rPr lang="es-ES" sz="1100" b="0" i="1">
                        <a:latin typeface="Cambria Math" panose="02040503050406030204" pitchFamily="18" charset="0"/>
                      </a:rPr>
                      <m:t> </m:t>
                    </m:r>
                    <m:f>
                      <m:fPr>
                        <m:ctrlPr>
                          <a:rPr lang="es-ES" sz="1100" b="0" i="1">
                            <a:latin typeface="Cambria Math" panose="02040503050406030204" pitchFamily="18" charset="0"/>
                          </a:rPr>
                        </m:ctrlPr>
                      </m:fPr>
                      <m:num>
                        <m:r>
                          <a:rPr lang="es-ES" sz="1100" b="0" i="1">
                            <a:latin typeface="Cambria Math" panose="02040503050406030204" pitchFamily="18" charset="0"/>
                          </a:rPr>
                          <m:t>𝑐</m:t>
                        </m:r>
                      </m:num>
                      <m:den>
                        <m:r>
                          <a:rPr lang="es-ES" sz="1100" b="0" i="1">
                            <a:latin typeface="Cambria Math" panose="02040503050406030204" pitchFamily="18" charset="0"/>
                          </a:rPr>
                          <m:t>𝑝</m:t>
                        </m:r>
                      </m:den>
                    </m:f>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latin typeface="Cambria Math" panose="02040503050406030204" pitchFamily="18" charset="0"/>
                          </a:rPr>
                          <m:t>𝐹𝐺𝑂</m:t>
                        </m:r>
                      </m:num>
                      <m:den>
                        <m:r>
                          <a:rPr lang="es-ES" sz="1100" b="0" i="1">
                            <a:latin typeface="Cambria Math" panose="02040503050406030204" pitchFamily="18" charset="0"/>
                          </a:rPr>
                          <m:t>𝐷𝑒𝑢𝑑𝑎𝑠</m:t>
                        </m:r>
                        <m:r>
                          <a:rPr lang="es-ES" sz="1100" b="0" i="1">
                            <a:latin typeface="Cambria Math" panose="02040503050406030204" pitchFamily="18" charset="0"/>
                          </a:rPr>
                          <m:t> </m:t>
                        </m:r>
                        <m:r>
                          <a:rPr lang="es-ES" sz="1100" b="0" i="1">
                            <a:latin typeface="Cambria Math" panose="02040503050406030204" pitchFamily="18" charset="0"/>
                          </a:rPr>
                          <m:t>𝑎</m:t>
                        </m:r>
                        <m:r>
                          <a:rPr lang="es-ES" sz="1100" b="0" i="1">
                            <a:latin typeface="Cambria Math" panose="02040503050406030204" pitchFamily="18" charset="0"/>
                          </a:rPr>
                          <m:t> </m:t>
                        </m:r>
                        <m:r>
                          <a:rPr lang="es-ES" sz="1100" b="0" i="1">
                            <a:latin typeface="Cambria Math" panose="02040503050406030204" pitchFamily="18" charset="0"/>
                          </a:rPr>
                          <m:t>𝑐</m:t>
                        </m:r>
                        <m:r>
                          <a:rPr lang="es-ES" sz="1100" b="0" i="1">
                            <a:latin typeface="Cambria Math" panose="02040503050406030204" pitchFamily="18" charset="0"/>
                          </a:rPr>
                          <m:t>/</m:t>
                        </m:r>
                        <m:r>
                          <a:rPr lang="es-ES" sz="1100" b="0" i="1">
                            <a:latin typeface="Cambria Math" panose="02040503050406030204" pitchFamily="18" charset="0"/>
                          </a:rPr>
                          <m:t>𝑝</m:t>
                        </m:r>
                      </m:den>
                    </m:f>
                  </m:oMath>
                </m:oMathPara>
              </a14:m>
              <a:endParaRPr lang="es-ES" sz="1100"/>
            </a:p>
          </xdr:txBody>
        </xdr:sp>
      </mc:Choice>
      <mc:Fallback xmlns="">
        <xdr:sp macro="" textlink="">
          <xdr:nvSpPr>
            <xdr:cNvPr id="38" name="CuadroTexto 37">
              <a:extLst>
                <a:ext uri="{FF2B5EF4-FFF2-40B4-BE49-F238E27FC236}">
                  <a16:creationId xmlns:a16="http://schemas.microsoft.com/office/drawing/2014/main" id="{1E772F73-A194-4229-8F7A-17A37B1834A9}"/>
                </a:ext>
              </a:extLst>
            </xdr:cNvPr>
            <xdr:cNvSpPr txBox="1"/>
          </xdr:nvSpPr>
          <xdr:spPr>
            <a:xfrm>
              <a:off x="12245788" y="11098306"/>
              <a:ext cx="3209340" cy="346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𝐶𝑎𝑝𝑎𝑐𝑖𝑑𝑎𝑑 𝑑𝑒𝑣𝑜𝑙𝑢𝑐𝑖𝑜𝑛 𝑑𝑒𝑢𝑑𝑎𝑠  𝑐/𝑝=⇒𝐹𝐺𝑂/(𝐷𝑒𝑢𝑑𝑎𝑠 𝑎 𝑐/𝑝)</a:t>
              </a:r>
              <a:endParaRPr lang="es-ES" sz="1100"/>
            </a:p>
          </xdr:txBody>
        </xdr:sp>
      </mc:Fallback>
    </mc:AlternateContent>
    <xdr:clientData/>
  </xdr:oneCellAnchor>
  <xdr:oneCellAnchor>
    <xdr:from>
      <xdr:col>8</xdr:col>
      <xdr:colOff>1241612</xdr:colOff>
      <xdr:row>22</xdr:row>
      <xdr:rowOff>107576</xdr:rowOff>
    </xdr:from>
    <xdr:ext cx="2868734" cy="24641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CCDF4342-54DA-94E3-C0F7-F08A92BA8312}"/>
                </a:ext>
              </a:extLst>
            </xdr:cNvPr>
            <xdr:cNvSpPr txBox="1"/>
          </xdr:nvSpPr>
          <xdr:spPr>
            <a:xfrm>
              <a:off x="12635753" y="16853647"/>
              <a:ext cx="2868734" cy="2464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𝑃𝑒𝑟𝑖𝑜𝑑𝑜</m:t>
                  </m:r>
                  <m:r>
                    <a:rPr lang="es-ES" sz="1100" b="0" i="1">
                      <a:latin typeface="Cambria Math" panose="02040503050406030204" pitchFamily="18" charset="0"/>
                    </a:rPr>
                    <m:t> </m:t>
                  </m:r>
                  <m:r>
                    <a:rPr lang="es-ES" sz="1100" b="0" i="1">
                      <a:latin typeface="Cambria Math" panose="02040503050406030204" pitchFamily="18" charset="0"/>
                    </a:rPr>
                    <m:t>𝑑𝑒</m:t>
                  </m:r>
                  <m:r>
                    <a:rPr lang="es-ES" sz="1100" b="0" i="1">
                      <a:latin typeface="Cambria Math" panose="02040503050406030204" pitchFamily="18" charset="0"/>
                    </a:rPr>
                    <m:t> </m:t>
                  </m:r>
                  <m:r>
                    <a:rPr lang="es-ES" sz="1100" b="0" i="1">
                      <a:latin typeface="Cambria Math" panose="02040503050406030204" pitchFamily="18" charset="0"/>
                    </a:rPr>
                    <m:t>𝑉𝑒𝑛𝑡𝑎</m:t>
                  </m:r>
                  <m:r>
                    <a:rPr lang="es-ES" sz="1100" b="0" i="1">
                      <a:latin typeface="Cambria Math" panose="02040503050406030204" pitchFamily="18" charset="0"/>
                    </a:rPr>
                    <m:t>=</m:t>
                  </m:r>
                  <m:f>
                    <m:fPr>
                      <m:ctrlPr>
                        <a:rPr lang="es-ES" sz="1100" b="0" i="1">
                          <a:latin typeface="Cambria Math" panose="02040503050406030204" pitchFamily="18" charset="0"/>
                        </a:rPr>
                      </m:ctrlPr>
                    </m:fPr>
                    <m:num>
                      <m:r>
                        <a:rPr lang="es-ES" sz="1100" b="0" i="1">
                          <a:solidFill>
                            <a:schemeClr val="tx1"/>
                          </a:solidFill>
                          <a:effectLst/>
                          <a:latin typeface="Cambria Math" panose="02040503050406030204" pitchFamily="18" charset="0"/>
                          <a:ea typeface="+mn-ea"/>
                          <a:cs typeface="+mn-cs"/>
                        </a:rPr>
                        <m:t>𝑆𝑎𝑙𝑑𝑜</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𝐹𝑖𝑛𝑎𝑙</m:t>
                      </m:r>
                      <m:r>
                        <a:rPr lang="es-ES" sz="1100" b="0" i="1">
                          <a:solidFill>
                            <a:schemeClr val="tx1"/>
                          </a:solidFill>
                          <a:effectLst/>
                          <a:latin typeface="Cambria Math" panose="02040503050406030204" pitchFamily="18" charset="0"/>
                          <a:ea typeface="+mn-ea"/>
                          <a:cs typeface="+mn-cs"/>
                        </a:rPr>
                        <m:t> </m:t>
                      </m:r>
                      <m:r>
                        <a:rPr lang="es-ES" sz="1100" b="0" i="1">
                          <a:solidFill>
                            <a:schemeClr val="tx1"/>
                          </a:solidFill>
                          <a:effectLst/>
                          <a:latin typeface="Cambria Math" panose="02040503050406030204" pitchFamily="18" charset="0"/>
                          <a:ea typeface="+mn-ea"/>
                          <a:cs typeface="+mn-cs"/>
                        </a:rPr>
                        <m:t>𝑀𝑒𝑟𝑐𝑎𝑑𝑒𝑟𝑖𝑎𝑠</m:t>
                      </m:r>
                    </m:num>
                    <m:den>
                      <m:r>
                        <a:rPr lang="es-ES" sz="1100" b="0" i="1">
                          <a:latin typeface="Cambria Math" panose="02040503050406030204" pitchFamily="18" charset="0"/>
                        </a:rPr>
                        <m:t>𝐶𝑜𝑛𝑠𝑢𝑚𝑜</m:t>
                      </m:r>
                      <m:r>
                        <a:rPr lang="es-ES" sz="1100" b="0" i="1">
                          <a:latin typeface="Cambria Math" panose="02040503050406030204" pitchFamily="18" charset="0"/>
                        </a:rPr>
                        <m:t> </m:t>
                      </m:r>
                      <m:r>
                        <a:rPr lang="es-ES" sz="1100" b="0" i="1">
                          <a:latin typeface="Cambria Math" panose="02040503050406030204" pitchFamily="18" charset="0"/>
                        </a:rPr>
                        <m:t>𝑀𝑒𝑟𝑐𝑎𝑑𝑒𝑟𝑖𝑎𝑠</m:t>
                      </m:r>
                    </m:den>
                  </m:f>
                  <m:r>
                    <m:rPr>
                      <m:sty m:val="p"/>
                    </m:rPr>
                    <a:rPr lang="es-ES" sz="1100" b="0" i="0">
                      <a:latin typeface="Cambria Math" panose="02040503050406030204" pitchFamily="18" charset="0"/>
                    </a:rPr>
                    <m:t>x</m:t>
                  </m:r>
                </m:oMath>
              </a14:m>
              <a:r>
                <a:rPr lang="es-ES" sz="1100"/>
                <a:t> 360</a:t>
              </a:r>
            </a:p>
          </xdr:txBody>
        </xdr:sp>
      </mc:Choice>
      <mc:Fallback xmlns="">
        <xdr:sp macro="" textlink="">
          <xdr:nvSpPr>
            <xdr:cNvPr id="39" name="CuadroTexto 38">
              <a:extLst>
                <a:ext uri="{FF2B5EF4-FFF2-40B4-BE49-F238E27FC236}">
                  <a16:creationId xmlns:a16="http://schemas.microsoft.com/office/drawing/2014/main" id="{CCDF4342-54DA-94E3-C0F7-F08A92BA8312}"/>
                </a:ext>
              </a:extLst>
            </xdr:cNvPr>
            <xdr:cNvSpPr txBox="1"/>
          </xdr:nvSpPr>
          <xdr:spPr>
            <a:xfrm>
              <a:off x="12635753" y="16853647"/>
              <a:ext cx="2868734" cy="2464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𝑃𝑒𝑟𝑖𝑜𝑑𝑜 𝑑𝑒 𝑉𝑒𝑛𝑡𝑎=(</a:t>
              </a:r>
              <a:r>
                <a:rPr lang="es-ES" sz="1100" b="0" i="0">
                  <a:solidFill>
                    <a:schemeClr val="tx1"/>
                  </a:solidFill>
                  <a:effectLst/>
                  <a:latin typeface="Cambria Math" panose="02040503050406030204" pitchFamily="18" charset="0"/>
                  <a:ea typeface="+mn-ea"/>
                  <a:cs typeface="+mn-cs"/>
                </a:rPr>
                <a:t>𝑆𝑎𝑙𝑑𝑜 𝐹𝑖𝑛𝑎𝑙 𝑀𝑒𝑟𝑐𝑎𝑑𝑒𝑟𝑖𝑎𝑠)/(</a:t>
              </a:r>
              <a:r>
                <a:rPr lang="es-ES" sz="1100" b="0" i="0">
                  <a:latin typeface="Cambria Math" panose="02040503050406030204" pitchFamily="18" charset="0"/>
                </a:rPr>
                <a:t>𝐶𝑜𝑛𝑠𝑢𝑚𝑜 𝑀𝑒𝑟𝑐𝑎𝑑𝑒𝑟𝑖𝑎𝑠) x</a:t>
              </a:r>
              <a:r>
                <a:rPr lang="es-ES" sz="1100"/>
                <a:t> 360</a:t>
              </a:r>
            </a:p>
          </xdr:txBody>
        </xdr:sp>
      </mc:Fallback>
    </mc:AlternateContent>
    <xdr:clientData/>
  </xdr:oneCellAnchor>
  <xdr:twoCellAnchor editAs="oneCell">
    <xdr:from>
      <xdr:col>8</xdr:col>
      <xdr:colOff>753036</xdr:colOff>
      <xdr:row>23</xdr:row>
      <xdr:rowOff>233083</xdr:rowOff>
    </xdr:from>
    <xdr:to>
      <xdr:col>8</xdr:col>
      <xdr:colOff>4696936</xdr:colOff>
      <xdr:row>23</xdr:row>
      <xdr:rowOff>776084</xdr:rowOff>
    </xdr:to>
    <xdr:pic>
      <xdr:nvPicPr>
        <xdr:cNvPr id="40" name="Imagen 39">
          <a:extLst>
            <a:ext uri="{FF2B5EF4-FFF2-40B4-BE49-F238E27FC236}">
              <a16:creationId xmlns:a16="http://schemas.microsoft.com/office/drawing/2014/main" id="{8E129E32-6D54-7CB8-482D-D7A91A78DEF4}"/>
            </a:ext>
          </a:extLst>
        </xdr:cNvPr>
        <xdr:cNvPicPr>
          <a:picLocks noChangeAspect="1"/>
        </xdr:cNvPicPr>
      </xdr:nvPicPr>
      <xdr:blipFill>
        <a:blip xmlns:r="http://schemas.openxmlformats.org/officeDocument/2006/relationships" r:embed="rId2"/>
        <a:stretch>
          <a:fillRect/>
        </a:stretch>
      </xdr:blipFill>
      <xdr:spPr>
        <a:xfrm>
          <a:off x="12147177" y="17382565"/>
          <a:ext cx="3943900" cy="543001"/>
        </a:xfrm>
        <a:prstGeom prst="rect">
          <a:avLst/>
        </a:prstGeom>
      </xdr:spPr>
    </xdr:pic>
    <xdr:clientData/>
  </xdr:twoCellAnchor>
  <xdr:twoCellAnchor editAs="oneCell">
    <xdr:from>
      <xdr:col>8</xdr:col>
      <xdr:colOff>44824</xdr:colOff>
      <xdr:row>24</xdr:row>
      <xdr:rowOff>71718</xdr:rowOff>
    </xdr:from>
    <xdr:to>
      <xdr:col>8</xdr:col>
      <xdr:colOff>6239436</xdr:colOff>
      <xdr:row>24</xdr:row>
      <xdr:rowOff>584352</xdr:rowOff>
    </xdr:to>
    <xdr:pic>
      <xdr:nvPicPr>
        <xdr:cNvPr id="41" name="Imagen 40">
          <a:extLst>
            <a:ext uri="{FF2B5EF4-FFF2-40B4-BE49-F238E27FC236}">
              <a16:creationId xmlns:a16="http://schemas.microsoft.com/office/drawing/2014/main" id="{699455F3-4BC8-47B7-C7BE-D051091AADF2}"/>
            </a:ext>
          </a:extLst>
        </xdr:cNvPr>
        <xdr:cNvPicPr>
          <a:picLocks noChangeAspect="1"/>
        </xdr:cNvPicPr>
      </xdr:nvPicPr>
      <xdr:blipFill>
        <a:blip xmlns:r="http://schemas.openxmlformats.org/officeDocument/2006/relationships" r:embed="rId3"/>
        <a:stretch>
          <a:fillRect/>
        </a:stretch>
      </xdr:blipFill>
      <xdr:spPr>
        <a:xfrm>
          <a:off x="11438965" y="18171459"/>
          <a:ext cx="6194612" cy="512634"/>
        </a:xfrm>
        <a:prstGeom prst="rect">
          <a:avLst/>
        </a:prstGeom>
      </xdr:spPr>
    </xdr:pic>
    <xdr:clientData/>
  </xdr:twoCellAnchor>
  <xdr:twoCellAnchor editAs="oneCell">
    <xdr:from>
      <xdr:col>8</xdr:col>
      <xdr:colOff>44824</xdr:colOff>
      <xdr:row>25</xdr:row>
      <xdr:rowOff>143436</xdr:rowOff>
    </xdr:from>
    <xdr:to>
      <xdr:col>8</xdr:col>
      <xdr:colOff>6302189</xdr:colOff>
      <xdr:row>25</xdr:row>
      <xdr:rowOff>662302</xdr:rowOff>
    </xdr:to>
    <xdr:pic>
      <xdr:nvPicPr>
        <xdr:cNvPr id="34" name="Imagen 33">
          <a:extLst>
            <a:ext uri="{FF2B5EF4-FFF2-40B4-BE49-F238E27FC236}">
              <a16:creationId xmlns:a16="http://schemas.microsoft.com/office/drawing/2014/main" id="{8B733498-CDA3-0ECF-7928-5C55E9948B03}"/>
            </a:ext>
          </a:extLst>
        </xdr:cNvPr>
        <xdr:cNvPicPr>
          <a:picLocks noChangeAspect="1"/>
        </xdr:cNvPicPr>
      </xdr:nvPicPr>
      <xdr:blipFill>
        <a:blip xmlns:r="http://schemas.openxmlformats.org/officeDocument/2006/relationships" r:embed="rId4"/>
        <a:stretch>
          <a:fillRect/>
        </a:stretch>
      </xdr:blipFill>
      <xdr:spPr>
        <a:xfrm>
          <a:off x="11438965" y="19301012"/>
          <a:ext cx="6257365" cy="518866"/>
        </a:xfrm>
        <a:prstGeom prst="rect">
          <a:avLst/>
        </a:prstGeom>
      </xdr:spPr>
    </xdr:pic>
    <xdr:clientData/>
  </xdr:twoCellAnchor>
  <xdr:twoCellAnchor editAs="oneCell">
    <xdr:from>
      <xdr:col>7</xdr:col>
      <xdr:colOff>3783106</xdr:colOff>
      <xdr:row>29</xdr:row>
      <xdr:rowOff>206188</xdr:rowOff>
    </xdr:from>
    <xdr:to>
      <xdr:col>9</xdr:col>
      <xdr:colOff>51895</xdr:colOff>
      <xdr:row>30</xdr:row>
      <xdr:rowOff>89732</xdr:rowOff>
    </xdr:to>
    <xdr:pic>
      <xdr:nvPicPr>
        <xdr:cNvPr id="35" name="Imagen 34">
          <a:extLst>
            <a:ext uri="{FF2B5EF4-FFF2-40B4-BE49-F238E27FC236}">
              <a16:creationId xmlns:a16="http://schemas.microsoft.com/office/drawing/2014/main" id="{5D6DFCBF-B1B5-38FC-F6DE-DBFB47EB172E}"/>
            </a:ext>
          </a:extLst>
        </xdr:cNvPr>
        <xdr:cNvPicPr>
          <a:picLocks noChangeAspect="1"/>
        </xdr:cNvPicPr>
      </xdr:nvPicPr>
      <xdr:blipFill>
        <a:blip xmlns:r="http://schemas.openxmlformats.org/officeDocument/2006/relationships" r:embed="rId5"/>
        <a:stretch>
          <a:fillRect/>
        </a:stretch>
      </xdr:blipFill>
      <xdr:spPr>
        <a:xfrm>
          <a:off x="11340353" y="21793200"/>
          <a:ext cx="6506483" cy="609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59933</xdr:colOff>
      <xdr:row>2</xdr:row>
      <xdr:rowOff>22054</xdr:rowOff>
    </xdr:from>
    <xdr:to>
      <xdr:col>13</xdr:col>
      <xdr:colOff>757646</xdr:colOff>
      <xdr:row>3</xdr:row>
      <xdr:rowOff>163626</xdr:rowOff>
    </xdr:to>
    <xdr:pic>
      <xdr:nvPicPr>
        <xdr:cNvPr id="2" name="Imagen 1">
          <a:extLst>
            <a:ext uri="{FF2B5EF4-FFF2-40B4-BE49-F238E27FC236}">
              <a16:creationId xmlns:a16="http://schemas.microsoft.com/office/drawing/2014/main" id="{97FC757D-930F-51E5-9DF1-9C3B8FB9D0F0}"/>
            </a:ext>
          </a:extLst>
        </xdr:cNvPr>
        <xdr:cNvPicPr>
          <a:picLocks noChangeAspect="1"/>
        </xdr:cNvPicPr>
      </xdr:nvPicPr>
      <xdr:blipFill>
        <a:blip xmlns:r="http://schemas.openxmlformats.org/officeDocument/2006/relationships" r:embed="rId1"/>
        <a:stretch>
          <a:fillRect/>
        </a:stretch>
      </xdr:blipFill>
      <xdr:spPr>
        <a:xfrm>
          <a:off x="12106382" y="715560"/>
          <a:ext cx="3882702" cy="372740"/>
        </a:xfrm>
        <a:prstGeom prst="rect">
          <a:avLst/>
        </a:prstGeom>
      </xdr:spPr>
    </xdr:pic>
    <xdr:clientData/>
  </xdr:twoCellAnchor>
  <xdr:twoCellAnchor editAs="oneCell">
    <xdr:from>
      <xdr:col>9</xdr:col>
      <xdr:colOff>59934</xdr:colOff>
      <xdr:row>5</xdr:row>
      <xdr:rowOff>94179</xdr:rowOff>
    </xdr:from>
    <xdr:to>
      <xdr:col>13</xdr:col>
      <xdr:colOff>744876</xdr:colOff>
      <xdr:row>6</xdr:row>
      <xdr:rowOff>107967</xdr:rowOff>
    </xdr:to>
    <xdr:pic>
      <xdr:nvPicPr>
        <xdr:cNvPr id="3" name="Imagen 2">
          <a:extLst>
            <a:ext uri="{FF2B5EF4-FFF2-40B4-BE49-F238E27FC236}">
              <a16:creationId xmlns:a16="http://schemas.microsoft.com/office/drawing/2014/main" id="{5E7585D3-2B97-BCAD-E09D-05EF0250768D}"/>
            </a:ext>
          </a:extLst>
        </xdr:cNvPr>
        <xdr:cNvPicPr>
          <a:picLocks noChangeAspect="1"/>
        </xdr:cNvPicPr>
      </xdr:nvPicPr>
      <xdr:blipFill>
        <a:blip xmlns:r="http://schemas.openxmlformats.org/officeDocument/2006/relationships" r:embed="rId2"/>
        <a:stretch>
          <a:fillRect/>
        </a:stretch>
      </xdr:blipFill>
      <xdr:spPr>
        <a:xfrm>
          <a:off x="12106383" y="1532561"/>
          <a:ext cx="3869931" cy="330575"/>
        </a:xfrm>
        <a:prstGeom prst="rect">
          <a:avLst/>
        </a:prstGeom>
      </xdr:spPr>
    </xdr:pic>
    <xdr:clientData/>
  </xdr:twoCellAnchor>
  <xdr:twoCellAnchor editAs="oneCell">
    <xdr:from>
      <xdr:col>9</xdr:col>
      <xdr:colOff>145550</xdr:colOff>
      <xdr:row>3</xdr:row>
      <xdr:rowOff>239732</xdr:rowOff>
    </xdr:from>
    <xdr:to>
      <xdr:col>13</xdr:col>
      <xdr:colOff>796246</xdr:colOff>
      <xdr:row>4</xdr:row>
      <xdr:rowOff>241100</xdr:rowOff>
    </xdr:to>
    <xdr:pic>
      <xdr:nvPicPr>
        <xdr:cNvPr id="4" name="Imagen 3">
          <a:extLst>
            <a:ext uri="{FF2B5EF4-FFF2-40B4-BE49-F238E27FC236}">
              <a16:creationId xmlns:a16="http://schemas.microsoft.com/office/drawing/2014/main" id="{37FF1F75-FE02-8934-3F21-81F587F9B297}"/>
            </a:ext>
          </a:extLst>
        </xdr:cNvPr>
        <xdr:cNvPicPr>
          <a:picLocks noChangeAspect="1"/>
        </xdr:cNvPicPr>
      </xdr:nvPicPr>
      <xdr:blipFill>
        <a:blip xmlns:r="http://schemas.openxmlformats.org/officeDocument/2006/relationships" r:embed="rId3"/>
        <a:stretch>
          <a:fillRect/>
        </a:stretch>
      </xdr:blipFill>
      <xdr:spPr>
        <a:xfrm>
          <a:off x="12191999" y="1164406"/>
          <a:ext cx="3835685" cy="2496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Usuario\Desktop\David\Inf%20+%20Ade\Carrera\4-curso\2%20cuatrimestre\AEF\Practicas\ICR\ICR.xlsx" TargetMode="External"/><Relationship Id="rId1" Type="http://schemas.openxmlformats.org/officeDocument/2006/relationships/externalLinkPath" Target="/Usuario/Desktop/David/Inf%20+%20Ade/Carrera/4-curso/2%20cuatrimestre/AEF/Practicas/ICR/IC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lanceRM"/>
      <sheetName val="PyGRM"/>
      <sheetName val="PyG funcional"/>
      <sheetName val="Indicadores "/>
      <sheetName val="PMM"/>
      <sheetName val="FM-NOF-RLN"/>
      <sheetName val="EFE"/>
    </sheetNames>
    <sheetDataSet>
      <sheetData sheetId="0">
        <row r="3">
          <cell r="B3">
            <v>43830</v>
          </cell>
          <cell r="D3">
            <v>43465</v>
          </cell>
        </row>
      </sheetData>
      <sheetData sheetId="1" refreshError="1"/>
      <sheetData sheetId="2">
        <row r="21">
          <cell r="B21">
            <v>0</v>
          </cell>
          <cell r="D21">
            <v>0</v>
          </cell>
        </row>
      </sheetData>
      <sheetData sheetId="3">
        <row r="44">
          <cell r="E44">
            <v>3.5080547217200495</v>
          </cell>
        </row>
      </sheetData>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Isabel Román Martínez" id="{14290B0C-58F7-4BA6-9D69-EE96C5F9FC3C}" userId="S::iroman@ms.ugr.es::675f46ad-e298-4f20-b572-8b29f51fa0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1" dT="2021-11-11T09:11:55.86" personId="{14290B0C-58F7-4BA6-9D69-EE96C5F9FC3C}" id="{9D485EAB-37AF-4809-95AD-D88E62179DEF}">
    <text>En el modelo del PGC se incluye en 
6."Otro inmovilizado intangible"</text>
  </threadedComment>
  <threadedComment ref="A26" dT="2021-11-11T09:19:55.02" personId="{14290B0C-58F7-4BA6-9D69-EE96C5F9FC3C}" id="{B5C6A2DD-FD4C-4DC7-85B9-014F28D83759}">
    <text>En el modelo del PGC se incluye en 5.Otros activos financieros</text>
  </threadedComment>
  <threadedComment ref="A33" dT="2021-11-11T09:20:01.78" personId="{14290B0C-58F7-4BA6-9D69-EE96C5F9FC3C}" id="{BDEA7BF4-7F20-4777-A71E-858E95BB93BA}">
    <text>En el modelo del PGC se incluye en 5.Otros activos financieros</text>
  </threadedComment>
  <threadedComment ref="A35" dT="2021-11-11T09:23:12.38" personId="{14290B0C-58F7-4BA6-9D69-EE96C5F9FC3C}" id="{7E944CCC-5459-4FEB-8BC7-E36CAE859494}">
    <text>Esta no aparece en el modelo de PGC</text>
  </threadedComment>
  <threadedComment ref="A59" dT="2021-11-11T09:33:33.15" personId="{14290B0C-58F7-4BA6-9D69-EE96C5F9FC3C}" id="{F072FD0D-89E3-477F-A90B-A213F727AF84}">
    <text>En el modelo del PGC se incluye en 5.Otros activos financieros</text>
  </threadedComment>
  <threadedComment ref="B62" dT="2021-11-11T11:24:17.85" personId="{14290B0C-58F7-4BA6-9D69-EE96C5F9FC3C}" id="{18C6221A-007A-40F3-94D3-35F334D2C8DD}">
    <text>En la nota 9 aparece esta cantidad, que es la que cuadra.
En el balance del RM aparece por 95.583</text>
  </threadedComment>
  <threadedComment ref="D62" dT="2021-11-11T11:24:17.85" personId="{14290B0C-58F7-4BA6-9D69-EE96C5F9FC3C}" id="{64B435E9-9906-4417-A8B5-C310EA4D2E9B}">
    <text>En la nota 9 aparece esta cantidad, que es la que cuadra.
En el balance del RM aparece por 95.583</text>
  </threadedComment>
  <threadedComment ref="A66" dT="2021-11-11T09:33:33.15" personId="{14290B0C-58F7-4BA6-9D69-EE96C5F9FC3C}" id="{E772D4FE-D0F8-4968-8BBE-52A450BF8DC9}">
    <text>En el modelo del PGC se incluye en 5.Otros activos financieros</text>
  </threadedComment>
  <threadedComment ref="A92" dT="2021-11-11T09:07:22.19" personId="{14290B0C-58F7-4BA6-9D69-EE96C5F9FC3C}" id="{5EAB6EE9-D232-4F44-9111-7B1365728391}">
    <text>Se modifica en 2021 por "Activos financieros a valor razonable con cambios en patrimonio neto"</text>
  </threadedComment>
  <threadedComment ref="A96" dT="2021-11-11T09:08:08.95" personId="{14290B0C-58F7-4BA6-9D69-EE96C5F9FC3C}" id="{D18454AB-D9B1-4899-904E-E3B3313F3003}">
    <text>En 2021 se unifican los 3 últimos epígrafes en "III.Otros"</text>
  </threadedComment>
  <threadedComment ref="A113" dT="2021-11-11T09:41:02.59" personId="{14290B0C-58F7-4BA6-9D69-EE96C5F9FC3C}" id="{CFEB8458-F15D-4C27-84CE-7D3E77F15C21}">
    <text>Esta no aparece en el modelo de PGC</text>
  </threadedComment>
  <threadedComment ref="A114" dT="2021-11-11T09:41:36.55" personId="{14290B0C-58F7-4BA6-9D69-EE96C5F9FC3C}" id="{17BDB80B-E8DA-4C33-A9B9-215571700CBD}">
    <text>Esta partida no aparece en el modelo del PGC</text>
  </threadedComment>
  <threadedComment ref="A134" dT="2021-11-11T09:43:03.12" personId="{14290B0C-58F7-4BA6-9D69-EE96C5F9FC3C}" id="{6ECA549E-5DE0-4C77-BABA-6B5D87A65DDC}">
    <text>Esta partida no aparece en el modelo del PGC</text>
  </threadedComment>
</ThreadedComments>
</file>

<file path=xl/threadedComments/threadedComment2.xml><?xml version="1.0" encoding="utf-8"?>
<ThreadedComments xmlns="http://schemas.microsoft.com/office/spreadsheetml/2018/threadedcomments" xmlns:x="http://schemas.openxmlformats.org/spreadsheetml/2006/main">
  <threadedComment ref="A11" dT="2021-11-11T09:11:55.86" personId="{14290B0C-58F7-4BA6-9D69-EE96C5F9FC3C}" id="{8013CAF0-A66A-454F-9CE0-598C9CAB40CC}">
    <text>En el modelo del PGC se incluye en 
6."Otro inmovilizado intangible"</text>
  </threadedComment>
  <threadedComment ref="A26" dT="2021-11-11T09:19:55.02" personId="{14290B0C-58F7-4BA6-9D69-EE96C5F9FC3C}" id="{C25C4651-3EBC-4455-95F4-2D86AC0B8434}">
    <text>En el modelo del PGC se incluye en 5.Otros activos financieros</text>
  </threadedComment>
  <threadedComment ref="A33" dT="2021-11-11T09:20:01.78" personId="{14290B0C-58F7-4BA6-9D69-EE96C5F9FC3C}" id="{49B518B7-329F-44D5-BA91-3EC0316E8009}">
    <text>En el modelo del PGC se incluye en 5.Otros activos financieros</text>
  </threadedComment>
  <threadedComment ref="A35" dT="2021-11-11T09:23:12.38" personId="{14290B0C-58F7-4BA6-9D69-EE96C5F9FC3C}" id="{8DC83FA9-FC23-429F-BD88-D6396417A16A}">
    <text>Esta no aparece en el modelo de PGC</text>
  </threadedComment>
  <threadedComment ref="A59" dT="2021-11-11T09:33:33.15" personId="{14290B0C-58F7-4BA6-9D69-EE96C5F9FC3C}" id="{F8253916-3F59-4546-83DA-12D6F8914895}">
    <text>En el modelo del PGC se incluye en 5.Otros activos financieros</text>
  </threadedComment>
  <threadedComment ref="B62" dT="2021-11-11T11:24:17.85" personId="{14290B0C-58F7-4BA6-9D69-EE96C5F9FC3C}" id="{4073E6DF-6DE7-4118-9628-DF96A4CD2C29}">
    <text>En la nota 9 aparece esta cantidad, que es la que cuadra.
En el balance del RM aparece por 95.583</text>
  </threadedComment>
  <threadedComment ref="D62" dT="2021-11-11T11:24:17.85" personId="{14290B0C-58F7-4BA6-9D69-EE96C5F9FC3C}" id="{357A96E3-E1B0-4F0D-B396-31D382FE3778}">
    <text>En la nota 9 aparece esta cantidad, que es la que cuadra.
En el balance del RM aparece por 95.583</text>
  </threadedComment>
  <threadedComment ref="A66" dT="2021-11-11T09:33:33.15" personId="{14290B0C-58F7-4BA6-9D69-EE96C5F9FC3C}" id="{963A7A3A-C4DF-4F39-9956-900C3A71B41E}">
    <text>En el modelo del PGC se incluye en 5.Otros activos financieros</text>
  </threadedComment>
  <threadedComment ref="A92" dT="2021-11-11T09:07:22.19" personId="{14290B0C-58F7-4BA6-9D69-EE96C5F9FC3C}" id="{B4AC2F40-A1F5-4727-ACE5-B5819D82AD0B}">
    <text>Se modifica en 2021 por "Activos financieros a valor razonable con cambios en patrimonio neto"</text>
  </threadedComment>
  <threadedComment ref="A96" dT="2021-11-11T09:08:08.95" personId="{14290B0C-58F7-4BA6-9D69-EE96C5F9FC3C}" id="{7AF06075-C6E5-492D-9DED-DFEEC9B3D8B6}">
    <text>En 2021 se unifican los 3 últimos epígrafes en "III.Otros"</text>
  </threadedComment>
  <threadedComment ref="A113" dT="2021-11-11T09:41:02.59" personId="{14290B0C-58F7-4BA6-9D69-EE96C5F9FC3C}" id="{13BE2DB3-8616-49A7-A734-2516A3E407DF}">
    <text>Esta no aparece en el modelo de PGC</text>
  </threadedComment>
  <threadedComment ref="A114" dT="2021-11-11T09:41:36.55" personId="{14290B0C-58F7-4BA6-9D69-EE96C5F9FC3C}" id="{513EE095-C097-4F29-8719-B6FCEE1CEEDA}">
    <text>Esta partida no aparece en el modelo del PGC</text>
  </threadedComment>
  <threadedComment ref="A134" dT="2021-11-11T09:43:03.12" personId="{14290B0C-58F7-4BA6-9D69-EE96C5F9FC3C}" id="{9199796E-A0FA-4A2D-88C5-E1BFDCA2C59C}">
    <text>Esta partida no aparece en el modelo del PGC</text>
  </threadedComment>
</ThreadedComments>
</file>

<file path=xl/threadedComments/threadedComment3.xml><?xml version="1.0" encoding="utf-8"?>
<ThreadedComments xmlns="http://schemas.microsoft.com/office/spreadsheetml/2018/threadedcomments" xmlns:x="http://schemas.openxmlformats.org/spreadsheetml/2006/main">
  <threadedComment ref="A32" dT="2021-11-11T09:48:56.49" personId="{14290B0C-58F7-4BA6-9D69-EE96C5F9FC3C}" id="{3B395834-503F-4B77-A0A2-E6C0BC959165}">
    <text>No aparece en el modelo del PGC, aunque en el texto se dice que debe aparecer</text>
  </threadedComment>
  <threadedComment ref="A42" dT="2021-11-11T09:49:40.77" personId="{14290B0C-58F7-4BA6-9D69-EE96C5F9FC3C}" id="{55D702C3-8BBE-40FD-9681-00CB2B808FCD}">
    <text>No aparece en el modelo del PGC</text>
  </threadedComment>
  <threadedComment ref="A47" dT="2021-11-11T10:13:20.51" personId="{14290B0C-58F7-4BA6-9D69-EE96C5F9FC3C}" id="{C1D151B9-A4F3-4F65-812C-DE9B9D68093C}">
    <text>En la actualización de 2021 se desglosa en:
a) Valor razonable con cambios en pérdidas y ganancias.
b) Transferencia de ajustes de valor razonable con cambios en el patrimonio neto.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41"/>
  <sheetViews>
    <sheetView topLeftCell="A113" zoomScale="115" zoomScaleNormal="115" zoomScalePageLayoutView="200" workbookViewId="0">
      <selection activeCell="A120" sqref="A120"/>
    </sheetView>
  </sheetViews>
  <sheetFormatPr baseColWidth="10" defaultColWidth="11.44140625" defaultRowHeight="14.4" x14ac:dyDescent="0.3"/>
  <cols>
    <col min="1" max="1" width="52" customWidth="1"/>
    <col min="2" max="2" width="13.6640625" style="6" bestFit="1" customWidth="1"/>
    <col min="3" max="3" width="10" style="6" customWidth="1"/>
    <col min="4" max="4" width="13.109375" style="6" customWidth="1"/>
    <col min="5" max="5" width="10" style="6" customWidth="1"/>
    <col min="6" max="6" width="13.109375" customWidth="1"/>
    <col min="8" max="8" width="15.77734375" customWidth="1"/>
  </cols>
  <sheetData>
    <row r="1" spans="1:8" ht="15.6" x14ac:dyDescent="0.3">
      <c r="A1" s="12"/>
    </row>
    <row r="2" spans="1:8" ht="28.95" customHeight="1" x14ac:dyDescent="0.3">
      <c r="A2" s="20" t="s">
        <v>158</v>
      </c>
      <c r="B2" s="6" t="s">
        <v>221</v>
      </c>
    </row>
    <row r="3" spans="1:8" s="7" customFormat="1" ht="27.75" customHeight="1" x14ac:dyDescent="0.3">
      <c r="A3" s="12" t="s">
        <v>144</v>
      </c>
      <c r="B3" s="19">
        <v>2019</v>
      </c>
      <c r="C3" s="19" t="s">
        <v>219</v>
      </c>
      <c r="D3" s="19">
        <v>2018</v>
      </c>
      <c r="E3" s="19" t="s">
        <v>219</v>
      </c>
      <c r="F3" s="19" t="s">
        <v>220</v>
      </c>
    </row>
    <row r="4" spans="1:8" s="9" customFormat="1" ht="27" customHeight="1" x14ac:dyDescent="0.3">
      <c r="A4" s="78" t="s">
        <v>0</v>
      </c>
      <c r="B4" s="95">
        <f>B5+B13+B17+B20+B27+B34+B35</f>
        <v>1387432.47</v>
      </c>
      <c r="C4" s="82">
        <f>B4/B$71</f>
        <v>0.41444465451629448</v>
      </c>
      <c r="D4" s="95">
        <f>D5+D13+D17+D20+D27+D34+D35</f>
        <v>682536.22</v>
      </c>
      <c r="E4" s="82">
        <f>D4/D$71</f>
        <v>0.2879802478226916</v>
      </c>
      <c r="F4" s="82">
        <f>B4/D4-1</f>
        <v>1.0327602101467965</v>
      </c>
    </row>
    <row r="5" spans="1:8" x14ac:dyDescent="0.3">
      <c r="A5" s="79" t="s">
        <v>159</v>
      </c>
      <c r="B5" s="52">
        <f>SUM(B6:B12)</f>
        <v>0</v>
      </c>
      <c r="C5" s="83">
        <f t="shared" ref="C5:C68" si="0">B5/B$71</f>
        <v>0</v>
      </c>
      <c r="D5" s="52">
        <f>SUM(D6:D12)</f>
        <v>0</v>
      </c>
      <c r="E5" s="83">
        <f t="shared" ref="E5:E68" si="1">D5/D$71</f>
        <v>0</v>
      </c>
      <c r="F5" s="83" t="e">
        <f t="shared" ref="F5:F68" si="2">B5/D5-1</f>
        <v>#DIV/0!</v>
      </c>
    </row>
    <row r="6" spans="1:8" x14ac:dyDescent="0.3">
      <c r="A6" s="80" t="s">
        <v>1</v>
      </c>
      <c r="B6" s="53"/>
      <c r="C6" s="84">
        <f t="shared" si="0"/>
        <v>0</v>
      </c>
      <c r="D6" s="53"/>
      <c r="E6" s="84">
        <f t="shared" si="1"/>
        <v>0</v>
      </c>
      <c r="F6" s="84" t="e">
        <f t="shared" si="2"/>
        <v>#DIV/0!</v>
      </c>
    </row>
    <row r="7" spans="1:8" x14ac:dyDescent="0.3">
      <c r="A7" s="80" t="s">
        <v>2</v>
      </c>
      <c r="B7" s="54"/>
      <c r="C7" s="85">
        <f t="shared" si="0"/>
        <v>0</v>
      </c>
      <c r="D7" s="54"/>
      <c r="E7" s="85">
        <f t="shared" si="1"/>
        <v>0</v>
      </c>
      <c r="F7" s="85" t="e">
        <f t="shared" si="2"/>
        <v>#DIV/0!</v>
      </c>
    </row>
    <row r="8" spans="1:8" x14ac:dyDescent="0.3">
      <c r="A8" s="80" t="s">
        <v>160</v>
      </c>
      <c r="B8" s="54"/>
      <c r="C8" s="85">
        <f t="shared" si="0"/>
        <v>0</v>
      </c>
      <c r="D8" s="54"/>
      <c r="E8" s="85">
        <f t="shared" si="1"/>
        <v>0</v>
      </c>
      <c r="F8" s="85" t="e">
        <f t="shared" si="2"/>
        <v>#DIV/0!</v>
      </c>
    </row>
    <row r="9" spans="1:8" x14ac:dyDescent="0.3">
      <c r="A9" s="80" t="s">
        <v>161</v>
      </c>
      <c r="B9" s="54"/>
      <c r="C9" s="85">
        <f t="shared" si="0"/>
        <v>0</v>
      </c>
      <c r="D9" s="54"/>
      <c r="E9" s="85">
        <f t="shared" si="1"/>
        <v>0</v>
      </c>
      <c r="F9" s="85" t="e">
        <f t="shared" si="2"/>
        <v>#DIV/0!</v>
      </c>
    </row>
    <row r="10" spans="1:8" x14ac:dyDescent="0.3">
      <c r="A10" s="80" t="s">
        <v>162</v>
      </c>
      <c r="B10" s="54"/>
      <c r="C10" s="85">
        <f t="shared" si="0"/>
        <v>0</v>
      </c>
      <c r="D10" s="54"/>
      <c r="E10" s="85">
        <f t="shared" si="1"/>
        <v>0</v>
      </c>
      <c r="F10" s="85" t="e">
        <f t="shared" si="2"/>
        <v>#DIV/0!</v>
      </c>
    </row>
    <row r="11" spans="1:8" x14ac:dyDescent="0.3">
      <c r="A11" s="80" t="s">
        <v>3</v>
      </c>
      <c r="B11" s="55"/>
      <c r="C11" s="86">
        <f t="shared" si="0"/>
        <v>0</v>
      </c>
      <c r="D11" s="55"/>
      <c r="E11" s="86">
        <f t="shared" si="1"/>
        <v>0</v>
      </c>
      <c r="F11" s="86" t="e">
        <f t="shared" si="2"/>
        <v>#DIV/0!</v>
      </c>
    </row>
    <row r="12" spans="1:8" x14ac:dyDescent="0.3">
      <c r="A12" s="80" t="s">
        <v>163</v>
      </c>
      <c r="B12" s="55"/>
      <c r="C12" s="86">
        <f t="shared" si="0"/>
        <v>0</v>
      </c>
      <c r="D12" s="55"/>
      <c r="E12" s="86">
        <f t="shared" si="1"/>
        <v>0</v>
      </c>
      <c r="F12" s="86" t="e">
        <f t="shared" si="2"/>
        <v>#DIV/0!</v>
      </c>
    </row>
    <row r="13" spans="1:8" x14ac:dyDescent="0.3">
      <c r="A13" s="79" t="s">
        <v>164</v>
      </c>
      <c r="B13" s="52">
        <f>B14+B15+B16</f>
        <v>1319626.27</v>
      </c>
      <c r="C13" s="83">
        <f t="shared" si="0"/>
        <v>0.39419003474870123</v>
      </c>
      <c r="D13" s="52">
        <f>D14+D15+D16</f>
        <v>682536.22</v>
      </c>
      <c r="E13" s="83">
        <f t="shared" si="1"/>
        <v>0.2879802478226916</v>
      </c>
      <c r="F13" s="83">
        <f t="shared" si="2"/>
        <v>0.93341573872812211</v>
      </c>
      <c r="H13" s="113"/>
    </row>
    <row r="14" spans="1:8" x14ac:dyDescent="0.3">
      <c r="A14" s="80" t="s">
        <v>165</v>
      </c>
      <c r="B14" s="53"/>
      <c r="C14" s="84">
        <f t="shared" si="0"/>
        <v>0</v>
      </c>
      <c r="D14" s="53"/>
      <c r="E14" s="84">
        <f t="shared" si="1"/>
        <v>0</v>
      </c>
      <c r="F14" s="84" t="e">
        <f t="shared" si="2"/>
        <v>#DIV/0!</v>
      </c>
    </row>
    <row r="15" spans="1:8" x14ac:dyDescent="0.3">
      <c r="A15" s="80" t="s">
        <v>166</v>
      </c>
      <c r="B15" s="54">
        <v>1319626.27</v>
      </c>
      <c r="C15" s="85">
        <f t="shared" si="0"/>
        <v>0.39419003474870123</v>
      </c>
      <c r="D15" s="54">
        <v>682536.22</v>
      </c>
      <c r="E15" s="85">
        <f t="shared" si="1"/>
        <v>0.2879802478226916</v>
      </c>
      <c r="F15" s="85">
        <f t="shared" si="2"/>
        <v>0.93341573872812211</v>
      </c>
    </row>
    <row r="16" spans="1:8" x14ac:dyDescent="0.3">
      <c r="A16" s="80" t="s">
        <v>167</v>
      </c>
      <c r="B16" s="54"/>
      <c r="C16" s="85">
        <f t="shared" si="0"/>
        <v>0</v>
      </c>
      <c r="D16" s="54"/>
      <c r="E16" s="85">
        <f t="shared" si="1"/>
        <v>0</v>
      </c>
      <c r="F16" s="85" t="e">
        <f t="shared" si="2"/>
        <v>#DIV/0!</v>
      </c>
    </row>
    <row r="17" spans="1:6" x14ac:dyDescent="0.3">
      <c r="A17" s="79" t="s">
        <v>168</v>
      </c>
      <c r="B17" s="52">
        <f>B18+B19</f>
        <v>0</v>
      </c>
      <c r="C17" s="83">
        <f t="shared" si="0"/>
        <v>0</v>
      </c>
      <c r="D17" s="52">
        <f>D18+D19</f>
        <v>0</v>
      </c>
      <c r="E17" s="83">
        <f t="shared" si="1"/>
        <v>0</v>
      </c>
      <c r="F17" s="83" t="e">
        <f t="shared" si="2"/>
        <v>#DIV/0!</v>
      </c>
    </row>
    <row r="18" spans="1:6" hidden="1" x14ac:dyDescent="0.3">
      <c r="A18" s="80" t="s">
        <v>169</v>
      </c>
      <c r="B18" s="54"/>
      <c r="C18" s="85">
        <f t="shared" si="0"/>
        <v>0</v>
      </c>
      <c r="D18" s="54"/>
      <c r="E18" s="85">
        <f t="shared" si="1"/>
        <v>0</v>
      </c>
      <c r="F18" s="85" t="e">
        <f t="shared" si="2"/>
        <v>#DIV/0!</v>
      </c>
    </row>
    <row r="19" spans="1:6" hidden="1" x14ac:dyDescent="0.3">
      <c r="A19" s="80" t="s">
        <v>170</v>
      </c>
      <c r="B19" s="54"/>
      <c r="C19" s="85">
        <f t="shared" si="0"/>
        <v>0</v>
      </c>
      <c r="D19" s="54"/>
      <c r="E19" s="85">
        <f t="shared" si="1"/>
        <v>0</v>
      </c>
      <c r="F19" s="85" t="e">
        <f t="shared" si="2"/>
        <v>#DIV/0!</v>
      </c>
    </row>
    <row r="20" spans="1:6" x14ac:dyDescent="0.3">
      <c r="A20" s="79" t="s">
        <v>171</v>
      </c>
      <c r="B20" s="52">
        <f>SUM(B21:B26)</f>
        <v>0</v>
      </c>
      <c r="C20" s="83">
        <f t="shared" si="0"/>
        <v>0</v>
      </c>
      <c r="D20" s="52">
        <f>SUM(D21:D26)</f>
        <v>0</v>
      </c>
      <c r="E20" s="83">
        <f t="shared" si="1"/>
        <v>0</v>
      </c>
      <c r="F20" s="83" t="e">
        <f t="shared" si="2"/>
        <v>#DIV/0!</v>
      </c>
    </row>
    <row r="21" spans="1:6" hidden="1" x14ac:dyDescent="0.3">
      <c r="A21" s="80" t="s">
        <v>172</v>
      </c>
      <c r="B21" s="54"/>
      <c r="C21" s="85">
        <f t="shared" si="0"/>
        <v>0</v>
      </c>
      <c r="D21" s="54"/>
      <c r="E21" s="85">
        <f t="shared" si="1"/>
        <v>0</v>
      </c>
      <c r="F21" s="85" t="e">
        <f t="shared" si="2"/>
        <v>#DIV/0!</v>
      </c>
    </row>
    <row r="22" spans="1:6" hidden="1" x14ac:dyDescent="0.3">
      <c r="A22" s="80" t="s">
        <v>4</v>
      </c>
      <c r="B22" s="54">
        <v>0</v>
      </c>
      <c r="C22" s="85">
        <f t="shared" si="0"/>
        <v>0</v>
      </c>
      <c r="D22" s="54">
        <v>0</v>
      </c>
      <c r="E22" s="85">
        <f t="shared" si="1"/>
        <v>0</v>
      </c>
      <c r="F22" s="85" t="e">
        <f t="shared" si="2"/>
        <v>#DIV/0!</v>
      </c>
    </row>
    <row r="23" spans="1:6" hidden="1" x14ac:dyDescent="0.3">
      <c r="A23" s="80" t="s">
        <v>5</v>
      </c>
      <c r="B23" s="54"/>
      <c r="C23" s="85">
        <f t="shared" si="0"/>
        <v>0</v>
      </c>
      <c r="D23" s="54"/>
      <c r="E23" s="85">
        <f t="shared" si="1"/>
        <v>0</v>
      </c>
      <c r="F23" s="85" t="e">
        <f t="shared" si="2"/>
        <v>#DIV/0!</v>
      </c>
    </row>
    <row r="24" spans="1:6" hidden="1" x14ac:dyDescent="0.3">
      <c r="A24" s="80" t="s">
        <v>6</v>
      </c>
      <c r="B24" s="54"/>
      <c r="C24" s="85">
        <f t="shared" si="0"/>
        <v>0</v>
      </c>
      <c r="D24" s="54"/>
      <c r="E24" s="85">
        <f t="shared" si="1"/>
        <v>0</v>
      </c>
      <c r="F24" s="85" t="e">
        <f t="shared" si="2"/>
        <v>#DIV/0!</v>
      </c>
    </row>
    <row r="25" spans="1:6" hidden="1" x14ac:dyDescent="0.3">
      <c r="A25" s="80" t="s">
        <v>7</v>
      </c>
      <c r="B25" s="54"/>
      <c r="C25" s="85">
        <f t="shared" si="0"/>
        <v>0</v>
      </c>
      <c r="D25" s="54"/>
      <c r="E25" s="85">
        <f t="shared" si="1"/>
        <v>0</v>
      </c>
      <c r="F25" s="85" t="e">
        <f t="shared" si="2"/>
        <v>#DIV/0!</v>
      </c>
    </row>
    <row r="26" spans="1:6" hidden="1" x14ac:dyDescent="0.3">
      <c r="A26" s="80" t="s">
        <v>8</v>
      </c>
      <c r="B26" s="54"/>
      <c r="C26" s="85">
        <f t="shared" si="0"/>
        <v>0</v>
      </c>
      <c r="D26" s="54"/>
      <c r="E26" s="85">
        <f t="shared" si="1"/>
        <v>0</v>
      </c>
      <c r="F26" s="85" t="e">
        <f t="shared" si="2"/>
        <v>#DIV/0!</v>
      </c>
    </row>
    <row r="27" spans="1:6" x14ac:dyDescent="0.3">
      <c r="A27" s="79" t="s">
        <v>173</v>
      </c>
      <c r="B27" s="52">
        <f>SUM(B28:B33)</f>
        <v>67806.2</v>
      </c>
      <c r="C27" s="83">
        <f t="shared" si="0"/>
        <v>2.0254619767593279E-2</v>
      </c>
      <c r="D27" s="52">
        <f>SUM(D28:D33)</f>
        <v>0</v>
      </c>
      <c r="E27" s="83">
        <f t="shared" si="1"/>
        <v>0</v>
      </c>
      <c r="F27" s="83" t="e">
        <f t="shared" si="2"/>
        <v>#DIV/0!</v>
      </c>
    </row>
    <row r="28" spans="1:6" hidden="1" x14ac:dyDescent="0.3">
      <c r="A28" s="80" t="s">
        <v>172</v>
      </c>
      <c r="B28" s="53"/>
      <c r="C28" s="84">
        <f t="shared" si="0"/>
        <v>0</v>
      </c>
      <c r="D28" s="53"/>
      <c r="E28" s="84">
        <f t="shared" si="1"/>
        <v>0</v>
      </c>
      <c r="F28" s="84" t="e">
        <f t="shared" si="2"/>
        <v>#DIV/0!</v>
      </c>
    </row>
    <row r="29" spans="1:6" hidden="1" x14ac:dyDescent="0.3">
      <c r="A29" s="80" t="s">
        <v>9</v>
      </c>
      <c r="B29" s="54"/>
      <c r="C29" s="85">
        <f t="shared" si="0"/>
        <v>0</v>
      </c>
      <c r="D29" s="54"/>
      <c r="E29" s="85">
        <f t="shared" si="1"/>
        <v>0</v>
      </c>
      <c r="F29" s="85" t="e">
        <f t="shared" si="2"/>
        <v>#DIV/0!</v>
      </c>
    </row>
    <row r="30" spans="1:6" hidden="1" x14ac:dyDescent="0.3">
      <c r="A30" s="80" t="s">
        <v>5</v>
      </c>
      <c r="B30" s="54"/>
      <c r="C30" s="85">
        <f t="shared" si="0"/>
        <v>0</v>
      </c>
      <c r="D30" s="54"/>
      <c r="E30" s="85">
        <f t="shared" si="1"/>
        <v>0</v>
      </c>
      <c r="F30" s="85" t="e">
        <f t="shared" si="2"/>
        <v>#DIV/0!</v>
      </c>
    </row>
    <row r="31" spans="1:6" hidden="1" x14ac:dyDescent="0.3">
      <c r="A31" s="80" t="s">
        <v>6</v>
      </c>
      <c r="B31" s="54"/>
      <c r="C31" s="85">
        <f t="shared" si="0"/>
        <v>0</v>
      </c>
      <c r="D31" s="54"/>
      <c r="E31" s="85">
        <f t="shared" si="1"/>
        <v>0</v>
      </c>
      <c r="F31" s="85" t="e">
        <f t="shared" si="2"/>
        <v>#DIV/0!</v>
      </c>
    </row>
    <row r="32" spans="1:6" x14ac:dyDescent="0.3">
      <c r="A32" s="80" t="s">
        <v>7</v>
      </c>
      <c r="B32" s="54">
        <v>67806.2</v>
      </c>
      <c r="C32" s="85">
        <f t="shared" si="0"/>
        <v>2.0254619767593279E-2</v>
      </c>
      <c r="D32" s="54"/>
      <c r="E32" s="85">
        <f t="shared" si="1"/>
        <v>0</v>
      </c>
      <c r="F32" s="85" t="e">
        <f t="shared" si="2"/>
        <v>#DIV/0!</v>
      </c>
    </row>
    <row r="33" spans="1:6" x14ac:dyDescent="0.3">
      <c r="A33" s="80" t="s">
        <v>8</v>
      </c>
      <c r="B33" s="54"/>
      <c r="C33" s="85">
        <f t="shared" si="0"/>
        <v>0</v>
      </c>
      <c r="D33" s="54"/>
      <c r="E33" s="85">
        <f t="shared" si="1"/>
        <v>0</v>
      </c>
      <c r="F33" s="85" t="e">
        <f t="shared" si="2"/>
        <v>#DIV/0!</v>
      </c>
    </row>
    <row r="34" spans="1:6" x14ac:dyDescent="0.3">
      <c r="A34" s="79" t="s">
        <v>10</v>
      </c>
      <c r="B34" s="52">
        <v>0</v>
      </c>
      <c r="C34" s="83">
        <f t="shared" si="0"/>
        <v>0</v>
      </c>
      <c r="D34" s="52">
        <v>0</v>
      </c>
      <c r="E34" s="83">
        <f t="shared" si="1"/>
        <v>0</v>
      </c>
      <c r="F34" s="83" t="e">
        <f t="shared" si="2"/>
        <v>#DIV/0!</v>
      </c>
    </row>
    <row r="35" spans="1:6" x14ac:dyDescent="0.3">
      <c r="A35" s="79" t="s">
        <v>11</v>
      </c>
      <c r="B35" s="56"/>
      <c r="C35" s="87">
        <f t="shared" si="0"/>
        <v>0</v>
      </c>
      <c r="D35" s="56"/>
      <c r="E35" s="87">
        <f t="shared" si="1"/>
        <v>0</v>
      </c>
      <c r="F35" s="87" t="e">
        <f t="shared" si="2"/>
        <v>#DIV/0!</v>
      </c>
    </row>
    <row r="36" spans="1:6" s="9" customFormat="1" ht="27" customHeight="1" x14ac:dyDescent="0.3">
      <c r="A36" s="78" t="s">
        <v>12</v>
      </c>
      <c r="B36" s="95">
        <f>B37+B38+B45+B53+B60+B67+B68</f>
        <v>1960258.1199999999</v>
      </c>
      <c r="C36" s="82">
        <f t="shared" si="0"/>
        <v>0.58555534548370547</v>
      </c>
      <c r="D36" s="95">
        <f>D37+D38+D45+D53+D60+D67+D68</f>
        <v>1687543.76</v>
      </c>
      <c r="E36" s="82">
        <f t="shared" si="1"/>
        <v>0.7120197521773084</v>
      </c>
      <c r="F36" s="82">
        <f t="shared" si="2"/>
        <v>0.16160431893037241</v>
      </c>
    </row>
    <row r="37" spans="1:6" x14ac:dyDescent="0.3">
      <c r="A37" s="79" t="s">
        <v>174</v>
      </c>
      <c r="B37" s="52"/>
      <c r="C37" s="83">
        <f t="shared" si="0"/>
        <v>0</v>
      </c>
      <c r="D37" s="52"/>
      <c r="E37" s="83">
        <f t="shared" si="1"/>
        <v>0</v>
      </c>
      <c r="F37" s="83" t="e">
        <f t="shared" si="2"/>
        <v>#DIV/0!</v>
      </c>
    </row>
    <row r="38" spans="1:6" x14ac:dyDescent="0.3">
      <c r="A38" s="79" t="s">
        <v>152</v>
      </c>
      <c r="B38" s="52">
        <f>B39+B40+B41+B42+B43+B44</f>
        <v>1472123.16</v>
      </c>
      <c r="C38" s="83">
        <f t="shared" si="0"/>
        <v>0.43974289750594903</v>
      </c>
      <c r="D38" s="52">
        <f>D39+D40+D41+D42+D43+D44</f>
        <v>779277.38</v>
      </c>
      <c r="E38" s="83">
        <f t="shared" si="1"/>
        <v>0.32879792520757045</v>
      </c>
      <c r="F38" s="83">
        <f t="shared" si="2"/>
        <v>0.88908750309164608</v>
      </c>
    </row>
    <row r="39" spans="1:6" x14ac:dyDescent="0.3">
      <c r="A39" s="80" t="s">
        <v>175</v>
      </c>
      <c r="B39" s="54">
        <v>1472123.16</v>
      </c>
      <c r="C39" s="85">
        <f t="shared" si="0"/>
        <v>0.43974289750594903</v>
      </c>
      <c r="D39" s="54">
        <v>779277.38</v>
      </c>
      <c r="E39" s="85">
        <f t="shared" si="1"/>
        <v>0.32879792520757045</v>
      </c>
      <c r="F39" s="85">
        <f t="shared" si="2"/>
        <v>0.88908750309164608</v>
      </c>
    </row>
    <row r="40" spans="1:6" x14ac:dyDescent="0.3">
      <c r="A40" s="80" t="s">
        <v>176</v>
      </c>
      <c r="B40" s="54"/>
      <c r="C40" s="85">
        <f t="shared" si="0"/>
        <v>0</v>
      </c>
      <c r="D40" s="54"/>
      <c r="E40" s="85">
        <f t="shared" si="1"/>
        <v>0</v>
      </c>
      <c r="F40" s="85" t="e">
        <f t="shared" si="2"/>
        <v>#DIV/0!</v>
      </c>
    </row>
    <row r="41" spans="1:6" x14ac:dyDescent="0.3">
      <c r="A41" s="80" t="s">
        <v>177</v>
      </c>
      <c r="B41" s="54"/>
      <c r="C41" s="85">
        <f t="shared" si="0"/>
        <v>0</v>
      </c>
      <c r="D41" s="54"/>
      <c r="E41" s="85">
        <f t="shared" si="1"/>
        <v>0</v>
      </c>
      <c r="F41" s="85" t="e">
        <f t="shared" si="2"/>
        <v>#DIV/0!</v>
      </c>
    </row>
    <row r="42" spans="1:6" x14ac:dyDescent="0.3">
      <c r="A42" s="80" t="s">
        <v>178</v>
      </c>
      <c r="B42" s="54"/>
      <c r="C42" s="85">
        <f t="shared" si="0"/>
        <v>0</v>
      </c>
      <c r="D42" s="54"/>
      <c r="E42" s="85">
        <f t="shared" si="1"/>
        <v>0</v>
      </c>
      <c r="F42" s="85" t="e">
        <f t="shared" si="2"/>
        <v>#DIV/0!</v>
      </c>
    </row>
    <row r="43" spans="1:6" x14ac:dyDescent="0.3">
      <c r="A43" s="80" t="s">
        <v>13</v>
      </c>
      <c r="B43" s="54"/>
      <c r="C43" s="85">
        <f t="shared" si="0"/>
        <v>0</v>
      </c>
      <c r="D43" s="54"/>
      <c r="E43" s="85">
        <f t="shared" si="1"/>
        <v>0</v>
      </c>
      <c r="F43" s="85" t="e">
        <f t="shared" si="2"/>
        <v>#DIV/0!</v>
      </c>
    </row>
    <row r="44" spans="1:6" x14ac:dyDescent="0.3">
      <c r="A44" s="80" t="s">
        <v>179</v>
      </c>
      <c r="B44" s="57"/>
      <c r="C44" s="88">
        <f t="shared" si="0"/>
        <v>0</v>
      </c>
      <c r="D44" s="57"/>
      <c r="E44" s="88">
        <f t="shared" si="1"/>
        <v>0</v>
      </c>
      <c r="F44" s="88" t="e">
        <f t="shared" si="2"/>
        <v>#DIV/0!</v>
      </c>
    </row>
    <row r="45" spans="1:6" x14ac:dyDescent="0.3">
      <c r="A45" s="79" t="s">
        <v>153</v>
      </c>
      <c r="B45" s="52">
        <f>B46+B47+B48+B49+B51+B50+B52</f>
        <v>77012.02</v>
      </c>
      <c r="C45" s="83">
        <f t="shared" si="0"/>
        <v>2.3004521454296052E-2</v>
      </c>
      <c r="D45" s="52">
        <f>D46+D47+D48+D49+D51+D50+D52</f>
        <v>231108.08000000002</v>
      </c>
      <c r="E45" s="83">
        <f t="shared" si="1"/>
        <v>9.7510667129469625E-2</v>
      </c>
      <c r="F45" s="83">
        <f t="shared" si="2"/>
        <v>-0.66677054302904515</v>
      </c>
    </row>
    <row r="46" spans="1:6" x14ac:dyDescent="0.3">
      <c r="A46" s="80" t="s">
        <v>14</v>
      </c>
      <c r="B46" s="53">
        <v>44401.8</v>
      </c>
      <c r="C46" s="84">
        <f t="shared" si="0"/>
        <v>1.3263412136304989E-2</v>
      </c>
      <c r="D46" s="53">
        <v>60934.52</v>
      </c>
      <c r="E46" s="84">
        <f t="shared" si="1"/>
        <v>2.5709900304714609E-2</v>
      </c>
      <c r="F46" s="84">
        <f t="shared" si="2"/>
        <v>-0.27131944257540708</v>
      </c>
    </row>
    <row r="47" spans="1:6" x14ac:dyDescent="0.3">
      <c r="A47" s="80" t="s">
        <v>15</v>
      </c>
      <c r="B47" s="54"/>
      <c r="C47" s="85">
        <f t="shared" si="0"/>
        <v>0</v>
      </c>
      <c r="D47" s="54"/>
      <c r="E47" s="85">
        <f t="shared" si="1"/>
        <v>0</v>
      </c>
      <c r="F47" s="85" t="e">
        <f t="shared" si="2"/>
        <v>#DIV/0!</v>
      </c>
    </row>
    <row r="48" spans="1:6" x14ac:dyDescent="0.3">
      <c r="A48" s="80" t="s">
        <v>180</v>
      </c>
      <c r="B48" s="54">
        <v>32610.22</v>
      </c>
      <c r="C48" s="85">
        <f t="shared" si="0"/>
        <v>9.7411093179910636E-3</v>
      </c>
      <c r="D48" s="54">
        <v>54371.68</v>
      </c>
      <c r="E48" s="85">
        <f t="shared" si="1"/>
        <v>2.2940862949274818E-2</v>
      </c>
      <c r="F48" s="85">
        <f t="shared" si="2"/>
        <v>-0.4002351959696665</v>
      </c>
    </row>
    <row r="49" spans="1:6" x14ac:dyDescent="0.3">
      <c r="A49" s="80" t="s">
        <v>181</v>
      </c>
      <c r="B49" s="55"/>
      <c r="C49" s="86">
        <f t="shared" si="0"/>
        <v>0</v>
      </c>
      <c r="D49" s="55"/>
      <c r="E49" s="86">
        <f t="shared" si="1"/>
        <v>0</v>
      </c>
      <c r="F49" s="86" t="e">
        <f t="shared" si="2"/>
        <v>#DIV/0!</v>
      </c>
    </row>
    <row r="50" spans="1:6" x14ac:dyDescent="0.3">
      <c r="A50" s="80" t="s">
        <v>182</v>
      </c>
      <c r="B50" s="54"/>
      <c r="C50" s="85">
        <f t="shared" si="0"/>
        <v>0</v>
      </c>
      <c r="D50" s="54"/>
      <c r="E50" s="85">
        <f t="shared" si="1"/>
        <v>0</v>
      </c>
      <c r="F50" s="85" t="e">
        <f t="shared" si="2"/>
        <v>#DIV/0!</v>
      </c>
    </row>
    <row r="51" spans="1:6" x14ac:dyDescent="0.3">
      <c r="A51" s="80" t="s">
        <v>183</v>
      </c>
      <c r="B51" s="53"/>
      <c r="C51" s="84">
        <f t="shared" si="0"/>
        <v>0</v>
      </c>
      <c r="D51" s="53">
        <v>115801.88</v>
      </c>
      <c r="E51" s="84">
        <f t="shared" si="1"/>
        <v>4.8859903875480185E-2</v>
      </c>
      <c r="F51" s="84">
        <f t="shared" si="2"/>
        <v>-1</v>
      </c>
    </row>
    <row r="52" spans="1:6" x14ac:dyDescent="0.3">
      <c r="A52" s="80" t="s">
        <v>184</v>
      </c>
      <c r="B52" s="54"/>
      <c r="C52" s="85">
        <f t="shared" si="0"/>
        <v>0</v>
      </c>
      <c r="D52" s="54"/>
      <c r="E52" s="85">
        <f t="shared" si="1"/>
        <v>0</v>
      </c>
      <c r="F52" s="85" t="e">
        <f t="shared" si="2"/>
        <v>#DIV/0!</v>
      </c>
    </row>
    <row r="53" spans="1:6" x14ac:dyDescent="0.3">
      <c r="A53" s="79" t="s">
        <v>185</v>
      </c>
      <c r="B53" s="52">
        <f>SUM(B54:B59)</f>
        <v>0</v>
      </c>
      <c r="C53" s="83">
        <f t="shared" si="0"/>
        <v>0</v>
      </c>
      <c r="D53" s="52">
        <f>SUM(D54:D59)</f>
        <v>0</v>
      </c>
      <c r="E53" s="83">
        <f t="shared" si="1"/>
        <v>0</v>
      </c>
      <c r="F53" s="83" t="e">
        <f t="shared" si="2"/>
        <v>#DIV/0!</v>
      </c>
    </row>
    <row r="54" spans="1:6" hidden="1" x14ac:dyDescent="0.3">
      <c r="A54" s="80" t="s">
        <v>172</v>
      </c>
      <c r="B54" s="54"/>
      <c r="C54" s="85">
        <f t="shared" si="0"/>
        <v>0</v>
      </c>
      <c r="D54" s="54"/>
      <c r="E54" s="85">
        <f t="shared" si="1"/>
        <v>0</v>
      </c>
      <c r="F54" s="85" t="e">
        <f t="shared" si="2"/>
        <v>#DIV/0!</v>
      </c>
    </row>
    <row r="55" spans="1:6" hidden="1" x14ac:dyDescent="0.3">
      <c r="A55" s="80" t="s">
        <v>4</v>
      </c>
      <c r="B55" s="58"/>
      <c r="C55" s="85">
        <f t="shared" si="0"/>
        <v>0</v>
      </c>
      <c r="D55" s="58"/>
      <c r="E55" s="85">
        <f t="shared" si="1"/>
        <v>0</v>
      </c>
      <c r="F55" s="85" t="e">
        <f t="shared" si="2"/>
        <v>#DIV/0!</v>
      </c>
    </row>
    <row r="56" spans="1:6" hidden="1" x14ac:dyDescent="0.3">
      <c r="A56" s="80" t="s">
        <v>5</v>
      </c>
      <c r="B56" s="58"/>
      <c r="C56" s="85">
        <f t="shared" si="0"/>
        <v>0</v>
      </c>
      <c r="D56" s="58"/>
      <c r="E56" s="85">
        <f t="shared" si="1"/>
        <v>0</v>
      </c>
      <c r="F56" s="85" t="e">
        <f t="shared" si="2"/>
        <v>#DIV/0!</v>
      </c>
    </row>
    <row r="57" spans="1:6" hidden="1" x14ac:dyDescent="0.3">
      <c r="A57" s="80" t="s">
        <v>6</v>
      </c>
      <c r="B57" s="54"/>
      <c r="C57" s="85">
        <f t="shared" si="0"/>
        <v>0</v>
      </c>
      <c r="D57" s="54"/>
      <c r="E57" s="85">
        <f t="shared" si="1"/>
        <v>0</v>
      </c>
      <c r="F57" s="85" t="e">
        <f t="shared" si="2"/>
        <v>#DIV/0!</v>
      </c>
    </row>
    <row r="58" spans="1:6" hidden="1" x14ac:dyDescent="0.3">
      <c r="A58" s="80" t="s">
        <v>7</v>
      </c>
      <c r="B58" s="54"/>
      <c r="C58" s="85">
        <f t="shared" si="0"/>
        <v>0</v>
      </c>
      <c r="D58" s="54"/>
      <c r="E58" s="85">
        <f t="shared" si="1"/>
        <v>0</v>
      </c>
      <c r="F58" s="85" t="e">
        <f t="shared" si="2"/>
        <v>#DIV/0!</v>
      </c>
    </row>
    <row r="59" spans="1:6" hidden="1" x14ac:dyDescent="0.3">
      <c r="A59" s="80" t="s">
        <v>8</v>
      </c>
      <c r="B59" s="54"/>
      <c r="C59" s="85">
        <f t="shared" si="0"/>
        <v>0</v>
      </c>
      <c r="D59" s="54"/>
      <c r="E59" s="85">
        <f t="shared" si="1"/>
        <v>0</v>
      </c>
      <c r="F59" s="85" t="e">
        <f t="shared" si="2"/>
        <v>#DIV/0!</v>
      </c>
    </row>
    <row r="60" spans="1:6" x14ac:dyDescent="0.3">
      <c r="A60" s="79" t="s">
        <v>154</v>
      </c>
      <c r="B60" s="52">
        <f>SUM(B61:B66)</f>
        <v>0</v>
      </c>
      <c r="C60" s="83">
        <f t="shared" si="0"/>
        <v>0</v>
      </c>
      <c r="D60" s="52">
        <f>SUM(D61:D66)</f>
        <v>0</v>
      </c>
      <c r="E60" s="83">
        <f t="shared" si="1"/>
        <v>0</v>
      </c>
      <c r="F60" s="83" t="e">
        <f t="shared" si="2"/>
        <v>#DIV/0!</v>
      </c>
    </row>
    <row r="61" spans="1:6" x14ac:dyDescent="0.3">
      <c r="A61" s="80" t="s">
        <v>172</v>
      </c>
      <c r="B61" s="54"/>
      <c r="C61" s="85">
        <f t="shared" si="0"/>
        <v>0</v>
      </c>
      <c r="D61" s="54"/>
      <c r="E61" s="85">
        <f t="shared" si="1"/>
        <v>0</v>
      </c>
      <c r="F61" s="85" t="e">
        <f t="shared" si="2"/>
        <v>#DIV/0!</v>
      </c>
    </row>
    <row r="62" spans="1:6" x14ac:dyDescent="0.3">
      <c r="A62" s="80" t="s">
        <v>4</v>
      </c>
      <c r="B62" s="54"/>
      <c r="C62" s="85">
        <f t="shared" si="0"/>
        <v>0</v>
      </c>
      <c r="D62" s="54"/>
      <c r="E62" s="85">
        <f t="shared" si="1"/>
        <v>0</v>
      </c>
      <c r="F62" s="85" t="e">
        <f t="shared" si="2"/>
        <v>#DIV/0!</v>
      </c>
    </row>
    <row r="63" spans="1:6" x14ac:dyDescent="0.3">
      <c r="A63" s="80" t="s">
        <v>5</v>
      </c>
      <c r="B63" s="59"/>
      <c r="C63" s="85">
        <f t="shared" si="0"/>
        <v>0</v>
      </c>
      <c r="D63" s="59"/>
      <c r="E63" s="85">
        <f t="shared" si="1"/>
        <v>0</v>
      </c>
      <c r="F63" s="85" t="e">
        <f t="shared" si="2"/>
        <v>#DIV/0!</v>
      </c>
    </row>
    <row r="64" spans="1:6" x14ac:dyDescent="0.3">
      <c r="A64" s="80" t="s">
        <v>6</v>
      </c>
      <c r="B64" s="54"/>
      <c r="C64" s="85">
        <f t="shared" si="0"/>
        <v>0</v>
      </c>
      <c r="D64" s="54"/>
      <c r="E64" s="85">
        <f t="shared" si="1"/>
        <v>0</v>
      </c>
      <c r="F64" s="85" t="e">
        <f t="shared" si="2"/>
        <v>#DIV/0!</v>
      </c>
    </row>
    <row r="65" spans="1:6" x14ac:dyDescent="0.3">
      <c r="A65" s="80" t="s">
        <v>7</v>
      </c>
      <c r="B65" s="54"/>
      <c r="C65" s="85">
        <f t="shared" si="0"/>
        <v>0</v>
      </c>
      <c r="D65" s="54"/>
      <c r="E65" s="85">
        <f t="shared" si="1"/>
        <v>0</v>
      </c>
      <c r="F65" s="85" t="e">
        <f t="shared" si="2"/>
        <v>#DIV/0!</v>
      </c>
    </row>
    <row r="66" spans="1:6" x14ac:dyDescent="0.3">
      <c r="A66" s="80" t="s">
        <v>8</v>
      </c>
      <c r="B66" s="54"/>
      <c r="C66" s="85">
        <f t="shared" si="0"/>
        <v>0</v>
      </c>
      <c r="D66" s="54"/>
      <c r="E66" s="85">
        <f t="shared" si="1"/>
        <v>0</v>
      </c>
      <c r="F66" s="85" t="e">
        <f t="shared" si="2"/>
        <v>#DIV/0!</v>
      </c>
    </row>
    <row r="67" spans="1:6" x14ac:dyDescent="0.3">
      <c r="A67" s="79" t="s">
        <v>155</v>
      </c>
      <c r="B67" s="52"/>
      <c r="C67" s="83">
        <f t="shared" si="0"/>
        <v>0</v>
      </c>
      <c r="D67" s="52"/>
      <c r="E67" s="83">
        <f t="shared" si="1"/>
        <v>0</v>
      </c>
      <c r="F67" s="83" t="e">
        <f t="shared" si="2"/>
        <v>#DIV/0!</v>
      </c>
    </row>
    <row r="68" spans="1:6" x14ac:dyDescent="0.3">
      <c r="A68" s="79" t="s">
        <v>156</v>
      </c>
      <c r="B68" s="52">
        <f t="shared" ref="B68:D68" si="3">B69+B70</f>
        <v>411122.94</v>
      </c>
      <c r="C68" s="83">
        <f t="shared" si="0"/>
        <v>0.12280792652346047</v>
      </c>
      <c r="D68" s="52">
        <f t="shared" si="3"/>
        <v>677158.3</v>
      </c>
      <c r="E68" s="83">
        <f t="shared" si="1"/>
        <v>0.28571115984026835</v>
      </c>
      <c r="F68" s="83">
        <f t="shared" si="2"/>
        <v>-0.39287026386592327</v>
      </c>
    </row>
    <row r="69" spans="1:6" x14ac:dyDescent="0.3">
      <c r="A69" s="80" t="s">
        <v>186</v>
      </c>
      <c r="B69" s="54">
        <v>411122.94</v>
      </c>
      <c r="C69" s="85">
        <f t="shared" ref="C69:C71" si="4">B69/B$71</f>
        <v>0.12280792652346047</v>
      </c>
      <c r="D69" s="61">
        <v>677158.3</v>
      </c>
      <c r="E69" s="85">
        <f t="shared" ref="E69:E71" si="5">D69/D$71</f>
        <v>0.28571115984026835</v>
      </c>
      <c r="F69" s="85">
        <f t="shared" ref="F69:F71" si="6">B69/D69-1</f>
        <v>-0.39287026386592327</v>
      </c>
    </row>
    <row r="70" spans="1:6" x14ac:dyDescent="0.3">
      <c r="A70" s="80" t="s">
        <v>187</v>
      </c>
      <c r="B70" s="54"/>
      <c r="C70" s="85">
        <f t="shared" si="4"/>
        <v>0</v>
      </c>
      <c r="D70" s="54"/>
      <c r="E70" s="85">
        <f t="shared" si="5"/>
        <v>0</v>
      </c>
      <c r="F70" s="85" t="e">
        <f t="shared" si="6"/>
        <v>#DIV/0!</v>
      </c>
    </row>
    <row r="71" spans="1:6" s="9" customFormat="1" ht="30" customHeight="1" x14ac:dyDescent="0.3">
      <c r="A71" s="81" t="s">
        <v>16</v>
      </c>
      <c r="B71" s="96">
        <f>B36+B4</f>
        <v>3347690.59</v>
      </c>
      <c r="C71" s="89">
        <f t="shared" si="4"/>
        <v>1</v>
      </c>
      <c r="D71" s="96">
        <f>D36+D4</f>
        <v>2370079.98</v>
      </c>
      <c r="E71" s="89">
        <f t="shared" si="5"/>
        <v>1</v>
      </c>
      <c r="F71" s="89">
        <f t="shared" si="6"/>
        <v>0.41248000837507592</v>
      </c>
    </row>
    <row r="72" spans="1:6" ht="18" customHeight="1" x14ac:dyDescent="0.3">
      <c r="A72" s="5"/>
      <c r="B72" s="60"/>
      <c r="C72" s="21"/>
      <c r="D72" s="60"/>
      <c r="E72" s="21"/>
    </row>
    <row r="73" spans="1:6" s="7" customFormat="1" ht="41.1" customHeight="1" x14ac:dyDescent="0.3">
      <c r="A73" s="94" t="str">
        <f>A2</f>
        <v>PERFUMERIAS PRIMOR</v>
      </c>
      <c r="B73" s="19">
        <v>2019</v>
      </c>
      <c r="C73" s="19" t="s">
        <v>219</v>
      </c>
      <c r="D73" s="19">
        <f>D3</f>
        <v>2018</v>
      </c>
      <c r="E73" s="19" t="s">
        <v>219</v>
      </c>
      <c r="F73" s="19" t="s">
        <v>220</v>
      </c>
    </row>
    <row r="74" spans="1:6" s="9" customFormat="1" ht="27" customHeight="1" x14ac:dyDescent="0.3">
      <c r="A74" s="78" t="s">
        <v>17</v>
      </c>
      <c r="B74" s="95">
        <f>B75+B91+B97</f>
        <v>1046134.69</v>
      </c>
      <c r="C74" s="82">
        <f>B74/B$135</f>
        <v>0.31249443814340083</v>
      </c>
      <c r="D74" s="95">
        <f>D75+D91+D97</f>
        <v>569815.5</v>
      </c>
      <c r="E74" s="82">
        <f>D74/D$135</f>
        <v>0.24042036758607616</v>
      </c>
      <c r="F74" s="82">
        <f t="shared" ref="F74:F135" si="7">B74/D74-1</f>
        <v>0.8359182753013914</v>
      </c>
    </row>
    <row r="75" spans="1:6" x14ac:dyDescent="0.3">
      <c r="A75" s="1" t="s">
        <v>18</v>
      </c>
      <c r="B75" s="54">
        <f>B76+B79+B80+B83+B84+B87+B88+B89+B90</f>
        <v>1043207.44</v>
      </c>
      <c r="C75" s="85">
        <f t="shared" ref="C75:C135" si="8">B75/B$135</f>
        <v>0.31162002937672922</v>
      </c>
      <c r="D75" s="54">
        <f>D76+D79+D80+D83+D84+D87+D88+D89+D90</f>
        <v>569815.5</v>
      </c>
      <c r="E75" s="85">
        <f t="shared" ref="E75:E135" si="9">D75/D$135</f>
        <v>0.24042036758607616</v>
      </c>
      <c r="F75" s="54">
        <f t="shared" si="7"/>
        <v>0.83078108615858981</v>
      </c>
    </row>
    <row r="76" spans="1:6" x14ac:dyDescent="0.3">
      <c r="A76" s="79" t="s">
        <v>19</v>
      </c>
      <c r="B76" s="52">
        <f t="shared" ref="B76:D76" si="10">+B77+B78</f>
        <v>135000</v>
      </c>
      <c r="C76" s="83">
        <f t="shared" si="8"/>
        <v>4.0326307456030462E-2</v>
      </c>
      <c r="D76" s="52">
        <f t="shared" si="10"/>
        <v>135000</v>
      </c>
      <c r="E76" s="83">
        <f t="shared" si="9"/>
        <v>5.696010309322979E-2</v>
      </c>
      <c r="F76" s="52">
        <f t="shared" si="7"/>
        <v>0</v>
      </c>
    </row>
    <row r="77" spans="1:6" x14ac:dyDescent="0.3">
      <c r="A77" s="80" t="s">
        <v>20</v>
      </c>
      <c r="B77" s="54">
        <v>135000</v>
      </c>
      <c r="C77" s="85">
        <f t="shared" si="8"/>
        <v>4.0326307456030462E-2</v>
      </c>
      <c r="D77" s="54">
        <v>135000</v>
      </c>
      <c r="E77" s="85">
        <f t="shared" si="9"/>
        <v>5.696010309322979E-2</v>
      </c>
      <c r="F77" s="54">
        <f t="shared" si="7"/>
        <v>0</v>
      </c>
    </row>
    <row r="78" spans="1:6" x14ac:dyDescent="0.3">
      <c r="A78" s="80" t="s">
        <v>21</v>
      </c>
      <c r="B78" s="54"/>
      <c r="C78" s="85">
        <f t="shared" si="8"/>
        <v>0</v>
      </c>
      <c r="D78" s="54"/>
      <c r="E78" s="85">
        <f t="shared" si="9"/>
        <v>0</v>
      </c>
      <c r="F78" s="54" t="e">
        <f t="shared" si="7"/>
        <v>#DIV/0!</v>
      </c>
    </row>
    <row r="79" spans="1:6" x14ac:dyDescent="0.3">
      <c r="A79" s="79" t="s">
        <v>22</v>
      </c>
      <c r="B79" s="52"/>
      <c r="C79" s="83">
        <f t="shared" si="8"/>
        <v>0</v>
      </c>
      <c r="D79" s="52"/>
      <c r="E79" s="83">
        <f t="shared" si="9"/>
        <v>0</v>
      </c>
      <c r="F79" s="52" t="e">
        <f t="shared" si="7"/>
        <v>#DIV/0!</v>
      </c>
    </row>
    <row r="80" spans="1:6" x14ac:dyDescent="0.3">
      <c r="A80" s="79" t="s">
        <v>23</v>
      </c>
      <c r="B80" s="52">
        <f t="shared" ref="B80:D80" si="11">B81+B82</f>
        <v>434815.5</v>
      </c>
      <c r="C80" s="83">
        <f t="shared" si="8"/>
        <v>0.12988521140479711</v>
      </c>
      <c r="D80" s="52">
        <f t="shared" si="11"/>
        <v>177507.84</v>
      </c>
      <c r="E80" s="83">
        <f t="shared" si="9"/>
        <v>7.4895295305603987E-2</v>
      </c>
      <c r="F80" s="52">
        <f t="shared" si="7"/>
        <v>1.4495565942326829</v>
      </c>
    </row>
    <row r="81" spans="1:6" x14ac:dyDescent="0.3">
      <c r="A81" s="80" t="s">
        <v>24</v>
      </c>
      <c r="B81" s="61">
        <v>27000</v>
      </c>
      <c r="C81" s="105">
        <f t="shared" si="8"/>
        <v>8.0652614912060921E-3</v>
      </c>
      <c r="D81" s="61">
        <v>27000</v>
      </c>
      <c r="E81" s="105">
        <f t="shared" si="9"/>
        <v>1.1392020618645958E-2</v>
      </c>
      <c r="F81" s="61">
        <f t="shared" si="7"/>
        <v>0</v>
      </c>
    </row>
    <row r="82" spans="1:6" x14ac:dyDescent="0.3">
      <c r="A82" s="80" t="s">
        <v>188</v>
      </c>
      <c r="B82" s="61">
        <f>39850.29+367965.21</f>
        <v>407815.5</v>
      </c>
      <c r="C82" s="105">
        <f t="shared" si="8"/>
        <v>0.12181994991359103</v>
      </c>
      <c r="D82" s="61">
        <f>14119.52+136388.32</f>
        <v>150507.84</v>
      </c>
      <c r="E82" s="105">
        <f t="shared" si="9"/>
        <v>6.3503274686958031E-2</v>
      </c>
      <c r="F82" s="61">
        <f t="shared" si="7"/>
        <v>1.7095963904604572</v>
      </c>
    </row>
    <row r="83" spans="1:6" x14ac:dyDescent="0.3">
      <c r="A83" s="79" t="s">
        <v>25</v>
      </c>
      <c r="B83" s="52"/>
      <c r="C83" s="83">
        <f t="shared" si="8"/>
        <v>0</v>
      </c>
      <c r="D83" s="52"/>
      <c r="E83" s="83">
        <f t="shared" si="9"/>
        <v>0</v>
      </c>
      <c r="F83" s="52" t="e">
        <f t="shared" si="7"/>
        <v>#DIV/0!</v>
      </c>
    </row>
    <row r="84" spans="1:6" x14ac:dyDescent="0.3">
      <c r="A84" s="79" t="s">
        <v>189</v>
      </c>
      <c r="B84" s="52">
        <f>B85+B86</f>
        <v>0</v>
      </c>
      <c r="C84" s="83">
        <f t="shared" si="8"/>
        <v>0</v>
      </c>
      <c r="D84" s="52">
        <f>D85+D86</f>
        <v>0</v>
      </c>
      <c r="E84" s="83">
        <f t="shared" si="9"/>
        <v>0</v>
      </c>
      <c r="F84" s="52" t="e">
        <f t="shared" si="7"/>
        <v>#DIV/0!</v>
      </c>
    </row>
    <row r="85" spans="1:6" x14ac:dyDescent="0.3">
      <c r="A85" s="80" t="s">
        <v>190</v>
      </c>
      <c r="B85" s="61"/>
      <c r="C85" s="105">
        <f t="shared" si="8"/>
        <v>0</v>
      </c>
      <c r="D85" s="61"/>
      <c r="E85" s="105">
        <f t="shared" si="9"/>
        <v>0</v>
      </c>
      <c r="F85" s="61" t="e">
        <f t="shared" si="7"/>
        <v>#DIV/0!</v>
      </c>
    </row>
    <row r="86" spans="1:6" x14ac:dyDescent="0.3">
      <c r="A86" s="80" t="s">
        <v>191</v>
      </c>
      <c r="B86" s="61"/>
      <c r="C86" s="105">
        <f t="shared" si="8"/>
        <v>0</v>
      </c>
      <c r="D86" s="61"/>
      <c r="E86" s="105">
        <f t="shared" si="9"/>
        <v>0</v>
      </c>
      <c r="F86" s="61" t="e">
        <f t="shared" si="7"/>
        <v>#DIV/0!</v>
      </c>
    </row>
    <row r="87" spans="1:6" x14ac:dyDescent="0.3">
      <c r="A87" s="79" t="s">
        <v>192</v>
      </c>
      <c r="B87" s="52"/>
      <c r="C87" s="83">
        <f t="shared" si="8"/>
        <v>0</v>
      </c>
      <c r="D87" s="52"/>
      <c r="E87" s="83">
        <f t="shared" si="9"/>
        <v>0</v>
      </c>
      <c r="F87" s="52" t="e">
        <f t="shared" si="7"/>
        <v>#DIV/0!</v>
      </c>
    </row>
    <row r="88" spans="1:6" x14ac:dyDescent="0.3">
      <c r="A88" s="79" t="s">
        <v>193</v>
      </c>
      <c r="B88" s="52">
        <v>473391.94</v>
      </c>
      <c r="C88" s="83">
        <f t="shared" si="8"/>
        <v>0.14140851051590167</v>
      </c>
      <c r="D88" s="52">
        <v>257307.66</v>
      </c>
      <c r="E88" s="83">
        <f t="shared" si="9"/>
        <v>0.10856496918724237</v>
      </c>
      <c r="F88" s="52">
        <f t="shared" si="7"/>
        <v>0.83978953444293114</v>
      </c>
    </row>
    <row r="89" spans="1:6" x14ac:dyDescent="0.3">
      <c r="A89" s="79" t="s">
        <v>194</v>
      </c>
      <c r="B89" s="52"/>
      <c r="C89" s="83">
        <f t="shared" si="8"/>
        <v>0</v>
      </c>
      <c r="D89" s="52"/>
      <c r="E89" s="83">
        <f t="shared" si="9"/>
        <v>0</v>
      </c>
      <c r="F89" s="52" t="e">
        <f t="shared" si="7"/>
        <v>#DIV/0!</v>
      </c>
    </row>
    <row r="90" spans="1:6" x14ac:dyDescent="0.3">
      <c r="A90" s="79" t="s">
        <v>195</v>
      </c>
      <c r="B90" s="52"/>
      <c r="C90" s="83">
        <f t="shared" si="8"/>
        <v>0</v>
      </c>
      <c r="D90" s="52"/>
      <c r="E90" s="83">
        <f t="shared" si="9"/>
        <v>0</v>
      </c>
      <c r="F90" s="52" t="e">
        <f t="shared" si="7"/>
        <v>#DIV/0!</v>
      </c>
    </row>
    <row r="91" spans="1:6" x14ac:dyDescent="0.3">
      <c r="A91" s="1" t="s">
        <v>26</v>
      </c>
      <c r="B91" s="61">
        <f t="shared" ref="B91:D91" si="12">B92+B93+B94+B95+B96</f>
        <v>0</v>
      </c>
      <c r="C91" s="105">
        <f t="shared" si="8"/>
        <v>0</v>
      </c>
      <c r="D91" s="61">
        <f t="shared" si="12"/>
        <v>0</v>
      </c>
      <c r="E91" s="105">
        <f t="shared" si="9"/>
        <v>0</v>
      </c>
      <c r="F91" s="61" t="e">
        <f t="shared" si="7"/>
        <v>#DIV/0!</v>
      </c>
    </row>
    <row r="92" spans="1:6" x14ac:dyDescent="0.3">
      <c r="A92" s="79" t="s">
        <v>27</v>
      </c>
      <c r="B92" s="61"/>
      <c r="C92" s="83">
        <f t="shared" si="8"/>
        <v>0</v>
      </c>
      <c r="D92" s="61"/>
      <c r="E92" s="83">
        <f t="shared" si="9"/>
        <v>0</v>
      </c>
      <c r="F92" s="52" t="e">
        <f t="shared" si="7"/>
        <v>#DIV/0!</v>
      </c>
    </row>
    <row r="93" spans="1:6" x14ac:dyDescent="0.3">
      <c r="A93" s="79" t="s">
        <v>196</v>
      </c>
      <c r="B93" s="52"/>
      <c r="C93" s="83">
        <f t="shared" si="8"/>
        <v>0</v>
      </c>
      <c r="D93" s="52"/>
      <c r="E93" s="83">
        <f t="shared" si="9"/>
        <v>0</v>
      </c>
      <c r="F93" s="52" t="e">
        <f t="shared" si="7"/>
        <v>#DIV/0!</v>
      </c>
    </row>
    <row r="94" spans="1:6" x14ac:dyDescent="0.3">
      <c r="A94" s="1" t="s">
        <v>28</v>
      </c>
      <c r="B94" s="61"/>
      <c r="C94" s="106">
        <f t="shared" si="8"/>
        <v>0</v>
      </c>
      <c r="D94" s="61"/>
      <c r="E94" s="106">
        <f t="shared" si="9"/>
        <v>0</v>
      </c>
      <c r="F94" s="98" t="e">
        <f t="shared" si="7"/>
        <v>#DIV/0!</v>
      </c>
    </row>
    <row r="95" spans="1:6" x14ac:dyDescent="0.3">
      <c r="A95" s="1" t="s">
        <v>197</v>
      </c>
      <c r="B95" s="61"/>
      <c r="C95" s="105">
        <f t="shared" si="8"/>
        <v>0</v>
      </c>
      <c r="D95" s="61"/>
      <c r="E95" s="105">
        <f t="shared" si="9"/>
        <v>0</v>
      </c>
      <c r="F95" s="61" t="e">
        <f t="shared" si="7"/>
        <v>#DIV/0!</v>
      </c>
    </row>
    <row r="96" spans="1:6" x14ac:dyDescent="0.3">
      <c r="A96" s="1" t="s">
        <v>198</v>
      </c>
      <c r="B96" s="61"/>
      <c r="C96" s="105">
        <f t="shared" si="8"/>
        <v>0</v>
      </c>
      <c r="D96" s="61"/>
      <c r="E96" s="105">
        <f t="shared" si="9"/>
        <v>0</v>
      </c>
      <c r="F96" s="61" t="e">
        <f t="shared" si="7"/>
        <v>#DIV/0!</v>
      </c>
    </row>
    <row r="97" spans="1:6" x14ac:dyDescent="0.3">
      <c r="A97" s="1" t="s">
        <v>29</v>
      </c>
      <c r="B97" s="61">
        <v>2927.25</v>
      </c>
      <c r="C97" s="105">
        <f t="shared" si="8"/>
        <v>8.7440876667159374E-4</v>
      </c>
      <c r="D97" s="61"/>
      <c r="E97" s="105">
        <f t="shared" si="9"/>
        <v>0</v>
      </c>
      <c r="F97" s="61" t="e">
        <f t="shared" si="7"/>
        <v>#DIV/0!</v>
      </c>
    </row>
    <row r="98" spans="1:6" s="9" customFormat="1" ht="27" customHeight="1" x14ac:dyDescent="0.3">
      <c r="A98" s="78" t="s">
        <v>30</v>
      </c>
      <c r="B98" s="95">
        <f>B99+B104+B110+B111+B112+B113+B114</f>
        <v>1083044.3500000001</v>
      </c>
      <c r="C98" s="82">
        <f t="shared" si="8"/>
        <v>0.32351984775271603</v>
      </c>
      <c r="D98" s="95">
        <f>D99+D104+D110+D111+D112+D113+D114</f>
        <v>127185.99</v>
      </c>
      <c r="E98" s="82">
        <f t="shared" si="9"/>
        <v>5.3663163721588844E-2</v>
      </c>
      <c r="F98" s="95">
        <f t="shared" si="7"/>
        <v>7.5154375100590887</v>
      </c>
    </row>
    <row r="99" spans="1:6" x14ac:dyDescent="0.3">
      <c r="A99" s="79" t="s">
        <v>199</v>
      </c>
      <c r="B99" s="52">
        <f>SUM(B100:B103)</f>
        <v>0</v>
      </c>
      <c r="C99" s="90">
        <f t="shared" si="8"/>
        <v>0</v>
      </c>
      <c r="D99" s="52">
        <f>SUM(D100:D103)</f>
        <v>0</v>
      </c>
      <c r="E99" s="90">
        <f t="shared" si="9"/>
        <v>0</v>
      </c>
      <c r="F99" s="99" t="e">
        <f t="shared" si="7"/>
        <v>#DIV/0!</v>
      </c>
    </row>
    <row r="100" spans="1:6" hidden="1" x14ac:dyDescent="0.3">
      <c r="A100" s="80" t="s">
        <v>200</v>
      </c>
      <c r="B100" s="61"/>
      <c r="C100" s="91">
        <f t="shared" si="8"/>
        <v>0</v>
      </c>
      <c r="D100" s="61"/>
      <c r="E100" s="91">
        <f t="shared" si="9"/>
        <v>0</v>
      </c>
      <c r="F100" s="100" t="e">
        <f t="shared" si="7"/>
        <v>#DIV/0!</v>
      </c>
    </row>
    <row r="101" spans="1:6" hidden="1" x14ac:dyDescent="0.3">
      <c r="A101" s="80" t="s">
        <v>201</v>
      </c>
      <c r="B101" s="61"/>
      <c r="C101" s="91">
        <f t="shared" si="8"/>
        <v>0</v>
      </c>
      <c r="D101" s="61"/>
      <c r="E101" s="91">
        <f t="shared" si="9"/>
        <v>0</v>
      </c>
      <c r="F101" s="100" t="e">
        <f t="shared" si="7"/>
        <v>#DIV/0!</v>
      </c>
    </row>
    <row r="102" spans="1:6" hidden="1" x14ac:dyDescent="0.3">
      <c r="A102" s="80" t="s">
        <v>202</v>
      </c>
      <c r="B102" s="61"/>
      <c r="C102" s="91">
        <f t="shared" si="8"/>
        <v>0</v>
      </c>
      <c r="D102" s="61"/>
      <c r="E102" s="91">
        <f t="shared" si="9"/>
        <v>0</v>
      </c>
      <c r="F102" s="100" t="e">
        <f t="shared" si="7"/>
        <v>#DIV/0!</v>
      </c>
    </row>
    <row r="103" spans="1:6" hidden="1" x14ac:dyDescent="0.3">
      <c r="A103" s="80" t="s">
        <v>203</v>
      </c>
      <c r="B103" s="61"/>
      <c r="C103" s="91">
        <f t="shared" si="8"/>
        <v>0</v>
      </c>
      <c r="D103" s="61"/>
      <c r="E103" s="91">
        <f t="shared" si="9"/>
        <v>0</v>
      </c>
      <c r="F103" s="100" t="e">
        <f t="shared" si="7"/>
        <v>#DIV/0!</v>
      </c>
    </row>
    <row r="104" spans="1:6" x14ac:dyDescent="0.3">
      <c r="A104" s="79" t="s">
        <v>204</v>
      </c>
      <c r="B104" s="52">
        <f t="shared" ref="B104:D104" si="13">SUM(B105:B109)</f>
        <v>1083044.3500000001</v>
      </c>
      <c r="C104" s="90">
        <f t="shared" si="8"/>
        <v>0.32351984775271603</v>
      </c>
      <c r="D104" s="52">
        <f t="shared" si="13"/>
        <v>127185.99</v>
      </c>
      <c r="E104" s="90">
        <f t="shared" si="9"/>
        <v>5.3663163721588844E-2</v>
      </c>
      <c r="F104" s="99">
        <f t="shared" si="7"/>
        <v>7.5154375100590887</v>
      </c>
    </row>
    <row r="105" spans="1:6" x14ac:dyDescent="0.3">
      <c r="A105" s="80" t="s">
        <v>205</v>
      </c>
      <c r="B105" s="61"/>
      <c r="C105" s="91">
        <f t="shared" si="8"/>
        <v>0</v>
      </c>
      <c r="D105" s="61"/>
      <c r="E105" s="91">
        <f t="shared" si="9"/>
        <v>0</v>
      </c>
      <c r="F105" s="100" t="e">
        <f t="shared" si="7"/>
        <v>#DIV/0!</v>
      </c>
    </row>
    <row r="106" spans="1:6" x14ac:dyDescent="0.3">
      <c r="A106" s="80" t="s">
        <v>206</v>
      </c>
      <c r="B106" s="61">
        <v>1083044.3500000001</v>
      </c>
      <c r="C106" s="91">
        <f t="shared" si="8"/>
        <v>0.32351984775271603</v>
      </c>
      <c r="D106" s="61">
        <v>127185.99</v>
      </c>
      <c r="E106" s="91">
        <f t="shared" si="9"/>
        <v>5.3663163721588844E-2</v>
      </c>
      <c r="F106" s="100">
        <f t="shared" si="7"/>
        <v>7.5154375100590887</v>
      </c>
    </row>
    <row r="107" spans="1:6" x14ac:dyDescent="0.3">
      <c r="A107" s="80" t="s">
        <v>31</v>
      </c>
      <c r="B107" s="61"/>
      <c r="C107" s="91">
        <f t="shared" si="8"/>
        <v>0</v>
      </c>
      <c r="D107" s="61"/>
      <c r="E107" s="91">
        <f t="shared" si="9"/>
        <v>0</v>
      </c>
      <c r="F107" s="100" t="e">
        <f t="shared" si="7"/>
        <v>#DIV/0!</v>
      </c>
    </row>
    <row r="108" spans="1:6" x14ac:dyDescent="0.3">
      <c r="A108" s="80" t="s">
        <v>6</v>
      </c>
      <c r="B108" s="61"/>
      <c r="C108" s="91">
        <f t="shared" si="8"/>
        <v>0</v>
      </c>
      <c r="D108" s="61"/>
      <c r="E108" s="91">
        <f t="shared" si="9"/>
        <v>0</v>
      </c>
      <c r="F108" s="100" t="e">
        <f t="shared" si="7"/>
        <v>#DIV/0!</v>
      </c>
    </row>
    <row r="109" spans="1:6" x14ac:dyDescent="0.3">
      <c r="A109" s="80" t="s">
        <v>32</v>
      </c>
      <c r="B109" s="61"/>
      <c r="C109" s="91">
        <f t="shared" si="8"/>
        <v>0</v>
      </c>
      <c r="D109" s="61"/>
      <c r="E109" s="91">
        <f t="shared" si="9"/>
        <v>0</v>
      </c>
      <c r="F109" s="100" t="e">
        <f t="shared" si="7"/>
        <v>#DIV/0!</v>
      </c>
    </row>
    <row r="110" spans="1:6" x14ac:dyDescent="0.3">
      <c r="A110" s="79" t="s">
        <v>207</v>
      </c>
      <c r="B110" s="52"/>
      <c r="C110" s="90">
        <f t="shared" si="8"/>
        <v>0</v>
      </c>
      <c r="D110" s="52"/>
      <c r="E110" s="90">
        <f t="shared" si="9"/>
        <v>0</v>
      </c>
      <c r="F110" s="99" t="e">
        <f t="shared" si="7"/>
        <v>#DIV/0!</v>
      </c>
    </row>
    <row r="111" spans="1:6" x14ac:dyDescent="0.3">
      <c r="A111" s="79" t="s">
        <v>208</v>
      </c>
      <c r="B111" s="52"/>
      <c r="C111" s="90">
        <f t="shared" si="8"/>
        <v>0</v>
      </c>
      <c r="D111" s="52"/>
      <c r="E111" s="90">
        <f t="shared" si="9"/>
        <v>0</v>
      </c>
      <c r="F111" s="99" t="e">
        <f t="shared" si="7"/>
        <v>#DIV/0!</v>
      </c>
    </row>
    <row r="112" spans="1:6" x14ac:dyDescent="0.3">
      <c r="A112" s="79" t="s">
        <v>33</v>
      </c>
      <c r="B112" s="52"/>
      <c r="C112" s="90">
        <f t="shared" si="8"/>
        <v>0</v>
      </c>
      <c r="D112" s="52"/>
      <c r="E112" s="90">
        <f t="shared" si="9"/>
        <v>0</v>
      </c>
      <c r="F112" s="99" t="e">
        <f t="shared" si="7"/>
        <v>#DIV/0!</v>
      </c>
    </row>
    <row r="113" spans="1:7" x14ac:dyDescent="0.3">
      <c r="A113" s="79" t="s">
        <v>34</v>
      </c>
      <c r="B113" s="52"/>
      <c r="C113" s="90">
        <f t="shared" si="8"/>
        <v>0</v>
      </c>
      <c r="D113" s="52"/>
      <c r="E113" s="90">
        <f t="shared" si="9"/>
        <v>0</v>
      </c>
      <c r="F113" s="99" t="e">
        <f t="shared" si="7"/>
        <v>#DIV/0!</v>
      </c>
    </row>
    <row r="114" spans="1:7" x14ac:dyDescent="0.3">
      <c r="A114" s="79" t="s">
        <v>35</v>
      </c>
      <c r="B114" s="52"/>
      <c r="C114" s="90">
        <f t="shared" si="8"/>
        <v>0</v>
      </c>
      <c r="D114" s="52"/>
      <c r="E114" s="90">
        <f t="shared" si="9"/>
        <v>0</v>
      </c>
      <c r="F114" s="99" t="e">
        <f t="shared" si="7"/>
        <v>#DIV/0!</v>
      </c>
    </row>
    <row r="115" spans="1:7" s="9" customFormat="1" ht="27" customHeight="1" x14ac:dyDescent="0.3">
      <c r="A115" s="78" t="s">
        <v>36</v>
      </c>
      <c r="B115" s="95">
        <f>B116+B117+B118+B124+B125+B133+B134</f>
        <v>1218511.5499999998</v>
      </c>
      <c r="C115" s="82">
        <f t="shared" si="8"/>
        <v>0.36398571410388314</v>
      </c>
      <c r="D115" s="95">
        <f>D116+D117+D118+D124+D125+D133+D134</f>
        <v>1673078.49</v>
      </c>
      <c r="E115" s="82">
        <f t="shared" si="9"/>
        <v>0.70591646869233504</v>
      </c>
      <c r="F115" s="95">
        <f t="shared" si="7"/>
        <v>-0.27169492807238238</v>
      </c>
    </row>
    <row r="116" spans="1:7" x14ac:dyDescent="0.3">
      <c r="A116" s="79" t="s">
        <v>209</v>
      </c>
      <c r="B116" s="52"/>
      <c r="C116" s="90">
        <f t="shared" si="8"/>
        <v>0</v>
      </c>
      <c r="D116" s="52"/>
      <c r="E116" s="90">
        <f t="shared" si="9"/>
        <v>0</v>
      </c>
      <c r="F116" s="99" t="e">
        <f t="shared" si="7"/>
        <v>#DIV/0!</v>
      </c>
    </row>
    <row r="117" spans="1:7" x14ac:dyDescent="0.3">
      <c r="A117" s="79" t="s">
        <v>210</v>
      </c>
      <c r="B117" s="52">
        <v>0</v>
      </c>
      <c r="C117" s="90">
        <f t="shared" si="8"/>
        <v>0</v>
      </c>
      <c r="D117" s="52">
        <v>0</v>
      </c>
      <c r="E117" s="90">
        <f t="shared" si="9"/>
        <v>0</v>
      </c>
      <c r="F117" s="99" t="e">
        <f t="shared" si="7"/>
        <v>#DIV/0!</v>
      </c>
    </row>
    <row r="118" spans="1:7" x14ac:dyDescent="0.3">
      <c r="A118" s="79" t="s">
        <v>211</v>
      </c>
      <c r="B118" s="52">
        <f>SUM(B119:B123)</f>
        <v>106302.87</v>
      </c>
      <c r="C118" s="90">
        <f t="shared" si="8"/>
        <v>3.1754090511692125E-2</v>
      </c>
      <c r="D118" s="52">
        <f>SUM(D119:D123)</f>
        <v>59705.86</v>
      </c>
      <c r="E118" s="90">
        <f t="shared" si="9"/>
        <v>2.5191495858295887E-2</v>
      </c>
      <c r="F118" s="99">
        <f t="shared" si="7"/>
        <v>0.78044282420519506</v>
      </c>
    </row>
    <row r="119" spans="1:7" x14ac:dyDescent="0.3">
      <c r="A119" s="80" t="s">
        <v>205</v>
      </c>
      <c r="B119" s="61"/>
      <c r="C119" s="91">
        <f t="shared" si="8"/>
        <v>0</v>
      </c>
      <c r="D119" s="61"/>
      <c r="E119" s="91">
        <f t="shared" si="9"/>
        <v>0</v>
      </c>
      <c r="F119" s="100" t="e">
        <f t="shared" si="7"/>
        <v>#DIV/0!</v>
      </c>
    </row>
    <row r="120" spans="1:7" x14ac:dyDescent="0.3">
      <c r="A120" s="80" t="s">
        <v>206</v>
      </c>
      <c r="B120" s="61">
        <v>73401.45</v>
      </c>
      <c r="C120" s="91">
        <f t="shared" si="8"/>
        <v>2.1925995854951457E-2</v>
      </c>
      <c r="D120" s="61">
        <v>49641.71</v>
      </c>
      <c r="E120" s="91">
        <f t="shared" si="9"/>
        <v>2.0945162365364565E-2</v>
      </c>
      <c r="F120" s="100">
        <f t="shared" si="7"/>
        <v>0.47862452764016394</v>
      </c>
    </row>
    <row r="121" spans="1:7" x14ac:dyDescent="0.3">
      <c r="A121" s="80" t="s">
        <v>31</v>
      </c>
      <c r="B121" s="61"/>
      <c r="C121" s="91">
        <f t="shared" si="8"/>
        <v>0</v>
      </c>
      <c r="D121" s="61"/>
      <c r="E121" s="91">
        <f t="shared" si="9"/>
        <v>0</v>
      </c>
      <c r="F121" s="100" t="e">
        <f t="shared" si="7"/>
        <v>#DIV/0!</v>
      </c>
    </row>
    <row r="122" spans="1:7" x14ac:dyDescent="0.3">
      <c r="A122" s="80" t="s">
        <v>6</v>
      </c>
      <c r="B122" s="61"/>
      <c r="C122" s="91">
        <f t="shared" si="8"/>
        <v>0</v>
      </c>
      <c r="D122" s="61"/>
      <c r="E122" s="91">
        <f t="shared" si="9"/>
        <v>0</v>
      </c>
      <c r="F122" s="100" t="e">
        <f t="shared" si="7"/>
        <v>#DIV/0!</v>
      </c>
    </row>
    <row r="123" spans="1:7" x14ac:dyDescent="0.3">
      <c r="A123" s="80" t="s">
        <v>32</v>
      </c>
      <c r="B123" s="61">
        <v>32901.42</v>
      </c>
      <c r="C123" s="91">
        <f t="shared" si="8"/>
        <v>9.8280946567406643E-3</v>
      </c>
      <c r="D123" s="61">
        <v>10064.15</v>
      </c>
      <c r="E123" s="91">
        <f t="shared" si="9"/>
        <v>4.2463334929313231E-3</v>
      </c>
      <c r="F123" s="100">
        <f t="shared" si="7"/>
        <v>2.2691702727006255</v>
      </c>
      <c r="G123" s="113"/>
    </row>
    <row r="124" spans="1:7" x14ac:dyDescent="0.3">
      <c r="A124" s="79" t="s">
        <v>212</v>
      </c>
      <c r="B124" s="52"/>
      <c r="C124" s="90">
        <f t="shared" si="8"/>
        <v>0</v>
      </c>
      <c r="D124" s="52"/>
      <c r="E124" s="90">
        <f t="shared" si="9"/>
        <v>0</v>
      </c>
      <c r="F124" s="99" t="e">
        <f t="shared" si="7"/>
        <v>#DIV/0!</v>
      </c>
    </row>
    <row r="125" spans="1:7" x14ac:dyDescent="0.3">
      <c r="A125" s="79" t="s">
        <v>157</v>
      </c>
      <c r="B125" s="52">
        <f>+B126+B127+B128+B129+B130+B131+B132</f>
        <v>1112208.68</v>
      </c>
      <c r="C125" s="90">
        <f t="shared" si="8"/>
        <v>0.33223162359219105</v>
      </c>
      <c r="D125" s="52">
        <f>+D126+D127+D128+D129+D130+D131+D132</f>
        <v>1613372.63</v>
      </c>
      <c r="E125" s="90">
        <f t="shared" si="9"/>
        <v>0.6807249728340391</v>
      </c>
      <c r="F125" s="101">
        <f t="shared" si="7"/>
        <v>-0.3106312458021554</v>
      </c>
    </row>
    <row r="126" spans="1:7" x14ac:dyDescent="0.3">
      <c r="A126" s="80" t="s">
        <v>37</v>
      </c>
      <c r="B126" s="61">
        <v>926952.74</v>
      </c>
      <c r="C126" s="91">
        <f t="shared" si="8"/>
        <v>0.27689319400333234</v>
      </c>
      <c r="D126" s="61">
        <v>1534605.13</v>
      </c>
      <c r="E126" s="91">
        <f t="shared" si="9"/>
        <v>0.64749086231258735</v>
      </c>
      <c r="F126" s="102">
        <f t="shared" si="7"/>
        <v>-0.39596660933878147</v>
      </c>
    </row>
    <row r="127" spans="1:7" x14ac:dyDescent="0.3">
      <c r="A127" s="80" t="s">
        <v>213</v>
      </c>
      <c r="B127" s="61"/>
      <c r="C127" s="91">
        <f t="shared" si="8"/>
        <v>0</v>
      </c>
      <c r="D127" s="61"/>
      <c r="E127" s="91">
        <f t="shared" si="9"/>
        <v>0</v>
      </c>
      <c r="F127" s="102" t="e">
        <f t="shared" si="7"/>
        <v>#DIV/0!</v>
      </c>
    </row>
    <row r="128" spans="1:7" x14ac:dyDescent="0.3">
      <c r="A128" s="80" t="s">
        <v>214</v>
      </c>
      <c r="B128" s="61">
        <v>75828.02</v>
      </c>
      <c r="C128" s="91">
        <f t="shared" si="8"/>
        <v>2.2650844802237235E-2</v>
      </c>
      <c r="D128" s="61">
        <v>0</v>
      </c>
      <c r="E128" s="91">
        <f t="shared" si="9"/>
        <v>0</v>
      </c>
      <c r="F128" s="102" t="e">
        <f t="shared" si="7"/>
        <v>#DIV/0!</v>
      </c>
    </row>
    <row r="129" spans="1:6" x14ac:dyDescent="0.3">
      <c r="A129" s="80" t="s">
        <v>215</v>
      </c>
      <c r="B129" s="61">
        <v>766.77</v>
      </c>
      <c r="C129" s="91">
        <f t="shared" si="8"/>
        <v>2.2904446494859611E-4</v>
      </c>
      <c r="D129" s="61">
        <v>8030.15</v>
      </c>
      <c r="E129" s="91">
        <f t="shared" si="9"/>
        <v>3.3881346063266604E-3</v>
      </c>
      <c r="F129" s="102">
        <f t="shared" si="7"/>
        <v>-0.90451361431604638</v>
      </c>
    </row>
    <row r="130" spans="1:6" x14ac:dyDescent="0.3">
      <c r="A130" s="80" t="s">
        <v>216</v>
      </c>
      <c r="B130" s="61">
        <v>17349.09</v>
      </c>
      <c r="C130" s="91">
        <f t="shared" si="8"/>
        <v>5.1824054623877298E-3</v>
      </c>
      <c r="D130" s="61">
        <v>17349.09</v>
      </c>
      <c r="E130" s="91">
        <f t="shared" si="9"/>
        <v>7.3200441109164596E-3</v>
      </c>
      <c r="F130" s="102">
        <f t="shared" si="7"/>
        <v>0</v>
      </c>
    </row>
    <row r="131" spans="1:6" x14ac:dyDescent="0.3">
      <c r="A131" s="80" t="s">
        <v>217</v>
      </c>
      <c r="B131" s="62">
        <v>91312.06</v>
      </c>
      <c r="C131" s="92">
        <f t="shared" si="8"/>
        <v>2.7276134859285189E-2</v>
      </c>
      <c r="D131" s="62">
        <v>53388.26</v>
      </c>
      <c r="E131" s="92">
        <f t="shared" si="9"/>
        <v>2.2525931804208567E-2</v>
      </c>
      <c r="F131" s="103">
        <f t="shared" si="7"/>
        <v>0.7103396889128808</v>
      </c>
    </row>
    <row r="132" spans="1:6" x14ac:dyDescent="0.3">
      <c r="A132" s="80" t="s">
        <v>218</v>
      </c>
      <c r="B132" s="62"/>
      <c r="C132" s="92">
        <f t="shared" si="8"/>
        <v>0</v>
      </c>
      <c r="D132" s="62"/>
      <c r="E132" s="92">
        <f t="shared" si="9"/>
        <v>0</v>
      </c>
      <c r="F132" s="67" t="e">
        <f t="shared" si="7"/>
        <v>#DIV/0!</v>
      </c>
    </row>
    <row r="133" spans="1:6" x14ac:dyDescent="0.3">
      <c r="A133" s="1" t="s">
        <v>155</v>
      </c>
      <c r="B133" s="61"/>
      <c r="C133" s="91">
        <f t="shared" si="8"/>
        <v>0</v>
      </c>
      <c r="D133" s="61"/>
      <c r="E133" s="91">
        <f t="shared" si="9"/>
        <v>0</v>
      </c>
      <c r="F133" s="100" t="e">
        <f t="shared" si="7"/>
        <v>#DIV/0!</v>
      </c>
    </row>
    <row r="134" spans="1:6" x14ac:dyDescent="0.3">
      <c r="A134" s="1" t="s">
        <v>38</v>
      </c>
      <c r="B134" s="61"/>
      <c r="C134" s="91">
        <f t="shared" si="8"/>
        <v>0</v>
      </c>
      <c r="D134" s="61"/>
      <c r="E134" s="91">
        <f t="shared" si="9"/>
        <v>0</v>
      </c>
      <c r="F134" s="100" t="e">
        <f t="shared" si="7"/>
        <v>#DIV/0!</v>
      </c>
    </row>
    <row r="135" spans="1:6" s="9" customFormat="1" ht="30" customHeight="1" x14ac:dyDescent="0.3">
      <c r="A135" s="81" t="s">
        <v>39</v>
      </c>
      <c r="B135" s="96">
        <f>B115+B98+B74</f>
        <v>3347690.59</v>
      </c>
      <c r="C135" s="97">
        <f t="shared" si="8"/>
        <v>1</v>
      </c>
      <c r="D135" s="96">
        <f>D115+D98+D74</f>
        <v>2370079.98</v>
      </c>
      <c r="E135" s="97">
        <f t="shared" si="9"/>
        <v>1</v>
      </c>
      <c r="F135" s="104">
        <f t="shared" si="7"/>
        <v>0.41248000837507592</v>
      </c>
    </row>
    <row r="136" spans="1:6" x14ac:dyDescent="0.3">
      <c r="B136" s="63"/>
      <c r="C136" s="93"/>
      <c r="D136" s="63"/>
      <c r="E136" s="93"/>
    </row>
    <row r="137" spans="1:6" x14ac:dyDescent="0.3">
      <c r="B137" s="63">
        <f t="shared" ref="B137" si="14">B135-B71</f>
        <v>0</v>
      </c>
      <c r="C137" s="93">
        <f t="shared" ref="C137" si="15">C135-C71</f>
        <v>0</v>
      </c>
      <c r="D137" s="63">
        <f t="shared" ref="D137:E137" si="16">D135-D71</f>
        <v>0</v>
      </c>
      <c r="E137" s="93">
        <f t="shared" si="16"/>
        <v>0</v>
      </c>
    </row>
    <row r="138" spans="1:6" x14ac:dyDescent="0.3">
      <c r="B138" s="63"/>
      <c r="D138" s="63"/>
    </row>
    <row r="139" spans="1:6" x14ac:dyDescent="0.3">
      <c r="A139" s="109" t="s">
        <v>222</v>
      </c>
      <c r="B139" s="110">
        <f>B140+B141</f>
        <v>247222.72</v>
      </c>
      <c r="C139" s="111"/>
      <c r="D139" s="110">
        <f>D140+D141</f>
        <v>101871.26</v>
      </c>
    </row>
    <row r="140" spans="1:6" x14ac:dyDescent="0.3">
      <c r="A140" s="1" t="s">
        <v>223</v>
      </c>
      <c r="B140" s="112"/>
      <c r="C140" s="63"/>
      <c r="D140" s="112"/>
    </row>
    <row r="141" spans="1:6" x14ac:dyDescent="0.3">
      <c r="A141" s="1" t="s">
        <v>224</v>
      </c>
      <c r="B141" s="112">
        <v>247222.72</v>
      </c>
      <c r="C141" s="63"/>
      <c r="D141" s="112">
        <v>101871.26</v>
      </c>
      <c r="F141" s="113"/>
    </row>
  </sheetData>
  <phoneticPr fontId="0" type="noConversion"/>
  <pageMargins left="0.70866141732283472" right="0.70866141732283472" top="0.74803149606299213" bottom="0.74803149606299213" header="0.31496062992125984" footer="0.31496062992125984"/>
  <pageSetup paperSize="9" scale="65" orientation="portrait" r:id="rId1"/>
  <ignoredErrors>
    <ignoredError sqref="F5:F71 F78:F134" evalError="1"/>
    <ignoredError sqref="C5:C45" formula="1"/>
  </ignoredErrors>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28B40-FC4E-4DC4-90FF-9F6375603E2A}">
  <sheetPr>
    <pageSetUpPr fitToPage="1"/>
  </sheetPr>
  <dimension ref="A1:O141"/>
  <sheetViews>
    <sheetView zoomScale="85" zoomScaleNormal="85" zoomScalePageLayoutView="200" workbookViewId="0"/>
  </sheetViews>
  <sheetFormatPr baseColWidth="10" defaultColWidth="11.44140625" defaultRowHeight="14.4" x14ac:dyDescent="0.3"/>
  <cols>
    <col min="1" max="1" width="52" customWidth="1"/>
    <col min="2" max="2" width="13.6640625" style="6" bestFit="1" customWidth="1"/>
    <col min="3" max="3" width="10" style="6" hidden="1" customWidth="1"/>
    <col min="4" max="4" width="13.109375" style="6" customWidth="1"/>
    <col min="5" max="5" width="10" style="6" hidden="1" customWidth="1"/>
    <col min="6" max="6" width="13.109375" hidden="1" customWidth="1"/>
    <col min="7" max="7" width="16.109375" customWidth="1"/>
    <col min="8" max="8" width="20.33203125" customWidth="1"/>
    <col min="9" max="9" width="21.33203125" customWidth="1"/>
    <col min="10" max="10" width="37.88671875" customWidth="1"/>
  </cols>
  <sheetData>
    <row r="1" spans="1:10" ht="15.6" x14ac:dyDescent="0.3">
      <c r="A1" s="12"/>
    </row>
    <row r="2" spans="1:10" ht="28.95" customHeight="1" x14ac:dyDescent="0.3">
      <c r="A2" s="20" t="s">
        <v>158</v>
      </c>
      <c r="B2" s="6" t="str">
        <f>BalanceRM!B2</f>
        <v>Datos en euros</v>
      </c>
    </row>
    <row r="3" spans="1:10" s="7" customFormat="1" ht="34.5" customHeight="1" x14ac:dyDescent="0.3">
      <c r="A3" s="12" t="s">
        <v>144</v>
      </c>
      <c r="B3" s="19">
        <v>2019</v>
      </c>
      <c r="C3" s="19" t="s">
        <v>219</v>
      </c>
      <c r="D3" s="19">
        <v>2018</v>
      </c>
      <c r="E3" s="19" t="s">
        <v>219</v>
      </c>
      <c r="F3" s="19" t="s">
        <v>220</v>
      </c>
      <c r="G3" s="19" t="s">
        <v>151</v>
      </c>
      <c r="H3" s="149" t="s">
        <v>304</v>
      </c>
      <c r="I3" s="149" t="s">
        <v>305</v>
      </c>
      <c r="J3" s="15" t="s">
        <v>309</v>
      </c>
    </row>
    <row r="4" spans="1:10" s="9" customFormat="1" ht="27" customHeight="1" x14ac:dyDescent="0.3">
      <c r="A4" s="78" t="s">
        <v>0</v>
      </c>
      <c r="B4" s="95">
        <f>B5+B13+B17+B20+B27+B34+B35</f>
        <v>1387432.47</v>
      </c>
      <c r="C4" s="82">
        <f>B4/B$71</f>
        <v>0.41444465451629448</v>
      </c>
      <c r="D4" s="95">
        <f>D5+D13+D17+D20+D27+D34+D35</f>
        <v>682536.22</v>
      </c>
      <c r="E4" s="82">
        <f>D4/D$71</f>
        <v>0.2879802478226916</v>
      </c>
      <c r="F4" s="82">
        <f>B4/D4-1</f>
        <v>1.0327602101467965</v>
      </c>
      <c r="G4" s="155">
        <f>B4-D4</f>
        <v>704896.25</v>
      </c>
      <c r="H4" s="167"/>
      <c r="I4" s="167"/>
      <c r="J4" s="1"/>
    </row>
    <row r="5" spans="1:10" hidden="1" x14ac:dyDescent="0.3">
      <c r="A5" s="79" t="s">
        <v>159</v>
      </c>
      <c r="B5" s="52">
        <f>SUM(B6:B12)</f>
        <v>0</v>
      </c>
      <c r="C5" s="83">
        <f t="shared" ref="C5:C68" si="0">B5/B$71</f>
        <v>0</v>
      </c>
      <c r="D5" s="52">
        <f>SUM(D6:D12)</f>
        <v>0</v>
      </c>
      <c r="E5" s="83">
        <f t="shared" ref="E5:E68" si="1">D5/D$71</f>
        <v>0</v>
      </c>
      <c r="F5" s="83" t="e">
        <f t="shared" ref="F5:F68" si="2">B5/D5-1</f>
        <v>#DIV/0!</v>
      </c>
      <c r="G5" s="156">
        <f t="shared" ref="G5:G68" si="3">B5-D5</f>
        <v>0</v>
      </c>
      <c r="H5" s="1"/>
      <c r="I5" s="1"/>
      <c r="J5" s="1"/>
    </row>
    <row r="6" spans="1:10" hidden="1" x14ac:dyDescent="0.3">
      <c r="A6" s="80" t="s">
        <v>1</v>
      </c>
      <c r="B6" s="53"/>
      <c r="C6" s="84">
        <f t="shared" si="0"/>
        <v>0</v>
      </c>
      <c r="D6" s="53"/>
      <c r="E6" s="84">
        <f t="shared" si="1"/>
        <v>0</v>
      </c>
      <c r="F6" s="84" t="e">
        <f t="shared" si="2"/>
        <v>#DIV/0!</v>
      </c>
      <c r="G6" s="157">
        <f t="shared" si="3"/>
        <v>0</v>
      </c>
      <c r="H6" s="1"/>
      <c r="I6" s="1"/>
      <c r="J6" s="1"/>
    </row>
    <row r="7" spans="1:10" hidden="1" x14ac:dyDescent="0.3">
      <c r="A7" s="80" t="s">
        <v>2</v>
      </c>
      <c r="B7" s="54"/>
      <c r="C7" s="85">
        <f t="shared" si="0"/>
        <v>0</v>
      </c>
      <c r="D7" s="54"/>
      <c r="E7" s="85">
        <f t="shared" si="1"/>
        <v>0</v>
      </c>
      <c r="F7" s="85" t="e">
        <f t="shared" si="2"/>
        <v>#DIV/0!</v>
      </c>
      <c r="G7" s="59">
        <f t="shared" si="3"/>
        <v>0</v>
      </c>
      <c r="H7" s="1"/>
      <c r="I7" s="1"/>
      <c r="J7" s="1"/>
    </row>
    <row r="8" spans="1:10" hidden="1" x14ac:dyDescent="0.3">
      <c r="A8" s="80" t="s">
        <v>160</v>
      </c>
      <c r="B8" s="54"/>
      <c r="C8" s="85">
        <f t="shared" si="0"/>
        <v>0</v>
      </c>
      <c r="D8" s="54"/>
      <c r="E8" s="85">
        <f t="shared" si="1"/>
        <v>0</v>
      </c>
      <c r="F8" s="85" t="e">
        <f t="shared" si="2"/>
        <v>#DIV/0!</v>
      </c>
      <c r="G8" s="59">
        <f t="shared" si="3"/>
        <v>0</v>
      </c>
      <c r="H8" s="1"/>
      <c r="I8" s="1"/>
      <c r="J8" s="1"/>
    </row>
    <row r="9" spans="1:10" hidden="1" x14ac:dyDescent="0.3">
      <c r="A9" s="80" t="s">
        <v>161</v>
      </c>
      <c r="B9" s="54"/>
      <c r="C9" s="85">
        <f t="shared" si="0"/>
        <v>0</v>
      </c>
      <c r="D9" s="54"/>
      <c r="E9" s="85">
        <f t="shared" si="1"/>
        <v>0</v>
      </c>
      <c r="F9" s="85" t="e">
        <f t="shared" si="2"/>
        <v>#DIV/0!</v>
      </c>
      <c r="G9" s="59">
        <f t="shared" si="3"/>
        <v>0</v>
      </c>
      <c r="H9" s="1"/>
      <c r="I9" s="1"/>
      <c r="J9" s="1"/>
    </row>
    <row r="10" spans="1:10" hidden="1" x14ac:dyDescent="0.3">
      <c r="A10" s="80" t="s">
        <v>162</v>
      </c>
      <c r="B10" s="54"/>
      <c r="C10" s="85">
        <f t="shared" si="0"/>
        <v>0</v>
      </c>
      <c r="D10" s="54"/>
      <c r="E10" s="85">
        <f t="shared" si="1"/>
        <v>0</v>
      </c>
      <c r="F10" s="85" t="e">
        <f t="shared" si="2"/>
        <v>#DIV/0!</v>
      </c>
      <c r="G10" s="59">
        <f t="shared" si="3"/>
        <v>0</v>
      </c>
      <c r="H10" s="1"/>
      <c r="I10" s="1"/>
      <c r="J10" s="1"/>
    </row>
    <row r="11" spans="1:10" hidden="1" x14ac:dyDescent="0.3">
      <c r="A11" s="80" t="s">
        <v>3</v>
      </c>
      <c r="B11" s="55"/>
      <c r="C11" s="86">
        <f t="shared" si="0"/>
        <v>0</v>
      </c>
      <c r="D11" s="55"/>
      <c r="E11" s="86">
        <f t="shared" si="1"/>
        <v>0</v>
      </c>
      <c r="F11" s="86" t="e">
        <f t="shared" si="2"/>
        <v>#DIV/0!</v>
      </c>
      <c r="G11" s="158">
        <f t="shared" si="3"/>
        <v>0</v>
      </c>
      <c r="H11" s="1"/>
      <c r="I11" s="1"/>
      <c r="J11" s="1"/>
    </row>
    <row r="12" spans="1:10" hidden="1" x14ac:dyDescent="0.3">
      <c r="A12" s="80" t="s">
        <v>163</v>
      </c>
      <c r="B12" s="55"/>
      <c r="C12" s="86">
        <f t="shared" si="0"/>
        <v>0</v>
      </c>
      <c r="D12" s="55"/>
      <c r="E12" s="86">
        <f t="shared" si="1"/>
        <v>0</v>
      </c>
      <c r="F12" s="86" t="e">
        <f t="shared" si="2"/>
        <v>#DIV/0!</v>
      </c>
      <c r="G12" s="158">
        <f t="shared" si="3"/>
        <v>0</v>
      </c>
      <c r="H12" s="1"/>
      <c r="I12" s="1"/>
      <c r="J12" s="1"/>
    </row>
    <row r="13" spans="1:10" x14ac:dyDescent="0.3">
      <c r="A13" s="79" t="s">
        <v>164</v>
      </c>
      <c r="B13" s="52">
        <f>B14+B15+B16</f>
        <v>1319626.27</v>
      </c>
      <c r="C13" s="83">
        <f t="shared" si="0"/>
        <v>0.39419003474870123</v>
      </c>
      <c r="D13" s="52">
        <f>D14+D15+D16</f>
        <v>682536.22</v>
      </c>
      <c r="E13" s="83">
        <f t="shared" si="1"/>
        <v>0.2879802478226916</v>
      </c>
      <c r="F13" s="83">
        <f t="shared" si="2"/>
        <v>0.93341573872812211</v>
      </c>
      <c r="G13" s="156">
        <f t="shared" si="3"/>
        <v>637090.05000000005</v>
      </c>
      <c r="H13" s="168"/>
      <c r="I13" s="168"/>
      <c r="J13" s="168"/>
    </row>
    <row r="14" spans="1:10" hidden="1" x14ac:dyDescent="0.3">
      <c r="A14" s="80" t="s">
        <v>165</v>
      </c>
      <c r="B14" s="53"/>
      <c r="C14" s="84">
        <f t="shared" si="0"/>
        <v>0</v>
      </c>
      <c r="D14" s="53"/>
      <c r="E14" s="84">
        <f t="shared" si="1"/>
        <v>0</v>
      </c>
      <c r="F14" s="84" t="e">
        <f t="shared" si="2"/>
        <v>#DIV/0!</v>
      </c>
      <c r="G14" s="157">
        <f t="shared" si="3"/>
        <v>0</v>
      </c>
      <c r="H14" s="168"/>
      <c r="I14" s="168"/>
      <c r="J14" s="168"/>
    </row>
    <row r="15" spans="1:10" x14ac:dyDescent="0.3">
      <c r="A15" s="80" t="s">
        <v>166</v>
      </c>
      <c r="B15" s="54">
        <v>1319626.27</v>
      </c>
      <c r="C15" s="85">
        <f t="shared" si="0"/>
        <v>0.39419003474870123</v>
      </c>
      <c r="D15" s="54">
        <v>682536.22</v>
      </c>
      <c r="E15" s="85">
        <f t="shared" si="1"/>
        <v>0.2879802478226916</v>
      </c>
      <c r="F15" s="85">
        <f t="shared" si="2"/>
        <v>0.93341573872812211</v>
      </c>
      <c r="G15" s="59">
        <f t="shared" si="3"/>
        <v>637090.05000000005</v>
      </c>
      <c r="H15" s="169"/>
      <c r="I15" s="168"/>
      <c r="J15" s="170"/>
    </row>
    <row r="16" spans="1:10" hidden="1" x14ac:dyDescent="0.3">
      <c r="A16" s="80" t="s">
        <v>167</v>
      </c>
      <c r="B16" s="54"/>
      <c r="C16" s="85">
        <f t="shared" si="0"/>
        <v>0</v>
      </c>
      <c r="D16" s="54"/>
      <c r="E16" s="85">
        <f t="shared" si="1"/>
        <v>0</v>
      </c>
      <c r="F16" s="85" t="e">
        <f t="shared" si="2"/>
        <v>#DIV/0!</v>
      </c>
      <c r="G16" s="59">
        <f t="shared" si="3"/>
        <v>0</v>
      </c>
      <c r="H16" s="169"/>
      <c r="I16" s="168"/>
      <c r="J16" s="168"/>
    </row>
    <row r="17" spans="1:15" hidden="1" x14ac:dyDescent="0.3">
      <c r="A17" s="79" t="s">
        <v>168</v>
      </c>
      <c r="B17" s="52">
        <f>B18+B19</f>
        <v>0</v>
      </c>
      <c r="C17" s="83">
        <f t="shared" si="0"/>
        <v>0</v>
      </c>
      <c r="D17" s="52">
        <f>D18+D19</f>
        <v>0</v>
      </c>
      <c r="E17" s="83">
        <f t="shared" si="1"/>
        <v>0</v>
      </c>
      <c r="F17" s="83" t="e">
        <f t="shared" si="2"/>
        <v>#DIV/0!</v>
      </c>
      <c r="G17" s="156">
        <f t="shared" si="3"/>
        <v>0</v>
      </c>
      <c r="H17" s="169"/>
      <c r="I17" s="168"/>
      <c r="J17" s="170"/>
    </row>
    <row r="18" spans="1:15" hidden="1" x14ac:dyDescent="0.3">
      <c r="A18" s="80" t="s">
        <v>169</v>
      </c>
      <c r="B18" s="54"/>
      <c r="C18" s="85">
        <f t="shared" si="0"/>
        <v>0</v>
      </c>
      <c r="D18" s="54"/>
      <c r="E18" s="85">
        <f t="shared" si="1"/>
        <v>0</v>
      </c>
      <c r="F18" s="85" t="e">
        <f t="shared" si="2"/>
        <v>#DIV/0!</v>
      </c>
      <c r="G18" s="59">
        <f t="shared" si="3"/>
        <v>0</v>
      </c>
      <c r="H18" s="169"/>
      <c r="I18" s="168"/>
      <c r="J18" s="170"/>
    </row>
    <row r="19" spans="1:15" hidden="1" x14ac:dyDescent="0.3">
      <c r="A19" s="80" t="s">
        <v>170</v>
      </c>
      <c r="B19" s="54"/>
      <c r="C19" s="85">
        <f t="shared" si="0"/>
        <v>0</v>
      </c>
      <c r="D19" s="54"/>
      <c r="E19" s="85">
        <f t="shared" si="1"/>
        <v>0</v>
      </c>
      <c r="F19" s="85" t="e">
        <f t="shared" si="2"/>
        <v>#DIV/0!</v>
      </c>
      <c r="G19" s="59">
        <f t="shared" si="3"/>
        <v>0</v>
      </c>
      <c r="H19" s="169"/>
      <c r="I19" s="168"/>
      <c r="J19" s="168"/>
    </row>
    <row r="20" spans="1:15" hidden="1" x14ac:dyDescent="0.3">
      <c r="A20" s="79" t="s">
        <v>171</v>
      </c>
      <c r="B20" s="52">
        <f>SUM(B21:B26)</f>
        <v>0</v>
      </c>
      <c r="C20" s="83">
        <f t="shared" si="0"/>
        <v>0</v>
      </c>
      <c r="D20" s="52">
        <f>SUM(D21:D26)</f>
        <v>0</v>
      </c>
      <c r="E20" s="83">
        <f t="shared" si="1"/>
        <v>0</v>
      </c>
      <c r="F20" s="83" t="e">
        <f t="shared" si="2"/>
        <v>#DIV/0!</v>
      </c>
      <c r="G20" s="156">
        <f t="shared" si="3"/>
        <v>0</v>
      </c>
      <c r="H20" s="169"/>
      <c r="I20" s="168"/>
      <c r="J20" s="168"/>
      <c r="K20" s="152"/>
    </row>
    <row r="21" spans="1:15" hidden="1" x14ac:dyDescent="0.3">
      <c r="A21" s="80" t="s">
        <v>172</v>
      </c>
      <c r="B21" s="54"/>
      <c r="C21" s="85">
        <f t="shared" si="0"/>
        <v>0</v>
      </c>
      <c r="D21" s="54"/>
      <c r="E21" s="85">
        <f t="shared" si="1"/>
        <v>0</v>
      </c>
      <c r="F21" s="85" t="e">
        <f t="shared" si="2"/>
        <v>#DIV/0!</v>
      </c>
      <c r="G21" s="59">
        <f t="shared" si="3"/>
        <v>0</v>
      </c>
      <c r="H21" s="169"/>
      <c r="I21" s="168"/>
      <c r="J21" s="168"/>
      <c r="K21" s="152"/>
    </row>
    <row r="22" spans="1:15" hidden="1" x14ac:dyDescent="0.3">
      <c r="A22" s="80" t="s">
        <v>4</v>
      </c>
      <c r="B22" s="54">
        <v>0</v>
      </c>
      <c r="C22" s="85">
        <f t="shared" si="0"/>
        <v>0</v>
      </c>
      <c r="D22" s="54">
        <v>0</v>
      </c>
      <c r="E22" s="85">
        <f t="shared" si="1"/>
        <v>0</v>
      </c>
      <c r="F22" s="85" t="e">
        <f t="shared" si="2"/>
        <v>#DIV/0!</v>
      </c>
      <c r="G22" s="59">
        <f t="shared" si="3"/>
        <v>0</v>
      </c>
      <c r="H22" s="169"/>
      <c r="I22" s="168"/>
      <c r="J22" s="168"/>
    </row>
    <row r="23" spans="1:15" hidden="1" x14ac:dyDescent="0.3">
      <c r="A23" s="80" t="s">
        <v>5</v>
      </c>
      <c r="B23" s="54"/>
      <c r="C23" s="85">
        <f t="shared" si="0"/>
        <v>0</v>
      </c>
      <c r="D23" s="54"/>
      <c r="E23" s="85">
        <f t="shared" si="1"/>
        <v>0</v>
      </c>
      <c r="F23" s="85" t="e">
        <f t="shared" si="2"/>
        <v>#DIV/0!</v>
      </c>
      <c r="G23" s="59">
        <f t="shared" si="3"/>
        <v>0</v>
      </c>
      <c r="H23" s="169"/>
      <c r="I23" s="168"/>
      <c r="J23" s="168"/>
    </row>
    <row r="24" spans="1:15" hidden="1" x14ac:dyDescent="0.3">
      <c r="A24" s="80" t="s">
        <v>6</v>
      </c>
      <c r="B24" s="54"/>
      <c r="C24" s="85">
        <f t="shared" si="0"/>
        <v>0</v>
      </c>
      <c r="D24" s="54"/>
      <c r="E24" s="85">
        <f t="shared" si="1"/>
        <v>0</v>
      </c>
      <c r="F24" s="85" t="e">
        <f t="shared" si="2"/>
        <v>#DIV/0!</v>
      </c>
      <c r="G24" s="59">
        <f t="shared" si="3"/>
        <v>0</v>
      </c>
      <c r="H24" s="169"/>
      <c r="I24" s="168"/>
      <c r="J24" s="168"/>
    </row>
    <row r="25" spans="1:15" hidden="1" x14ac:dyDescent="0.3">
      <c r="A25" s="80" t="s">
        <v>7</v>
      </c>
      <c r="B25" s="54"/>
      <c r="C25" s="85">
        <f t="shared" si="0"/>
        <v>0</v>
      </c>
      <c r="D25" s="54"/>
      <c r="E25" s="85">
        <f t="shared" si="1"/>
        <v>0</v>
      </c>
      <c r="F25" s="85" t="e">
        <f t="shared" si="2"/>
        <v>#DIV/0!</v>
      </c>
      <c r="G25" s="59">
        <f t="shared" si="3"/>
        <v>0</v>
      </c>
      <c r="H25" s="169"/>
      <c r="I25" s="168"/>
      <c r="J25" s="168"/>
    </row>
    <row r="26" spans="1:15" hidden="1" x14ac:dyDescent="0.3">
      <c r="A26" s="80" t="s">
        <v>8</v>
      </c>
      <c r="B26" s="54"/>
      <c r="C26" s="85">
        <f t="shared" si="0"/>
        <v>0</v>
      </c>
      <c r="D26" s="54"/>
      <c r="E26" s="85">
        <f t="shared" si="1"/>
        <v>0</v>
      </c>
      <c r="F26" s="85" t="e">
        <f t="shared" si="2"/>
        <v>#DIV/0!</v>
      </c>
      <c r="G26" s="59">
        <f t="shared" si="3"/>
        <v>0</v>
      </c>
      <c r="H26" s="169"/>
      <c r="I26" s="168"/>
      <c r="J26" s="168"/>
    </row>
    <row r="27" spans="1:15" x14ac:dyDescent="0.3">
      <c r="A27" s="79" t="s">
        <v>173</v>
      </c>
      <c r="B27" s="52">
        <f>SUM(B28:B33)</f>
        <v>67806.2</v>
      </c>
      <c r="C27" s="83">
        <f t="shared" si="0"/>
        <v>2.0254619767593279E-2</v>
      </c>
      <c r="D27" s="52">
        <f>SUM(D28:D33)</f>
        <v>0</v>
      </c>
      <c r="E27" s="83">
        <f t="shared" si="1"/>
        <v>0</v>
      </c>
      <c r="F27" s="83" t="e">
        <f t="shared" si="2"/>
        <v>#DIV/0!</v>
      </c>
      <c r="G27" s="156">
        <f t="shared" si="3"/>
        <v>67806.2</v>
      </c>
      <c r="H27" s="169"/>
      <c r="I27" s="168"/>
      <c r="J27" s="168"/>
    </row>
    <row r="28" spans="1:15" hidden="1" x14ac:dyDescent="0.3">
      <c r="A28" s="80" t="s">
        <v>172</v>
      </c>
      <c r="B28" s="53"/>
      <c r="C28" s="84">
        <f t="shared" si="0"/>
        <v>0</v>
      </c>
      <c r="D28" s="53"/>
      <c r="E28" s="84">
        <f t="shared" si="1"/>
        <v>0</v>
      </c>
      <c r="F28" s="84" t="e">
        <f t="shared" si="2"/>
        <v>#DIV/0!</v>
      </c>
      <c r="G28" s="157">
        <f t="shared" si="3"/>
        <v>0</v>
      </c>
      <c r="H28" s="169"/>
      <c r="I28" s="168"/>
      <c r="J28" s="168"/>
      <c r="O28" s="151" t="s">
        <v>306</v>
      </c>
    </row>
    <row r="29" spans="1:15" hidden="1" x14ac:dyDescent="0.3">
      <c r="A29" s="80" t="s">
        <v>9</v>
      </c>
      <c r="B29" s="54"/>
      <c r="C29" s="85">
        <f t="shared" si="0"/>
        <v>0</v>
      </c>
      <c r="D29" s="54"/>
      <c r="E29" s="85">
        <f t="shared" si="1"/>
        <v>0</v>
      </c>
      <c r="F29" s="85" t="e">
        <f t="shared" si="2"/>
        <v>#DIV/0!</v>
      </c>
      <c r="G29" s="59">
        <f t="shared" si="3"/>
        <v>0</v>
      </c>
      <c r="H29" s="169"/>
      <c r="I29" s="168"/>
      <c r="J29" s="168"/>
      <c r="O29" s="151" t="s">
        <v>306</v>
      </c>
    </row>
    <row r="30" spans="1:15" hidden="1" x14ac:dyDescent="0.3">
      <c r="A30" s="80" t="s">
        <v>5</v>
      </c>
      <c r="B30" s="54"/>
      <c r="C30" s="85">
        <f t="shared" si="0"/>
        <v>0</v>
      </c>
      <c r="D30" s="54"/>
      <c r="E30" s="85">
        <f t="shared" si="1"/>
        <v>0</v>
      </c>
      <c r="F30" s="85" t="e">
        <f t="shared" si="2"/>
        <v>#DIV/0!</v>
      </c>
      <c r="G30" s="59">
        <f t="shared" si="3"/>
        <v>0</v>
      </c>
      <c r="H30" s="169"/>
      <c r="I30" s="168"/>
      <c r="J30" s="168"/>
      <c r="O30" s="150" t="s">
        <v>307</v>
      </c>
    </row>
    <row r="31" spans="1:15" hidden="1" x14ac:dyDescent="0.3">
      <c r="A31" s="80" t="s">
        <v>6</v>
      </c>
      <c r="B31" s="54"/>
      <c r="C31" s="85">
        <f t="shared" si="0"/>
        <v>0</v>
      </c>
      <c r="D31" s="54"/>
      <c r="E31" s="85">
        <f t="shared" si="1"/>
        <v>0</v>
      </c>
      <c r="F31" s="85" t="e">
        <f t="shared" si="2"/>
        <v>#DIV/0!</v>
      </c>
      <c r="G31" s="59">
        <f t="shared" si="3"/>
        <v>0</v>
      </c>
      <c r="H31" s="169"/>
      <c r="I31" s="168"/>
      <c r="J31" s="168"/>
      <c r="O31" s="153" t="s">
        <v>308</v>
      </c>
    </row>
    <row r="32" spans="1:15" x14ac:dyDescent="0.3">
      <c r="A32" s="80" t="s">
        <v>7</v>
      </c>
      <c r="B32" s="54">
        <v>67806.2</v>
      </c>
      <c r="C32" s="85">
        <f t="shared" si="0"/>
        <v>2.0254619767593279E-2</v>
      </c>
      <c r="D32" s="54"/>
      <c r="E32" s="85">
        <f t="shared" si="1"/>
        <v>0</v>
      </c>
      <c r="F32" s="85" t="e">
        <f t="shared" si="2"/>
        <v>#DIV/0!</v>
      </c>
      <c r="G32" s="59">
        <f t="shared" si="3"/>
        <v>67806.2</v>
      </c>
      <c r="H32" s="169"/>
      <c r="I32" s="168"/>
      <c r="J32" s="170"/>
    </row>
    <row r="33" spans="1:11" hidden="1" x14ac:dyDescent="0.3">
      <c r="A33" s="80" t="s">
        <v>8</v>
      </c>
      <c r="B33" s="54"/>
      <c r="C33" s="85">
        <f t="shared" si="0"/>
        <v>0</v>
      </c>
      <c r="D33" s="54"/>
      <c r="E33" s="85">
        <f t="shared" si="1"/>
        <v>0</v>
      </c>
      <c r="F33" s="85" t="e">
        <f t="shared" si="2"/>
        <v>#DIV/0!</v>
      </c>
      <c r="G33" s="59">
        <f t="shared" si="3"/>
        <v>0</v>
      </c>
      <c r="H33" s="169"/>
      <c r="I33" s="168"/>
      <c r="J33" s="168"/>
    </row>
    <row r="34" spans="1:11" hidden="1" x14ac:dyDescent="0.3">
      <c r="A34" s="79" t="s">
        <v>10</v>
      </c>
      <c r="B34" s="52">
        <v>0</v>
      </c>
      <c r="C34" s="83">
        <f t="shared" si="0"/>
        <v>0</v>
      </c>
      <c r="D34" s="52">
        <v>0</v>
      </c>
      <c r="E34" s="83">
        <f t="shared" si="1"/>
        <v>0</v>
      </c>
      <c r="F34" s="83" t="e">
        <f t="shared" si="2"/>
        <v>#DIV/0!</v>
      </c>
      <c r="G34" s="156">
        <f t="shared" si="3"/>
        <v>0</v>
      </c>
      <c r="H34" s="169"/>
      <c r="I34" s="168"/>
      <c r="J34" s="168"/>
    </row>
    <row r="35" spans="1:11" hidden="1" x14ac:dyDescent="0.3">
      <c r="A35" s="79" t="s">
        <v>11</v>
      </c>
      <c r="B35" s="56"/>
      <c r="C35" s="87">
        <f t="shared" si="0"/>
        <v>0</v>
      </c>
      <c r="D35" s="56"/>
      <c r="E35" s="87">
        <f t="shared" si="1"/>
        <v>0</v>
      </c>
      <c r="F35" s="87" t="e">
        <f t="shared" si="2"/>
        <v>#DIV/0!</v>
      </c>
      <c r="G35" s="159">
        <f t="shared" si="3"/>
        <v>0</v>
      </c>
      <c r="H35" s="169"/>
      <c r="I35" s="168"/>
      <c r="J35" s="170"/>
    </row>
    <row r="36" spans="1:11" s="9" customFormat="1" ht="27" customHeight="1" x14ac:dyDescent="0.3">
      <c r="A36" s="78" t="s">
        <v>12</v>
      </c>
      <c r="B36" s="95">
        <f>B37+B38+B45+B53+B60+B67+B68</f>
        <v>1960258.1199999999</v>
      </c>
      <c r="C36" s="82">
        <f t="shared" si="0"/>
        <v>0.58555534548370547</v>
      </c>
      <c r="D36" s="95">
        <f>D37+D38+D45+D53+D60+D67+D68</f>
        <v>1687543.76</v>
      </c>
      <c r="E36" s="82">
        <f t="shared" si="1"/>
        <v>0.7120197521773084</v>
      </c>
      <c r="F36" s="82">
        <f t="shared" si="2"/>
        <v>0.16160431893037241</v>
      </c>
      <c r="G36" s="155">
        <f t="shared" si="3"/>
        <v>272714.35999999987</v>
      </c>
      <c r="H36" s="169"/>
      <c r="I36" s="171"/>
      <c r="J36" s="168"/>
      <c r="K36"/>
    </row>
    <row r="37" spans="1:11" hidden="1" x14ac:dyDescent="0.3">
      <c r="A37" s="79" t="s">
        <v>174</v>
      </c>
      <c r="B37" s="52"/>
      <c r="C37" s="83">
        <f t="shared" si="0"/>
        <v>0</v>
      </c>
      <c r="D37" s="52"/>
      <c r="E37" s="83">
        <f t="shared" si="1"/>
        <v>0</v>
      </c>
      <c r="F37" s="83" t="e">
        <f t="shared" si="2"/>
        <v>#DIV/0!</v>
      </c>
      <c r="G37" s="156">
        <f t="shared" si="3"/>
        <v>0</v>
      </c>
      <c r="H37" s="169"/>
      <c r="I37" s="168"/>
      <c r="J37" s="168"/>
    </row>
    <row r="38" spans="1:11" x14ac:dyDescent="0.3">
      <c r="A38" s="79" t="s">
        <v>152</v>
      </c>
      <c r="B38" s="52">
        <f>B39+B40+B41+B42+B43+B44</f>
        <v>1472123.16</v>
      </c>
      <c r="C38" s="83">
        <f t="shared" si="0"/>
        <v>0.43974289750594903</v>
      </c>
      <c r="D38" s="52">
        <f>D39+D40+D41+D42+D43+D44</f>
        <v>779277.38</v>
      </c>
      <c r="E38" s="83">
        <f t="shared" si="1"/>
        <v>0.32879792520757045</v>
      </c>
      <c r="F38" s="83">
        <f t="shared" si="2"/>
        <v>0.88908750309164608</v>
      </c>
      <c r="G38" s="156">
        <f t="shared" si="3"/>
        <v>692845.77999999991</v>
      </c>
      <c r="H38" s="169"/>
      <c r="I38" s="168"/>
      <c r="J38" s="168"/>
    </row>
    <row r="39" spans="1:11" x14ac:dyDescent="0.3">
      <c r="A39" s="80" t="s">
        <v>175</v>
      </c>
      <c r="B39" s="54">
        <v>1472123.16</v>
      </c>
      <c r="C39" s="85">
        <f t="shared" si="0"/>
        <v>0.43974289750594903</v>
      </c>
      <c r="D39" s="54">
        <v>779277.38</v>
      </c>
      <c r="E39" s="85">
        <f t="shared" si="1"/>
        <v>0.32879792520757045</v>
      </c>
      <c r="F39" s="85">
        <f t="shared" si="2"/>
        <v>0.88908750309164608</v>
      </c>
      <c r="G39" s="59">
        <f t="shared" si="3"/>
        <v>692845.77999999991</v>
      </c>
      <c r="H39" s="169"/>
      <c r="I39" s="168"/>
      <c r="J39" s="170"/>
    </row>
    <row r="40" spans="1:11" hidden="1" x14ac:dyDescent="0.3">
      <c r="A40" s="80" t="s">
        <v>176</v>
      </c>
      <c r="B40" s="54"/>
      <c r="C40" s="85">
        <f t="shared" si="0"/>
        <v>0</v>
      </c>
      <c r="D40" s="54"/>
      <c r="E40" s="85">
        <f t="shared" si="1"/>
        <v>0</v>
      </c>
      <c r="F40" s="85" t="e">
        <f t="shared" si="2"/>
        <v>#DIV/0!</v>
      </c>
      <c r="G40" s="59">
        <f t="shared" si="3"/>
        <v>0</v>
      </c>
      <c r="H40" s="169"/>
      <c r="I40" s="168"/>
      <c r="J40" s="168"/>
      <c r="K40" s="152"/>
    </row>
    <row r="41" spans="1:11" hidden="1" x14ac:dyDescent="0.3">
      <c r="A41" s="80" t="s">
        <v>177</v>
      </c>
      <c r="B41" s="54"/>
      <c r="C41" s="85">
        <f t="shared" si="0"/>
        <v>0</v>
      </c>
      <c r="D41" s="54"/>
      <c r="E41" s="85">
        <f t="shared" si="1"/>
        <v>0</v>
      </c>
      <c r="F41" s="85" t="e">
        <f t="shared" si="2"/>
        <v>#DIV/0!</v>
      </c>
      <c r="G41" s="59">
        <f t="shared" si="3"/>
        <v>0</v>
      </c>
      <c r="H41" s="169"/>
      <c r="I41" s="168"/>
      <c r="J41" s="168"/>
    </row>
    <row r="42" spans="1:11" hidden="1" x14ac:dyDescent="0.3">
      <c r="A42" s="80" t="s">
        <v>178</v>
      </c>
      <c r="B42" s="54"/>
      <c r="C42" s="85">
        <f t="shared" si="0"/>
        <v>0</v>
      </c>
      <c r="D42" s="54"/>
      <c r="E42" s="85">
        <f t="shared" si="1"/>
        <v>0</v>
      </c>
      <c r="F42" s="85" t="e">
        <f t="shared" si="2"/>
        <v>#DIV/0!</v>
      </c>
      <c r="G42" s="59">
        <f t="shared" si="3"/>
        <v>0</v>
      </c>
      <c r="H42" s="169"/>
      <c r="I42" s="168"/>
      <c r="J42" s="168"/>
    </row>
    <row r="43" spans="1:11" hidden="1" x14ac:dyDescent="0.3">
      <c r="A43" s="80" t="s">
        <v>13</v>
      </c>
      <c r="B43" s="54"/>
      <c r="C43" s="85">
        <f t="shared" si="0"/>
        <v>0</v>
      </c>
      <c r="D43" s="54"/>
      <c r="E43" s="85">
        <f t="shared" si="1"/>
        <v>0</v>
      </c>
      <c r="F43" s="85" t="e">
        <f t="shared" si="2"/>
        <v>#DIV/0!</v>
      </c>
      <c r="G43" s="59">
        <f t="shared" si="3"/>
        <v>0</v>
      </c>
      <c r="H43" s="169"/>
      <c r="I43" s="168"/>
      <c r="J43" s="168"/>
    </row>
    <row r="44" spans="1:11" hidden="1" x14ac:dyDescent="0.3">
      <c r="A44" s="80" t="s">
        <v>179</v>
      </c>
      <c r="B44" s="57"/>
      <c r="C44" s="88">
        <f t="shared" si="0"/>
        <v>0</v>
      </c>
      <c r="D44" s="57"/>
      <c r="E44" s="88">
        <f t="shared" si="1"/>
        <v>0</v>
      </c>
      <c r="F44" s="88" t="e">
        <f t="shared" si="2"/>
        <v>#DIV/0!</v>
      </c>
      <c r="G44" s="160">
        <f t="shared" si="3"/>
        <v>0</v>
      </c>
      <c r="H44" s="169"/>
      <c r="I44" s="168"/>
      <c r="J44" s="168"/>
    </row>
    <row r="45" spans="1:11" x14ac:dyDescent="0.3">
      <c r="A45" s="79" t="s">
        <v>153</v>
      </c>
      <c r="B45" s="52">
        <f>B46+B47+B48+B49+B51+B50+B52</f>
        <v>77012.02</v>
      </c>
      <c r="C45" s="83">
        <f t="shared" si="0"/>
        <v>2.3004521454296052E-2</v>
      </c>
      <c r="D45" s="52">
        <f>D46+D47+D48+D49+D51+D50+D52</f>
        <v>231108.08000000002</v>
      </c>
      <c r="E45" s="83">
        <f t="shared" si="1"/>
        <v>9.7510667129469625E-2</v>
      </c>
      <c r="F45" s="83">
        <f t="shared" si="2"/>
        <v>-0.66677054302904515</v>
      </c>
      <c r="G45" s="156">
        <f t="shared" si="3"/>
        <v>-154096.06</v>
      </c>
      <c r="H45" s="169"/>
      <c r="I45" s="168"/>
      <c r="J45" s="168"/>
    </row>
    <row r="46" spans="1:11" x14ac:dyDescent="0.3">
      <c r="A46" s="80" t="s">
        <v>14</v>
      </c>
      <c r="B46" s="53">
        <v>44401.8</v>
      </c>
      <c r="C46" s="84">
        <f t="shared" si="0"/>
        <v>1.3263412136304989E-2</v>
      </c>
      <c r="D46" s="53">
        <v>60934.52</v>
      </c>
      <c r="E46" s="84">
        <f t="shared" si="1"/>
        <v>2.5709900304714609E-2</v>
      </c>
      <c r="F46" s="84">
        <f t="shared" si="2"/>
        <v>-0.27131944257540708</v>
      </c>
      <c r="G46" s="157">
        <f t="shared" si="3"/>
        <v>-16532.719999999994</v>
      </c>
      <c r="H46" s="169"/>
      <c r="I46" s="169"/>
      <c r="J46" s="170"/>
    </row>
    <row r="47" spans="1:11" hidden="1" x14ac:dyDescent="0.3">
      <c r="A47" s="80" t="s">
        <v>15</v>
      </c>
      <c r="B47" s="54"/>
      <c r="C47" s="85">
        <f t="shared" si="0"/>
        <v>0</v>
      </c>
      <c r="D47" s="54"/>
      <c r="E47" s="85">
        <f t="shared" si="1"/>
        <v>0</v>
      </c>
      <c r="F47" s="85" t="e">
        <f t="shared" si="2"/>
        <v>#DIV/0!</v>
      </c>
      <c r="G47" s="59">
        <f t="shared" si="3"/>
        <v>0</v>
      </c>
      <c r="H47" s="169"/>
      <c r="I47" s="169"/>
      <c r="J47" s="170"/>
    </row>
    <row r="48" spans="1:11" x14ac:dyDescent="0.3">
      <c r="A48" s="80" t="s">
        <v>180</v>
      </c>
      <c r="B48" s="54">
        <v>32610.22</v>
      </c>
      <c r="C48" s="85">
        <f t="shared" si="0"/>
        <v>9.7411093179910636E-3</v>
      </c>
      <c r="D48" s="54">
        <v>54371.68</v>
      </c>
      <c r="E48" s="85">
        <f t="shared" si="1"/>
        <v>2.2940862949274818E-2</v>
      </c>
      <c r="F48" s="85">
        <f t="shared" si="2"/>
        <v>-0.4002351959696665</v>
      </c>
      <c r="G48" s="59">
        <f t="shared" si="3"/>
        <v>-21761.46</v>
      </c>
      <c r="H48" s="169"/>
      <c r="I48" s="169"/>
      <c r="J48" s="170"/>
    </row>
    <row r="49" spans="1:10" hidden="1" x14ac:dyDescent="0.3">
      <c r="A49" s="80" t="s">
        <v>181</v>
      </c>
      <c r="B49" s="55"/>
      <c r="C49" s="86">
        <f t="shared" si="0"/>
        <v>0</v>
      </c>
      <c r="D49" s="55"/>
      <c r="E49" s="86">
        <f t="shared" si="1"/>
        <v>0</v>
      </c>
      <c r="F49" s="86" t="e">
        <f t="shared" si="2"/>
        <v>#DIV/0!</v>
      </c>
      <c r="G49" s="158">
        <f t="shared" si="3"/>
        <v>0</v>
      </c>
      <c r="H49" s="169"/>
      <c r="I49" s="169"/>
      <c r="J49" s="170"/>
    </row>
    <row r="50" spans="1:10" hidden="1" x14ac:dyDescent="0.3">
      <c r="A50" s="80" t="s">
        <v>182</v>
      </c>
      <c r="B50" s="54"/>
      <c r="C50" s="85">
        <f t="shared" si="0"/>
        <v>0</v>
      </c>
      <c r="D50" s="54"/>
      <c r="E50" s="85">
        <f t="shared" si="1"/>
        <v>0</v>
      </c>
      <c r="F50" s="85" t="e">
        <f t="shared" si="2"/>
        <v>#DIV/0!</v>
      </c>
      <c r="G50" s="59">
        <f t="shared" si="3"/>
        <v>0</v>
      </c>
      <c r="H50" s="169"/>
      <c r="I50" s="169"/>
      <c r="J50" s="170"/>
    </row>
    <row r="51" spans="1:10" x14ac:dyDescent="0.3">
      <c r="A51" s="80" t="s">
        <v>183</v>
      </c>
      <c r="B51" s="53"/>
      <c r="C51" s="84">
        <f t="shared" si="0"/>
        <v>0</v>
      </c>
      <c r="D51" s="53">
        <v>115801.88</v>
      </c>
      <c r="E51" s="84">
        <f t="shared" si="1"/>
        <v>4.8859903875480185E-2</v>
      </c>
      <c r="F51" s="84">
        <f t="shared" si="2"/>
        <v>-1</v>
      </c>
      <c r="G51" s="157">
        <f t="shared" si="3"/>
        <v>-115801.88</v>
      </c>
      <c r="H51" s="169"/>
      <c r="I51" s="169"/>
      <c r="J51" s="170"/>
    </row>
    <row r="52" spans="1:10" hidden="1" x14ac:dyDescent="0.3">
      <c r="A52" s="80" t="s">
        <v>184</v>
      </c>
      <c r="B52" s="54"/>
      <c r="C52" s="85">
        <f t="shared" si="0"/>
        <v>0</v>
      </c>
      <c r="D52" s="54"/>
      <c r="E52" s="85">
        <f t="shared" si="1"/>
        <v>0</v>
      </c>
      <c r="F52" s="85" t="e">
        <f t="shared" si="2"/>
        <v>#DIV/0!</v>
      </c>
      <c r="G52" s="59">
        <f t="shared" si="3"/>
        <v>0</v>
      </c>
      <c r="H52" s="169"/>
      <c r="I52" s="168"/>
      <c r="J52" s="168"/>
    </row>
    <row r="53" spans="1:10" hidden="1" x14ac:dyDescent="0.3">
      <c r="A53" s="79" t="s">
        <v>185</v>
      </c>
      <c r="B53" s="52">
        <f>SUM(B54:B59)</f>
        <v>0</v>
      </c>
      <c r="C53" s="83">
        <f t="shared" si="0"/>
        <v>0</v>
      </c>
      <c r="D53" s="52">
        <f>SUM(D54:D59)</f>
        <v>0</v>
      </c>
      <c r="E53" s="83">
        <f t="shared" si="1"/>
        <v>0</v>
      </c>
      <c r="F53" s="83" t="e">
        <f t="shared" si="2"/>
        <v>#DIV/0!</v>
      </c>
      <c r="G53" s="156">
        <f t="shared" si="3"/>
        <v>0</v>
      </c>
      <c r="H53" s="169"/>
      <c r="I53" s="168"/>
      <c r="J53" s="168"/>
    </row>
    <row r="54" spans="1:10" hidden="1" x14ac:dyDescent="0.3">
      <c r="A54" s="80" t="s">
        <v>172</v>
      </c>
      <c r="B54" s="54"/>
      <c r="C54" s="85">
        <f t="shared" si="0"/>
        <v>0</v>
      </c>
      <c r="D54" s="54"/>
      <c r="E54" s="85">
        <f t="shared" si="1"/>
        <v>0</v>
      </c>
      <c r="F54" s="85" t="e">
        <f t="shared" si="2"/>
        <v>#DIV/0!</v>
      </c>
      <c r="G54" s="59">
        <f t="shared" si="3"/>
        <v>0</v>
      </c>
      <c r="H54" s="169"/>
      <c r="I54" s="168"/>
      <c r="J54" s="168"/>
    </row>
    <row r="55" spans="1:10" hidden="1" x14ac:dyDescent="0.3">
      <c r="A55" s="80" t="s">
        <v>4</v>
      </c>
      <c r="B55" s="58"/>
      <c r="C55" s="85">
        <f t="shared" si="0"/>
        <v>0</v>
      </c>
      <c r="D55" s="58"/>
      <c r="E55" s="85">
        <f t="shared" si="1"/>
        <v>0</v>
      </c>
      <c r="F55" s="85" t="e">
        <f t="shared" si="2"/>
        <v>#DIV/0!</v>
      </c>
      <c r="G55" s="161">
        <f t="shared" si="3"/>
        <v>0</v>
      </c>
      <c r="H55" s="169"/>
      <c r="I55" s="168"/>
      <c r="J55" s="168"/>
    </row>
    <row r="56" spans="1:10" hidden="1" x14ac:dyDescent="0.3">
      <c r="A56" s="80" t="s">
        <v>5</v>
      </c>
      <c r="B56" s="58"/>
      <c r="C56" s="85">
        <f t="shared" si="0"/>
        <v>0</v>
      </c>
      <c r="D56" s="58"/>
      <c r="E56" s="85">
        <f t="shared" si="1"/>
        <v>0</v>
      </c>
      <c r="F56" s="85" t="e">
        <f t="shared" si="2"/>
        <v>#DIV/0!</v>
      </c>
      <c r="G56" s="161">
        <f t="shared" si="3"/>
        <v>0</v>
      </c>
      <c r="H56" s="169"/>
      <c r="I56" s="168"/>
      <c r="J56" s="168"/>
    </row>
    <row r="57" spans="1:10" hidden="1" x14ac:dyDescent="0.3">
      <c r="A57" s="80" t="s">
        <v>6</v>
      </c>
      <c r="B57" s="54"/>
      <c r="C57" s="85">
        <f t="shared" si="0"/>
        <v>0</v>
      </c>
      <c r="D57" s="54"/>
      <c r="E57" s="85">
        <f t="shared" si="1"/>
        <v>0</v>
      </c>
      <c r="F57" s="85" t="e">
        <f t="shared" si="2"/>
        <v>#DIV/0!</v>
      </c>
      <c r="G57" s="59">
        <f t="shared" si="3"/>
        <v>0</v>
      </c>
      <c r="H57" s="169"/>
      <c r="I57" s="168"/>
      <c r="J57" s="168"/>
    </row>
    <row r="58" spans="1:10" hidden="1" x14ac:dyDescent="0.3">
      <c r="A58" s="80" t="s">
        <v>7</v>
      </c>
      <c r="B58" s="54"/>
      <c r="C58" s="85">
        <f t="shared" si="0"/>
        <v>0</v>
      </c>
      <c r="D58" s="54"/>
      <c r="E58" s="85">
        <f t="shared" si="1"/>
        <v>0</v>
      </c>
      <c r="F58" s="85" t="e">
        <f t="shared" si="2"/>
        <v>#DIV/0!</v>
      </c>
      <c r="G58" s="59">
        <f t="shared" si="3"/>
        <v>0</v>
      </c>
      <c r="H58" s="169"/>
      <c r="I58" s="168"/>
      <c r="J58" s="168"/>
    </row>
    <row r="59" spans="1:10" hidden="1" x14ac:dyDescent="0.3">
      <c r="A59" s="80" t="s">
        <v>8</v>
      </c>
      <c r="B59" s="54"/>
      <c r="C59" s="85">
        <f t="shared" si="0"/>
        <v>0</v>
      </c>
      <c r="D59" s="54"/>
      <c r="E59" s="85">
        <f t="shared" si="1"/>
        <v>0</v>
      </c>
      <c r="F59" s="85" t="e">
        <f t="shared" si="2"/>
        <v>#DIV/0!</v>
      </c>
      <c r="G59" s="59">
        <f t="shared" si="3"/>
        <v>0</v>
      </c>
      <c r="H59" s="169"/>
      <c r="I59" s="168"/>
      <c r="J59" s="168"/>
    </row>
    <row r="60" spans="1:10" hidden="1" x14ac:dyDescent="0.3">
      <c r="A60" s="79" t="s">
        <v>154</v>
      </c>
      <c r="B60" s="52">
        <f>SUM(B61:B66)</f>
        <v>0</v>
      </c>
      <c r="C60" s="83">
        <f t="shared" si="0"/>
        <v>0</v>
      </c>
      <c r="D60" s="52">
        <f>SUM(D61:D66)</f>
        <v>0</v>
      </c>
      <c r="E60" s="83">
        <f t="shared" si="1"/>
        <v>0</v>
      </c>
      <c r="F60" s="83" t="e">
        <f t="shared" si="2"/>
        <v>#DIV/0!</v>
      </c>
      <c r="G60" s="156">
        <f t="shared" si="3"/>
        <v>0</v>
      </c>
      <c r="H60" s="169"/>
      <c r="I60" s="168"/>
      <c r="J60" s="170"/>
    </row>
    <row r="61" spans="1:10" hidden="1" x14ac:dyDescent="0.3">
      <c r="A61" s="80" t="s">
        <v>172</v>
      </c>
      <c r="B61" s="54"/>
      <c r="C61" s="85">
        <f t="shared" si="0"/>
        <v>0</v>
      </c>
      <c r="D61" s="54"/>
      <c r="E61" s="85">
        <f t="shared" si="1"/>
        <v>0</v>
      </c>
      <c r="F61" s="85" t="e">
        <f t="shared" si="2"/>
        <v>#DIV/0!</v>
      </c>
      <c r="G61" s="59">
        <f t="shared" si="3"/>
        <v>0</v>
      </c>
      <c r="H61" s="169"/>
      <c r="I61" s="168"/>
      <c r="J61" s="168"/>
    </row>
    <row r="62" spans="1:10" hidden="1" x14ac:dyDescent="0.3">
      <c r="A62" s="80" t="s">
        <v>4</v>
      </c>
      <c r="B62" s="54"/>
      <c r="C62" s="85">
        <f t="shared" si="0"/>
        <v>0</v>
      </c>
      <c r="D62" s="54"/>
      <c r="E62" s="85">
        <f t="shared" si="1"/>
        <v>0</v>
      </c>
      <c r="F62" s="85" t="e">
        <f t="shared" si="2"/>
        <v>#DIV/0!</v>
      </c>
      <c r="G62" s="59">
        <f t="shared" si="3"/>
        <v>0</v>
      </c>
      <c r="H62" s="169"/>
      <c r="I62" s="168"/>
      <c r="J62" s="168"/>
    </row>
    <row r="63" spans="1:10" hidden="1" x14ac:dyDescent="0.3">
      <c r="A63" s="80" t="s">
        <v>5</v>
      </c>
      <c r="B63" s="59"/>
      <c r="C63" s="85">
        <f t="shared" si="0"/>
        <v>0</v>
      </c>
      <c r="D63" s="59"/>
      <c r="E63" s="85">
        <f t="shared" si="1"/>
        <v>0</v>
      </c>
      <c r="F63" s="85" t="e">
        <f t="shared" si="2"/>
        <v>#DIV/0!</v>
      </c>
      <c r="G63" s="59">
        <f t="shared" si="3"/>
        <v>0</v>
      </c>
      <c r="H63" s="169"/>
      <c r="I63" s="168"/>
      <c r="J63" s="168"/>
    </row>
    <row r="64" spans="1:10" hidden="1" x14ac:dyDescent="0.3">
      <c r="A64" s="80" t="s">
        <v>6</v>
      </c>
      <c r="B64" s="54"/>
      <c r="C64" s="85">
        <f t="shared" si="0"/>
        <v>0</v>
      </c>
      <c r="D64" s="54"/>
      <c r="E64" s="85">
        <f t="shared" si="1"/>
        <v>0</v>
      </c>
      <c r="F64" s="85" t="e">
        <f t="shared" si="2"/>
        <v>#DIV/0!</v>
      </c>
      <c r="G64" s="59">
        <f t="shared" si="3"/>
        <v>0</v>
      </c>
      <c r="H64" s="169"/>
      <c r="I64" s="168"/>
      <c r="J64" s="168"/>
    </row>
    <row r="65" spans="1:10" hidden="1" x14ac:dyDescent="0.3">
      <c r="A65" s="80" t="s">
        <v>7</v>
      </c>
      <c r="B65" s="54"/>
      <c r="C65" s="85">
        <f t="shared" si="0"/>
        <v>0</v>
      </c>
      <c r="D65" s="54"/>
      <c r="E65" s="85">
        <f t="shared" si="1"/>
        <v>0</v>
      </c>
      <c r="F65" s="85" t="e">
        <f t="shared" si="2"/>
        <v>#DIV/0!</v>
      </c>
      <c r="G65" s="59">
        <f t="shared" si="3"/>
        <v>0</v>
      </c>
      <c r="H65" s="169"/>
      <c r="I65" s="168"/>
      <c r="J65" s="168"/>
    </row>
    <row r="66" spans="1:10" hidden="1" x14ac:dyDescent="0.3">
      <c r="A66" s="80" t="s">
        <v>8</v>
      </c>
      <c r="B66" s="54"/>
      <c r="C66" s="85">
        <f t="shared" si="0"/>
        <v>0</v>
      </c>
      <c r="D66" s="54"/>
      <c r="E66" s="85">
        <f t="shared" si="1"/>
        <v>0</v>
      </c>
      <c r="F66" s="85" t="e">
        <f t="shared" si="2"/>
        <v>#DIV/0!</v>
      </c>
      <c r="G66" s="59">
        <f t="shared" si="3"/>
        <v>0</v>
      </c>
      <c r="H66" s="169"/>
      <c r="I66" s="168"/>
      <c r="J66" s="168"/>
    </row>
    <row r="67" spans="1:10" hidden="1" x14ac:dyDescent="0.3">
      <c r="A67" s="79" t="s">
        <v>155</v>
      </c>
      <c r="B67" s="52"/>
      <c r="C67" s="83">
        <f t="shared" si="0"/>
        <v>0</v>
      </c>
      <c r="D67" s="52"/>
      <c r="E67" s="83">
        <f t="shared" si="1"/>
        <v>0</v>
      </c>
      <c r="F67" s="83" t="e">
        <f t="shared" si="2"/>
        <v>#DIV/0!</v>
      </c>
      <c r="G67" s="156">
        <f t="shared" si="3"/>
        <v>0</v>
      </c>
      <c r="H67" s="169"/>
      <c r="I67" s="168"/>
      <c r="J67" s="168"/>
    </row>
    <row r="68" spans="1:10" x14ac:dyDescent="0.3">
      <c r="A68" s="79" t="s">
        <v>156</v>
      </c>
      <c r="B68" s="52">
        <f t="shared" ref="B68" si="4">B69+B70</f>
        <v>411122.94</v>
      </c>
      <c r="C68" s="83">
        <f t="shared" si="0"/>
        <v>0.12280792652346047</v>
      </c>
      <c r="D68" s="52">
        <f t="shared" ref="D68" si="5">D69+D70</f>
        <v>677158.3</v>
      </c>
      <c r="E68" s="83">
        <f t="shared" si="1"/>
        <v>0.28571115984026835</v>
      </c>
      <c r="F68" s="83">
        <f t="shared" si="2"/>
        <v>-0.39287026386592327</v>
      </c>
      <c r="G68" s="156">
        <f t="shared" si="3"/>
        <v>-266035.36000000004</v>
      </c>
      <c r="H68" s="169"/>
      <c r="I68" s="168"/>
      <c r="J68" s="168"/>
    </row>
    <row r="69" spans="1:10" x14ac:dyDescent="0.3">
      <c r="A69" s="80" t="s">
        <v>186</v>
      </c>
      <c r="B69" s="54">
        <v>411122.94</v>
      </c>
      <c r="C69" s="85">
        <f t="shared" ref="C69:C71" si="6">B69/B$71</f>
        <v>0.12280792652346047</v>
      </c>
      <c r="D69" s="61">
        <v>677158.3</v>
      </c>
      <c r="E69" s="85">
        <f t="shared" ref="E69:E71" si="7">D69/D$71</f>
        <v>0.28571115984026835</v>
      </c>
      <c r="F69" s="85">
        <f t="shared" ref="F69:F71" si="8">B69/D69-1</f>
        <v>-0.39287026386592327</v>
      </c>
      <c r="G69" s="59">
        <f t="shared" ref="G69:G132" si="9">B69-D69</f>
        <v>-266035.36000000004</v>
      </c>
      <c r="H69" s="169"/>
      <c r="I69" s="169"/>
      <c r="J69" s="170"/>
    </row>
    <row r="70" spans="1:10" hidden="1" x14ac:dyDescent="0.3">
      <c r="A70" s="80" t="s">
        <v>187</v>
      </c>
      <c r="B70" s="54"/>
      <c r="C70" s="85">
        <f t="shared" si="6"/>
        <v>0</v>
      </c>
      <c r="D70" s="54"/>
      <c r="E70" s="85">
        <f t="shared" si="7"/>
        <v>0</v>
      </c>
      <c r="F70" s="85" t="e">
        <f t="shared" si="8"/>
        <v>#DIV/0!</v>
      </c>
      <c r="G70" s="59">
        <f t="shared" si="9"/>
        <v>0</v>
      </c>
      <c r="H70" s="169"/>
      <c r="I70" s="168"/>
      <c r="J70" s="168"/>
    </row>
    <row r="71" spans="1:10" s="9" customFormat="1" ht="30" customHeight="1" x14ac:dyDescent="0.3">
      <c r="A71" s="81" t="s">
        <v>16</v>
      </c>
      <c r="B71" s="96">
        <f>B36+B4</f>
        <v>3347690.59</v>
      </c>
      <c r="C71" s="89">
        <f t="shared" si="6"/>
        <v>1</v>
      </c>
      <c r="D71" s="96">
        <f>D36+D4</f>
        <v>2370079.98</v>
      </c>
      <c r="E71" s="89">
        <f t="shared" si="7"/>
        <v>1</v>
      </c>
      <c r="F71" s="89">
        <f t="shared" si="8"/>
        <v>0.41248000837507592</v>
      </c>
      <c r="G71" s="162">
        <f t="shared" si="9"/>
        <v>977610.60999999987</v>
      </c>
      <c r="H71" s="169"/>
      <c r="I71" s="171"/>
      <c r="J71" s="171"/>
    </row>
    <row r="72" spans="1:10" ht="18" customHeight="1" x14ac:dyDescent="0.3">
      <c r="A72" s="5"/>
      <c r="B72" s="60"/>
      <c r="C72" s="21"/>
      <c r="D72" s="60"/>
      <c r="E72" s="21"/>
      <c r="G72" s="163"/>
      <c r="H72" s="169"/>
      <c r="I72" s="168"/>
      <c r="J72" s="168"/>
    </row>
    <row r="73" spans="1:10" s="7" customFormat="1" ht="41.1" hidden="1" customHeight="1" x14ac:dyDescent="0.3">
      <c r="A73" s="94" t="str">
        <f>A2</f>
        <v>PERFUMERIAS PRIMOR</v>
      </c>
      <c r="B73" s="19">
        <v>2019</v>
      </c>
      <c r="C73" s="19" t="s">
        <v>219</v>
      </c>
      <c r="D73" s="19">
        <f>D3</f>
        <v>2018</v>
      </c>
      <c r="E73" s="19" t="s">
        <v>219</v>
      </c>
      <c r="F73" s="19" t="s">
        <v>220</v>
      </c>
      <c r="G73" s="164" t="s">
        <v>151</v>
      </c>
      <c r="H73" s="169"/>
      <c r="I73" s="172"/>
      <c r="J73" s="172"/>
    </row>
    <row r="74" spans="1:10" s="9" customFormat="1" ht="27" customHeight="1" x14ac:dyDescent="0.3">
      <c r="A74" s="78" t="s">
        <v>17</v>
      </c>
      <c r="B74" s="95">
        <f>B75+B91+B97</f>
        <v>1046134.69</v>
      </c>
      <c r="C74" s="82">
        <f>B74/B$135</f>
        <v>0.31249443814340083</v>
      </c>
      <c r="D74" s="95">
        <f>D75+D91+D97</f>
        <v>569815.5</v>
      </c>
      <c r="E74" s="82">
        <f>D74/D$135</f>
        <v>0.24042036758607616</v>
      </c>
      <c r="F74" s="82">
        <f t="shared" ref="F74:F135" si="10">B74/D74-1</f>
        <v>0.8359182753013914</v>
      </c>
      <c r="G74" s="155">
        <f t="shared" si="9"/>
        <v>476319.18999999994</v>
      </c>
      <c r="H74" s="169"/>
      <c r="I74" s="171"/>
      <c r="J74" s="171"/>
    </row>
    <row r="75" spans="1:10" x14ac:dyDescent="0.3">
      <c r="A75" s="1" t="s">
        <v>18</v>
      </c>
      <c r="B75" s="54">
        <f>B76+B79+B80+B83+B84+B87+B88+B89+B90</f>
        <v>1043207.44</v>
      </c>
      <c r="C75" s="85">
        <f t="shared" ref="C75:C135" si="11">B75/B$135</f>
        <v>0.31162002937672922</v>
      </c>
      <c r="D75" s="54">
        <f>D76+D79+D80+D83+D84+D87+D88+D89+D90</f>
        <v>569815.5</v>
      </c>
      <c r="E75" s="85">
        <f t="shared" ref="E75:E135" si="12">D75/D$135</f>
        <v>0.24042036758607616</v>
      </c>
      <c r="F75" s="85">
        <f t="shared" si="10"/>
        <v>0.83078108615858981</v>
      </c>
      <c r="G75" s="59">
        <f t="shared" si="9"/>
        <v>473391.93999999994</v>
      </c>
      <c r="H75" s="169"/>
      <c r="I75" s="168"/>
      <c r="J75" s="168"/>
    </row>
    <row r="76" spans="1:10" x14ac:dyDescent="0.3">
      <c r="A76" s="79" t="s">
        <v>19</v>
      </c>
      <c r="B76" s="52">
        <f t="shared" ref="B76" si="13">+B77+B78</f>
        <v>135000</v>
      </c>
      <c r="C76" s="83">
        <f t="shared" si="11"/>
        <v>4.0326307456030462E-2</v>
      </c>
      <c r="D76" s="52">
        <f t="shared" ref="D76" si="14">+D77+D78</f>
        <v>135000</v>
      </c>
      <c r="E76" s="83">
        <f t="shared" si="12"/>
        <v>5.696010309322979E-2</v>
      </c>
      <c r="F76" s="83">
        <f t="shared" si="10"/>
        <v>0</v>
      </c>
      <c r="G76" s="156">
        <f t="shared" si="9"/>
        <v>0</v>
      </c>
      <c r="H76" s="169"/>
      <c r="I76" s="168"/>
      <c r="J76" s="168"/>
    </row>
    <row r="77" spans="1:10" x14ac:dyDescent="0.3">
      <c r="A77" s="80" t="s">
        <v>20</v>
      </c>
      <c r="B77" s="54">
        <v>135000</v>
      </c>
      <c r="C77" s="85">
        <f t="shared" si="11"/>
        <v>4.0326307456030462E-2</v>
      </c>
      <c r="D77" s="54">
        <v>135000</v>
      </c>
      <c r="E77" s="85">
        <f t="shared" si="12"/>
        <v>5.696010309322979E-2</v>
      </c>
      <c r="F77" s="85">
        <f t="shared" si="10"/>
        <v>0</v>
      </c>
      <c r="G77" s="59">
        <f t="shared" si="9"/>
        <v>0</v>
      </c>
      <c r="H77" s="169"/>
      <c r="I77" s="168"/>
      <c r="J77" s="168"/>
    </row>
    <row r="78" spans="1:10" hidden="1" x14ac:dyDescent="0.3">
      <c r="A78" s="80" t="s">
        <v>21</v>
      </c>
      <c r="B78" s="54"/>
      <c r="C78" s="85">
        <f t="shared" si="11"/>
        <v>0</v>
      </c>
      <c r="D78" s="54"/>
      <c r="E78" s="85">
        <f t="shared" si="12"/>
        <v>0</v>
      </c>
      <c r="F78" s="85" t="e">
        <f t="shared" si="10"/>
        <v>#DIV/0!</v>
      </c>
      <c r="G78" s="59">
        <f t="shared" si="9"/>
        <v>0</v>
      </c>
      <c r="H78" s="169"/>
      <c r="I78" s="168"/>
      <c r="J78" s="168"/>
    </row>
    <row r="79" spans="1:10" hidden="1" x14ac:dyDescent="0.3">
      <c r="A79" s="79" t="s">
        <v>22</v>
      </c>
      <c r="B79" s="52"/>
      <c r="C79" s="83">
        <f t="shared" si="11"/>
        <v>0</v>
      </c>
      <c r="D79" s="52"/>
      <c r="E79" s="83">
        <f t="shared" si="12"/>
        <v>0</v>
      </c>
      <c r="F79" s="83" t="e">
        <f t="shared" si="10"/>
        <v>#DIV/0!</v>
      </c>
      <c r="G79" s="156">
        <f t="shared" si="9"/>
        <v>0</v>
      </c>
      <c r="H79" s="169"/>
      <c r="I79" s="168"/>
      <c r="J79" s="168"/>
    </row>
    <row r="80" spans="1:10" x14ac:dyDescent="0.3">
      <c r="A80" s="79" t="s">
        <v>23</v>
      </c>
      <c r="B80" s="52">
        <f t="shared" ref="B80" si="15">B81+B82</f>
        <v>434815.5</v>
      </c>
      <c r="C80" s="83">
        <f t="shared" si="11"/>
        <v>0.12988521140479711</v>
      </c>
      <c r="D80" s="52">
        <f t="shared" ref="D80" si="16">D81+D82</f>
        <v>434815.5</v>
      </c>
      <c r="E80" s="83">
        <f t="shared" si="12"/>
        <v>0.18346026449284636</v>
      </c>
      <c r="F80" s="83">
        <f t="shared" si="10"/>
        <v>0</v>
      </c>
      <c r="G80" s="156">
        <f t="shared" si="9"/>
        <v>0</v>
      </c>
      <c r="H80" s="169"/>
      <c r="I80" s="168"/>
      <c r="J80" s="168"/>
    </row>
    <row r="81" spans="1:10" x14ac:dyDescent="0.3">
      <c r="A81" s="80" t="s">
        <v>24</v>
      </c>
      <c r="B81" s="61">
        <v>27000</v>
      </c>
      <c r="C81" s="105">
        <f t="shared" si="11"/>
        <v>8.0652614912060921E-3</v>
      </c>
      <c r="D81" s="61">
        <v>27000</v>
      </c>
      <c r="E81" s="105">
        <f t="shared" si="12"/>
        <v>1.1392020618645958E-2</v>
      </c>
      <c r="F81" s="105">
        <f t="shared" si="10"/>
        <v>0</v>
      </c>
      <c r="G81" s="165">
        <f t="shared" si="9"/>
        <v>0</v>
      </c>
      <c r="H81" s="169"/>
      <c r="I81" s="168"/>
      <c r="J81" s="168"/>
    </row>
    <row r="82" spans="1:10" x14ac:dyDescent="0.3">
      <c r="A82" s="80" t="s">
        <v>188</v>
      </c>
      <c r="B82" s="61">
        <f>39850.29+367965.21</f>
        <v>407815.5</v>
      </c>
      <c r="C82" s="105">
        <f t="shared" si="11"/>
        <v>0.12181994991359103</v>
      </c>
      <c r="D82" s="61">
        <f>14119.52+136388.32+257307.66</f>
        <v>407815.5</v>
      </c>
      <c r="E82" s="105">
        <f t="shared" si="12"/>
        <v>0.17206824387420039</v>
      </c>
      <c r="F82" s="105">
        <f t="shared" si="10"/>
        <v>0</v>
      </c>
      <c r="G82" s="165">
        <f t="shared" si="9"/>
        <v>0</v>
      </c>
      <c r="H82" s="168"/>
      <c r="I82" s="169"/>
      <c r="J82" s="170"/>
    </row>
    <row r="83" spans="1:10" hidden="1" x14ac:dyDescent="0.3">
      <c r="A83" s="79" t="s">
        <v>25</v>
      </c>
      <c r="B83" s="52"/>
      <c r="C83" s="83">
        <f t="shared" si="11"/>
        <v>0</v>
      </c>
      <c r="D83" s="52"/>
      <c r="E83" s="83">
        <f t="shared" si="12"/>
        <v>0</v>
      </c>
      <c r="F83" s="83" t="e">
        <f t="shared" si="10"/>
        <v>#DIV/0!</v>
      </c>
      <c r="G83" s="156">
        <f t="shared" si="9"/>
        <v>0</v>
      </c>
      <c r="H83" s="168"/>
      <c r="I83" s="169"/>
      <c r="J83" s="168"/>
    </row>
    <row r="84" spans="1:10" hidden="1" x14ac:dyDescent="0.3">
      <c r="A84" s="79" t="s">
        <v>189</v>
      </c>
      <c r="B84" s="52">
        <f>B85+B86</f>
        <v>0</v>
      </c>
      <c r="C84" s="83">
        <f t="shared" si="11"/>
        <v>0</v>
      </c>
      <c r="D84" s="52">
        <f>D85+D86</f>
        <v>0</v>
      </c>
      <c r="E84" s="83">
        <f t="shared" si="12"/>
        <v>0</v>
      </c>
      <c r="F84" s="83" t="e">
        <f t="shared" si="10"/>
        <v>#DIV/0!</v>
      </c>
      <c r="G84" s="156">
        <f t="shared" si="9"/>
        <v>0</v>
      </c>
      <c r="H84" s="168"/>
      <c r="I84" s="169"/>
      <c r="J84" s="168"/>
    </row>
    <row r="85" spans="1:10" hidden="1" x14ac:dyDescent="0.3">
      <c r="A85" s="80" t="s">
        <v>190</v>
      </c>
      <c r="B85" s="61"/>
      <c r="C85" s="105">
        <f t="shared" si="11"/>
        <v>0</v>
      </c>
      <c r="D85" s="61"/>
      <c r="E85" s="105">
        <f t="shared" si="12"/>
        <v>0</v>
      </c>
      <c r="F85" s="105" t="e">
        <f t="shared" si="10"/>
        <v>#DIV/0!</v>
      </c>
      <c r="G85" s="165">
        <f t="shared" si="9"/>
        <v>0</v>
      </c>
      <c r="H85" s="168"/>
      <c r="I85" s="169"/>
      <c r="J85" s="168"/>
    </row>
    <row r="86" spans="1:10" hidden="1" x14ac:dyDescent="0.3">
      <c r="A86" s="80" t="s">
        <v>191</v>
      </c>
      <c r="B86" s="61"/>
      <c r="C86" s="105">
        <f t="shared" si="11"/>
        <v>0</v>
      </c>
      <c r="D86" s="61"/>
      <c r="E86" s="105">
        <f t="shared" si="12"/>
        <v>0</v>
      </c>
      <c r="F86" s="105" t="e">
        <f t="shared" si="10"/>
        <v>#DIV/0!</v>
      </c>
      <c r="G86" s="165">
        <f t="shared" si="9"/>
        <v>0</v>
      </c>
      <c r="H86" s="168"/>
      <c r="I86" s="169"/>
      <c r="J86" s="168"/>
    </row>
    <row r="87" spans="1:10" hidden="1" x14ac:dyDescent="0.3">
      <c r="A87" s="79" t="s">
        <v>192</v>
      </c>
      <c r="B87" s="52"/>
      <c r="C87" s="83">
        <f t="shared" si="11"/>
        <v>0</v>
      </c>
      <c r="D87" s="52"/>
      <c r="E87" s="83">
        <f t="shared" si="12"/>
        <v>0</v>
      </c>
      <c r="F87" s="83" t="e">
        <f t="shared" si="10"/>
        <v>#DIV/0!</v>
      </c>
      <c r="G87" s="156">
        <f t="shared" si="9"/>
        <v>0</v>
      </c>
      <c r="H87" s="168"/>
      <c r="I87" s="169"/>
      <c r="J87" s="168"/>
    </row>
    <row r="88" spans="1:10" x14ac:dyDescent="0.3">
      <c r="A88" s="79" t="s">
        <v>193</v>
      </c>
      <c r="B88" s="52">
        <v>473391.94</v>
      </c>
      <c r="C88" s="83">
        <f t="shared" si="11"/>
        <v>0.14140851051590167</v>
      </c>
      <c r="D88" s="52"/>
      <c r="E88" s="83">
        <f t="shared" si="12"/>
        <v>0</v>
      </c>
      <c r="F88" s="83" t="e">
        <f t="shared" si="10"/>
        <v>#DIV/0!</v>
      </c>
      <c r="G88" s="156">
        <f t="shared" si="9"/>
        <v>473391.94</v>
      </c>
      <c r="H88" s="168"/>
      <c r="I88" s="169"/>
      <c r="J88" s="170"/>
    </row>
    <row r="89" spans="1:10" hidden="1" x14ac:dyDescent="0.3">
      <c r="A89" s="79" t="s">
        <v>194</v>
      </c>
      <c r="B89" s="52"/>
      <c r="C89" s="83">
        <f t="shared" si="11"/>
        <v>0</v>
      </c>
      <c r="D89" s="52"/>
      <c r="E89" s="83">
        <f t="shared" si="12"/>
        <v>0</v>
      </c>
      <c r="F89" s="83" t="e">
        <f t="shared" si="10"/>
        <v>#DIV/0!</v>
      </c>
      <c r="G89" s="156">
        <f t="shared" si="9"/>
        <v>0</v>
      </c>
      <c r="H89" s="168"/>
      <c r="I89" s="169"/>
      <c r="J89" s="168"/>
    </row>
    <row r="90" spans="1:10" hidden="1" x14ac:dyDescent="0.3">
      <c r="A90" s="79" t="s">
        <v>195</v>
      </c>
      <c r="B90" s="52"/>
      <c r="C90" s="83">
        <f t="shared" si="11"/>
        <v>0</v>
      </c>
      <c r="D90" s="52"/>
      <c r="E90" s="83">
        <f t="shared" si="12"/>
        <v>0</v>
      </c>
      <c r="F90" s="83" t="e">
        <f t="shared" si="10"/>
        <v>#DIV/0!</v>
      </c>
      <c r="G90" s="156">
        <f t="shared" si="9"/>
        <v>0</v>
      </c>
      <c r="H90" s="168"/>
      <c r="I90" s="169"/>
      <c r="J90" s="168"/>
    </row>
    <row r="91" spans="1:10" hidden="1" x14ac:dyDescent="0.3">
      <c r="A91" s="1" t="s">
        <v>26</v>
      </c>
      <c r="B91" s="61">
        <f t="shared" ref="B91" si="17">B92+B93+B94+B95+B96</f>
        <v>0</v>
      </c>
      <c r="C91" s="105">
        <f t="shared" si="11"/>
        <v>0</v>
      </c>
      <c r="D91" s="61">
        <f t="shared" ref="D91" si="18">D92+D93+D94+D95+D96</f>
        <v>0</v>
      </c>
      <c r="E91" s="105">
        <f t="shared" si="12"/>
        <v>0</v>
      </c>
      <c r="F91" s="105" t="e">
        <f t="shared" si="10"/>
        <v>#DIV/0!</v>
      </c>
      <c r="G91" s="165">
        <f t="shared" si="9"/>
        <v>0</v>
      </c>
      <c r="H91" s="168"/>
      <c r="I91" s="169"/>
      <c r="J91" s="168"/>
    </row>
    <row r="92" spans="1:10" hidden="1" x14ac:dyDescent="0.3">
      <c r="A92" s="79" t="s">
        <v>27</v>
      </c>
      <c r="B92" s="61"/>
      <c r="C92" s="83">
        <f t="shared" si="11"/>
        <v>0</v>
      </c>
      <c r="D92" s="61"/>
      <c r="E92" s="83">
        <f t="shared" si="12"/>
        <v>0</v>
      </c>
      <c r="F92" s="83" t="e">
        <f t="shared" si="10"/>
        <v>#DIV/0!</v>
      </c>
      <c r="G92" s="165">
        <f t="shared" si="9"/>
        <v>0</v>
      </c>
      <c r="H92" s="168"/>
      <c r="I92" s="169"/>
      <c r="J92" s="168"/>
    </row>
    <row r="93" spans="1:10" hidden="1" x14ac:dyDescent="0.3">
      <c r="A93" s="79" t="s">
        <v>196</v>
      </c>
      <c r="B93" s="52"/>
      <c r="C93" s="83">
        <f t="shared" si="11"/>
        <v>0</v>
      </c>
      <c r="D93" s="52"/>
      <c r="E93" s="83">
        <f t="shared" si="12"/>
        <v>0</v>
      </c>
      <c r="F93" s="83" t="e">
        <f t="shared" si="10"/>
        <v>#DIV/0!</v>
      </c>
      <c r="G93" s="156">
        <f t="shared" si="9"/>
        <v>0</v>
      </c>
      <c r="H93" s="168"/>
      <c r="I93" s="169"/>
      <c r="J93" s="168"/>
    </row>
    <row r="94" spans="1:10" hidden="1" x14ac:dyDescent="0.3">
      <c r="A94" s="1" t="s">
        <v>28</v>
      </c>
      <c r="B94" s="61"/>
      <c r="C94" s="106">
        <f t="shared" si="11"/>
        <v>0</v>
      </c>
      <c r="D94" s="61"/>
      <c r="E94" s="106">
        <f t="shared" si="12"/>
        <v>0</v>
      </c>
      <c r="F94" s="106" t="e">
        <f t="shared" si="10"/>
        <v>#DIV/0!</v>
      </c>
      <c r="G94" s="165">
        <f t="shared" si="9"/>
        <v>0</v>
      </c>
      <c r="H94" s="168"/>
      <c r="I94" s="169"/>
      <c r="J94" s="168"/>
    </row>
    <row r="95" spans="1:10" hidden="1" x14ac:dyDescent="0.3">
      <c r="A95" s="1" t="s">
        <v>197</v>
      </c>
      <c r="B95" s="61"/>
      <c r="C95" s="105">
        <f t="shared" si="11"/>
        <v>0</v>
      </c>
      <c r="D95" s="61"/>
      <c r="E95" s="105">
        <f t="shared" si="12"/>
        <v>0</v>
      </c>
      <c r="F95" s="105" t="e">
        <f t="shared" si="10"/>
        <v>#DIV/0!</v>
      </c>
      <c r="G95" s="165">
        <f t="shared" si="9"/>
        <v>0</v>
      </c>
      <c r="H95" s="168"/>
      <c r="I95" s="169"/>
      <c r="J95" s="168"/>
    </row>
    <row r="96" spans="1:10" hidden="1" x14ac:dyDescent="0.3">
      <c r="A96" s="1" t="s">
        <v>198</v>
      </c>
      <c r="B96" s="61"/>
      <c r="C96" s="105">
        <f t="shared" si="11"/>
        <v>0</v>
      </c>
      <c r="D96" s="61"/>
      <c r="E96" s="105">
        <f t="shared" si="12"/>
        <v>0</v>
      </c>
      <c r="F96" s="105" t="e">
        <f t="shared" si="10"/>
        <v>#DIV/0!</v>
      </c>
      <c r="G96" s="165">
        <f t="shared" si="9"/>
        <v>0</v>
      </c>
      <c r="H96" s="168"/>
      <c r="I96" s="169"/>
      <c r="J96" s="168"/>
    </row>
    <row r="97" spans="1:10" x14ac:dyDescent="0.3">
      <c r="A97" s="1" t="s">
        <v>29</v>
      </c>
      <c r="B97" s="61">
        <v>2927.25</v>
      </c>
      <c r="C97" s="105">
        <f t="shared" si="11"/>
        <v>8.7440876667159374E-4</v>
      </c>
      <c r="D97" s="61"/>
      <c r="E97" s="105">
        <f t="shared" si="12"/>
        <v>0</v>
      </c>
      <c r="F97" s="105" t="e">
        <f t="shared" si="10"/>
        <v>#DIV/0!</v>
      </c>
      <c r="G97" s="165">
        <f t="shared" si="9"/>
        <v>2927.25</v>
      </c>
      <c r="H97" s="168"/>
      <c r="I97" s="169"/>
      <c r="J97" s="170"/>
    </row>
    <row r="98" spans="1:10" s="9" customFormat="1" ht="27" customHeight="1" x14ac:dyDescent="0.3">
      <c r="A98" s="78" t="s">
        <v>30</v>
      </c>
      <c r="B98" s="95">
        <f>B99+B104+B110+B111+B112+B113+B114</f>
        <v>1083044.3500000001</v>
      </c>
      <c r="C98" s="82">
        <f t="shared" si="11"/>
        <v>0.32351984775271603</v>
      </c>
      <c r="D98" s="95">
        <f>D99+D104+D110+D111+D112+D113+D114</f>
        <v>127185.99</v>
      </c>
      <c r="E98" s="82">
        <f t="shared" si="12"/>
        <v>5.3663163721588844E-2</v>
      </c>
      <c r="F98" s="82">
        <f t="shared" si="10"/>
        <v>7.5154375100590887</v>
      </c>
      <c r="G98" s="155">
        <f t="shared" si="9"/>
        <v>955858.3600000001</v>
      </c>
      <c r="H98" s="171"/>
      <c r="I98" s="171"/>
      <c r="J98" s="171"/>
    </row>
    <row r="99" spans="1:10" hidden="1" x14ac:dyDescent="0.3">
      <c r="A99" s="79" t="s">
        <v>199</v>
      </c>
      <c r="B99" s="52">
        <f>SUM(B100:B103)</f>
        <v>0</v>
      </c>
      <c r="C99" s="90">
        <f t="shared" si="11"/>
        <v>0</v>
      </c>
      <c r="D99" s="52">
        <f>SUM(D100:D103)</f>
        <v>0</v>
      </c>
      <c r="E99" s="90">
        <f t="shared" si="12"/>
        <v>0</v>
      </c>
      <c r="F99" s="90" t="e">
        <f t="shared" si="10"/>
        <v>#DIV/0!</v>
      </c>
      <c r="G99" s="156">
        <f t="shared" si="9"/>
        <v>0</v>
      </c>
      <c r="H99" s="168"/>
      <c r="I99" s="168"/>
      <c r="J99" s="168"/>
    </row>
    <row r="100" spans="1:10" hidden="1" x14ac:dyDescent="0.3">
      <c r="A100" s="80" t="s">
        <v>200</v>
      </c>
      <c r="B100" s="61"/>
      <c r="C100" s="91">
        <f t="shared" si="11"/>
        <v>0</v>
      </c>
      <c r="D100" s="61"/>
      <c r="E100" s="91">
        <f t="shared" si="12"/>
        <v>0</v>
      </c>
      <c r="F100" s="91" t="e">
        <f t="shared" si="10"/>
        <v>#DIV/0!</v>
      </c>
      <c r="G100" s="165">
        <f t="shared" si="9"/>
        <v>0</v>
      </c>
      <c r="H100" s="168"/>
      <c r="I100" s="168"/>
      <c r="J100" s="168"/>
    </row>
    <row r="101" spans="1:10" hidden="1" x14ac:dyDescent="0.3">
      <c r="A101" s="80" t="s">
        <v>201</v>
      </c>
      <c r="B101" s="61"/>
      <c r="C101" s="91">
        <f t="shared" si="11"/>
        <v>0</v>
      </c>
      <c r="D101" s="61"/>
      <c r="E101" s="91">
        <f t="shared" si="12"/>
        <v>0</v>
      </c>
      <c r="F101" s="91" t="e">
        <f t="shared" si="10"/>
        <v>#DIV/0!</v>
      </c>
      <c r="G101" s="165">
        <f t="shared" si="9"/>
        <v>0</v>
      </c>
      <c r="H101" s="168"/>
      <c r="I101" s="168"/>
      <c r="J101" s="168"/>
    </row>
    <row r="102" spans="1:10" hidden="1" x14ac:dyDescent="0.3">
      <c r="A102" s="80" t="s">
        <v>202</v>
      </c>
      <c r="B102" s="61"/>
      <c r="C102" s="91">
        <f t="shared" si="11"/>
        <v>0</v>
      </c>
      <c r="D102" s="61"/>
      <c r="E102" s="91">
        <f t="shared" si="12"/>
        <v>0</v>
      </c>
      <c r="F102" s="91" t="e">
        <f t="shared" si="10"/>
        <v>#DIV/0!</v>
      </c>
      <c r="G102" s="165">
        <f t="shared" si="9"/>
        <v>0</v>
      </c>
      <c r="H102" s="168"/>
      <c r="I102" s="168"/>
      <c r="J102" s="168"/>
    </row>
    <row r="103" spans="1:10" hidden="1" x14ac:dyDescent="0.3">
      <c r="A103" s="80" t="s">
        <v>203</v>
      </c>
      <c r="B103" s="61"/>
      <c r="C103" s="91">
        <f t="shared" si="11"/>
        <v>0</v>
      </c>
      <c r="D103" s="61"/>
      <c r="E103" s="91">
        <f t="shared" si="12"/>
        <v>0</v>
      </c>
      <c r="F103" s="91" t="e">
        <f t="shared" si="10"/>
        <v>#DIV/0!</v>
      </c>
      <c r="G103" s="165">
        <f t="shared" si="9"/>
        <v>0</v>
      </c>
      <c r="H103" s="168"/>
      <c r="I103" s="168"/>
      <c r="J103" s="168"/>
    </row>
    <row r="104" spans="1:10" x14ac:dyDescent="0.3">
      <c r="A104" s="79" t="s">
        <v>204</v>
      </c>
      <c r="B104" s="52">
        <f t="shared" ref="B104" si="19">SUM(B105:B109)</f>
        <v>1083044.3500000001</v>
      </c>
      <c r="C104" s="90">
        <f t="shared" si="11"/>
        <v>0.32351984775271603</v>
      </c>
      <c r="D104" s="52">
        <f t="shared" ref="D104" si="20">SUM(D105:D109)</f>
        <v>127185.99</v>
      </c>
      <c r="E104" s="90">
        <f t="shared" si="12"/>
        <v>5.3663163721588844E-2</v>
      </c>
      <c r="F104" s="90">
        <f t="shared" si="10"/>
        <v>7.5154375100590887</v>
      </c>
      <c r="G104" s="156">
        <f t="shared" si="9"/>
        <v>955858.3600000001</v>
      </c>
      <c r="H104" s="168"/>
      <c r="I104" s="168"/>
      <c r="J104" s="168"/>
    </row>
    <row r="105" spans="1:10" hidden="1" x14ac:dyDescent="0.3">
      <c r="A105" s="80" t="s">
        <v>205</v>
      </c>
      <c r="B105" s="61"/>
      <c r="C105" s="91">
        <f t="shared" si="11"/>
        <v>0</v>
      </c>
      <c r="D105" s="61"/>
      <c r="E105" s="91">
        <f t="shared" si="12"/>
        <v>0</v>
      </c>
      <c r="F105" s="91" t="e">
        <f t="shared" si="10"/>
        <v>#DIV/0!</v>
      </c>
      <c r="G105" s="165">
        <f t="shared" si="9"/>
        <v>0</v>
      </c>
      <c r="H105" s="168"/>
      <c r="I105" s="168"/>
      <c r="J105" s="168"/>
    </row>
    <row r="106" spans="1:10" x14ac:dyDescent="0.3">
      <c r="A106" s="80" t="s">
        <v>206</v>
      </c>
      <c r="B106" s="61">
        <v>1083044.3500000001</v>
      </c>
      <c r="C106" s="91">
        <f t="shared" si="11"/>
        <v>0.32351984775271603</v>
      </c>
      <c r="D106" s="61">
        <v>127185.99</v>
      </c>
      <c r="E106" s="91">
        <f t="shared" si="12"/>
        <v>5.3663163721588844E-2</v>
      </c>
      <c r="F106" s="91">
        <f t="shared" si="10"/>
        <v>7.5154375100590887</v>
      </c>
      <c r="G106" s="165">
        <f t="shared" si="9"/>
        <v>955858.3600000001</v>
      </c>
      <c r="H106" s="168"/>
      <c r="I106" s="169"/>
      <c r="J106" s="170"/>
    </row>
    <row r="107" spans="1:10" hidden="1" x14ac:dyDescent="0.3">
      <c r="A107" s="80" t="s">
        <v>31</v>
      </c>
      <c r="B107" s="61"/>
      <c r="C107" s="91">
        <f t="shared" si="11"/>
        <v>0</v>
      </c>
      <c r="D107" s="61"/>
      <c r="E107" s="91">
        <f t="shared" si="12"/>
        <v>0</v>
      </c>
      <c r="F107" s="91" t="e">
        <f t="shared" si="10"/>
        <v>#DIV/0!</v>
      </c>
      <c r="G107" s="165">
        <f t="shared" si="9"/>
        <v>0</v>
      </c>
      <c r="H107" s="168"/>
      <c r="I107" s="168"/>
      <c r="J107" s="168"/>
    </row>
    <row r="108" spans="1:10" hidden="1" x14ac:dyDescent="0.3">
      <c r="A108" s="80" t="s">
        <v>6</v>
      </c>
      <c r="B108" s="61"/>
      <c r="C108" s="91">
        <f t="shared" si="11"/>
        <v>0</v>
      </c>
      <c r="D108" s="61"/>
      <c r="E108" s="91">
        <f t="shared" si="12"/>
        <v>0</v>
      </c>
      <c r="F108" s="91" t="e">
        <f t="shared" si="10"/>
        <v>#DIV/0!</v>
      </c>
      <c r="G108" s="165">
        <f t="shared" si="9"/>
        <v>0</v>
      </c>
      <c r="H108" s="168"/>
      <c r="I108" s="168"/>
      <c r="J108" s="168"/>
    </row>
    <row r="109" spans="1:10" hidden="1" x14ac:dyDescent="0.3">
      <c r="A109" s="80" t="s">
        <v>32</v>
      </c>
      <c r="B109" s="61"/>
      <c r="C109" s="91">
        <f t="shared" si="11"/>
        <v>0</v>
      </c>
      <c r="D109" s="61"/>
      <c r="E109" s="91">
        <f t="shared" si="12"/>
        <v>0</v>
      </c>
      <c r="F109" s="91" t="e">
        <f t="shared" si="10"/>
        <v>#DIV/0!</v>
      </c>
      <c r="G109" s="165">
        <f t="shared" si="9"/>
        <v>0</v>
      </c>
      <c r="H109" s="168"/>
      <c r="I109" s="168"/>
      <c r="J109" s="168"/>
    </row>
    <row r="110" spans="1:10" hidden="1" x14ac:dyDescent="0.3">
      <c r="A110" s="79" t="s">
        <v>207</v>
      </c>
      <c r="B110" s="52"/>
      <c r="C110" s="90">
        <f t="shared" si="11"/>
        <v>0</v>
      </c>
      <c r="D110" s="52"/>
      <c r="E110" s="90">
        <f t="shared" si="12"/>
        <v>0</v>
      </c>
      <c r="F110" s="90" t="e">
        <f t="shared" si="10"/>
        <v>#DIV/0!</v>
      </c>
      <c r="G110" s="156">
        <f t="shared" si="9"/>
        <v>0</v>
      </c>
      <c r="H110" s="168"/>
      <c r="I110" s="168"/>
      <c r="J110" s="168"/>
    </row>
    <row r="111" spans="1:10" hidden="1" x14ac:dyDescent="0.3">
      <c r="A111" s="79" t="s">
        <v>208</v>
      </c>
      <c r="B111" s="52"/>
      <c r="C111" s="90">
        <f t="shared" si="11"/>
        <v>0</v>
      </c>
      <c r="D111" s="52"/>
      <c r="E111" s="90">
        <f t="shared" si="12"/>
        <v>0</v>
      </c>
      <c r="F111" s="90" t="e">
        <f t="shared" si="10"/>
        <v>#DIV/0!</v>
      </c>
      <c r="G111" s="156">
        <f t="shared" si="9"/>
        <v>0</v>
      </c>
      <c r="H111" s="168"/>
      <c r="I111" s="168"/>
      <c r="J111" s="168"/>
    </row>
    <row r="112" spans="1:10" hidden="1" x14ac:dyDescent="0.3">
      <c r="A112" s="79" t="s">
        <v>33</v>
      </c>
      <c r="B112" s="52"/>
      <c r="C112" s="90">
        <f t="shared" si="11"/>
        <v>0</v>
      </c>
      <c r="D112" s="52"/>
      <c r="E112" s="90">
        <f t="shared" si="12"/>
        <v>0</v>
      </c>
      <c r="F112" s="90" t="e">
        <f t="shared" si="10"/>
        <v>#DIV/0!</v>
      </c>
      <c r="G112" s="156">
        <f t="shared" si="9"/>
        <v>0</v>
      </c>
      <c r="H112" s="168"/>
      <c r="I112" s="168"/>
      <c r="J112" s="168"/>
    </row>
    <row r="113" spans="1:10" hidden="1" x14ac:dyDescent="0.3">
      <c r="A113" s="79" t="s">
        <v>34</v>
      </c>
      <c r="B113" s="52"/>
      <c r="C113" s="90">
        <f t="shared" si="11"/>
        <v>0</v>
      </c>
      <c r="D113" s="52"/>
      <c r="E113" s="90">
        <f t="shared" si="12"/>
        <v>0</v>
      </c>
      <c r="F113" s="90" t="e">
        <f t="shared" si="10"/>
        <v>#DIV/0!</v>
      </c>
      <c r="G113" s="156">
        <f t="shared" si="9"/>
        <v>0</v>
      </c>
      <c r="H113" s="168"/>
      <c r="I113" s="168"/>
      <c r="J113" s="168"/>
    </row>
    <row r="114" spans="1:10" hidden="1" x14ac:dyDescent="0.3">
      <c r="A114" s="79" t="s">
        <v>35</v>
      </c>
      <c r="B114" s="52"/>
      <c r="C114" s="90">
        <f t="shared" si="11"/>
        <v>0</v>
      </c>
      <c r="D114" s="52"/>
      <c r="E114" s="90">
        <f t="shared" si="12"/>
        <v>0</v>
      </c>
      <c r="F114" s="90" t="e">
        <f t="shared" si="10"/>
        <v>#DIV/0!</v>
      </c>
      <c r="G114" s="156">
        <f t="shared" si="9"/>
        <v>0</v>
      </c>
      <c r="H114" s="168"/>
      <c r="I114" s="168"/>
      <c r="J114" s="168"/>
    </row>
    <row r="115" spans="1:10" s="9" customFormat="1" ht="27" customHeight="1" x14ac:dyDescent="0.3">
      <c r="A115" s="78" t="s">
        <v>36</v>
      </c>
      <c r="B115" s="95">
        <f>B116+B117+B118+B124+B125+B133+B134</f>
        <v>1218511.5499999998</v>
      </c>
      <c r="C115" s="82">
        <f t="shared" si="11"/>
        <v>0.36398571410388314</v>
      </c>
      <c r="D115" s="95">
        <f>D116+D117+D118+D124+D125+D133+D134</f>
        <v>1673078.49</v>
      </c>
      <c r="E115" s="82">
        <f t="shared" si="12"/>
        <v>0.70591646869233504</v>
      </c>
      <c r="F115" s="82">
        <f t="shared" si="10"/>
        <v>-0.27169492807238238</v>
      </c>
      <c r="G115" s="155">
        <f t="shared" si="9"/>
        <v>-454566.94000000018</v>
      </c>
      <c r="H115" s="171"/>
      <c r="I115" s="171"/>
      <c r="J115" s="171"/>
    </row>
    <row r="116" spans="1:10" hidden="1" x14ac:dyDescent="0.3">
      <c r="A116" s="79" t="s">
        <v>209</v>
      </c>
      <c r="B116" s="52"/>
      <c r="C116" s="90">
        <f t="shared" si="11"/>
        <v>0</v>
      </c>
      <c r="D116" s="52"/>
      <c r="E116" s="90">
        <f t="shared" si="12"/>
        <v>0</v>
      </c>
      <c r="F116" s="90" t="e">
        <f t="shared" si="10"/>
        <v>#DIV/0!</v>
      </c>
      <c r="G116" s="156">
        <f t="shared" si="9"/>
        <v>0</v>
      </c>
      <c r="H116" s="168"/>
      <c r="I116" s="168"/>
      <c r="J116" s="168"/>
    </row>
    <row r="117" spans="1:10" hidden="1" x14ac:dyDescent="0.3">
      <c r="A117" s="79" t="s">
        <v>210</v>
      </c>
      <c r="B117" s="52">
        <v>0</v>
      </c>
      <c r="C117" s="90">
        <f t="shared" si="11"/>
        <v>0</v>
      </c>
      <c r="D117" s="52">
        <v>0</v>
      </c>
      <c r="E117" s="90">
        <f t="shared" si="12"/>
        <v>0</v>
      </c>
      <c r="F117" s="90" t="e">
        <f t="shared" si="10"/>
        <v>#DIV/0!</v>
      </c>
      <c r="G117" s="156">
        <f t="shared" si="9"/>
        <v>0</v>
      </c>
      <c r="H117" s="168"/>
      <c r="I117" s="168"/>
      <c r="J117" s="168"/>
    </row>
    <row r="118" spans="1:10" x14ac:dyDescent="0.3">
      <c r="A118" s="79" t="s">
        <v>211</v>
      </c>
      <c r="B118" s="52">
        <f>SUM(B119:B123)</f>
        <v>106302.87</v>
      </c>
      <c r="C118" s="90">
        <f t="shared" si="11"/>
        <v>3.1754090511692125E-2</v>
      </c>
      <c r="D118" s="52">
        <f>SUM(D119:D123)</f>
        <v>59705.86</v>
      </c>
      <c r="E118" s="90">
        <f t="shared" si="12"/>
        <v>2.5191495858295887E-2</v>
      </c>
      <c r="F118" s="90">
        <f t="shared" si="10"/>
        <v>0.78044282420519506</v>
      </c>
      <c r="G118" s="156">
        <f t="shared" si="9"/>
        <v>46597.009999999995</v>
      </c>
      <c r="H118" s="168"/>
      <c r="I118" s="168"/>
      <c r="J118" s="168"/>
    </row>
    <row r="119" spans="1:10" hidden="1" x14ac:dyDescent="0.3">
      <c r="A119" s="80" t="s">
        <v>205</v>
      </c>
      <c r="B119" s="61"/>
      <c r="C119" s="91">
        <f t="shared" si="11"/>
        <v>0</v>
      </c>
      <c r="D119" s="61"/>
      <c r="E119" s="91">
        <f t="shared" si="12"/>
        <v>0</v>
      </c>
      <c r="F119" s="91" t="e">
        <f t="shared" si="10"/>
        <v>#DIV/0!</v>
      </c>
      <c r="G119" s="165">
        <f t="shared" si="9"/>
        <v>0</v>
      </c>
      <c r="H119" s="168"/>
      <c r="I119" s="168"/>
      <c r="J119" s="168"/>
    </row>
    <row r="120" spans="1:10" x14ac:dyDescent="0.3">
      <c r="A120" s="80" t="s">
        <v>206</v>
      </c>
      <c r="B120" s="61">
        <v>73401.45</v>
      </c>
      <c r="C120" s="91">
        <f t="shared" si="11"/>
        <v>2.1925995854951457E-2</v>
      </c>
      <c r="D120" s="61">
        <v>49641.71</v>
      </c>
      <c r="E120" s="91">
        <f t="shared" si="12"/>
        <v>2.0945162365364565E-2</v>
      </c>
      <c r="F120" s="91">
        <f t="shared" si="10"/>
        <v>0.47862452764016394</v>
      </c>
      <c r="G120" s="165">
        <f t="shared" si="9"/>
        <v>23759.739999999998</v>
      </c>
      <c r="H120" s="168"/>
      <c r="I120" s="169"/>
      <c r="J120" s="170"/>
    </row>
    <row r="121" spans="1:10" hidden="1" x14ac:dyDescent="0.3">
      <c r="A121" s="80" t="s">
        <v>31</v>
      </c>
      <c r="B121" s="61"/>
      <c r="C121" s="91">
        <f t="shared" si="11"/>
        <v>0</v>
      </c>
      <c r="D121" s="61"/>
      <c r="E121" s="91">
        <f t="shared" si="12"/>
        <v>0</v>
      </c>
      <c r="F121" s="91" t="e">
        <f t="shared" si="10"/>
        <v>#DIV/0!</v>
      </c>
      <c r="G121" s="165">
        <f t="shared" si="9"/>
        <v>0</v>
      </c>
      <c r="H121" s="168"/>
      <c r="I121" s="169"/>
      <c r="J121" s="170"/>
    </row>
    <row r="122" spans="1:10" hidden="1" x14ac:dyDescent="0.3">
      <c r="A122" s="80" t="s">
        <v>6</v>
      </c>
      <c r="B122" s="61"/>
      <c r="C122" s="91">
        <f t="shared" si="11"/>
        <v>0</v>
      </c>
      <c r="D122" s="61"/>
      <c r="E122" s="91">
        <f t="shared" si="12"/>
        <v>0</v>
      </c>
      <c r="F122" s="91" t="e">
        <f t="shared" si="10"/>
        <v>#DIV/0!</v>
      </c>
      <c r="G122" s="165">
        <f t="shared" si="9"/>
        <v>0</v>
      </c>
      <c r="H122" s="168"/>
      <c r="I122" s="169"/>
      <c r="J122" s="170"/>
    </row>
    <row r="123" spans="1:10" x14ac:dyDescent="0.3">
      <c r="A123" s="80" t="s">
        <v>32</v>
      </c>
      <c r="B123" s="61">
        <v>32901.42</v>
      </c>
      <c r="C123" s="91">
        <f t="shared" si="11"/>
        <v>9.8280946567406643E-3</v>
      </c>
      <c r="D123" s="61">
        <v>10064.15</v>
      </c>
      <c r="E123" s="91">
        <f t="shared" si="12"/>
        <v>4.2463334929313231E-3</v>
      </c>
      <c r="F123" s="91">
        <f t="shared" si="10"/>
        <v>2.2691702727006255</v>
      </c>
      <c r="G123" s="165">
        <f t="shared" si="9"/>
        <v>22837.269999999997</v>
      </c>
      <c r="H123" s="168"/>
      <c r="I123" s="169"/>
      <c r="J123" s="170"/>
    </row>
    <row r="124" spans="1:10" hidden="1" x14ac:dyDescent="0.3">
      <c r="A124" s="79" t="s">
        <v>212</v>
      </c>
      <c r="B124" s="52"/>
      <c r="C124" s="90">
        <f t="shared" si="11"/>
        <v>0</v>
      </c>
      <c r="D124" s="52"/>
      <c r="E124" s="90">
        <f t="shared" si="12"/>
        <v>0</v>
      </c>
      <c r="F124" s="90" t="e">
        <f t="shared" si="10"/>
        <v>#DIV/0!</v>
      </c>
      <c r="G124" s="156">
        <f t="shared" si="9"/>
        <v>0</v>
      </c>
      <c r="H124" s="168"/>
      <c r="I124" s="169"/>
      <c r="J124" s="168"/>
    </row>
    <row r="125" spans="1:10" x14ac:dyDescent="0.3">
      <c r="A125" s="79" t="s">
        <v>157</v>
      </c>
      <c r="B125" s="52">
        <f>+B126+B127+B128+B129+B130+B131+B132</f>
        <v>1112208.68</v>
      </c>
      <c r="C125" s="90">
        <f t="shared" si="11"/>
        <v>0.33223162359219105</v>
      </c>
      <c r="D125" s="52">
        <f>+D126+D127+D128+D129+D130+D131+D132</f>
        <v>1613372.63</v>
      </c>
      <c r="E125" s="90">
        <f t="shared" si="12"/>
        <v>0.6807249728340391</v>
      </c>
      <c r="F125" s="90">
        <f t="shared" si="10"/>
        <v>-0.3106312458021554</v>
      </c>
      <c r="G125" s="156">
        <f t="shared" si="9"/>
        <v>-501163.94999999995</v>
      </c>
      <c r="H125" s="168"/>
      <c r="I125" s="169"/>
      <c r="J125" s="168"/>
    </row>
    <row r="126" spans="1:10" x14ac:dyDescent="0.3">
      <c r="A126" s="80" t="s">
        <v>37</v>
      </c>
      <c r="B126" s="61">
        <v>926952.74</v>
      </c>
      <c r="C126" s="91">
        <f t="shared" si="11"/>
        <v>0.27689319400333234</v>
      </c>
      <c r="D126" s="61">
        <v>1534605.13</v>
      </c>
      <c r="E126" s="91">
        <f t="shared" si="12"/>
        <v>0.64749086231258735</v>
      </c>
      <c r="F126" s="91">
        <f t="shared" si="10"/>
        <v>-0.39596660933878147</v>
      </c>
      <c r="G126" s="165">
        <f t="shared" si="9"/>
        <v>-607652.3899999999</v>
      </c>
      <c r="H126" s="169"/>
      <c r="I126" s="169"/>
      <c r="J126" s="170"/>
    </row>
    <row r="127" spans="1:10" hidden="1" x14ac:dyDescent="0.3">
      <c r="A127" s="80" t="s">
        <v>213</v>
      </c>
      <c r="B127" s="61"/>
      <c r="C127" s="91">
        <f t="shared" si="11"/>
        <v>0</v>
      </c>
      <c r="D127" s="61"/>
      <c r="E127" s="91">
        <f t="shared" si="12"/>
        <v>0</v>
      </c>
      <c r="F127" s="91" t="e">
        <f t="shared" si="10"/>
        <v>#DIV/0!</v>
      </c>
      <c r="G127" s="165">
        <f t="shared" si="9"/>
        <v>0</v>
      </c>
      <c r="H127" s="169"/>
      <c r="I127" s="169"/>
      <c r="J127" s="170"/>
    </row>
    <row r="128" spans="1:10" x14ac:dyDescent="0.3">
      <c r="A128" s="80" t="s">
        <v>214</v>
      </c>
      <c r="B128" s="61">
        <v>75828.02</v>
      </c>
      <c r="C128" s="91">
        <f t="shared" si="11"/>
        <v>2.2650844802237235E-2</v>
      </c>
      <c r="D128" s="61">
        <v>0</v>
      </c>
      <c r="E128" s="91">
        <f t="shared" si="12"/>
        <v>0</v>
      </c>
      <c r="F128" s="91" t="e">
        <f t="shared" si="10"/>
        <v>#DIV/0!</v>
      </c>
      <c r="G128" s="165">
        <f t="shared" si="9"/>
        <v>75828.02</v>
      </c>
      <c r="H128" s="169"/>
      <c r="I128" s="169"/>
      <c r="J128" s="170"/>
    </row>
    <row r="129" spans="1:10" x14ac:dyDescent="0.3">
      <c r="A129" s="80" t="s">
        <v>215</v>
      </c>
      <c r="B129" s="61">
        <v>766.77</v>
      </c>
      <c r="C129" s="91">
        <f t="shared" si="11"/>
        <v>2.2904446494859611E-4</v>
      </c>
      <c r="D129" s="61">
        <v>8030.15</v>
      </c>
      <c r="E129" s="91">
        <f t="shared" si="12"/>
        <v>3.3881346063266604E-3</v>
      </c>
      <c r="F129" s="91">
        <f t="shared" si="10"/>
        <v>-0.90451361431604638</v>
      </c>
      <c r="G129" s="165">
        <f t="shared" si="9"/>
        <v>-7263.3799999999992</v>
      </c>
      <c r="H129" s="169"/>
      <c r="I129" s="169"/>
      <c r="J129" s="170"/>
    </row>
    <row r="130" spans="1:10" x14ac:dyDescent="0.3">
      <c r="A130" s="80" t="s">
        <v>216</v>
      </c>
      <c r="B130" s="61">
        <v>17349.09</v>
      </c>
      <c r="C130" s="91">
        <f t="shared" si="11"/>
        <v>5.1824054623877298E-3</v>
      </c>
      <c r="D130" s="61">
        <v>17349.09</v>
      </c>
      <c r="E130" s="91">
        <f t="shared" si="12"/>
        <v>7.3200441109164596E-3</v>
      </c>
      <c r="F130" s="91">
        <f t="shared" si="10"/>
        <v>0</v>
      </c>
      <c r="G130" s="165">
        <f t="shared" si="9"/>
        <v>0</v>
      </c>
      <c r="H130" s="169"/>
      <c r="I130" s="169"/>
      <c r="J130" s="168"/>
    </row>
    <row r="131" spans="1:10" x14ac:dyDescent="0.3">
      <c r="A131" s="80" t="s">
        <v>217</v>
      </c>
      <c r="B131" s="62">
        <v>91312.06</v>
      </c>
      <c r="C131" s="92">
        <f t="shared" si="11"/>
        <v>2.7276134859285189E-2</v>
      </c>
      <c r="D131" s="62">
        <v>53388.26</v>
      </c>
      <c r="E131" s="92">
        <f t="shared" si="12"/>
        <v>2.2525931804208567E-2</v>
      </c>
      <c r="F131" s="92">
        <f t="shared" si="10"/>
        <v>0.7103396889128808</v>
      </c>
      <c r="G131" s="166">
        <f t="shared" si="9"/>
        <v>37923.799999999996</v>
      </c>
      <c r="H131" s="169"/>
      <c r="I131" s="169"/>
      <c r="J131" s="170"/>
    </row>
    <row r="132" spans="1:10" hidden="1" x14ac:dyDescent="0.3">
      <c r="A132" s="80" t="s">
        <v>218</v>
      </c>
      <c r="B132" s="62"/>
      <c r="C132" s="92">
        <f t="shared" si="11"/>
        <v>0</v>
      </c>
      <c r="D132" s="62"/>
      <c r="E132" s="92">
        <f t="shared" si="12"/>
        <v>0</v>
      </c>
      <c r="F132" s="92" t="e">
        <f t="shared" si="10"/>
        <v>#DIV/0!</v>
      </c>
      <c r="G132" s="166">
        <f t="shared" si="9"/>
        <v>0</v>
      </c>
      <c r="H132" s="168"/>
      <c r="I132" s="168"/>
      <c r="J132" s="168"/>
    </row>
    <row r="133" spans="1:10" hidden="1" x14ac:dyDescent="0.3">
      <c r="A133" s="1" t="s">
        <v>155</v>
      </c>
      <c r="B133" s="61"/>
      <c r="C133" s="91">
        <f t="shared" si="11"/>
        <v>0</v>
      </c>
      <c r="D133" s="61"/>
      <c r="E133" s="91">
        <f t="shared" si="12"/>
        <v>0</v>
      </c>
      <c r="F133" s="91" t="e">
        <f t="shared" si="10"/>
        <v>#DIV/0!</v>
      </c>
      <c r="G133" s="165">
        <f t="shared" ref="G133:G135" si="21">B133-D133</f>
        <v>0</v>
      </c>
      <c r="H133" s="168"/>
      <c r="I133" s="168"/>
      <c r="J133" s="168"/>
    </row>
    <row r="134" spans="1:10" hidden="1" x14ac:dyDescent="0.3">
      <c r="A134" s="1" t="s">
        <v>38</v>
      </c>
      <c r="B134" s="61"/>
      <c r="C134" s="91">
        <f t="shared" si="11"/>
        <v>0</v>
      </c>
      <c r="D134" s="61"/>
      <c r="E134" s="91">
        <f t="shared" si="12"/>
        <v>0</v>
      </c>
      <c r="F134" s="91" t="e">
        <f t="shared" si="10"/>
        <v>#DIV/0!</v>
      </c>
      <c r="G134" s="165">
        <f t="shared" si="21"/>
        <v>0</v>
      </c>
      <c r="H134" s="168"/>
      <c r="I134" s="168"/>
      <c r="J134" s="168"/>
    </row>
    <row r="135" spans="1:10" s="9" customFormat="1" ht="30" customHeight="1" x14ac:dyDescent="0.3">
      <c r="A135" s="81" t="s">
        <v>39</v>
      </c>
      <c r="B135" s="96">
        <f>B115+B98+B74</f>
        <v>3347690.59</v>
      </c>
      <c r="C135" s="97">
        <f t="shared" si="11"/>
        <v>1</v>
      </c>
      <c r="D135" s="96">
        <f>D115+D98+D74</f>
        <v>2370079.98</v>
      </c>
      <c r="E135" s="97">
        <f t="shared" si="12"/>
        <v>1</v>
      </c>
      <c r="F135" s="97">
        <f t="shared" si="10"/>
        <v>0.41248000837507592</v>
      </c>
      <c r="G135" s="162">
        <f t="shared" si="21"/>
        <v>977610.60999999987</v>
      </c>
      <c r="H135" s="171"/>
      <c r="I135" s="171"/>
      <c r="J135" s="171"/>
    </row>
    <row r="136" spans="1:10" x14ac:dyDescent="0.3">
      <c r="B136" s="63"/>
      <c r="C136" s="93"/>
      <c r="D136" s="63"/>
      <c r="E136" s="93"/>
      <c r="H136" s="154"/>
      <c r="I136" s="154"/>
      <c r="J136" s="108"/>
    </row>
    <row r="137" spans="1:10" x14ac:dyDescent="0.3">
      <c r="B137" s="63">
        <f t="shared" ref="B137:E137" si="22">B135-B71</f>
        <v>0</v>
      </c>
      <c r="C137" s="93">
        <f t="shared" si="22"/>
        <v>0</v>
      </c>
      <c r="D137" s="63">
        <f t="shared" si="22"/>
        <v>0</v>
      </c>
      <c r="E137" s="93">
        <f t="shared" si="22"/>
        <v>0</v>
      </c>
      <c r="H137" s="108"/>
      <c r="I137" s="108"/>
      <c r="J137" s="108"/>
    </row>
    <row r="138" spans="1:10" x14ac:dyDescent="0.3">
      <c r="B138" s="63"/>
      <c r="D138" s="63"/>
      <c r="H138" s="108"/>
      <c r="I138" s="108"/>
      <c r="J138" s="108"/>
    </row>
    <row r="139" spans="1:10" x14ac:dyDescent="0.3">
      <c r="A139" s="109" t="s">
        <v>222</v>
      </c>
      <c r="B139" s="110">
        <f>B140+B141</f>
        <v>247222.72</v>
      </c>
      <c r="C139" s="111"/>
      <c r="D139" s="110">
        <f>D140+D141</f>
        <v>101871.26</v>
      </c>
      <c r="H139" s="108"/>
      <c r="I139" s="108"/>
      <c r="J139" s="108"/>
    </row>
    <row r="140" spans="1:10" x14ac:dyDescent="0.3">
      <c r="A140" s="1" t="s">
        <v>223</v>
      </c>
      <c r="B140" s="112"/>
      <c r="C140" s="63"/>
      <c r="D140" s="112"/>
      <c r="H140" s="108"/>
      <c r="I140" s="108"/>
      <c r="J140" s="108"/>
    </row>
    <row r="141" spans="1:10" x14ac:dyDescent="0.3">
      <c r="A141" s="1" t="s">
        <v>224</v>
      </c>
      <c r="B141" s="112">
        <v>247222.72</v>
      </c>
      <c r="C141" s="63"/>
      <c r="D141" s="112">
        <v>101871.26</v>
      </c>
      <c r="H141" s="108"/>
      <c r="I141" s="108"/>
      <c r="J141" s="108"/>
    </row>
  </sheetData>
  <pageMargins left="0.51181102362204722" right="0.70866141732283472" top="0.15748031496062992" bottom="0.15748031496062992" header="0.19685039370078741" footer="0.19685039370078741"/>
  <pageSetup paperSize="9" scale="68" orientation="landscape" r:id="rId1"/>
  <ignoredErrors>
    <ignoredError sqref="D74:D135 D4:D71"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61"/>
  <sheetViews>
    <sheetView tabSelected="1" zoomScale="115" zoomScaleNormal="115" zoomScalePageLayoutView="200" workbookViewId="0">
      <selection activeCell="E60" sqref="E60"/>
    </sheetView>
  </sheetViews>
  <sheetFormatPr baseColWidth="10" defaultColWidth="11.44140625" defaultRowHeight="14.4" x14ac:dyDescent="0.3"/>
  <cols>
    <col min="1" max="1" width="42.109375" customWidth="1"/>
    <col min="2" max="2" width="14.88671875" style="6" bestFit="1" customWidth="1"/>
    <col min="3" max="3" width="14.88671875" style="6" hidden="1" customWidth="1"/>
    <col min="4" max="4" width="14.88671875" style="6" bestFit="1" customWidth="1"/>
    <col min="5" max="5" width="18.21875" customWidth="1"/>
    <col min="6" max="6" width="18.5546875" customWidth="1"/>
  </cols>
  <sheetData>
    <row r="1" spans="1:6" ht="34.200000000000003" customHeight="1" x14ac:dyDescent="0.3">
      <c r="A1" s="18" t="str">
        <f>BalanceRM!A2</f>
        <v>PERFUMERIAS PRIMOR</v>
      </c>
    </row>
    <row r="2" spans="1:6" s="7" customFormat="1" ht="34.5" customHeight="1" x14ac:dyDescent="0.3">
      <c r="A2" s="12" t="s">
        <v>143</v>
      </c>
      <c r="B2" s="19">
        <f>BalanceRM!B3</f>
        <v>2019</v>
      </c>
      <c r="C2" s="19"/>
      <c r="D2" s="19">
        <f>BalanceRM!D3</f>
        <v>2018</v>
      </c>
      <c r="E2" s="24" t="s">
        <v>344</v>
      </c>
      <c r="F2" s="24" t="s">
        <v>345</v>
      </c>
    </row>
    <row r="3" spans="1:6" x14ac:dyDescent="0.3">
      <c r="A3" s="8" t="s">
        <v>40</v>
      </c>
      <c r="B3" s="64">
        <f>B4+B5</f>
        <v>10758528.26</v>
      </c>
      <c r="C3" s="64"/>
      <c r="D3" s="64">
        <f>D4+D5</f>
        <v>4989710.07</v>
      </c>
      <c r="E3" s="64">
        <f>B3</f>
        <v>10758528.26</v>
      </c>
      <c r="F3" s="64"/>
    </row>
    <row r="4" spans="1:6" ht="13.2" customHeight="1" x14ac:dyDescent="0.3">
      <c r="A4" s="2" t="s">
        <v>41</v>
      </c>
      <c r="B4" s="54">
        <v>10758528.26</v>
      </c>
      <c r="C4" s="54"/>
      <c r="D4" s="54">
        <v>4989710.07</v>
      </c>
      <c r="E4" s="54"/>
      <c r="F4" s="54"/>
    </row>
    <row r="5" spans="1:6" hidden="1" x14ac:dyDescent="0.3">
      <c r="A5" s="2" t="s">
        <v>42</v>
      </c>
      <c r="B5" s="54"/>
      <c r="C5" s="54"/>
      <c r="D5" s="54"/>
      <c r="E5" s="54"/>
      <c r="F5" s="54"/>
    </row>
    <row r="6" spans="1:6" ht="19.2" customHeight="1" x14ac:dyDescent="0.3">
      <c r="A6" s="8" t="s">
        <v>43</v>
      </c>
      <c r="B6" s="64"/>
      <c r="C6" s="64"/>
      <c r="D6" s="64"/>
      <c r="E6" s="64"/>
      <c r="F6" s="64"/>
    </row>
    <row r="7" spans="1:6" ht="13.8" customHeight="1" x14ac:dyDescent="0.3">
      <c r="A7" s="8" t="s">
        <v>44</v>
      </c>
      <c r="B7" s="64"/>
      <c r="C7" s="64"/>
      <c r="D7" s="64"/>
      <c r="E7" s="64"/>
      <c r="F7" s="64"/>
    </row>
    <row r="8" spans="1:6" x14ac:dyDescent="0.3">
      <c r="A8" s="8" t="s">
        <v>45</v>
      </c>
      <c r="B8" s="64">
        <f>SUM(B9:B12)</f>
        <v>-8532791.0099999998</v>
      </c>
      <c r="C8" s="64"/>
      <c r="D8" s="64">
        <f>SUM(D9:D12)</f>
        <v>-3908905.23</v>
      </c>
      <c r="E8" s="64">
        <f>B8</f>
        <v>-8532791.0099999998</v>
      </c>
      <c r="F8" s="64"/>
    </row>
    <row r="9" spans="1:6" x14ac:dyDescent="0.3">
      <c r="A9" s="2" t="s">
        <v>46</v>
      </c>
      <c r="B9" s="54">
        <v>-8532791.0099999998</v>
      </c>
      <c r="C9" s="54"/>
      <c r="D9" s="54">
        <v>-3908905.23</v>
      </c>
      <c r="E9" s="54"/>
      <c r="F9" s="54"/>
    </row>
    <row r="10" spans="1:6" hidden="1" x14ac:dyDescent="0.3">
      <c r="A10" s="2" t="s">
        <v>47</v>
      </c>
      <c r="B10" s="54"/>
      <c r="C10" s="54"/>
      <c r="D10" s="54"/>
      <c r="E10" s="54"/>
      <c r="F10" s="54"/>
    </row>
    <row r="11" spans="1:6" hidden="1" x14ac:dyDescent="0.3">
      <c r="A11" s="2" t="s">
        <v>48</v>
      </c>
      <c r="B11" s="54"/>
      <c r="C11" s="54"/>
      <c r="D11" s="54"/>
      <c r="E11" s="54"/>
      <c r="F11" s="54"/>
    </row>
    <row r="12" spans="1:6" hidden="1" x14ac:dyDescent="0.3">
      <c r="A12" s="2" t="s">
        <v>49</v>
      </c>
      <c r="B12" s="54"/>
      <c r="C12" s="54"/>
      <c r="D12" s="54"/>
      <c r="E12" s="54"/>
      <c r="F12" s="54"/>
    </row>
    <row r="13" spans="1:6" x14ac:dyDescent="0.3">
      <c r="A13" s="8" t="s">
        <v>50</v>
      </c>
      <c r="B13" s="64">
        <f>B14+B15</f>
        <v>7456.91</v>
      </c>
      <c r="C13" s="64"/>
      <c r="D13" s="64">
        <f>D14+D15</f>
        <v>2414.12</v>
      </c>
      <c r="E13" s="64">
        <f>B13</f>
        <v>7456.91</v>
      </c>
      <c r="F13" s="64"/>
    </row>
    <row r="14" spans="1:6" x14ac:dyDescent="0.3">
      <c r="A14" s="2" t="s">
        <v>51</v>
      </c>
      <c r="B14" s="54">
        <v>7456.91</v>
      </c>
      <c r="C14" s="54"/>
      <c r="D14" s="54">
        <v>2414.12</v>
      </c>
      <c r="E14" s="54"/>
      <c r="F14" s="54"/>
    </row>
    <row r="15" spans="1:6" hidden="1" x14ac:dyDescent="0.3">
      <c r="A15" s="2" t="s">
        <v>52</v>
      </c>
      <c r="B15" s="54"/>
      <c r="C15" s="54"/>
      <c r="D15" s="54"/>
      <c r="E15" s="54"/>
      <c r="F15" s="54"/>
    </row>
    <row r="16" spans="1:6" x14ac:dyDescent="0.3">
      <c r="A16" s="8" t="s">
        <v>53</v>
      </c>
      <c r="B16" s="64">
        <f>SUM(B17:B19)</f>
        <v>-521735.62</v>
      </c>
      <c r="C16" s="64"/>
      <c r="D16" s="64">
        <f>SUM(D17:D19)</f>
        <v>-357224.62</v>
      </c>
      <c r="E16" s="64">
        <f>B16</f>
        <v>-521735.62</v>
      </c>
      <c r="F16" s="64"/>
    </row>
    <row r="17" spans="1:12" ht="15.75" customHeight="1" x14ac:dyDescent="0.3">
      <c r="A17" s="2" t="s">
        <v>54</v>
      </c>
      <c r="B17" s="54">
        <v>-521735.62</v>
      </c>
      <c r="C17" s="54"/>
      <c r="D17" s="54">
        <v>-357224.62</v>
      </c>
      <c r="E17" s="54"/>
      <c r="F17" s="54"/>
    </row>
    <row r="18" spans="1:12" hidden="1" x14ac:dyDescent="0.3">
      <c r="A18" s="2" t="s">
        <v>55</v>
      </c>
      <c r="B18" s="54"/>
      <c r="C18" s="54"/>
      <c r="D18" s="54"/>
      <c r="E18" s="54"/>
      <c r="F18" s="54"/>
    </row>
    <row r="19" spans="1:12" hidden="1" x14ac:dyDescent="0.3">
      <c r="A19" s="2" t="s">
        <v>56</v>
      </c>
      <c r="B19" s="54"/>
      <c r="C19" s="54"/>
      <c r="D19" s="54"/>
      <c r="E19" s="54"/>
      <c r="F19" s="54"/>
    </row>
    <row r="20" spans="1:12" x14ac:dyDescent="0.3">
      <c r="A20" s="8" t="s">
        <v>57</v>
      </c>
      <c r="B20" s="64">
        <f>SUM(B21:B24)</f>
        <v>-961580.13</v>
      </c>
      <c r="C20" s="64"/>
      <c r="D20" s="64">
        <f>SUM(D21:D24)</f>
        <v>-376233.71</v>
      </c>
      <c r="E20" s="64">
        <f>B20</f>
        <v>-961580.13</v>
      </c>
      <c r="F20" s="64"/>
    </row>
    <row r="21" spans="1:12" x14ac:dyDescent="0.3">
      <c r="A21" s="2" t="s">
        <v>58</v>
      </c>
      <c r="B21" s="54">
        <v>-961580.13</v>
      </c>
      <c r="C21" s="54"/>
      <c r="D21" s="54">
        <v>-376233.71</v>
      </c>
      <c r="E21" s="54"/>
      <c r="F21" s="54"/>
    </row>
    <row r="22" spans="1:12" hidden="1" x14ac:dyDescent="0.3">
      <c r="A22" s="2" t="s">
        <v>59</v>
      </c>
      <c r="B22" s="54"/>
      <c r="C22" s="54"/>
      <c r="D22" s="54"/>
      <c r="E22" s="54"/>
      <c r="F22" s="54"/>
    </row>
    <row r="23" spans="1:12" hidden="1" x14ac:dyDescent="0.3">
      <c r="A23" s="2" t="s">
        <v>60</v>
      </c>
      <c r="B23" s="54"/>
      <c r="C23" s="54"/>
      <c r="D23" s="54"/>
      <c r="E23" s="54"/>
      <c r="F23" s="54"/>
    </row>
    <row r="24" spans="1:12" hidden="1" x14ac:dyDescent="0.3">
      <c r="A24" s="2" t="s">
        <v>61</v>
      </c>
      <c r="B24" s="54"/>
      <c r="C24" s="54"/>
      <c r="D24" s="54"/>
      <c r="E24" s="54"/>
      <c r="F24" s="54"/>
    </row>
    <row r="25" spans="1:12" hidden="1" x14ac:dyDescent="0.3">
      <c r="A25" s="2" t="s">
        <v>225</v>
      </c>
      <c r="B25" s="54"/>
      <c r="C25" s="54"/>
      <c r="D25" s="54"/>
      <c r="E25" s="54"/>
      <c r="F25" s="54"/>
    </row>
    <row r="26" spans="1:12" x14ac:dyDescent="0.3">
      <c r="A26" s="8" t="s">
        <v>62</v>
      </c>
      <c r="B26" s="64">
        <v>-145351.46</v>
      </c>
      <c r="C26" s="64"/>
      <c r="D26" s="64">
        <v>-81239.839999999997</v>
      </c>
      <c r="E26" s="64"/>
      <c r="F26" s="64">
        <f>B26</f>
        <v>-145351.46</v>
      </c>
      <c r="G26" s="249" t="s">
        <v>365</v>
      </c>
      <c r="H26" s="249"/>
      <c r="I26" s="249"/>
      <c r="J26" s="249" t="s">
        <v>364</v>
      </c>
      <c r="K26" s="249"/>
      <c r="L26" s="249"/>
    </row>
    <row r="27" spans="1:12" x14ac:dyDescent="0.3">
      <c r="A27" s="8" t="s">
        <v>63</v>
      </c>
      <c r="B27" s="64">
        <v>975.75</v>
      </c>
      <c r="C27" s="64"/>
      <c r="D27" s="64"/>
      <c r="E27" s="64"/>
      <c r="F27" s="64">
        <f>B27</f>
        <v>975.75</v>
      </c>
      <c r="G27" s="249"/>
      <c r="H27" s="249"/>
      <c r="I27" s="249"/>
      <c r="J27" s="249"/>
      <c r="K27" s="249"/>
      <c r="L27" s="249"/>
    </row>
    <row r="28" spans="1:12" ht="14.4" hidden="1" customHeight="1" x14ac:dyDescent="0.3">
      <c r="A28" s="8" t="s">
        <v>64</v>
      </c>
      <c r="B28" s="64"/>
      <c r="C28" s="64"/>
      <c r="D28" s="64"/>
      <c r="E28" s="64"/>
      <c r="F28" s="64"/>
      <c r="G28" s="249"/>
      <c r="H28" s="249"/>
      <c r="I28" s="249"/>
      <c r="J28" s="249"/>
      <c r="K28" s="249"/>
      <c r="L28" s="249"/>
    </row>
    <row r="29" spans="1:12" x14ac:dyDescent="0.3">
      <c r="A29" s="8" t="s">
        <v>65</v>
      </c>
      <c r="B29" s="64">
        <f>B30+B31</f>
        <v>0</v>
      </c>
      <c r="C29" s="64"/>
      <c r="D29" s="64">
        <f>D30+D31</f>
        <v>0</v>
      </c>
      <c r="E29" s="64"/>
      <c r="F29" s="64"/>
      <c r="G29" s="249"/>
      <c r="H29" s="249"/>
      <c r="I29" s="249"/>
      <c r="J29" s="249"/>
      <c r="K29" s="249"/>
      <c r="L29" s="249"/>
    </row>
    <row r="30" spans="1:12" ht="14.4" hidden="1" customHeight="1" x14ac:dyDescent="0.3">
      <c r="A30" s="2" t="s">
        <v>66</v>
      </c>
      <c r="B30" s="54"/>
      <c r="C30" s="54"/>
      <c r="D30" s="54"/>
      <c r="E30" s="54"/>
      <c r="F30" s="54"/>
      <c r="G30" s="249"/>
      <c r="H30" s="249"/>
      <c r="I30" s="249"/>
      <c r="J30" s="249"/>
      <c r="K30" s="249"/>
      <c r="L30" s="249"/>
    </row>
    <row r="31" spans="1:12" ht="14.4" hidden="1" customHeight="1" x14ac:dyDescent="0.3">
      <c r="A31" s="2" t="s">
        <v>67</v>
      </c>
      <c r="B31" s="54"/>
      <c r="C31" s="54"/>
      <c r="D31" s="54"/>
      <c r="E31" s="54"/>
      <c r="F31" s="54"/>
      <c r="G31" s="249"/>
      <c r="H31" s="249"/>
      <c r="I31" s="249"/>
      <c r="J31" s="249"/>
      <c r="K31" s="249"/>
      <c r="L31" s="249"/>
    </row>
    <row r="32" spans="1:12" ht="14.4" hidden="1" customHeight="1" x14ac:dyDescent="0.3">
      <c r="A32" s="8" t="s">
        <v>68</v>
      </c>
      <c r="B32" s="64"/>
      <c r="C32" s="64"/>
      <c r="D32" s="64"/>
      <c r="E32" s="64"/>
      <c r="F32" s="64"/>
      <c r="G32" s="249"/>
      <c r="H32" s="249"/>
      <c r="I32" s="249"/>
      <c r="J32" s="249"/>
      <c r="K32" s="249"/>
      <c r="L32" s="249"/>
    </row>
    <row r="33" spans="1:12" x14ac:dyDescent="0.3">
      <c r="A33" s="8" t="s">
        <v>69</v>
      </c>
      <c r="B33" s="64">
        <v>-83247.69</v>
      </c>
      <c r="C33" s="64"/>
      <c r="D33" s="64">
        <v>479.51</v>
      </c>
      <c r="E33" s="64">
        <f>B33</f>
        <v>-83247.69</v>
      </c>
      <c r="F33" s="64">
        <f>B33</f>
        <v>-83247.69</v>
      </c>
      <c r="G33" s="249"/>
      <c r="H33" s="249"/>
      <c r="I33" s="249"/>
      <c r="J33" s="249"/>
      <c r="K33" s="249"/>
      <c r="L33" s="249"/>
    </row>
    <row r="34" spans="1:12" s="7" customFormat="1" ht="27.9" customHeight="1" x14ac:dyDescent="0.3">
      <c r="A34" s="10" t="s">
        <v>70</v>
      </c>
      <c r="B34" s="65">
        <f>B3+B6+B7+B8+B13+B16+B20+B26+B27+B28+B29+B32+B33</f>
        <v>522255.01000000007</v>
      </c>
      <c r="C34" s="65"/>
      <c r="D34" s="65">
        <f>D3+D6+D7+D8+D13+D16+D20+D26+D27+D28+D29+D32+D33</f>
        <v>269000.3000000004</v>
      </c>
      <c r="E34" s="65"/>
      <c r="F34" s="65"/>
      <c r="G34" s="249"/>
      <c r="H34" s="249"/>
      <c r="I34" s="249"/>
      <c r="J34" s="249"/>
      <c r="K34" s="249"/>
      <c r="L34" s="249"/>
    </row>
    <row r="35" spans="1:12" x14ac:dyDescent="0.3">
      <c r="A35" s="8" t="s">
        <v>71</v>
      </c>
      <c r="B35" s="64">
        <f>B36+B39+B42</f>
        <v>0.03</v>
      </c>
      <c r="C35" s="64"/>
      <c r="D35" s="64">
        <f>D36+D39+D42</f>
        <v>0</v>
      </c>
      <c r="E35" s="64">
        <f>B35</f>
        <v>0.03</v>
      </c>
      <c r="F35" s="64"/>
      <c r="G35" s="249"/>
      <c r="H35" s="249"/>
      <c r="I35" s="249"/>
      <c r="J35" s="249"/>
      <c r="K35" s="249"/>
      <c r="L35" s="249"/>
    </row>
    <row r="36" spans="1:12" hidden="1" x14ac:dyDescent="0.3">
      <c r="A36" s="2" t="s">
        <v>72</v>
      </c>
      <c r="B36" s="53">
        <f>B37+B38</f>
        <v>0</v>
      </c>
      <c r="C36" s="53"/>
      <c r="D36" s="53">
        <f>D37+D38</f>
        <v>0</v>
      </c>
      <c r="E36" s="53"/>
      <c r="F36" s="53"/>
    </row>
    <row r="37" spans="1:12" hidden="1" x14ac:dyDescent="0.3">
      <c r="A37" s="3" t="s">
        <v>73</v>
      </c>
      <c r="B37" s="66"/>
      <c r="C37" s="66"/>
      <c r="D37" s="66"/>
      <c r="E37" s="66"/>
      <c r="F37" s="66"/>
    </row>
    <row r="38" spans="1:12" hidden="1" x14ac:dyDescent="0.3">
      <c r="A38" s="3" t="s">
        <v>74</v>
      </c>
      <c r="B38" s="54"/>
      <c r="C38" s="54"/>
      <c r="D38" s="54"/>
      <c r="E38" s="54"/>
      <c r="F38" s="54"/>
    </row>
    <row r="39" spans="1:12" x14ac:dyDescent="0.3">
      <c r="A39" s="2" t="s">
        <v>75</v>
      </c>
      <c r="B39" s="54">
        <f>B40+B41</f>
        <v>0.03</v>
      </c>
      <c r="C39" s="54"/>
      <c r="D39" s="54">
        <f>D40+D41</f>
        <v>0</v>
      </c>
      <c r="E39" s="54"/>
      <c r="F39" s="54"/>
    </row>
    <row r="40" spans="1:12" hidden="1" x14ac:dyDescent="0.3">
      <c r="A40" s="3" t="s">
        <v>76</v>
      </c>
      <c r="B40" s="54"/>
      <c r="C40" s="54"/>
      <c r="D40" s="54"/>
      <c r="E40" s="54"/>
      <c r="F40" s="54"/>
    </row>
    <row r="41" spans="1:12" x14ac:dyDescent="0.3">
      <c r="A41" s="3" t="s">
        <v>77</v>
      </c>
      <c r="B41" s="54">
        <v>0.03</v>
      </c>
      <c r="C41" s="54"/>
      <c r="D41" s="54"/>
      <c r="E41" s="54"/>
      <c r="F41" s="54"/>
    </row>
    <row r="42" spans="1:12" hidden="1" x14ac:dyDescent="0.3">
      <c r="A42" s="2" t="s">
        <v>78</v>
      </c>
      <c r="B42" s="54"/>
      <c r="C42" s="54"/>
      <c r="D42" s="54"/>
      <c r="E42" s="54"/>
      <c r="F42" s="54"/>
    </row>
    <row r="43" spans="1:12" x14ac:dyDescent="0.3">
      <c r="A43" s="8" t="s">
        <v>79</v>
      </c>
      <c r="B43" s="64">
        <f>B44+B45+B46</f>
        <v>-5024.6099999999997</v>
      </c>
      <c r="C43" s="64"/>
      <c r="D43" s="64">
        <f>D44+D45+D46</f>
        <v>-3115.72</v>
      </c>
      <c r="E43" s="64">
        <f>B43</f>
        <v>-5024.6099999999997</v>
      </c>
      <c r="F43" s="64"/>
    </row>
    <row r="44" spans="1:12" hidden="1" x14ac:dyDescent="0.3">
      <c r="A44" s="2" t="s">
        <v>80</v>
      </c>
      <c r="B44" s="54"/>
      <c r="C44" s="54"/>
      <c r="D44" s="54"/>
      <c r="E44" s="54"/>
      <c r="F44" s="54"/>
    </row>
    <row r="45" spans="1:12" x14ac:dyDescent="0.3">
      <c r="A45" s="2" t="s">
        <v>81</v>
      </c>
      <c r="B45" s="54">
        <v>-5024.6099999999997</v>
      </c>
      <c r="C45" s="54"/>
      <c r="D45" s="54">
        <v>-3115.72</v>
      </c>
      <c r="E45" s="54"/>
      <c r="F45" s="54"/>
    </row>
    <row r="46" spans="1:12" hidden="1" x14ac:dyDescent="0.3">
      <c r="A46" s="2" t="s">
        <v>82</v>
      </c>
      <c r="B46" s="54"/>
      <c r="C46" s="54"/>
      <c r="D46" s="54"/>
      <c r="E46" s="54"/>
      <c r="F46" s="54"/>
    </row>
    <row r="47" spans="1:12" hidden="1" x14ac:dyDescent="0.3">
      <c r="A47" s="8" t="s">
        <v>83</v>
      </c>
      <c r="B47" s="64">
        <f>B48+B49</f>
        <v>0</v>
      </c>
      <c r="C47" s="64"/>
      <c r="D47" s="64">
        <f>D48+D49</f>
        <v>0</v>
      </c>
      <c r="E47" s="64"/>
      <c r="F47" s="64"/>
    </row>
    <row r="48" spans="1:12" hidden="1" x14ac:dyDescent="0.3">
      <c r="A48" s="2" t="s">
        <v>84</v>
      </c>
      <c r="B48" s="54"/>
      <c r="C48" s="54"/>
      <c r="D48" s="54"/>
      <c r="E48" s="54"/>
      <c r="F48" s="54"/>
    </row>
    <row r="49" spans="1:9" hidden="1" x14ac:dyDescent="0.3">
      <c r="A49" s="2" t="s">
        <v>85</v>
      </c>
      <c r="B49" s="54"/>
      <c r="C49" s="54"/>
      <c r="D49" s="54"/>
      <c r="E49" s="54"/>
      <c r="F49" s="54"/>
    </row>
    <row r="50" spans="1:9" hidden="1" x14ac:dyDescent="0.3">
      <c r="A50" s="8" t="s">
        <v>86</v>
      </c>
      <c r="B50" s="64"/>
      <c r="C50" s="64"/>
      <c r="D50" s="64"/>
      <c r="E50" s="64"/>
      <c r="F50" s="64"/>
    </row>
    <row r="51" spans="1:9" hidden="1" x14ac:dyDescent="0.3">
      <c r="A51" s="8" t="s">
        <v>87</v>
      </c>
      <c r="B51" s="64">
        <f>B52+B53</f>
        <v>0</v>
      </c>
      <c r="C51" s="64"/>
      <c r="D51" s="64">
        <f>D52+D53</f>
        <v>0</v>
      </c>
      <c r="E51" s="64"/>
      <c r="F51" s="64"/>
    </row>
    <row r="52" spans="1:9" hidden="1" x14ac:dyDescent="0.3">
      <c r="A52" s="2" t="s">
        <v>88</v>
      </c>
      <c r="B52" s="54"/>
      <c r="C52" s="54"/>
      <c r="D52" s="54"/>
      <c r="E52" s="54"/>
      <c r="F52" s="54"/>
    </row>
    <row r="53" spans="1:9" hidden="1" x14ac:dyDescent="0.3">
      <c r="A53" s="2" t="s">
        <v>67</v>
      </c>
      <c r="B53" s="54"/>
      <c r="C53" s="54"/>
      <c r="D53" s="54"/>
      <c r="E53" s="54"/>
      <c r="F53" s="54"/>
    </row>
    <row r="54" spans="1:9" s="7" customFormat="1" ht="27.9" customHeight="1" x14ac:dyDescent="0.3">
      <c r="A54" s="10" t="s">
        <v>89</v>
      </c>
      <c r="B54" s="65">
        <f>+B35+B43+B47+B50+B51</f>
        <v>-5024.58</v>
      </c>
      <c r="C54" s="65" t="e">
        <f>+C35+C43+C47+#REF!+C50+C51</f>
        <v>#REF!</v>
      </c>
      <c r="D54" s="65">
        <f>+D35+D43+D47+D50+D51</f>
        <v>-3115.72</v>
      </c>
      <c r="E54" s="65"/>
      <c r="F54" s="65">
        <f>B54</f>
        <v>-5024.58</v>
      </c>
      <c r="G54" s="248" t="s">
        <v>362</v>
      </c>
      <c r="H54" s="248"/>
      <c r="I54" s="248"/>
    </row>
    <row r="55" spans="1:9" s="7" customFormat="1" ht="27.9" customHeight="1" x14ac:dyDescent="0.3">
      <c r="A55" s="10" t="s">
        <v>90</v>
      </c>
      <c r="B55" s="65">
        <f>B34+B54</f>
        <v>517230.43000000005</v>
      </c>
      <c r="C55" s="65"/>
      <c r="D55" s="65">
        <f>D34+D54</f>
        <v>265884.58000000042</v>
      </c>
      <c r="E55" s="65"/>
      <c r="F55" s="65">
        <f>B55</f>
        <v>517230.43000000005</v>
      </c>
      <c r="G55" s="248"/>
      <c r="H55" s="248"/>
      <c r="I55" s="248"/>
    </row>
    <row r="56" spans="1:9" x14ac:dyDescent="0.3">
      <c r="A56" s="8" t="s">
        <v>91</v>
      </c>
      <c r="B56" s="64">
        <v>-43838.49</v>
      </c>
      <c r="C56" s="64"/>
      <c r="D56" s="64">
        <v>-8576.92</v>
      </c>
      <c r="E56" s="242">
        <f>B56</f>
        <v>-43838.49</v>
      </c>
      <c r="F56" s="242">
        <f>B56</f>
        <v>-43838.49</v>
      </c>
    </row>
    <row r="57" spans="1:9" s="7" customFormat="1" ht="27.9" customHeight="1" x14ac:dyDescent="0.3">
      <c r="A57" s="10" t="s">
        <v>92</v>
      </c>
      <c r="B57" s="65">
        <f>B55+B56</f>
        <v>473391.94000000006</v>
      </c>
      <c r="C57" s="65"/>
      <c r="D57" s="65">
        <f>D55+D56</f>
        <v>257307.66000000041</v>
      </c>
      <c r="E57" s="243">
        <f>SUM(E3:E26)</f>
        <v>749878.41</v>
      </c>
      <c r="F57" s="243">
        <f>B55-SUM(F3:F54)</f>
        <v>749878.41</v>
      </c>
      <c r="G57" s="247" t="s">
        <v>358</v>
      </c>
      <c r="H57" s="247"/>
      <c r="I57" s="247"/>
    </row>
    <row r="58" spans="1:9" x14ac:dyDescent="0.3">
      <c r="A58" s="8" t="s">
        <v>93</v>
      </c>
      <c r="B58" s="64">
        <v>0</v>
      </c>
      <c r="C58" s="64"/>
      <c r="D58" s="64">
        <v>0</v>
      </c>
      <c r="E58" s="243">
        <f>SUM(E3:E56)</f>
        <v>617767.65</v>
      </c>
      <c r="F58" s="243">
        <f>F57+F56</f>
        <v>706039.92</v>
      </c>
      <c r="G58" s="247" t="s">
        <v>346</v>
      </c>
      <c r="H58" s="247"/>
      <c r="I58" s="247"/>
    </row>
    <row r="59" spans="1:9" s="7" customFormat="1" ht="27.9" customHeight="1" x14ac:dyDescent="0.3">
      <c r="A59" s="10" t="s">
        <v>94</v>
      </c>
      <c r="B59" s="65">
        <f>B57+B58</f>
        <v>473391.94000000006</v>
      </c>
      <c r="C59" s="65"/>
      <c r="D59" s="65">
        <f>D57+D58</f>
        <v>257307.66000000041</v>
      </c>
      <c r="E59"/>
      <c r="F59"/>
    </row>
    <row r="60" spans="1:9" x14ac:dyDescent="0.3">
      <c r="B60" s="63"/>
      <c r="C60" s="63"/>
      <c r="D60" s="63"/>
    </row>
    <row r="61" spans="1:9" x14ac:dyDescent="0.3">
      <c r="B61" s="63">
        <f>B59-BalanceRM!B88</f>
        <v>0</v>
      </c>
      <c r="D61" s="63">
        <f>D59-BalanceRM!D88</f>
        <v>4.0745362639427185E-10</v>
      </c>
    </row>
  </sheetData>
  <mergeCells count="5">
    <mergeCell ref="G58:I58"/>
    <mergeCell ref="G57:I57"/>
    <mergeCell ref="G54:I55"/>
    <mergeCell ref="G26:I35"/>
    <mergeCell ref="J26:L35"/>
  </mergeCells>
  <phoneticPr fontId="0" type="noConversion"/>
  <pageMargins left="0.70866141732283472" right="0.70866141732283472" top="0.43307086614173229" bottom="0.35433070866141736" header="0.31496062992125984" footer="0.31496062992125984"/>
  <pageSetup paperSize="9" scale="91" orientation="portrait" r:id="rId1"/>
  <ignoredErrors>
    <ignoredError sqref="D20" formulaRange="1"/>
  </ignoredErrors>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3"/>
  <sheetViews>
    <sheetView zoomScale="85" zoomScaleNormal="85" zoomScalePageLayoutView="150" workbookViewId="0">
      <selection activeCell="H12" sqref="H12"/>
    </sheetView>
  </sheetViews>
  <sheetFormatPr baseColWidth="10" defaultColWidth="11.44140625" defaultRowHeight="14.4" x14ac:dyDescent="0.3"/>
  <cols>
    <col min="1" max="1" width="61" customWidth="1"/>
    <col min="2" max="2" width="16.5546875" bestFit="1" customWidth="1"/>
    <col min="3" max="3" width="11.44140625" style="141"/>
    <col min="4" max="4" width="16.5546875" bestFit="1" customWidth="1"/>
    <col min="5" max="6" width="11.44140625" style="147"/>
    <col min="7" max="7" width="23.77734375" customWidth="1"/>
    <col min="8" max="8" width="19.109375" customWidth="1"/>
  </cols>
  <sheetData>
    <row r="1" spans="1:6" ht="36" customHeight="1" x14ac:dyDescent="0.3">
      <c r="A1" s="22" t="str">
        <f>BalanceRM!A2</f>
        <v>PERFUMERIAS PRIMOR</v>
      </c>
    </row>
    <row r="2" spans="1:6" ht="40.5" customHeight="1" x14ac:dyDescent="0.3">
      <c r="A2" s="23" t="s">
        <v>96</v>
      </c>
      <c r="B2" s="24">
        <f>PyGRM!B2</f>
        <v>2019</v>
      </c>
      <c r="C2" s="142" t="s">
        <v>95</v>
      </c>
      <c r="D2" s="24">
        <f>PyGRM!D2</f>
        <v>2018</v>
      </c>
      <c r="E2" s="142" t="s">
        <v>95</v>
      </c>
      <c r="F2" s="148" t="s">
        <v>145</v>
      </c>
    </row>
    <row r="3" spans="1:6" s="7" customFormat="1" ht="20.100000000000001" customHeight="1" x14ac:dyDescent="0.3">
      <c r="A3" s="29" t="s">
        <v>97</v>
      </c>
      <c r="B3" s="67">
        <f>PyGRM!B3</f>
        <v>10758528.26</v>
      </c>
      <c r="C3" s="115">
        <f>B3/B$6</f>
        <v>0.99930736389821717</v>
      </c>
      <c r="D3" s="67">
        <f>PyGRM!D3</f>
        <v>4989710.07</v>
      </c>
      <c r="E3" s="115">
        <f>D3/D$6</f>
        <v>0.99951641427414084</v>
      </c>
      <c r="F3" s="115">
        <f t="shared" ref="F3:F20" si="0">(B3-D3)/D3</f>
        <v>1.1561429640339802</v>
      </c>
    </row>
    <row r="4" spans="1:6" s="7" customFormat="1" ht="23.4" customHeight="1" x14ac:dyDescent="0.3">
      <c r="A4" s="30" t="s">
        <v>98</v>
      </c>
      <c r="B4" s="67">
        <f>+PyGRM!B13+PyGRM!B7</f>
        <v>7456.91</v>
      </c>
      <c r="C4" s="115">
        <f>B4/B$6</f>
        <v>6.9263610178277812E-4</v>
      </c>
      <c r="D4" s="67">
        <f>+PyGRM!D13+PyGRM!D7</f>
        <v>2414.12</v>
      </c>
      <c r="E4" s="115">
        <f>D4/D$6</f>
        <v>4.8358572585911562E-4</v>
      </c>
      <c r="F4" s="115">
        <f t="shared" si="0"/>
        <v>2.0888729640614385</v>
      </c>
    </row>
    <row r="5" spans="1:6" s="7" customFormat="1" ht="18.600000000000001" hidden="1" customHeight="1" x14ac:dyDescent="0.3">
      <c r="A5" s="30" t="s">
        <v>43</v>
      </c>
      <c r="B5" s="67">
        <f>+PyGRM!B6</f>
        <v>0</v>
      </c>
      <c r="C5" s="115"/>
      <c r="D5" s="67">
        <f>+PyGRM!D6</f>
        <v>0</v>
      </c>
      <c r="E5" s="115"/>
      <c r="F5" s="115" t="e">
        <f t="shared" si="0"/>
        <v>#DIV/0!</v>
      </c>
    </row>
    <row r="6" spans="1:6" s="7" customFormat="1" ht="20.100000000000001" customHeight="1" x14ac:dyDescent="0.3">
      <c r="A6" s="25" t="s">
        <v>115</v>
      </c>
      <c r="B6" s="68">
        <f>SUM(B3:B5)</f>
        <v>10765985.17</v>
      </c>
      <c r="C6" s="143">
        <f>B6/B$6</f>
        <v>1</v>
      </c>
      <c r="D6" s="68">
        <f>SUM(D3:D5)</f>
        <v>4992124.1900000004</v>
      </c>
      <c r="E6" s="143">
        <f>D6/D$6</f>
        <v>1</v>
      </c>
      <c r="F6" s="143">
        <f t="shared" si="0"/>
        <v>1.1565940189480741</v>
      </c>
    </row>
    <row r="7" spans="1:6" s="7" customFormat="1" ht="20.100000000000001" customHeight="1" x14ac:dyDescent="0.3">
      <c r="A7" s="30" t="s">
        <v>99</v>
      </c>
      <c r="B7" s="69">
        <f>PyGRM!B9+PyGRM!B10+PyGRM!B11</f>
        <v>-8532791.0099999998</v>
      </c>
      <c r="C7" s="115">
        <f t="shared" ref="C7:E29" si="1">B7/B$6</f>
        <v>-0.79256945604728157</v>
      </c>
      <c r="D7" s="69">
        <f>PyGRM!D9+PyGRM!D10+PyGRM!D11</f>
        <v>-3908905.23</v>
      </c>
      <c r="E7" s="115">
        <f t="shared" si="1"/>
        <v>-0.78301442056071924</v>
      </c>
      <c r="F7" s="115">
        <f t="shared" si="0"/>
        <v>1.1829106892929198</v>
      </c>
    </row>
    <row r="8" spans="1:6" s="7" customFormat="1" ht="20.100000000000001" customHeight="1" x14ac:dyDescent="0.3">
      <c r="A8" s="30" t="s">
        <v>100</v>
      </c>
      <c r="B8" s="67">
        <f>PyGRM!B21+PyGRM!B22+PyGRM!B24</f>
        <v>-961580.13</v>
      </c>
      <c r="C8" s="115">
        <f t="shared" si="1"/>
        <v>-8.9316501445635937E-2</v>
      </c>
      <c r="D8" s="67">
        <f>PyGRM!D21+PyGRM!D22+PyGRM!D24</f>
        <v>-376233.71</v>
      </c>
      <c r="E8" s="115">
        <f t="shared" si="1"/>
        <v>-7.5365454800514486E-2</v>
      </c>
      <c r="F8" s="115">
        <f t="shared" si="0"/>
        <v>1.5558053530078415</v>
      </c>
    </row>
    <row r="9" spans="1:6" s="7" customFormat="1" ht="20.100000000000001" customHeight="1" x14ac:dyDescent="0.3">
      <c r="A9" s="26" t="s">
        <v>116</v>
      </c>
      <c r="B9" s="70">
        <f>SUM(B6:B8)</f>
        <v>1271614.0300000003</v>
      </c>
      <c r="C9" s="144">
        <f t="shared" si="1"/>
        <v>0.11811404250708255</v>
      </c>
      <c r="D9" s="70">
        <f>SUM(D6:D8)</f>
        <v>706985.25000000047</v>
      </c>
      <c r="E9" s="144">
        <f t="shared" si="1"/>
        <v>0.14162012463876633</v>
      </c>
      <c r="F9" s="144">
        <f t="shared" si="0"/>
        <v>0.79864294198499819</v>
      </c>
    </row>
    <row r="10" spans="1:6" s="7" customFormat="1" ht="20.100000000000001" customHeight="1" x14ac:dyDescent="0.3">
      <c r="A10" s="30" t="s">
        <v>101</v>
      </c>
      <c r="B10" s="67">
        <f>PyGRM!B17+PyGRM!B18</f>
        <v>-521735.62</v>
      </c>
      <c r="C10" s="115">
        <f t="shared" si="1"/>
        <v>-4.8461484180179301E-2</v>
      </c>
      <c r="D10" s="67">
        <f>PyGRM!D17+PyGRM!D18</f>
        <v>-357224.62</v>
      </c>
      <c r="E10" s="115">
        <f t="shared" si="1"/>
        <v>-7.1557638873563353E-2</v>
      </c>
      <c r="F10" s="115">
        <f t="shared" si="0"/>
        <v>0.46052536916408504</v>
      </c>
    </row>
    <row r="11" spans="1:6" s="7" customFormat="1" ht="20.100000000000001" customHeight="1" x14ac:dyDescent="0.3">
      <c r="A11" s="26" t="s">
        <v>117</v>
      </c>
      <c r="B11" s="70">
        <f>B9+B10</f>
        <v>749878.41000000027</v>
      </c>
      <c r="C11" s="144">
        <f t="shared" si="1"/>
        <v>6.9652558326903244E-2</v>
      </c>
      <c r="D11" s="70">
        <f>D9+D10</f>
        <v>349760.63000000047</v>
      </c>
      <c r="E11" s="144">
        <f t="shared" si="1"/>
        <v>7.0062485765202978E-2</v>
      </c>
      <c r="F11" s="144">
        <f t="shared" si="0"/>
        <v>1.1439760386982356</v>
      </c>
    </row>
    <row r="12" spans="1:6" s="7" customFormat="1" ht="20.100000000000001" customHeight="1" x14ac:dyDescent="0.3">
      <c r="A12" s="30" t="s">
        <v>102</v>
      </c>
      <c r="B12" s="67">
        <f>+PyGRM!B26</f>
        <v>-145351.46</v>
      </c>
      <c r="C12" s="115">
        <f t="shared" si="1"/>
        <v>-1.3500990174594491E-2</v>
      </c>
      <c r="D12" s="67">
        <f>+PyGRM!D26</f>
        <v>-81239.839999999997</v>
      </c>
      <c r="E12" s="115">
        <f t="shared" si="1"/>
        <v>-1.6273601558778526E-2</v>
      </c>
      <c r="F12" s="115">
        <f t="shared" si="0"/>
        <v>0.78916477432747278</v>
      </c>
    </row>
    <row r="13" spans="1:6" s="7" customFormat="1" ht="20.100000000000001" hidden="1" customHeight="1" x14ac:dyDescent="0.3">
      <c r="A13" s="31" t="s">
        <v>103</v>
      </c>
      <c r="B13" s="67">
        <f>PyGRM!B12+PyGRM!B19+PyGRM!B23</f>
        <v>0</v>
      </c>
      <c r="C13" s="115">
        <f t="shared" si="1"/>
        <v>0</v>
      </c>
      <c r="D13" s="67">
        <f>PyGRM!D12+PyGRM!D19+PyGRM!D23</f>
        <v>0</v>
      </c>
      <c r="E13" s="115">
        <f t="shared" si="1"/>
        <v>0</v>
      </c>
      <c r="F13" s="115" t="e">
        <f t="shared" si="0"/>
        <v>#DIV/0!</v>
      </c>
    </row>
    <row r="14" spans="1:6" s="7" customFormat="1" ht="20.100000000000001" customHeight="1" x14ac:dyDescent="0.3">
      <c r="A14" s="26" t="s">
        <v>118</v>
      </c>
      <c r="B14" s="70">
        <f>SUM(B11:B13)</f>
        <v>604526.9500000003</v>
      </c>
      <c r="C14" s="144">
        <f t="shared" si="1"/>
        <v>5.6151568152308748E-2</v>
      </c>
      <c r="D14" s="70">
        <f>SUM(D11:D13)</f>
        <v>268520.7900000005</v>
      </c>
      <c r="E14" s="144">
        <f t="shared" si="1"/>
        <v>5.3788884206424456E-2</v>
      </c>
      <c r="F14" s="144">
        <f t="shared" si="0"/>
        <v>1.2513227001901759</v>
      </c>
    </row>
    <row r="15" spans="1:6" s="7" customFormat="1" ht="20.100000000000001" customHeight="1" x14ac:dyDescent="0.3">
      <c r="A15" s="30" t="s">
        <v>104</v>
      </c>
      <c r="B15" s="67">
        <f>PyGRM!B35</f>
        <v>0.03</v>
      </c>
      <c r="C15" s="115">
        <f t="shared" si="1"/>
        <v>2.7865540892250735E-9</v>
      </c>
      <c r="D15" s="67">
        <f>PyGRM!D35</f>
        <v>0</v>
      </c>
      <c r="E15" s="115">
        <f t="shared" si="1"/>
        <v>0</v>
      </c>
      <c r="F15" s="115" t="e">
        <f t="shared" si="0"/>
        <v>#DIV/0!</v>
      </c>
    </row>
    <row r="16" spans="1:6" s="7" customFormat="1" ht="20.100000000000001" customHeight="1" x14ac:dyDescent="0.3">
      <c r="A16" s="30" t="s">
        <v>105</v>
      </c>
      <c r="B16" s="67">
        <f>PyGRM!B43</f>
        <v>-5024.6099999999997</v>
      </c>
      <c r="C16" s="115">
        <f t="shared" si="1"/>
        <v>-4.6671158474203986E-4</v>
      </c>
      <c r="D16" s="67">
        <f>PyGRM!D43</f>
        <v>-3115.72</v>
      </c>
      <c r="E16" s="115">
        <f t="shared" si="1"/>
        <v>-6.2412710129312703E-4</v>
      </c>
      <c r="F16" s="115">
        <f t="shared" si="0"/>
        <v>0.61266416751184316</v>
      </c>
    </row>
    <row r="17" spans="1:6" s="7" customFormat="1" ht="20.100000000000001" hidden="1" customHeight="1" x14ac:dyDescent="0.3">
      <c r="A17" s="29" t="s">
        <v>107</v>
      </c>
      <c r="B17" s="67">
        <f>PyGRM!B47</f>
        <v>0</v>
      </c>
      <c r="C17" s="115">
        <f>B17/B$6</f>
        <v>0</v>
      </c>
      <c r="D17" s="67">
        <f>PyGRM!D47</f>
        <v>0</v>
      </c>
      <c r="E17" s="115">
        <f>D17/D$6</f>
        <v>0</v>
      </c>
      <c r="F17" s="115" t="e">
        <f t="shared" si="0"/>
        <v>#DIV/0!</v>
      </c>
    </row>
    <row r="18" spans="1:6" s="7" customFormat="1" ht="20.100000000000001" hidden="1" customHeight="1" x14ac:dyDescent="0.3">
      <c r="A18" s="30" t="s">
        <v>106</v>
      </c>
      <c r="B18" s="67">
        <f>+PyGRM!B50</f>
        <v>0</v>
      </c>
      <c r="C18" s="115">
        <f t="shared" si="1"/>
        <v>0</v>
      </c>
      <c r="D18" s="67">
        <f>+PyGRM!D50</f>
        <v>0</v>
      </c>
      <c r="E18" s="115">
        <f t="shared" si="1"/>
        <v>0</v>
      </c>
      <c r="F18" s="115" t="e">
        <f t="shared" si="0"/>
        <v>#DIV/0!</v>
      </c>
    </row>
    <row r="19" spans="1:6" s="7" customFormat="1" ht="20.100000000000001" customHeight="1" x14ac:dyDescent="0.3">
      <c r="A19" s="26" t="s">
        <v>119</v>
      </c>
      <c r="B19" s="70">
        <f>SUM(B14:B18)</f>
        <v>599502.37000000034</v>
      </c>
      <c r="C19" s="144">
        <f t="shared" si="1"/>
        <v>5.5684859354120805E-2</v>
      </c>
      <c r="D19" s="70">
        <f>SUM(D14:D18)</f>
        <v>265405.07000000053</v>
      </c>
      <c r="E19" s="144">
        <f t="shared" si="1"/>
        <v>5.3164757105131334E-2</v>
      </c>
      <c r="F19" s="144">
        <f t="shared" si="0"/>
        <v>1.2588203382851697</v>
      </c>
    </row>
    <row r="20" spans="1:6" s="7" customFormat="1" ht="20.100000000000001" customHeight="1" x14ac:dyDescent="0.3">
      <c r="A20" s="29" t="s">
        <v>108</v>
      </c>
      <c r="B20" s="67">
        <f>PyGRM!B27</f>
        <v>975.75</v>
      </c>
      <c r="C20" s="115">
        <f t="shared" si="1"/>
        <v>9.0632671752045518E-5</v>
      </c>
      <c r="D20" s="67">
        <f>PyGRM!D27</f>
        <v>0</v>
      </c>
      <c r="E20" s="115">
        <f t="shared" si="1"/>
        <v>0</v>
      </c>
      <c r="F20" s="115" t="e">
        <f t="shared" si="0"/>
        <v>#DIV/0!</v>
      </c>
    </row>
    <row r="21" spans="1:6" s="7" customFormat="1" ht="20.100000000000001" hidden="1" customHeight="1" x14ac:dyDescent="0.3">
      <c r="A21" s="29" t="s">
        <v>109</v>
      </c>
      <c r="B21" s="67">
        <f>PyGRM!B28</f>
        <v>0</v>
      </c>
      <c r="C21" s="115">
        <f t="shared" si="1"/>
        <v>0</v>
      </c>
      <c r="D21" s="67">
        <f>PyGRM!D28</f>
        <v>0</v>
      </c>
      <c r="E21" s="115">
        <f t="shared" si="1"/>
        <v>0</v>
      </c>
      <c r="F21" s="115"/>
    </row>
    <row r="22" spans="1:6" s="7" customFormat="1" ht="20.100000000000001" hidden="1" customHeight="1" x14ac:dyDescent="0.3">
      <c r="A22" s="29" t="s">
        <v>110</v>
      </c>
      <c r="B22" s="67">
        <f>PyGRM!B29</f>
        <v>0</v>
      </c>
      <c r="C22" s="115">
        <f t="shared" si="1"/>
        <v>0</v>
      </c>
      <c r="D22" s="67">
        <f>PyGRM!D29</f>
        <v>0</v>
      </c>
      <c r="E22" s="115">
        <f t="shared" si="1"/>
        <v>0</v>
      </c>
      <c r="F22" s="115" t="e">
        <f>(B22-D22)/D22</f>
        <v>#DIV/0!</v>
      </c>
    </row>
    <row r="23" spans="1:6" s="7" customFormat="1" ht="20.100000000000001" hidden="1" customHeight="1" x14ac:dyDescent="0.3">
      <c r="A23" s="29" t="s">
        <v>111</v>
      </c>
      <c r="B23" s="67">
        <f>PyGRM!B51</f>
        <v>0</v>
      </c>
      <c r="C23" s="115">
        <f t="shared" si="1"/>
        <v>0</v>
      </c>
      <c r="D23" s="67">
        <f>PyGRM!D51</f>
        <v>0</v>
      </c>
      <c r="E23" s="115">
        <f t="shared" si="1"/>
        <v>0</v>
      </c>
      <c r="F23" s="115"/>
    </row>
    <row r="24" spans="1:6" s="7" customFormat="1" ht="20.100000000000001" customHeight="1" x14ac:dyDescent="0.3">
      <c r="A24" s="29" t="s">
        <v>112</v>
      </c>
      <c r="B24" s="67">
        <f>PyGRM!B33+PyGRM!B32</f>
        <v>-83247.69</v>
      </c>
      <c r="C24" s="115">
        <f t="shared" si="1"/>
        <v>-7.7324730329347098E-3</v>
      </c>
      <c r="D24" s="67">
        <f>PyGRM!D33+PyGRM!D32</f>
        <v>479.51</v>
      </c>
      <c r="E24" s="115">
        <f t="shared" si="1"/>
        <v>9.6053299507358595E-5</v>
      </c>
      <c r="F24" s="115">
        <f>(B24-D24)/D24</f>
        <v>-174.60991428750182</v>
      </c>
    </row>
    <row r="25" spans="1:6" s="7" customFormat="1" ht="20.100000000000001" customHeight="1" x14ac:dyDescent="0.3">
      <c r="A25" s="26" t="s">
        <v>120</v>
      </c>
      <c r="B25" s="70">
        <f>SUM(B19:B24)</f>
        <v>517230.43000000034</v>
      </c>
      <c r="C25" s="144">
        <f t="shared" si="1"/>
        <v>4.8043018992938141E-2</v>
      </c>
      <c r="D25" s="70">
        <f>SUM(D19:D24)</f>
        <v>265884.58000000054</v>
      </c>
      <c r="E25" s="144">
        <f t="shared" si="1"/>
        <v>5.3260810404638696E-2</v>
      </c>
      <c r="F25" s="144">
        <f>(B25-D25)/D25</f>
        <v>0.94531939385126917</v>
      </c>
    </row>
    <row r="26" spans="1:6" s="7" customFormat="1" ht="20.100000000000001" customHeight="1" x14ac:dyDescent="0.3">
      <c r="A26" s="30" t="s">
        <v>113</v>
      </c>
      <c r="B26" s="67">
        <f>+PyGRM!B56</f>
        <v>-43838.49</v>
      </c>
      <c r="C26" s="115">
        <f t="shared" si="1"/>
        <v>-4.0719441191650833E-3</v>
      </c>
      <c r="D26" s="67">
        <f>+PyGRM!D56</f>
        <v>-8576.92</v>
      </c>
      <c r="E26" s="115">
        <f t="shared" si="1"/>
        <v>-1.7180902705066718E-3</v>
      </c>
      <c r="F26" s="115">
        <f>(B26-D26)/D26</f>
        <v>4.1112159143375475</v>
      </c>
    </row>
    <row r="27" spans="1:6" s="7" customFormat="1" ht="20.100000000000001" customHeight="1" x14ac:dyDescent="0.3">
      <c r="A27" s="26" t="s">
        <v>121</v>
      </c>
      <c r="B27" s="70">
        <f>B25+B26</f>
        <v>473391.94000000035</v>
      </c>
      <c r="C27" s="144">
        <f t="shared" si="1"/>
        <v>4.397107487377306E-2</v>
      </c>
      <c r="D27" s="70">
        <f>D25+D26</f>
        <v>257307.66000000053</v>
      </c>
      <c r="E27" s="144">
        <f t="shared" si="1"/>
        <v>5.1542720134132018E-2</v>
      </c>
      <c r="F27" s="144">
        <f>(B27-D27)/D27</f>
        <v>0.8397895344429287</v>
      </c>
    </row>
    <row r="28" spans="1:6" s="7" customFormat="1" ht="20.100000000000001" hidden="1" customHeight="1" x14ac:dyDescent="0.3">
      <c r="A28" s="30" t="s">
        <v>114</v>
      </c>
      <c r="B28" s="67">
        <f>PyGRM!B58</f>
        <v>0</v>
      </c>
      <c r="C28" s="115">
        <f t="shared" si="1"/>
        <v>0</v>
      </c>
      <c r="D28" s="67">
        <f>PyGRM!D58</f>
        <v>0</v>
      </c>
      <c r="E28" s="115">
        <f t="shared" si="1"/>
        <v>0</v>
      </c>
      <c r="F28" s="115">
        <v>0</v>
      </c>
    </row>
    <row r="29" spans="1:6" s="7" customFormat="1" ht="20.100000000000001" customHeight="1" x14ac:dyDescent="0.3">
      <c r="A29" s="27" t="s">
        <v>122</v>
      </c>
      <c r="B29" s="71">
        <f>B27+B28</f>
        <v>473391.94000000035</v>
      </c>
      <c r="C29" s="145">
        <f t="shared" si="1"/>
        <v>4.397107487377306E-2</v>
      </c>
      <c r="D29" s="71">
        <f>D27+D28</f>
        <v>257307.66000000053</v>
      </c>
      <c r="E29" s="145">
        <f t="shared" si="1"/>
        <v>5.1542720134132018E-2</v>
      </c>
      <c r="F29" s="145">
        <f>(B29-D29)/D29</f>
        <v>0.8397895344429287</v>
      </c>
    </row>
    <row r="30" spans="1:6" x14ac:dyDescent="0.3">
      <c r="A30" s="4"/>
      <c r="B30" s="28"/>
      <c r="C30" s="146"/>
      <c r="E30"/>
      <c r="F30"/>
    </row>
    <row r="31" spans="1:6" x14ac:dyDescent="0.3">
      <c r="A31" s="250" t="s">
        <v>366</v>
      </c>
      <c r="B31" s="250"/>
      <c r="C31" s="250"/>
      <c r="E31"/>
      <c r="F31"/>
    </row>
    <row r="32" spans="1:6" x14ac:dyDescent="0.3">
      <c r="A32" s="250"/>
      <c r="B32" s="250"/>
      <c r="C32" s="250"/>
      <c r="D32" s="11"/>
    </row>
    <row r="33" spans="1:3" x14ac:dyDescent="0.3">
      <c r="A33" s="250"/>
      <c r="B33" s="250"/>
      <c r="C33" s="250"/>
    </row>
  </sheetData>
  <mergeCells count="1">
    <mergeCell ref="A31:C33"/>
  </mergeCells>
  <phoneticPr fontId="0" type="noConversion"/>
  <pageMargins left="0.70866141732283472" right="0.70866141732283472" top="0.74803149606299213" bottom="0.74803149606299213" header="0.31496062992125984" footer="0.31496062992125984"/>
  <pageSetup paperSize="9" orientation="landscape"/>
  <ignoredErrors>
    <ignoredError sqref="E6 E9 E11 E14 E19 E25 E27 E29 C6:C29 D3:D29"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F0163-3096-4FBD-89EC-90C43CA123E4}">
  <sheetPr>
    <pageSetUpPr fitToPage="1"/>
  </sheetPr>
  <dimension ref="A1:Q53"/>
  <sheetViews>
    <sheetView topLeftCell="A19" zoomScale="70" zoomScaleNormal="70" workbookViewId="0">
      <selection activeCell="E6" sqref="E6"/>
    </sheetView>
  </sheetViews>
  <sheetFormatPr baseColWidth="10" defaultColWidth="11.44140625" defaultRowHeight="14.4" x14ac:dyDescent="0.3"/>
  <cols>
    <col min="1" max="1" width="8.88671875" customWidth="1"/>
    <col min="2" max="2" width="51" customWidth="1"/>
    <col min="3" max="3" width="17.44140625" customWidth="1"/>
    <col min="4" max="4" width="12.44140625" hidden="1" customWidth="1"/>
    <col min="5" max="5" width="15.5546875" customWidth="1"/>
    <col min="6" max="6" width="11.44140625" hidden="1" customWidth="1"/>
    <col min="7" max="7" width="17.33203125" customWidth="1"/>
    <col min="8" max="8" width="55.88671875" customWidth="1"/>
    <col min="9" max="9" width="93.33203125" customWidth="1"/>
  </cols>
  <sheetData>
    <row r="1" spans="1:9" ht="30" customHeight="1" x14ac:dyDescent="0.3">
      <c r="A1" s="13"/>
      <c r="B1" s="22" t="str">
        <f>BalanceRM!A2</f>
        <v>PERFUMERIAS PRIMOR</v>
      </c>
      <c r="C1" s="114"/>
      <c r="D1" s="114"/>
      <c r="E1" s="114"/>
    </row>
    <row r="2" spans="1:9" ht="30" customHeight="1" x14ac:dyDescent="0.3">
      <c r="A2" s="13"/>
      <c r="B2" s="174" t="s">
        <v>132</v>
      </c>
      <c r="C2" s="175">
        <f>[1]BalanceRM!B3</f>
        <v>43830</v>
      </c>
      <c r="D2" s="175"/>
      <c r="E2" s="175">
        <f>[1]BalanceRM!D3</f>
        <v>43465</v>
      </c>
      <c r="F2" s="176"/>
      <c r="G2" s="177" t="s">
        <v>220</v>
      </c>
      <c r="H2" s="177" t="s">
        <v>310</v>
      </c>
      <c r="I2" s="177" t="s">
        <v>311</v>
      </c>
    </row>
    <row r="3" spans="1:9" ht="52.8" customHeight="1" x14ac:dyDescent="0.3">
      <c r="A3" s="173">
        <v>1</v>
      </c>
      <c r="B3" s="178" t="s">
        <v>123</v>
      </c>
      <c r="C3" s="179">
        <f>BalanceRM!B139/(BalanceRM!B13+BalanceRM!B139)</f>
        <v>0.15778337387829569</v>
      </c>
      <c r="D3" s="179">
        <f>BalanceRM!C139/(BalanceRM!C13+BalanceRM!C139)</f>
        <v>0</v>
      </c>
      <c r="E3" s="179">
        <f>BalanceRM!D139/(BalanceRM!D13+BalanceRM!D139)</f>
        <v>0.129870332190101</v>
      </c>
      <c r="F3" s="179">
        <f>BalanceRM!E139/(BalanceRM!E13+BalanceRM!E139)</f>
        <v>0</v>
      </c>
      <c r="G3" s="180">
        <f t="shared" ref="G3:G10" si="0">(C3-E3)/E3</f>
        <v>0.21493008616730319</v>
      </c>
      <c r="H3" s="181" t="s">
        <v>340</v>
      </c>
      <c r="I3" s="181"/>
    </row>
    <row r="4" spans="1:9" ht="54.6" customHeight="1" x14ac:dyDescent="0.3">
      <c r="A4" s="173">
        <v>2</v>
      </c>
      <c r="B4" s="178" t="s">
        <v>124</v>
      </c>
      <c r="C4" s="182">
        <f>(BalanceRM!B98+BalanceRM!B115)/BalanceRM!B74</f>
        <v>2.2000569544252473</v>
      </c>
      <c r="D4" s="182">
        <f>(BalanceRM!C98+BalanceRM!C115)/BalanceRM!C74</f>
        <v>2.2000569544252468</v>
      </c>
      <c r="E4" s="182">
        <f>(BalanceRM!D98+BalanceRM!D115)/BalanceRM!D74</f>
        <v>3.1593813787094245</v>
      </c>
      <c r="F4" s="182"/>
      <c r="G4" s="180">
        <f t="shared" si="0"/>
        <v>-0.30364312164049395</v>
      </c>
      <c r="H4" s="181" t="s">
        <v>312</v>
      </c>
      <c r="I4" s="184"/>
    </row>
    <row r="5" spans="1:9" ht="67.2" customHeight="1" x14ac:dyDescent="0.3">
      <c r="A5" s="173">
        <v>3</v>
      </c>
      <c r="B5" s="178" t="s">
        <v>125</v>
      </c>
      <c r="C5" s="182">
        <f>BalanceRM!B98/BalanceRM!B115</f>
        <v>0.88882567424166004</v>
      </c>
      <c r="D5" s="182">
        <f>BalanceRM!C98/BalanceRM!C115</f>
        <v>0.88882567424166004</v>
      </c>
      <c r="E5" s="182">
        <f>BalanceRM!D98/BalanceRM!D115</f>
        <v>7.6019141217935335E-2</v>
      </c>
      <c r="F5" s="183"/>
      <c r="G5" s="180">
        <f t="shared" si="0"/>
        <v>10.692129903092852</v>
      </c>
      <c r="H5" s="181" t="s">
        <v>341</v>
      </c>
      <c r="I5" s="184"/>
    </row>
    <row r="6" spans="1:9" ht="64.2" customHeight="1" x14ac:dyDescent="0.3">
      <c r="A6" s="173">
        <v>4</v>
      </c>
      <c r="B6" s="178" t="s">
        <v>126</v>
      </c>
      <c r="C6" s="182">
        <f>BalanceRM!B71/(BalanceRM!B98+BalanceRM!B115)</f>
        <v>1.4545336874068537</v>
      </c>
      <c r="D6" s="182">
        <f>BalanceRM!C71/(BalanceRM!C98+BalanceRM!C115)</f>
        <v>1.4545336874068537</v>
      </c>
      <c r="E6" s="182">
        <f>BalanceRM!D71/(BalanceRM!D98+BalanceRM!D115)</f>
        <v>1.3165176596718722</v>
      </c>
      <c r="F6" s="183"/>
      <c r="G6" s="180">
        <f t="shared" si="0"/>
        <v>0.10483416361416721</v>
      </c>
      <c r="H6" s="181" t="s">
        <v>313</v>
      </c>
      <c r="I6" s="184"/>
    </row>
    <row r="7" spans="1:9" ht="67.2" customHeight="1" x14ac:dyDescent="0.3">
      <c r="A7" s="173">
        <v>5</v>
      </c>
      <c r="B7" s="178" t="s">
        <v>127</v>
      </c>
      <c r="C7" s="182">
        <f>BalanceRM!B36/BalanceRM!B115</f>
        <v>1.6087316693879514</v>
      </c>
      <c r="D7" s="182">
        <f>BalanceRM!C36/BalanceRM!C115</f>
        <v>1.6087316693879512</v>
      </c>
      <c r="E7" s="182">
        <f>BalanceRM!D36/BalanceRM!D115</f>
        <v>1.0086459004084143</v>
      </c>
      <c r="F7" s="183"/>
      <c r="G7" s="180">
        <f t="shared" si="0"/>
        <v>0.59494196004420807</v>
      </c>
      <c r="H7" s="181" t="s">
        <v>314</v>
      </c>
      <c r="I7" s="184"/>
    </row>
    <row r="8" spans="1:9" ht="58.8" customHeight="1" x14ac:dyDescent="0.3">
      <c r="A8" s="173">
        <v>6</v>
      </c>
      <c r="B8" s="178" t="s">
        <v>128</v>
      </c>
      <c r="C8" s="185">
        <f>BalanceRM!B36-BalanceRM!B115</f>
        <v>741746.57000000007</v>
      </c>
      <c r="D8" s="185">
        <f>BalanceRM!C36-BalanceRM!C115</f>
        <v>0.22156963137982233</v>
      </c>
      <c r="E8" s="185">
        <f>BalanceRM!D36-BalanceRM!D115</f>
        <v>14465.270000000019</v>
      </c>
      <c r="F8" s="186"/>
      <c r="G8" s="180">
        <f t="shared" si="0"/>
        <v>50.277754926109161</v>
      </c>
      <c r="H8" s="181" t="s">
        <v>315</v>
      </c>
      <c r="I8" s="181"/>
    </row>
    <row r="9" spans="1:9" ht="68.400000000000006" customHeight="1" x14ac:dyDescent="0.3">
      <c r="A9" s="173">
        <v>7</v>
      </c>
      <c r="B9" s="178" t="s">
        <v>129</v>
      </c>
      <c r="C9" s="185">
        <f>(BalanceRM!B45+BalanceRM!B38)-(BalanceRM!B125+BalanceRM!B117+BalanceRM!B133)</f>
        <v>436926.5</v>
      </c>
      <c r="D9" s="185">
        <f>(BalanceRM!C45+BalanceRM!C38)-(BalanceRM!C125+BalanceRM!C117+BalanceRM!C133)</f>
        <v>0.13051579536805402</v>
      </c>
      <c r="E9" s="185">
        <f>(BalanceRM!D45+BalanceRM!D38)-(BalanceRM!D125+BalanceRM!D117+BalanceRM!D133)</f>
        <v>-602987.16999999993</v>
      </c>
      <c r="F9" s="186"/>
      <c r="G9" s="180">
        <f t="shared" si="0"/>
        <v>-1.7246033112114145</v>
      </c>
      <c r="H9" s="181" t="s">
        <v>342</v>
      </c>
      <c r="I9" s="181"/>
    </row>
    <row r="10" spans="1:9" ht="70.2" customHeight="1" x14ac:dyDescent="0.3">
      <c r="A10" s="173">
        <v>8</v>
      </c>
      <c r="B10" s="178" t="s">
        <v>130</v>
      </c>
      <c r="C10" s="185">
        <f>(BalanceRM!B68)-BalanceRM!B118</f>
        <v>304820.07</v>
      </c>
      <c r="D10" s="185">
        <f>(BalanceRM!C68)-BalanceRM!C118</f>
        <v>9.1053836011768335E-2</v>
      </c>
      <c r="E10" s="185">
        <f>(BalanceRM!D68)-BalanceRM!D118</f>
        <v>617452.44000000006</v>
      </c>
      <c r="F10" s="186"/>
      <c r="G10" s="180">
        <f t="shared" si="0"/>
        <v>-0.50632623623610595</v>
      </c>
      <c r="H10" s="181" t="s">
        <v>343</v>
      </c>
      <c r="I10" s="181"/>
    </row>
    <row r="11" spans="1:9" ht="64.95" customHeight="1" x14ac:dyDescent="0.3">
      <c r="A11" s="173">
        <v>9</v>
      </c>
      <c r="B11" s="187" t="s">
        <v>347</v>
      </c>
      <c r="C11" s="188">
        <f>EFE!H4</f>
        <v>749878.44000000006</v>
      </c>
      <c r="D11" s="188">
        <f>EFE!I4</f>
        <v>349760.63000000041</v>
      </c>
      <c r="E11" s="188">
        <f>EFE!I4</f>
        <v>349760.63000000041</v>
      </c>
      <c r="F11" s="189"/>
      <c r="G11" s="190">
        <f t="shared" ref="G11:G26" si="1">(C11-E11)/E11</f>
        <v>1.1439761244711824</v>
      </c>
      <c r="H11" s="181" t="s">
        <v>316</v>
      </c>
      <c r="I11" s="181"/>
    </row>
    <row r="12" spans="1:9" ht="49.2" customHeight="1" x14ac:dyDescent="0.3">
      <c r="A12" s="173">
        <v>10</v>
      </c>
      <c r="B12" s="187" t="s">
        <v>348</v>
      </c>
      <c r="C12" s="188">
        <f>EFE!H5</f>
        <v>617767.65</v>
      </c>
      <c r="D12" s="188"/>
      <c r="E12" s="188">
        <f>EFE!I5</f>
        <v>338547.50000000041</v>
      </c>
      <c r="F12" s="189"/>
      <c r="G12" s="190">
        <f t="shared" si="1"/>
        <v>0.82475915491917462</v>
      </c>
      <c r="H12" s="181" t="s">
        <v>316</v>
      </c>
      <c r="I12" s="191"/>
    </row>
    <row r="13" spans="1:9" ht="50.4" customHeight="1" x14ac:dyDescent="0.3">
      <c r="A13" s="173">
        <v>11</v>
      </c>
      <c r="B13" s="192" t="s">
        <v>349</v>
      </c>
      <c r="C13" s="188">
        <f>C12-(C9-E9)</f>
        <v>-422146.0199999999</v>
      </c>
      <c r="D13" s="188">
        <f t="shared" ref="D13" si="2">D12-(D9-F9)</f>
        <v>-0.13051579536805402</v>
      </c>
      <c r="E13" s="188">
        <f>EFE!I6</f>
        <v>970548.25000000035</v>
      </c>
      <c r="F13" s="189"/>
      <c r="G13" s="190">
        <f t="shared" si="1"/>
        <v>-1.4349562425155058</v>
      </c>
      <c r="H13" s="246" t="s">
        <v>367</v>
      </c>
      <c r="I13" s="184" t="s">
        <v>317</v>
      </c>
    </row>
    <row r="14" spans="1:9" ht="117" customHeight="1" x14ac:dyDescent="0.3">
      <c r="A14" s="173">
        <v>12</v>
      </c>
      <c r="B14" s="192" t="s">
        <v>350</v>
      </c>
      <c r="C14" s="193">
        <f>C11/BalanceRM!B118</f>
        <v>7.0541692806600622</v>
      </c>
      <c r="D14" s="193">
        <f>D11/BalanceRM!C118</f>
        <v>11014663.760286745</v>
      </c>
      <c r="E14" s="193">
        <f>E11/BalanceRM!D118</f>
        <v>5.8580620059739594</v>
      </c>
      <c r="F14" s="194"/>
      <c r="G14" s="190">
        <f t="shared" si="1"/>
        <v>0.2041813953943013</v>
      </c>
      <c r="H14" s="181" t="s">
        <v>363</v>
      </c>
      <c r="I14" s="181"/>
    </row>
    <row r="15" spans="1:9" ht="90.6" customHeight="1" x14ac:dyDescent="0.3">
      <c r="A15" s="173">
        <v>13</v>
      </c>
      <c r="B15" s="192" t="s">
        <v>351</v>
      </c>
      <c r="C15" s="193">
        <f>C12/BalanceRM!B118</f>
        <v>5.8113920160387016</v>
      </c>
      <c r="D15" s="193">
        <f>D12/BalanceRM!C118</f>
        <v>0</v>
      </c>
      <c r="E15" s="193">
        <f>E12/BalanceRM!D118</f>
        <v>5.6702558174356819</v>
      </c>
      <c r="F15" s="194"/>
      <c r="G15" s="190">
        <f t="shared" si="1"/>
        <v>2.4890622777377126E-2</v>
      </c>
      <c r="H15" s="181" t="s">
        <v>363</v>
      </c>
      <c r="I15" s="181"/>
    </row>
    <row r="16" spans="1:9" ht="67.2" customHeight="1" x14ac:dyDescent="0.3">
      <c r="A16" s="173">
        <v>14</v>
      </c>
      <c r="B16" s="192" t="s">
        <v>352</v>
      </c>
      <c r="C16" s="193">
        <f>C13/BalanceRM!B118</f>
        <v>-3.9711629610752741</v>
      </c>
      <c r="D16" s="193">
        <f>D13/BalanceRM!C118</f>
        <v>-4.1102041741676398</v>
      </c>
      <c r="E16" s="193">
        <f>E13/BalanceRM!D118</f>
        <v>16.255494016835204</v>
      </c>
      <c r="F16" s="195"/>
      <c r="G16" s="190">
        <f t="shared" si="1"/>
        <v>-1.2442966640670836</v>
      </c>
      <c r="H16" s="181" t="s">
        <v>318</v>
      </c>
      <c r="I16" s="181"/>
    </row>
    <row r="17" spans="1:9" ht="61.2" customHeight="1" x14ac:dyDescent="0.3">
      <c r="A17" s="173">
        <v>15</v>
      </c>
      <c r="B17" s="192" t="s">
        <v>353</v>
      </c>
      <c r="C17" s="196">
        <f>C11/(BalanceRM!B98+BalanceRM!B118)</f>
        <v>0.63049581097099627</v>
      </c>
      <c r="D17" s="196">
        <f>D11/(BalanceRM!C98+BalanceRM!C118)</f>
        <v>984481.52912273421</v>
      </c>
      <c r="E17" s="196">
        <f>E11/(BalanceRM!D98+BalanceRM!D118)</f>
        <v>1.8714600449404315</v>
      </c>
      <c r="F17" s="197"/>
      <c r="G17" s="190">
        <f t="shared" si="1"/>
        <v>-0.66309950742706625</v>
      </c>
      <c r="H17" s="181"/>
      <c r="I17" s="181"/>
    </row>
    <row r="18" spans="1:9" ht="53.4" customHeight="1" x14ac:dyDescent="0.3">
      <c r="A18" s="173">
        <v>16</v>
      </c>
      <c r="B18" s="192" t="s">
        <v>354</v>
      </c>
      <c r="C18" s="196">
        <f>C12/(BalanceRM!B98+BalanceRM!B118)</f>
        <v>0.51941740781132018</v>
      </c>
      <c r="D18" s="196">
        <f>D12/(BalanceRM!C98+BalanceRM!C118)</f>
        <v>0</v>
      </c>
      <c r="E18" s="196">
        <f>E12/(BalanceRM!D98+BalanceRM!D118)</f>
        <v>1.8114620835526023</v>
      </c>
      <c r="F18" s="197"/>
      <c r="G18" s="190">
        <f t="shared" si="1"/>
        <v>-0.71326067902417845</v>
      </c>
      <c r="H18" s="181"/>
      <c r="I18" s="181"/>
    </row>
    <row r="19" spans="1:9" ht="48" customHeight="1" x14ac:dyDescent="0.3">
      <c r="A19" s="173">
        <v>17</v>
      </c>
      <c r="B19" s="192" t="s">
        <v>355</v>
      </c>
      <c r="C19" s="196">
        <f>C13/(BalanceRM!B98+BalanceRM!B118)</f>
        <v>-0.35493925819240563</v>
      </c>
      <c r="D19" s="196">
        <f>D13/(BalanceRM!C98+BalanceRM!C118)</f>
        <v>-0.36736664672239278</v>
      </c>
      <c r="E19" s="196">
        <f>E13/(BalanceRM!D98+BalanceRM!D118)</f>
        <v>5.1931009832692023</v>
      </c>
      <c r="F19" s="197"/>
      <c r="G19" s="190">
        <f t="shared" si="1"/>
        <v>-1.0683482295714886</v>
      </c>
      <c r="H19" s="181"/>
      <c r="I19" s="181"/>
    </row>
    <row r="20" spans="1:9" ht="65.400000000000006" customHeight="1" x14ac:dyDescent="0.3">
      <c r="A20" s="173">
        <v>18</v>
      </c>
      <c r="B20" s="187" t="s">
        <v>356</v>
      </c>
      <c r="C20" s="198">
        <f>1/C18</f>
        <v>1.9252338965952653</v>
      </c>
      <c r="D20" s="198" t="e">
        <f t="shared" ref="D20:E20" si="3">1/D18</f>
        <v>#DIV/0!</v>
      </c>
      <c r="E20" s="198">
        <f t="shared" si="3"/>
        <v>0.55204026022936148</v>
      </c>
      <c r="F20" s="197"/>
      <c r="G20" s="190">
        <f t="shared" si="1"/>
        <v>2.4874882056525549</v>
      </c>
      <c r="H20" s="181" t="s">
        <v>319</v>
      </c>
      <c r="I20" s="181"/>
    </row>
    <row r="21" spans="1:9" ht="61.95" customHeight="1" x14ac:dyDescent="0.3">
      <c r="A21" s="173">
        <v>19</v>
      </c>
      <c r="B21" s="192" t="s">
        <v>357</v>
      </c>
      <c r="C21" s="199">
        <f>1/C19</f>
        <v>-2.8173834731404086</v>
      </c>
      <c r="D21" s="199">
        <f t="shared" ref="D21:E21" si="4">1/D19</f>
        <v>-2.7220761844383441</v>
      </c>
      <c r="E21" s="199">
        <f t="shared" si="4"/>
        <v>0.19256317241311799</v>
      </c>
      <c r="F21" s="197"/>
      <c r="G21" s="190">
        <f t="shared" si="1"/>
        <v>-15.630956884611855</v>
      </c>
      <c r="H21" s="181" t="s">
        <v>320</v>
      </c>
      <c r="I21" s="181"/>
    </row>
    <row r="22" spans="1:9" ht="25.2" customHeight="1" x14ac:dyDescent="0.3">
      <c r="A22" s="173"/>
      <c r="B22" s="236"/>
      <c r="C22" s="237"/>
      <c r="D22" s="236"/>
      <c r="E22" s="237"/>
      <c r="F22" s="238"/>
      <c r="G22" s="237"/>
      <c r="H22" s="238"/>
      <c r="I22" s="238"/>
    </row>
    <row r="23" spans="1:9" ht="60.6" customHeight="1" x14ac:dyDescent="0.3">
      <c r="A23" s="173">
        <v>23</v>
      </c>
      <c r="B23" s="239" t="s">
        <v>226</v>
      </c>
      <c r="C23" s="198">
        <f>BalanceRM!B38/-PyGRM!B9 *360</f>
        <v>62.109143066894354</v>
      </c>
      <c r="D23" s="198" t="e">
        <f>BalanceRM!C38/-PyGRM!C9 *360</f>
        <v>#DIV/0!</v>
      </c>
      <c r="E23" s="198">
        <f>BalanceRM!D38/-PyGRM!D9 *360</f>
        <v>71.76941887639471</v>
      </c>
      <c r="G23" s="190">
        <f t="shared" si="1"/>
        <v>-0.13460156095366774</v>
      </c>
      <c r="H23" s="181"/>
      <c r="I23" s="181"/>
    </row>
    <row r="24" spans="1:9" ht="75" customHeight="1" x14ac:dyDescent="0.3">
      <c r="A24" s="173">
        <v>24</v>
      </c>
      <c r="B24" s="240" t="s">
        <v>133</v>
      </c>
      <c r="C24" s="198">
        <f>BalanceRM!B46/PyGRM!B4*360</f>
        <v>1.4857653029950773</v>
      </c>
      <c r="D24" s="198" t="e">
        <f>BalanceRM!C46/PyGRM!C4*360</f>
        <v>#DIV/0!</v>
      </c>
      <c r="E24" s="198">
        <f>BalanceRM!D46/PyGRM!D4*360</f>
        <v>4.3963330318308449</v>
      </c>
      <c r="G24" s="190">
        <f t="shared" si="1"/>
        <v>-0.66204441468886333</v>
      </c>
      <c r="H24" s="181"/>
      <c r="I24" s="181"/>
    </row>
    <row r="25" spans="1:9" ht="54" customHeight="1" x14ac:dyDescent="0.3">
      <c r="A25" s="173">
        <v>25</v>
      </c>
      <c r="B25" s="240" t="s">
        <v>134</v>
      </c>
      <c r="C25" s="198">
        <f>BalanceRM!B126/((-PyGRM!B9)+(BalanceRM!B39-BalanceRM!D39)-(BalanceRM!B126-BalanceRM!D126))*360</f>
        <v>33.936049300647127</v>
      </c>
      <c r="D25" s="198">
        <f>BalanceRM!C126/((-PyGRM!C9)+(BalanceRM!C39-BalanceRM!E39)-(BalanceRM!C126-BalanceRM!E126))*360</f>
        <v>207.00461690249631</v>
      </c>
      <c r="E25" s="198">
        <f>BalanceRM!D126/((-PyGRM!D9)+(BalanceRM!D39-BalanceRM!F39)-(BalanceRM!D126-BalanceRM!F126))*360</f>
        <v>175.18455640469458</v>
      </c>
      <c r="G25" s="190">
        <f t="shared" si="1"/>
        <v>-0.80628401271712957</v>
      </c>
      <c r="H25" s="181"/>
      <c r="I25" s="181"/>
    </row>
    <row r="26" spans="1:9" ht="61.2" customHeight="1" x14ac:dyDescent="0.3">
      <c r="A26" s="173">
        <v>26</v>
      </c>
      <c r="B26" s="241" t="s">
        <v>227</v>
      </c>
      <c r="C26" s="198">
        <f>BalanceRM!B128/((-PyGRM!B21)-BalanceRM!B128)*360</f>
        <v>30.819104907353822</v>
      </c>
      <c r="D26" s="198">
        <f>BalanceRM!C128/((-PyGRM!C21)-BalanceRM!C128)*360</f>
        <v>-360</v>
      </c>
      <c r="E26" s="198">
        <f>BalanceRM!D128/((-PyGRM!D21)-BalanceRM!D128)*360</f>
        <v>0</v>
      </c>
      <c r="G26" s="190" t="e">
        <f t="shared" si="1"/>
        <v>#DIV/0!</v>
      </c>
      <c r="H26" s="181"/>
      <c r="I26" s="181"/>
    </row>
    <row r="27" spans="1:9" ht="25.2" customHeight="1" x14ac:dyDescent="0.3">
      <c r="A27" s="173"/>
      <c r="C27" s="108"/>
      <c r="D27" s="108"/>
      <c r="E27" s="116"/>
      <c r="G27" s="115"/>
    </row>
    <row r="28" spans="1:9" ht="25.2" customHeight="1" x14ac:dyDescent="0.3">
      <c r="A28" s="173"/>
      <c r="B28" s="200" t="s">
        <v>135</v>
      </c>
      <c r="C28" s="201"/>
      <c r="D28" s="202"/>
      <c r="E28" s="201"/>
      <c r="F28" s="203"/>
      <c r="G28" s="201"/>
      <c r="H28" s="204"/>
      <c r="I28" s="205"/>
    </row>
    <row r="29" spans="1:9" ht="79.2" customHeight="1" x14ac:dyDescent="0.3">
      <c r="A29" s="173">
        <v>27</v>
      </c>
      <c r="B29" s="206" t="s">
        <v>228</v>
      </c>
      <c r="C29" s="207">
        <f>C30/C31</f>
        <v>0.184313493439932</v>
      </c>
      <c r="D29" s="207">
        <f t="shared" ref="D29:E29" si="5">D30/D31</f>
        <v>0</v>
      </c>
      <c r="E29" s="207">
        <f t="shared" si="5"/>
        <v>0.11329608800796691</v>
      </c>
      <c r="F29" s="208"/>
      <c r="G29" s="207">
        <f t="shared" ref="G29:G35" si="6">(C29-E29)/E29</f>
        <v>0.62683016404742231</v>
      </c>
      <c r="H29" s="209"/>
      <c r="I29" s="210"/>
    </row>
    <row r="30" spans="1:9" ht="57" customHeight="1" x14ac:dyDescent="0.3">
      <c r="A30" s="173">
        <v>28</v>
      </c>
      <c r="B30" s="211" t="s">
        <v>321</v>
      </c>
      <c r="C30" s="212">
        <f>'PyG funcional'!B14</f>
        <v>604526.9500000003</v>
      </c>
      <c r="D30" s="212"/>
      <c r="E30" s="212">
        <f>'PyG funcional'!D14</f>
        <v>268520.7900000005</v>
      </c>
      <c r="F30" s="212"/>
      <c r="G30" s="190">
        <f t="shared" si="6"/>
        <v>1.2513227001901759</v>
      </c>
      <c r="H30" s="209"/>
      <c r="I30" s="210"/>
    </row>
    <row r="31" spans="1:9" ht="55.2" customHeight="1" x14ac:dyDescent="0.3">
      <c r="A31" s="173">
        <v>29</v>
      </c>
      <c r="B31" s="211" t="s">
        <v>322</v>
      </c>
      <c r="C31" s="212">
        <f>BalanceRM!B5+BalanceRM!B13+BalanceRM!B38+BalanceRM!B45+BalanceRM!B67+BalanceRM!B68</f>
        <v>3279884.3899999997</v>
      </c>
      <c r="D31" s="212">
        <f>BalanceRM!C5+BalanceRM!C13+BalanceRM!C38+BalanceRM!C45+BalanceRM!C67+BalanceRM!C68</f>
        <v>0.97974538023240687</v>
      </c>
      <c r="E31" s="212">
        <f>BalanceRM!D5+BalanceRM!D13+BalanceRM!D38+BalanceRM!D45+BalanceRM!D67+BalanceRM!D68</f>
        <v>2370079.9800000004</v>
      </c>
      <c r="F31" s="212"/>
      <c r="G31" s="190">
        <f t="shared" si="6"/>
        <v>0.38387076287611149</v>
      </c>
      <c r="H31" s="209"/>
      <c r="I31" s="210"/>
    </row>
    <row r="32" spans="1:9" ht="36.6" customHeight="1" x14ac:dyDescent="0.3">
      <c r="A32" s="173">
        <v>31</v>
      </c>
      <c r="B32" s="211" t="s">
        <v>323</v>
      </c>
      <c r="C32" s="212">
        <f>C36</f>
        <v>10758528.26</v>
      </c>
      <c r="D32" s="212">
        <f t="shared" ref="D32:E32" si="7">D36</f>
        <v>0</v>
      </c>
      <c r="E32" s="212">
        <f t="shared" si="7"/>
        <v>4989710.07</v>
      </c>
      <c r="F32" s="212"/>
      <c r="G32" s="190">
        <f t="shared" si="6"/>
        <v>1.1561429640339802</v>
      </c>
      <c r="H32" s="209"/>
      <c r="I32" s="210"/>
    </row>
    <row r="33" spans="1:17" ht="42" customHeight="1" x14ac:dyDescent="0.3">
      <c r="A33" s="173">
        <v>32</v>
      </c>
      <c r="B33" s="213" t="s">
        <v>229</v>
      </c>
      <c r="C33" s="214">
        <f>C30/C32</f>
        <v>5.6190487712675333E-2</v>
      </c>
      <c r="D33" s="214" t="e">
        <f t="shared" ref="D33:E33" si="8">D30/D32</f>
        <v>#DIV/0!</v>
      </c>
      <c r="E33" s="214">
        <f t="shared" si="8"/>
        <v>5.3814908327930261E-2</v>
      </c>
      <c r="F33" s="215"/>
      <c r="G33" s="190">
        <f t="shared" si="6"/>
        <v>4.4143518191447552E-2</v>
      </c>
      <c r="H33" s="210" t="s">
        <v>324</v>
      </c>
      <c r="I33" s="216"/>
      <c r="K33" t="s">
        <v>331</v>
      </c>
    </row>
    <row r="34" spans="1:17" ht="49.8" customHeight="1" x14ac:dyDescent="0.3">
      <c r="A34" s="173">
        <v>33</v>
      </c>
      <c r="B34" s="213" t="s">
        <v>230</v>
      </c>
      <c r="C34" s="217">
        <f>C32/C31</f>
        <v>3.280154719111914</v>
      </c>
      <c r="D34" s="217">
        <f t="shared" ref="D34:E34" si="9">D32/D31</f>
        <v>0</v>
      </c>
      <c r="E34" s="217">
        <f t="shared" si="9"/>
        <v>2.1052918517964949</v>
      </c>
      <c r="F34" s="218"/>
      <c r="G34" s="190">
        <f t="shared" si="6"/>
        <v>0.55805225594393526</v>
      </c>
      <c r="H34" s="181" t="s">
        <v>332</v>
      </c>
      <c r="I34" s="191"/>
    </row>
    <row r="35" spans="1:17" ht="57" customHeight="1" x14ac:dyDescent="0.3">
      <c r="A35" s="173">
        <v>34</v>
      </c>
      <c r="B35" s="192" t="s">
        <v>231</v>
      </c>
      <c r="C35" s="219">
        <f>C38/C37</f>
        <v>0.15600456373120195</v>
      </c>
      <c r="D35" s="219"/>
      <c r="E35" s="219">
        <f>E38/E37</f>
        <v>0.11349840607488715</v>
      </c>
      <c r="F35" s="220"/>
      <c r="G35" s="207">
        <f t="shared" si="6"/>
        <v>0.37450885106059462</v>
      </c>
      <c r="H35" s="181" t="s">
        <v>325</v>
      </c>
      <c r="I35" s="191"/>
    </row>
    <row r="36" spans="1:17" ht="38.4" customHeight="1" x14ac:dyDescent="0.3">
      <c r="A36" s="173">
        <v>35</v>
      </c>
      <c r="B36" s="211" t="s">
        <v>323</v>
      </c>
      <c r="C36" s="221">
        <f>'PyG funcional'!B3</f>
        <v>10758528.26</v>
      </c>
      <c r="D36" s="217"/>
      <c r="E36" s="221">
        <f>'PyG funcional'!D3</f>
        <v>4989710.07</v>
      </c>
      <c r="F36" s="218"/>
      <c r="G36" s="190">
        <f>(C36-E36)/E36</f>
        <v>1.1561429640339802</v>
      </c>
      <c r="H36" s="222"/>
      <c r="I36" s="191"/>
    </row>
    <row r="37" spans="1:17" ht="44.4" customHeight="1" x14ac:dyDescent="0.3">
      <c r="A37" s="173">
        <v>36</v>
      </c>
      <c r="B37" s="211" t="s">
        <v>330</v>
      </c>
      <c r="C37" s="221">
        <f>BalanceRM!B71</f>
        <v>3347690.59</v>
      </c>
      <c r="D37" s="217"/>
      <c r="E37" s="221">
        <f>BalanceRM!D71</f>
        <v>2370079.98</v>
      </c>
      <c r="F37" s="218"/>
      <c r="G37" s="190">
        <f>(C37-E37)/E37</f>
        <v>0.41248000837507598</v>
      </c>
      <c r="H37" s="222"/>
      <c r="I37" s="191"/>
    </row>
    <row r="38" spans="1:17" ht="60" customHeight="1" x14ac:dyDescent="0.3">
      <c r="A38" s="13"/>
      <c r="B38" s="211" t="s">
        <v>326</v>
      </c>
      <c r="C38" s="223">
        <f>PyGRM!B55-PyGRM!B35+(-PyGRM!B43)</f>
        <v>522255.01</v>
      </c>
      <c r="D38" s="224"/>
      <c r="E38" s="223">
        <f>PyGRM!D55-PyGRM!D35+(-PyGRM!D43)</f>
        <v>269000.3000000004</v>
      </c>
      <c r="F38" s="225"/>
      <c r="G38" s="190">
        <f>(C38-E38)/E38</f>
        <v>0.94146627345768474</v>
      </c>
      <c r="H38" s="222"/>
      <c r="I38" s="191"/>
    </row>
    <row r="39" spans="1:17" ht="71.400000000000006" customHeight="1" x14ac:dyDescent="0.3">
      <c r="B39" s="192" t="s">
        <v>232</v>
      </c>
      <c r="C39" s="226">
        <f>(-'[1]PyG funcional'!B21)/C40</f>
        <v>0</v>
      </c>
      <c r="D39" s="226"/>
      <c r="E39" s="226">
        <f>(-'[1]PyG funcional'!D21)/'[1]Indicadores '!E44</f>
        <v>0</v>
      </c>
      <c r="F39" s="225"/>
      <c r="G39" s="190" t="e">
        <f>(C39-E39)/E39</f>
        <v>#DIV/0!</v>
      </c>
      <c r="H39" s="181" t="s">
        <v>327</v>
      </c>
      <c r="I39" s="191"/>
    </row>
    <row r="40" spans="1:17" ht="69" customHeight="1" x14ac:dyDescent="0.3">
      <c r="B40" s="211" t="s">
        <v>328</v>
      </c>
      <c r="C40" s="223">
        <f>BalanceRM!B135-BalanceRM!B75</f>
        <v>2304483.15</v>
      </c>
      <c r="D40" s="223">
        <f>BalanceRM!C135-BalanceRM!C75</f>
        <v>0.68837997062327072</v>
      </c>
      <c r="E40" s="223">
        <f>BalanceRM!D135-BalanceRM!D75</f>
        <v>1800264.48</v>
      </c>
      <c r="F40" s="225"/>
      <c r="G40" s="190">
        <f t="shared" ref="G40:G46" si="10">(C40-E40)/E40</f>
        <v>0.28008033019681638</v>
      </c>
      <c r="H40" s="222"/>
      <c r="I40" s="191"/>
    </row>
    <row r="41" spans="1:17" ht="35.4" customHeight="1" x14ac:dyDescent="0.3">
      <c r="B41" s="192" t="s">
        <v>131</v>
      </c>
      <c r="C41" s="227">
        <f>(C35+C44*(C35-C42))*(1-C43)</f>
        <v>0.46260156921461437</v>
      </c>
      <c r="D41" s="227" t="e">
        <f t="shared" ref="D41:E41" si="11">(D35+D44*(D35-D42))*(1-D43)</f>
        <v>#DIV/0!</v>
      </c>
      <c r="E41" s="227">
        <f t="shared" si="11"/>
        <v>0.46214623128330706</v>
      </c>
      <c r="F41" s="228"/>
      <c r="G41" s="190">
        <f t="shared" si="10"/>
        <v>9.8526808288127267E-4</v>
      </c>
      <c r="H41" s="222"/>
      <c r="I41" s="191"/>
    </row>
    <row r="42" spans="1:17" ht="57" customHeight="1" x14ac:dyDescent="0.3">
      <c r="B42" s="192" t="s">
        <v>234</v>
      </c>
      <c r="C42" s="226">
        <f>PyGRM!B43/Indicadores!C40</f>
        <v>-2.1803630892245837E-3</v>
      </c>
      <c r="D42" s="226">
        <f>PyGRM!C43/Indicadores!D40</f>
        <v>0</v>
      </c>
      <c r="E42" s="226">
        <f>PyGRM!D43/Indicadores!E40</f>
        <v>-1.7307012578507352E-3</v>
      </c>
      <c r="F42" s="229"/>
      <c r="G42" s="190">
        <f t="shared" si="10"/>
        <v>0.25981481745281643</v>
      </c>
      <c r="H42" s="181" t="s">
        <v>327</v>
      </c>
      <c r="I42" s="191"/>
    </row>
    <row r="43" spans="1:17" ht="43.8" customHeight="1" x14ac:dyDescent="0.3">
      <c r="B43" s="211" t="s">
        <v>235</v>
      </c>
      <c r="C43" s="226">
        <f>-PyGRM!B56/PyGRM!B55</f>
        <v>8.4756208175918793E-2</v>
      </c>
      <c r="D43" s="226" t="e">
        <f>-PyGRM!C56/PyGRM!C55</f>
        <v>#DIV/0!</v>
      </c>
      <c r="E43" s="226">
        <f>-PyGRM!D56/PyGRM!D55</f>
        <v>3.2258057236715217E-2</v>
      </c>
      <c r="F43" s="229"/>
      <c r="G43" s="190">
        <f t="shared" si="10"/>
        <v>1.6274430463670841</v>
      </c>
      <c r="H43" s="222"/>
      <c r="I43" s="191"/>
    </row>
    <row r="44" spans="1:17" ht="43.8" customHeight="1" x14ac:dyDescent="0.3">
      <c r="B44" s="230" t="s">
        <v>335</v>
      </c>
      <c r="C44" s="231">
        <f>C40/C45</f>
        <v>2.2090363446794434</v>
      </c>
      <c r="D44" s="231"/>
      <c r="E44" s="231">
        <f>E40/E45</f>
        <v>3.1593813787094245</v>
      </c>
      <c r="F44" s="232"/>
      <c r="G44" s="190">
        <f t="shared" si="10"/>
        <v>-0.30080098605195532</v>
      </c>
      <c r="H44" s="222"/>
      <c r="I44" s="191"/>
      <c r="J44" s="251" t="s">
        <v>334</v>
      </c>
      <c r="K44" s="252"/>
      <c r="L44" s="252"/>
      <c r="M44" s="252"/>
      <c r="N44" s="252"/>
      <c r="O44" s="252"/>
      <c r="Q44" t="s">
        <v>336</v>
      </c>
    </row>
    <row r="45" spans="1:17" ht="43.8" customHeight="1" x14ac:dyDescent="0.3">
      <c r="B45" s="230" t="s">
        <v>329</v>
      </c>
      <c r="C45" s="235">
        <f>BalanceRM!B75</f>
        <v>1043207.44</v>
      </c>
      <c r="D45" s="235">
        <f>BalanceRM!C75</f>
        <v>0.31162002937672922</v>
      </c>
      <c r="E45" s="235">
        <f>BalanceRM!D75</f>
        <v>569815.5</v>
      </c>
      <c r="F45" s="233"/>
      <c r="G45" s="190">
        <f t="shared" si="10"/>
        <v>0.83078108615858981</v>
      </c>
      <c r="H45" s="222"/>
      <c r="I45" s="191"/>
    </row>
    <row r="46" spans="1:17" ht="43.8" customHeight="1" x14ac:dyDescent="0.3">
      <c r="B46" s="187" t="s">
        <v>233</v>
      </c>
      <c r="C46" s="234">
        <f>PyGRM!B59/Indicadores!C45</f>
        <v>0.45378504969251376</v>
      </c>
      <c r="D46" s="234">
        <f>PyGRM!C59/Indicadores!D45</f>
        <v>0</v>
      </c>
      <c r="E46" s="234">
        <f>PyGRM!D59/Indicadores!E45</f>
        <v>0.45156311121757903</v>
      </c>
      <c r="F46" s="232"/>
      <c r="G46" s="190">
        <f t="shared" si="10"/>
        <v>4.9205491319775424E-3</v>
      </c>
      <c r="H46" s="222"/>
      <c r="I46" s="191"/>
      <c r="J46" t="s">
        <v>339</v>
      </c>
    </row>
    <row r="47" spans="1:17" ht="51.6" customHeight="1" x14ac:dyDescent="0.3">
      <c r="B47" s="187" t="s">
        <v>338</v>
      </c>
      <c r="C47" s="234">
        <f>(C35+C44*(C35-C42))</f>
        <v>0.50544081625798221</v>
      </c>
      <c r="D47" s="234">
        <f t="shared" ref="D47:E47" si="12">(D35+D44*(D35-D42))</f>
        <v>0</v>
      </c>
      <c r="E47" s="234">
        <f t="shared" si="12"/>
        <v>0.47755110206724882</v>
      </c>
      <c r="F47" s="232"/>
      <c r="G47" s="190">
        <f t="shared" ref="G47" si="13">(C47-E47)/E47</f>
        <v>5.8401528276247068E-2</v>
      </c>
      <c r="H47" s="222"/>
      <c r="I47" s="191"/>
    </row>
    <row r="50" spans="2:3" x14ac:dyDescent="0.3">
      <c r="B50" t="s">
        <v>333</v>
      </c>
    </row>
    <row r="53" spans="2:3" x14ac:dyDescent="0.3">
      <c r="C53" t="s">
        <v>337</v>
      </c>
    </row>
  </sheetData>
  <mergeCells count="1">
    <mergeCell ref="J44:O44"/>
  </mergeCells>
  <pageMargins left="0.70866141732283472" right="0.70866141732283472" top="0.74803149606299213" bottom="0.74803149606299213" header="0.31496062992125984" footer="0.31496062992125984"/>
  <pageSetup paperSize="8" scale="48" fitToHeight="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6352-1CC8-4CC1-9A41-3244A137A444}">
  <sheetPr>
    <pageSetUpPr fitToPage="1"/>
  </sheetPr>
  <dimension ref="A1:I27"/>
  <sheetViews>
    <sheetView zoomScale="85" zoomScaleNormal="85" workbookViewId="0">
      <selection activeCell="J21" sqref="J21"/>
    </sheetView>
  </sheetViews>
  <sheetFormatPr baseColWidth="10" defaultRowHeight="14.4" x14ac:dyDescent="0.3"/>
  <cols>
    <col min="1" max="1" width="50.33203125" customWidth="1"/>
    <col min="2" max="2" width="16.6640625" customWidth="1"/>
    <col min="3" max="3" width="11.33203125" customWidth="1"/>
    <col min="4" max="4" width="15" customWidth="1"/>
    <col min="5" max="5" width="12.6640625" customWidth="1"/>
    <col min="6" max="7" width="14.5546875" customWidth="1"/>
  </cols>
  <sheetData>
    <row r="1" spans="1:9" ht="32.25" customHeight="1" x14ac:dyDescent="0.3">
      <c r="A1" s="14" t="str">
        <f>BalanceRM!A2</f>
        <v>PERFUMERIAS PRIMOR</v>
      </c>
      <c r="B1" s="17">
        <f>B4/B7</f>
        <v>1.6976461029486654</v>
      </c>
      <c r="C1" s="17"/>
      <c r="D1" s="17"/>
      <c r="E1" s="17"/>
      <c r="F1" s="17"/>
    </row>
    <row r="2" spans="1:9" ht="24" customHeight="1" x14ac:dyDescent="0.3">
      <c r="A2" t="str">
        <f>BalanceRM!B2</f>
        <v>Datos en euros</v>
      </c>
      <c r="B2" s="16">
        <f>BalanceRM!B3</f>
        <v>2019</v>
      </c>
      <c r="C2" s="49" t="s">
        <v>95</v>
      </c>
      <c r="D2" s="16">
        <f>BalanceRM!D3</f>
        <v>2018</v>
      </c>
      <c r="E2" s="49" t="s">
        <v>95</v>
      </c>
      <c r="F2" s="33" t="s">
        <v>137</v>
      </c>
      <c r="G2" s="34" t="s">
        <v>136</v>
      </c>
    </row>
    <row r="3" spans="1:9" ht="20.100000000000001" customHeight="1" x14ac:dyDescent="0.3">
      <c r="A3" s="35" t="s">
        <v>146</v>
      </c>
      <c r="B3" s="36">
        <f>BalanceRM!B71</f>
        <v>3347690.59</v>
      </c>
      <c r="C3" s="37">
        <f>(B3/B$3)</f>
        <v>1</v>
      </c>
      <c r="D3" s="36">
        <f>BalanceRM!D71</f>
        <v>2370079.98</v>
      </c>
      <c r="E3" s="37">
        <f>(D3/D$3)</f>
        <v>1</v>
      </c>
      <c r="F3" s="38">
        <f>F4-F5</f>
        <v>454566.94000000018</v>
      </c>
      <c r="G3" s="37">
        <f>B3/D3-1</f>
        <v>0.41248000837507592</v>
      </c>
    </row>
    <row r="4" spans="1:9" ht="20.100000000000001" customHeight="1" x14ac:dyDescent="0.3">
      <c r="A4" s="50" t="s">
        <v>138</v>
      </c>
      <c r="B4" s="72">
        <f>B5-B6</f>
        <v>741746.57000000007</v>
      </c>
      <c r="C4" s="51">
        <f t="shared" ref="C4:E24" si="0">(B4/B$3)</f>
        <v>0.22156963137982238</v>
      </c>
      <c r="D4" s="72">
        <f>D5-D6</f>
        <v>14465.270000000019</v>
      </c>
      <c r="E4" s="51">
        <f t="shared" si="0"/>
        <v>6.1032834849733715E-3</v>
      </c>
      <c r="F4" s="72">
        <f>F5-F6</f>
        <v>727281.3</v>
      </c>
      <c r="G4" s="51">
        <f>B4/D4-1</f>
        <v>50.277754926109161</v>
      </c>
    </row>
    <row r="5" spans="1:9" ht="20.100000000000001" customHeight="1" x14ac:dyDescent="0.3">
      <c r="A5" s="40" t="s">
        <v>147</v>
      </c>
      <c r="B5" s="73">
        <f>BalanceRM!B36</f>
        <v>1960258.1199999999</v>
      </c>
      <c r="C5" s="42">
        <f t="shared" si="0"/>
        <v>0.58555534548370547</v>
      </c>
      <c r="D5" s="73">
        <f>BalanceRM!D36</f>
        <v>1687543.76</v>
      </c>
      <c r="E5" s="42">
        <f t="shared" si="0"/>
        <v>0.7120197521773084</v>
      </c>
      <c r="F5" s="73">
        <f>B5-D5</f>
        <v>272714.35999999987</v>
      </c>
      <c r="G5" s="42">
        <f t="shared" ref="G5:G26" si="1">B5/D5-1</f>
        <v>0.16160431893037241</v>
      </c>
    </row>
    <row r="6" spans="1:9" ht="20.100000000000001" customHeight="1" x14ac:dyDescent="0.3">
      <c r="A6" s="40" t="s">
        <v>148</v>
      </c>
      <c r="B6" s="73">
        <f>BalanceRM!B115</f>
        <v>1218511.5499999998</v>
      </c>
      <c r="C6" s="42">
        <f t="shared" si="0"/>
        <v>0.36398571410388314</v>
      </c>
      <c r="D6" s="73">
        <f>BalanceRM!D115</f>
        <v>1673078.49</v>
      </c>
      <c r="E6" s="42">
        <f t="shared" si="0"/>
        <v>0.70591646869233504</v>
      </c>
      <c r="F6" s="73">
        <f t="shared" ref="F6:F26" si="2">B6-D6</f>
        <v>-454566.94000000018</v>
      </c>
      <c r="G6" s="42">
        <f t="shared" si="1"/>
        <v>-0.27169492807238238</v>
      </c>
    </row>
    <row r="7" spans="1:9" ht="20.100000000000001" customHeight="1" x14ac:dyDescent="0.3">
      <c r="A7" s="50" t="s">
        <v>149</v>
      </c>
      <c r="B7" s="72">
        <f>B8-B12</f>
        <v>436926.5</v>
      </c>
      <c r="C7" s="51">
        <f t="shared" si="0"/>
        <v>0.13051579536805402</v>
      </c>
      <c r="D7" s="72">
        <f>D8-D12</f>
        <v>-602987.16999999993</v>
      </c>
      <c r="E7" s="51">
        <f t="shared" si="0"/>
        <v>-0.25441638049699905</v>
      </c>
      <c r="F7" s="72">
        <f t="shared" si="2"/>
        <v>1039913.6699999999</v>
      </c>
      <c r="G7" s="51">
        <f t="shared" si="1"/>
        <v>-1.7246033112114145</v>
      </c>
      <c r="H7" s="32"/>
      <c r="I7" s="113"/>
    </row>
    <row r="8" spans="1:9" ht="20.100000000000001" customHeight="1" x14ac:dyDescent="0.3">
      <c r="A8" s="38" t="s">
        <v>139</v>
      </c>
      <c r="B8" s="74">
        <f>SUM(B9:B11)</f>
        <v>1549135.18</v>
      </c>
      <c r="C8" s="43">
        <f t="shared" si="0"/>
        <v>0.46274741896024507</v>
      </c>
      <c r="D8" s="74">
        <f>SUM(D9:D11)</f>
        <v>1010385.46</v>
      </c>
      <c r="E8" s="43">
        <f t="shared" si="0"/>
        <v>0.42630859233704005</v>
      </c>
      <c r="F8" s="107">
        <f t="shared" si="2"/>
        <v>538749.72</v>
      </c>
      <c r="G8" s="43">
        <f t="shared" si="1"/>
        <v>0.53321206740247429</v>
      </c>
    </row>
    <row r="9" spans="1:9" ht="20.100000000000001" customHeight="1" x14ac:dyDescent="0.3">
      <c r="A9" s="40" t="str">
        <f>BalanceRM!A38</f>
        <v>II. Existencias</v>
      </c>
      <c r="B9" s="73">
        <f>BalanceRM!B38</f>
        <v>1472123.16</v>
      </c>
      <c r="C9" s="44">
        <f t="shared" si="0"/>
        <v>0.43974289750594903</v>
      </c>
      <c r="D9" s="73">
        <f>BalanceRM!D38</f>
        <v>779277.38</v>
      </c>
      <c r="E9" s="44">
        <f t="shared" si="0"/>
        <v>0.32879792520757045</v>
      </c>
      <c r="F9" s="76">
        <f t="shared" si="2"/>
        <v>692845.77999999991</v>
      </c>
      <c r="G9" s="44">
        <f t="shared" si="1"/>
        <v>0.88908750309164608</v>
      </c>
    </row>
    <row r="10" spans="1:9" ht="20.100000000000001" customHeight="1" x14ac:dyDescent="0.3">
      <c r="A10" s="40" t="str">
        <f>BalanceRM!A45</f>
        <v>III. Deudores comerciales y otras cuentas a cobrar</v>
      </c>
      <c r="B10" s="73">
        <f>BalanceRM!B45</f>
        <v>77012.02</v>
      </c>
      <c r="C10" s="44">
        <f t="shared" si="0"/>
        <v>2.3004521454296052E-2</v>
      </c>
      <c r="D10" s="73">
        <f>BalanceRM!D45</f>
        <v>231108.08000000002</v>
      </c>
      <c r="E10" s="44">
        <f t="shared" si="0"/>
        <v>9.7510667129469625E-2</v>
      </c>
      <c r="F10" s="76">
        <f t="shared" si="2"/>
        <v>-154096.06</v>
      </c>
      <c r="G10" s="42">
        <f t="shared" si="1"/>
        <v>-0.66677054302904515</v>
      </c>
    </row>
    <row r="11" spans="1:9" ht="20.100000000000001" hidden="1" customHeight="1" x14ac:dyDescent="0.3">
      <c r="A11" s="40" t="str">
        <f>BalanceRM!A67</f>
        <v>VI. Periodificaciones a corto plazo</v>
      </c>
      <c r="B11" s="73">
        <f>BalanceRM!B67</f>
        <v>0</v>
      </c>
      <c r="C11" s="44">
        <f t="shared" si="0"/>
        <v>0</v>
      </c>
      <c r="D11" s="73">
        <f>BalanceRM!D67</f>
        <v>0</v>
      </c>
      <c r="E11" s="44">
        <f t="shared" si="0"/>
        <v>0</v>
      </c>
      <c r="F11" s="76">
        <f t="shared" si="2"/>
        <v>0</v>
      </c>
      <c r="G11" s="42" t="e">
        <f t="shared" si="1"/>
        <v>#DIV/0!</v>
      </c>
    </row>
    <row r="12" spans="1:9" ht="20.100000000000001" customHeight="1" x14ac:dyDescent="0.3">
      <c r="A12" s="38" t="s">
        <v>140</v>
      </c>
      <c r="B12" s="74">
        <f>SUM(B13:B15)</f>
        <v>1112208.68</v>
      </c>
      <c r="C12" s="39">
        <f t="shared" si="0"/>
        <v>0.33223162359219105</v>
      </c>
      <c r="D12" s="74">
        <f>SUM(D13:D15)</f>
        <v>1613372.63</v>
      </c>
      <c r="E12" s="39">
        <f t="shared" si="0"/>
        <v>0.6807249728340391</v>
      </c>
      <c r="F12" s="74">
        <f t="shared" si="2"/>
        <v>-501163.94999999995</v>
      </c>
      <c r="G12" s="39">
        <f t="shared" si="1"/>
        <v>-0.3106312458021554</v>
      </c>
    </row>
    <row r="13" spans="1:9" ht="20.100000000000001" hidden="1" customHeight="1" x14ac:dyDescent="0.3">
      <c r="A13" s="40" t="str">
        <f>BalanceRM!A117</f>
        <v>II. Provisiones a corto plazo</v>
      </c>
      <c r="B13" s="73">
        <f>BalanceRM!B117</f>
        <v>0</v>
      </c>
      <c r="C13" s="44">
        <f t="shared" si="0"/>
        <v>0</v>
      </c>
      <c r="D13" s="73">
        <f>BalanceRM!D117</f>
        <v>0</v>
      </c>
      <c r="E13" s="44">
        <f t="shared" si="0"/>
        <v>0</v>
      </c>
      <c r="F13" s="76">
        <f t="shared" si="2"/>
        <v>0</v>
      </c>
      <c r="G13" s="42" t="e">
        <f t="shared" si="1"/>
        <v>#DIV/0!</v>
      </c>
    </row>
    <row r="14" spans="1:9" ht="20.100000000000001" customHeight="1" x14ac:dyDescent="0.3">
      <c r="A14" s="40" t="str">
        <f>BalanceRM!A125</f>
        <v>V. Acreedores comerciales y otras cuentas a pagar</v>
      </c>
      <c r="B14" s="73">
        <f>BalanceRM!B125</f>
        <v>1112208.68</v>
      </c>
      <c r="C14" s="44">
        <f t="shared" si="0"/>
        <v>0.33223162359219105</v>
      </c>
      <c r="D14" s="73">
        <f>BalanceRM!D125</f>
        <v>1613372.63</v>
      </c>
      <c r="E14" s="44">
        <f t="shared" si="0"/>
        <v>0.6807249728340391</v>
      </c>
      <c r="F14" s="76">
        <f t="shared" si="2"/>
        <v>-501163.94999999995</v>
      </c>
      <c r="G14" s="42">
        <f t="shared" si="1"/>
        <v>-0.3106312458021554</v>
      </c>
    </row>
    <row r="15" spans="1:9" ht="20.100000000000001" hidden="1" customHeight="1" x14ac:dyDescent="0.3">
      <c r="A15" s="40" t="str">
        <f>BalanceRM!A133</f>
        <v>VI. Periodificaciones a corto plazo</v>
      </c>
      <c r="B15" s="73">
        <f>BalanceRM!B133</f>
        <v>0</v>
      </c>
      <c r="C15" s="42">
        <f t="shared" si="0"/>
        <v>0</v>
      </c>
      <c r="D15" s="73">
        <f>BalanceRM!D133</f>
        <v>0</v>
      </c>
      <c r="E15" s="42">
        <f t="shared" si="0"/>
        <v>0</v>
      </c>
      <c r="F15" s="73">
        <f t="shared" si="2"/>
        <v>0</v>
      </c>
      <c r="G15" s="42" t="e">
        <f t="shared" si="1"/>
        <v>#DIV/0!</v>
      </c>
    </row>
    <row r="16" spans="1:9" ht="20.100000000000001" customHeight="1" x14ac:dyDescent="0.3">
      <c r="A16" s="50" t="s">
        <v>150</v>
      </c>
      <c r="B16" s="72">
        <f>B17-B22</f>
        <v>304820.07</v>
      </c>
      <c r="C16" s="51">
        <f t="shared" si="0"/>
        <v>9.1053836011768349E-2</v>
      </c>
      <c r="D16" s="72">
        <f>D17-D22</f>
        <v>617452.44000000006</v>
      </c>
      <c r="E16" s="51">
        <f t="shared" si="0"/>
        <v>0.26051966398197246</v>
      </c>
      <c r="F16" s="72">
        <f t="shared" si="2"/>
        <v>-312632.37000000005</v>
      </c>
      <c r="G16" s="51">
        <f t="shared" si="1"/>
        <v>-0.50632623623610595</v>
      </c>
    </row>
    <row r="17" spans="1:7" ht="20.100000000000001" customHeight="1" x14ac:dyDescent="0.3">
      <c r="A17" s="38" t="s">
        <v>141</v>
      </c>
      <c r="B17" s="74">
        <f>SUM(B18:B21)</f>
        <v>411122.94</v>
      </c>
      <c r="C17" s="39">
        <f t="shared" si="0"/>
        <v>0.12280792652346047</v>
      </c>
      <c r="D17" s="74">
        <f>SUM(D18:D21)</f>
        <v>677158.3</v>
      </c>
      <c r="E17" s="39">
        <f t="shared" si="0"/>
        <v>0.28571115984026835</v>
      </c>
      <c r="F17" s="74">
        <f t="shared" si="2"/>
        <v>-266035.36000000004</v>
      </c>
      <c r="G17" s="39">
        <f t="shared" si="1"/>
        <v>-0.39287026386592327</v>
      </c>
    </row>
    <row r="18" spans="1:7" ht="20.100000000000001" hidden="1" customHeight="1" x14ac:dyDescent="0.3">
      <c r="A18" s="45" t="str">
        <f>BalanceRM!A37</f>
        <v>I. Activos no corrientes mantenidos para la venta</v>
      </c>
      <c r="B18" s="75">
        <f>BalanceRM!B37</f>
        <v>0</v>
      </c>
      <c r="C18" s="44">
        <f t="shared" si="0"/>
        <v>0</v>
      </c>
      <c r="D18" s="75">
        <f>BalanceRM!D37</f>
        <v>0</v>
      </c>
      <c r="E18" s="48">
        <f t="shared" si="0"/>
        <v>0</v>
      </c>
      <c r="F18" s="73">
        <f t="shared" si="2"/>
        <v>0</v>
      </c>
      <c r="G18" s="42" t="e">
        <f t="shared" si="1"/>
        <v>#DIV/0!</v>
      </c>
    </row>
    <row r="19" spans="1:7" ht="20.100000000000001" hidden="1" customHeight="1" x14ac:dyDescent="0.3">
      <c r="A19" s="46" t="str">
        <f>BalanceRM!A53</f>
        <v>IV. Inversiones en empresas del grupo y asociadas a corto plazo</v>
      </c>
      <c r="B19" s="76">
        <f>BalanceRM!B53</f>
        <v>0</v>
      </c>
      <c r="C19" s="44">
        <f t="shared" si="0"/>
        <v>0</v>
      </c>
      <c r="D19" s="76">
        <f>BalanceRM!D53</f>
        <v>0</v>
      </c>
      <c r="E19" s="48">
        <f t="shared" si="0"/>
        <v>0</v>
      </c>
      <c r="F19" s="73">
        <f t="shared" si="2"/>
        <v>0</v>
      </c>
      <c r="G19" s="42" t="e">
        <f t="shared" si="1"/>
        <v>#DIV/0!</v>
      </c>
    </row>
    <row r="20" spans="1:7" ht="20.100000000000001" hidden="1" customHeight="1" x14ac:dyDescent="0.3">
      <c r="A20" s="46" t="str">
        <f>BalanceRM!A60</f>
        <v>V. Inversiones financieras a corto plazo</v>
      </c>
      <c r="B20" s="76">
        <f>BalanceRM!B60</f>
        <v>0</v>
      </c>
      <c r="C20" s="44">
        <f t="shared" si="0"/>
        <v>0</v>
      </c>
      <c r="D20" s="76">
        <f>BalanceRM!D60</f>
        <v>0</v>
      </c>
      <c r="E20" s="48">
        <f t="shared" si="0"/>
        <v>0</v>
      </c>
      <c r="F20" s="73">
        <f t="shared" si="2"/>
        <v>0</v>
      </c>
      <c r="G20" s="42" t="e">
        <f t="shared" si="1"/>
        <v>#DIV/0!</v>
      </c>
    </row>
    <row r="21" spans="1:7" ht="20.100000000000001" customHeight="1" x14ac:dyDescent="0.3">
      <c r="A21" s="46" t="str">
        <f>BalanceRM!A68</f>
        <v>VII. Efectivo y otros activos líquidos equivalentes</v>
      </c>
      <c r="B21" s="76">
        <f>BalanceRM!B68</f>
        <v>411122.94</v>
      </c>
      <c r="C21" s="44">
        <f t="shared" si="0"/>
        <v>0.12280792652346047</v>
      </c>
      <c r="D21" s="76">
        <f>BalanceRM!D68</f>
        <v>677158.3</v>
      </c>
      <c r="E21" s="48">
        <f t="shared" si="0"/>
        <v>0.28571115984026835</v>
      </c>
      <c r="F21" s="73">
        <f t="shared" si="2"/>
        <v>-266035.36000000004</v>
      </c>
      <c r="G21" s="42">
        <f t="shared" si="1"/>
        <v>-0.39287026386592327</v>
      </c>
    </row>
    <row r="22" spans="1:7" ht="20.100000000000001" customHeight="1" x14ac:dyDescent="0.3">
      <c r="A22" s="38" t="s">
        <v>142</v>
      </c>
      <c r="B22" s="74">
        <f>SUM(B23:B26)</f>
        <v>106302.87</v>
      </c>
      <c r="C22" s="39">
        <f t="shared" si="0"/>
        <v>3.1754090511692125E-2</v>
      </c>
      <c r="D22" s="74">
        <f>SUM(D23:D26)</f>
        <v>59705.86</v>
      </c>
      <c r="E22" s="39">
        <f t="shared" si="0"/>
        <v>2.5191495858295887E-2</v>
      </c>
      <c r="F22" s="74">
        <f t="shared" si="2"/>
        <v>46597.009999999995</v>
      </c>
      <c r="G22" s="39">
        <f t="shared" si="1"/>
        <v>0.78044282420519506</v>
      </c>
    </row>
    <row r="23" spans="1:7" ht="21" hidden="1" customHeight="1" x14ac:dyDescent="0.3">
      <c r="A23" s="47" t="str">
        <f>BalanceRM!A116</f>
        <v>I. Pasivos vinculados con activos no corrientes mantenidos para la venta</v>
      </c>
      <c r="B23" s="77">
        <f>BalanceRM!B116</f>
        <v>0</v>
      </c>
      <c r="C23" s="44">
        <f t="shared" si="0"/>
        <v>0</v>
      </c>
      <c r="D23" s="77">
        <f>BalanceRM!D116</f>
        <v>0</v>
      </c>
      <c r="E23" s="48">
        <f t="shared" si="0"/>
        <v>0</v>
      </c>
      <c r="F23" s="73">
        <f t="shared" si="2"/>
        <v>0</v>
      </c>
      <c r="G23" s="42" t="e">
        <f t="shared" si="1"/>
        <v>#DIV/0!</v>
      </c>
    </row>
    <row r="24" spans="1:7" ht="20.100000000000001" customHeight="1" x14ac:dyDescent="0.3">
      <c r="A24" s="40" t="str">
        <f>BalanceRM!A118</f>
        <v>III. Deudas a corto plazo</v>
      </c>
      <c r="B24" s="73">
        <f>BalanceRM!B118</f>
        <v>106302.87</v>
      </c>
      <c r="C24" s="44">
        <f t="shared" ref="C24:C26" si="3">(B24/B$3)</f>
        <v>3.1754090511692125E-2</v>
      </c>
      <c r="D24" s="73">
        <f>BalanceRM!D118</f>
        <v>59705.86</v>
      </c>
      <c r="E24" s="48">
        <f t="shared" si="0"/>
        <v>2.5191495858295887E-2</v>
      </c>
      <c r="F24" s="73">
        <f t="shared" si="2"/>
        <v>46597.009999999995</v>
      </c>
      <c r="G24" s="42">
        <f t="shared" si="1"/>
        <v>0.78044282420519506</v>
      </c>
    </row>
    <row r="25" spans="1:7" ht="20.100000000000001" hidden="1" customHeight="1" x14ac:dyDescent="0.3">
      <c r="A25" s="40" t="str">
        <f>BalanceRM!A124</f>
        <v xml:space="preserve">IV. Deudas con empresas del grupo y asociadas a corto plazo </v>
      </c>
      <c r="B25" s="73">
        <f>BalanceRM!B124</f>
        <v>0</v>
      </c>
      <c r="C25" s="44">
        <f t="shared" si="3"/>
        <v>0</v>
      </c>
      <c r="D25" s="73">
        <f>BalanceRM!D124</f>
        <v>0</v>
      </c>
      <c r="E25" s="48">
        <f t="shared" ref="E25:E26" si="4">(D25/D$3)</f>
        <v>0</v>
      </c>
      <c r="F25" s="41">
        <f t="shared" si="2"/>
        <v>0</v>
      </c>
      <c r="G25" s="42" t="e">
        <f t="shared" si="1"/>
        <v>#DIV/0!</v>
      </c>
    </row>
    <row r="26" spans="1:7" ht="20.100000000000001" hidden="1" customHeight="1" x14ac:dyDescent="0.3">
      <c r="A26" s="40" t="str">
        <f>BalanceRM!A134</f>
        <v xml:space="preserve">VII. Deuda con características especiales a corto plazo  </v>
      </c>
      <c r="B26" s="73">
        <f>BalanceRM!B134</f>
        <v>0</v>
      </c>
      <c r="C26" s="44">
        <f t="shared" si="3"/>
        <v>0</v>
      </c>
      <c r="D26" s="73">
        <f>BalanceRM!D134</f>
        <v>0</v>
      </c>
      <c r="E26" s="48">
        <f t="shared" si="4"/>
        <v>0</v>
      </c>
      <c r="F26" s="41">
        <f t="shared" si="2"/>
        <v>0</v>
      </c>
      <c r="G26" s="42" t="e">
        <f t="shared" si="1"/>
        <v>#DIV/0!</v>
      </c>
    </row>
    <row r="27" spans="1:7" ht="20.100000000000001" customHeight="1" x14ac:dyDescent="0.3"/>
  </sheetData>
  <pageMargins left="0.70866141732283472" right="0.70866141732283472" top="0.74803149606299213" bottom="0.74803149606299213" header="0.31496062992125984" footer="0.31496062992125984"/>
  <pageSetup paperSize="9" scale="64" orientation="portrait" r:id="rId1"/>
  <ignoredErrors>
    <ignoredError sqref="D3:D15 C4:C22 E4 D21:D24"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F702-1CD8-40A7-AB07-EF65601A0A75}">
  <sheetPr>
    <pageSetUpPr fitToPage="1"/>
  </sheetPr>
  <dimension ref="A1:N77"/>
  <sheetViews>
    <sheetView topLeftCell="A10" zoomScale="89" zoomScaleNormal="100" workbookViewId="0">
      <selection activeCell="A16" sqref="A16"/>
    </sheetView>
  </sheetViews>
  <sheetFormatPr baseColWidth="10" defaultColWidth="11.5546875" defaultRowHeight="14.4" x14ac:dyDescent="0.3"/>
  <cols>
    <col min="1" max="1" width="76.109375" style="117" customWidth="1"/>
    <col min="2" max="2" width="20.44140625" style="130" customWidth="1"/>
    <col min="3" max="3" width="13.5546875" style="117" hidden="1" customWidth="1"/>
    <col min="4" max="4" width="21" style="130" customWidth="1"/>
    <col min="5" max="16384" width="11.5546875" style="117"/>
  </cols>
  <sheetData>
    <row r="1" spans="1:14" ht="26.4" customHeight="1" x14ac:dyDescent="0.3">
      <c r="A1" s="139" t="s">
        <v>300</v>
      </c>
      <c r="B1" s="140"/>
      <c r="D1" s="117"/>
    </row>
    <row r="2" spans="1:14" ht="28.2" customHeight="1" x14ac:dyDescent="0.3">
      <c r="A2" s="131" t="str">
        <f>BalanceRM!A2</f>
        <v>PERFUMERIAS PRIMOR</v>
      </c>
      <c r="B2" s="118">
        <f>BalanceRM!B3</f>
        <v>2019</v>
      </c>
      <c r="D2" s="138">
        <f>BalanceRM!D3</f>
        <v>2018</v>
      </c>
      <c r="J2" s="244"/>
      <c r="K2" s="244"/>
      <c r="L2" s="244"/>
      <c r="M2" s="244"/>
      <c r="N2" s="244"/>
    </row>
    <row r="3" spans="1:14" ht="18.45" customHeight="1" x14ac:dyDescent="0.3">
      <c r="A3" s="119" t="s">
        <v>236</v>
      </c>
      <c r="B3" s="132">
        <f>B30</f>
        <v>-422146.0199999999</v>
      </c>
      <c r="C3" s="137"/>
      <c r="D3" s="132">
        <f>D30</f>
        <v>970548.25000000035</v>
      </c>
      <c r="H3" s="138">
        <v>2019</v>
      </c>
      <c r="I3" s="138">
        <v>2018</v>
      </c>
      <c r="J3" s="244"/>
      <c r="K3" s="244"/>
      <c r="L3" s="244"/>
      <c r="M3" s="244"/>
      <c r="N3" s="244"/>
    </row>
    <row r="4" spans="1:14" ht="19.95" customHeight="1" x14ac:dyDescent="0.3">
      <c r="A4" s="120" t="s">
        <v>237</v>
      </c>
      <c r="B4" s="133">
        <f>PyGRM!B55</f>
        <v>517230.43000000005</v>
      </c>
      <c r="C4" s="133">
        <f>PyGRM!C55</f>
        <v>0</v>
      </c>
      <c r="D4" s="133">
        <f>PyGRM!D55</f>
        <v>265884.58000000042</v>
      </c>
      <c r="E4" s="253" t="s">
        <v>359</v>
      </c>
      <c r="F4" s="253"/>
      <c r="G4" s="253"/>
      <c r="H4" s="245">
        <f>B4+B5</f>
        <v>749878.44000000006</v>
      </c>
      <c r="I4" s="245">
        <f>D4+D5</f>
        <v>349760.63000000041</v>
      </c>
      <c r="J4" s="244"/>
      <c r="K4" s="244"/>
      <c r="L4" s="244"/>
      <c r="M4" s="244"/>
      <c r="N4" s="244"/>
    </row>
    <row r="5" spans="1:14" ht="21" customHeight="1" x14ac:dyDescent="0.3">
      <c r="A5" s="120" t="s">
        <v>238</v>
      </c>
      <c r="B5" s="133">
        <f t="shared" ref="B5:C5" si="0">SUM(B6:B16)</f>
        <v>232648.00999999998</v>
      </c>
      <c r="C5" s="133">
        <f t="shared" si="0"/>
        <v>0</v>
      </c>
      <c r="D5" s="133">
        <f>SUM(D6:D16)</f>
        <v>83876.05</v>
      </c>
      <c r="E5" s="253" t="s">
        <v>346</v>
      </c>
      <c r="F5" s="253"/>
      <c r="G5" s="253"/>
      <c r="H5" s="245">
        <f>B4+B5+B24</f>
        <v>617767.65</v>
      </c>
      <c r="I5" s="245">
        <f>D4+D5+D24</f>
        <v>338547.50000000041</v>
      </c>
      <c r="J5" s="244"/>
      <c r="K5" s="244"/>
      <c r="L5" s="244"/>
      <c r="M5" s="244"/>
      <c r="N5" s="244"/>
    </row>
    <row r="6" spans="1:14" ht="25.2" customHeight="1" x14ac:dyDescent="0.3">
      <c r="A6" s="121" t="s">
        <v>239</v>
      </c>
      <c r="B6" s="134">
        <f>-PyGRM!B26</f>
        <v>145351.46</v>
      </c>
      <c r="C6" s="134">
        <f>-PyGRM!C26</f>
        <v>0</v>
      </c>
      <c r="D6" s="134">
        <f>-PyGRM!D26</f>
        <v>81239.839999999997</v>
      </c>
      <c r="E6" s="253" t="s">
        <v>361</v>
      </c>
      <c r="F6" s="253"/>
      <c r="G6" s="253"/>
      <c r="H6" s="245">
        <f>B4+B5+B17+B24</f>
        <v>-422146.0199999999</v>
      </c>
      <c r="I6" s="245">
        <f>D4+D5+D17+D24</f>
        <v>970548.25000000035</v>
      </c>
      <c r="J6" s="244"/>
      <c r="K6" s="244"/>
      <c r="L6" s="244"/>
      <c r="M6" s="244"/>
      <c r="N6" s="244"/>
    </row>
    <row r="7" spans="1:14" ht="18.600000000000001" customHeight="1" x14ac:dyDescent="0.3">
      <c r="A7" s="122" t="s">
        <v>240</v>
      </c>
      <c r="B7" s="134"/>
      <c r="C7" s="134"/>
      <c r="D7" s="134"/>
      <c r="J7" s="244"/>
      <c r="K7" s="244"/>
      <c r="L7" s="244"/>
      <c r="M7" s="244"/>
      <c r="N7" s="244"/>
    </row>
    <row r="8" spans="1:14" ht="32.4" customHeight="1" x14ac:dyDescent="0.3">
      <c r="A8" s="121" t="s">
        <v>241</v>
      </c>
      <c r="B8" s="134"/>
      <c r="C8" s="134"/>
      <c r="D8" s="134"/>
      <c r="J8" s="244"/>
      <c r="K8" s="244"/>
      <c r="L8" s="244"/>
      <c r="M8" s="244"/>
      <c r="N8" s="244"/>
    </row>
    <row r="9" spans="1:14" ht="24" customHeight="1" x14ac:dyDescent="0.3">
      <c r="A9" s="121" t="s">
        <v>242</v>
      </c>
      <c r="B9" s="134">
        <f>-PyGRM!B27</f>
        <v>-975.75</v>
      </c>
      <c r="C9" s="134">
        <f>-PyGRM!C27</f>
        <v>0</v>
      </c>
      <c r="D9" s="134">
        <f>-PyGRM!D27</f>
        <v>0</v>
      </c>
      <c r="F9" s="254" t="s">
        <v>360</v>
      </c>
      <c r="G9" s="254"/>
      <c r="H9" s="254"/>
      <c r="J9" s="244"/>
      <c r="K9" s="244"/>
      <c r="L9" s="244"/>
      <c r="M9" s="244"/>
      <c r="N9" s="244"/>
    </row>
    <row r="10" spans="1:14" ht="24.6" customHeight="1" x14ac:dyDescent="0.3">
      <c r="A10" s="123" t="s">
        <v>302</v>
      </c>
      <c r="B10" s="134"/>
      <c r="C10" s="134"/>
      <c r="D10" s="134"/>
      <c r="F10" s="254"/>
      <c r="G10" s="254"/>
      <c r="H10" s="254"/>
      <c r="J10" s="244"/>
      <c r="K10" s="244"/>
      <c r="L10" s="244"/>
      <c r="M10" s="244"/>
      <c r="N10" s="244"/>
    </row>
    <row r="11" spans="1:14" ht="18" customHeight="1" x14ac:dyDescent="0.3">
      <c r="A11" s="121" t="s">
        <v>243</v>
      </c>
      <c r="B11" s="134"/>
      <c r="C11" s="134"/>
      <c r="D11" s="134"/>
      <c r="J11" s="244"/>
      <c r="K11" s="244"/>
      <c r="L11" s="244"/>
      <c r="M11" s="244"/>
      <c r="N11" s="244"/>
    </row>
    <row r="12" spans="1:14" ht="20.399999999999999" customHeight="1" x14ac:dyDescent="0.3">
      <c r="A12" s="121" t="s">
        <v>303</v>
      </c>
      <c r="B12" s="134"/>
      <c r="C12" s="134"/>
      <c r="D12" s="134"/>
      <c r="J12" s="244"/>
      <c r="K12" s="244"/>
      <c r="L12" s="244"/>
      <c r="M12" s="244"/>
      <c r="N12" s="244"/>
    </row>
    <row r="13" spans="1:14" ht="18.600000000000001" customHeight="1" x14ac:dyDescent="0.3">
      <c r="A13" s="121" t="s">
        <v>244</v>
      </c>
      <c r="B13" s="134">
        <f>-PyGRM!B43</f>
        <v>5024.6099999999997</v>
      </c>
      <c r="C13" s="134">
        <f>-PyGRM!C43</f>
        <v>0</v>
      </c>
      <c r="D13" s="134">
        <f>-PyGRM!D43</f>
        <v>3115.72</v>
      </c>
    </row>
    <row r="14" spans="1:14" ht="17.399999999999999" customHeight="1" x14ac:dyDescent="0.3">
      <c r="A14" s="121" t="s">
        <v>245</v>
      </c>
      <c r="B14" s="134"/>
      <c r="C14" s="134"/>
      <c r="D14" s="134"/>
    </row>
    <row r="15" spans="1:14" ht="18" customHeight="1" x14ac:dyDescent="0.3">
      <c r="A15" s="121" t="s">
        <v>246</v>
      </c>
      <c r="B15" s="134"/>
      <c r="C15" s="134"/>
      <c r="D15" s="134"/>
    </row>
    <row r="16" spans="1:14" ht="16.8" customHeight="1" x14ac:dyDescent="0.3">
      <c r="A16" s="121" t="s">
        <v>247</v>
      </c>
      <c r="B16" s="134">
        <f>-PyGRM!B33</f>
        <v>83247.69</v>
      </c>
      <c r="C16" s="134">
        <f>-PyGRM!C33</f>
        <v>0</v>
      </c>
      <c r="D16" s="134">
        <f>-PyGRM!D33</f>
        <v>-479.51</v>
      </c>
    </row>
    <row r="17" spans="1:4" x14ac:dyDescent="0.3">
      <c r="A17" s="120" t="s">
        <v>248</v>
      </c>
      <c r="B17" s="133">
        <f t="shared" ref="B17:C17" si="1">SUM(B18:B23)</f>
        <v>-1039913.6699999999</v>
      </c>
      <c r="C17" s="133">
        <f t="shared" si="1"/>
        <v>632000.75</v>
      </c>
      <c r="D17" s="133">
        <f>SUM(D18:D23)</f>
        <v>632000.75</v>
      </c>
    </row>
    <row r="18" spans="1:4" x14ac:dyDescent="0.3">
      <c r="A18" s="121" t="s">
        <v>301</v>
      </c>
      <c r="B18" s="134">
        <f>-(BalanceRM!B38-BalanceRM!D38)</f>
        <v>-692845.77999999991</v>
      </c>
      <c r="C18" s="134">
        <f t="shared" ref="C18" si="2">-(779277.38-835212.55)</f>
        <v>55935.170000000042</v>
      </c>
      <c r="D18" s="134">
        <f>-(779277.38-835212.55)</f>
        <v>55935.170000000042</v>
      </c>
    </row>
    <row r="19" spans="1:4" x14ac:dyDescent="0.3">
      <c r="A19" s="121" t="s">
        <v>249</v>
      </c>
      <c r="B19" s="134">
        <f>-(BalanceRM!B45-BalanceRM!D45)</f>
        <v>154096.06</v>
      </c>
      <c r="C19" s="134">
        <f t="shared" ref="C19" si="3">-(231108.08-162445.4)</f>
        <v>-68662.679999999993</v>
      </c>
      <c r="D19" s="134">
        <f>-(231108.08-162445.4)</f>
        <v>-68662.679999999993</v>
      </c>
    </row>
    <row r="20" spans="1:4" ht="18" customHeight="1" x14ac:dyDescent="0.3">
      <c r="A20" s="121" t="s">
        <v>250</v>
      </c>
      <c r="B20" s="134"/>
      <c r="C20" s="134"/>
      <c r="D20" s="134"/>
    </row>
    <row r="21" spans="1:4" ht="16.95" customHeight="1" x14ac:dyDescent="0.3">
      <c r="A21" s="124" t="s">
        <v>251</v>
      </c>
      <c r="B21" s="134">
        <f>(BalanceRM!B125-BalanceRM!D125)</f>
        <v>-501163.94999999995</v>
      </c>
      <c r="C21" s="134">
        <f t="shared" ref="C21" si="4">1613372.63-968644.37</f>
        <v>644728.25999999989</v>
      </c>
      <c r="D21" s="134">
        <f>1613372.63-968644.37</f>
        <v>644728.25999999989</v>
      </c>
    </row>
    <row r="22" spans="1:4" hidden="1" x14ac:dyDescent="0.3">
      <c r="A22" s="121" t="s">
        <v>252</v>
      </c>
      <c r="B22" s="134"/>
      <c r="C22" s="134"/>
      <c r="D22" s="134"/>
    </row>
    <row r="23" spans="1:4" hidden="1" x14ac:dyDescent="0.3">
      <c r="A23" s="121" t="s">
        <v>253</v>
      </c>
      <c r="B23" s="134"/>
      <c r="C23" s="134"/>
      <c r="D23" s="134"/>
    </row>
    <row r="24" spans="1:4" x14ac:dyDescent="0.3">
      <c r="A24" s="120" t="s">
        <v>254</v>
      </c>
      <c r="B24" s="133">
        <f t="shared" ref="B24:C24" si="5">SUM(B25:B29)</f>
        <v>-132110.79</v>
      </c>
      <c r="C24" s="133">
        <f t="shared" si="5"/>
        <v>0</v>
      </c>
      <c r="D24" s="133">
        <f>SUM(D25:D29)</f>
        <v>-11213.13</v>
      </c>
    </row>
    <row r="25" spans="1:4" x14ac:dyDescent="0.3">
      <c r="A25" s="121" t="s">
        <v>255</v>
      </c>
      <c r="B25" s="134">
        <f t="shared" ref="B25:C25" si="6">-B13</f>
        <v>-5024.6099999999997</v>
      </c>
      <c r="C25" s="134">
        <f t="shared" si="6"/>
        <v>0</v>
      </c>
      <c r="D25" s="134">
        <f>-D13</f>
        <v>-3115.72</v>
      </c>
    </row>
    <row r="26" spans="1:4" x14ac:dyDescent="0.3">
      <c r="A26" s="121" t="s">
        <v>256</v>
      </c>
      <c r="B26" s="135"/>
      <c r="C26" s="135"/>
      <c r="D26" s="135"/>
    </row>
    <row r="27" spans="1:4" hidden="1" x14ac:dyDescent="0.3">
      <c r="A27" s="121" t="s">
        <v>257</v>
      </c>
      <c r="B27" s="134"/>
      <c r="C27" s="134"/>
      <c r="D27" s="134"/>
    </row>
    <row r="28" spans="1:4" x14ac:dyDescent="0.3">
      <c r="A28" s="121" t="s">
        <v>258</v>
      </c>
      <c r="B28" s="134">
        <f>PyGRM!B56</f>
        <v>-43838.49</v>
      </c>
      <c r="C28" s="134">
        <f>PyGRM!C56</f>
        <v>0</v>
      </c>
      <c r="D28" s="134">
        <f>PyGRM!D56</f>
        <v>-8576.92</v>
      </c>
    </row>
    <row r="29" spans="1:4" ht="18" customHeight="1" x14ac:dyDescent="0.3">
      <c r="A29" s="121" t="s">
        <v>259</v>
      </c>
      <c r="B29" s="134">
        <f>PyGRM!B33</f>
        <v>-83247.69</v>
      </c>
      <c r="C29" s="134">
        <f>PyGRM!C33</f>
        <v>0</v>
      </c>
      <c r="D29" s="134">
        <f>PyGRM!D33</f>
        <v>479.51</v>
      </c>
    </row>
    <row r="30" spans="1:4" ht="20.7" customHeight="1" x14ac:dyDescent="0.3">
      <c r="A30" s="125" t="s">
        <v>260</v>
      </c>
      <c r="B30" s="136">
        <f t="shared" ref="B30:C30" si="7">B4+B5+B17+B24</f>
        <v>-422146.0199999999</v>
      </c>
      <c r="C30" s="136">
        <f t="shared" si="7"/>
        <v>632000.75</v>
      </c>
      <c r="D30" s="136">
        <f>D4+D5+D17+D24</f>
        <v>970548.25000000035</v>
      </c>
    </row>
    <row r="31" spans="1:4" ht="19.95" customHeight="1" x14ac:dyDescent="0.3">
      <c r="A31" s="119" t="s">
        <v>261</v>
      </c>
      <c r="B31" s="132">
        <f t="shared" ref="B31:C31" si="8">B48</f>
        <v>-551620.15999999992</v>
      </c>
      <c r="C31" s="132">
        <f t="shared" si="8"/>
        <v>-406267.69999999995</v>
      </c>
      <c r="D31" s="132">
        <f>D48</f>
        <v>-487506.53999999992</v>
      </c>
    </row>
    <row r="32" spans="1:4" x14ac:dyDescent="0.3">
      <c r="A32" s="120" t="s">
        <v>262</v>
      </c>
      <c r="B32" s="133">
        <f t="shared" ref="B32:C32" si="9">SUM(B33:B39)</f>
        <v>-551620.15999999992</v>
      </c>
      <c r="C32" s="133">
        <f t="shared" si="9"/>
        <v>-406267.69999999995</v>
      </c>
      <c r="D32" s="133">
        <f>SUM(D33:D39)</f>
        <v>-487506.53999999992</v>
      </c>
    </row>
    <row r="33" spans="1:4" hidden="1" x14ac:dyDescent="0.3">
      <c r="A33" s="121" t="s">
        <v>263</v>
      </c>
      <c r="B33" s="134"/>
      <c r="C33" s="134"/>
      <c r="D33" s="134"/>
    </row>
    <row r="34" spans="1:4" x14ac:dyDescent="0.3">
      <c r="A34" s="121" t="s">
        <v>264</v>
      </c>
      <c r="B34" s="134"/>
      <c r="C34" s="134"/>
      <c r="D34" s="134"/>
    </row>
    <row r="35" spans="1:4" x14ac:dyDescent="0.3">
      <c r="A35" s="121" t="s">
        <v>265</v>
      </c>
      <c r="B35" s="134">
        <f t="shared" ref="B35:C35" si="10">-(682536.22-276269.52)-B6</f>
        <v>-551618.15999999992</v>
      </c>
      <c r="C35" s="134">
        <f t="shared" si="10"/>
        <v>-406266.69999999995</v>
      </c>
      <c r="D35" s="134">
        <f>-(682536.22-276269.52)-D6</f>
        <v>-487506.53999999992</v>
      </c>
    </row>
    <row r="36" spans="1:4" hidden="1" x14ac:dyDescent="0.3">
      <c r="A36" s="121" t="s">
        <v>266</v>
      </c>
      <c r="B36" s="135"/>
      <c r="C36" s="135"/>
      <c r="D36" s="135"/>
    </row>
    <row r="37" spans="1:4" x14ac:dyDescent="0.3">
      <c r="A37" s="121" t="s">
        <v>267</v>
      </c>
      <c r="B37" s="134">
        <v>-2</v>
      </c>
      <c r="C37" s="134">
        <v>-1</v>
      </c>
      <c r="D37" s="134">
        <v>0</v>
      </c>
    </row>
    <row r="38" spans="1:4" ht="17.399999999999999" hidden="1" customHeight="1" x14ac:dyDescent="0.3">
      <c r="A38" s="121" t="s">
        <v>268</v>
      </c>
      <c r="B38" s="134"/>
      <c r="C38" s="134"/>
      <c r="D38" s="134"/>
    </row>
    <row r="39" spans="1:4" ht="16.95" hidden="1" customHeight="1" x14ac:dyDescent="0.3">
      <c r="A39" s="121" t="s">
        <v>269</v>
      </c>
      <c r="B39" s="135"/>
      <c r="C39" s="135"/>
      <c r="D39" s="135"/>
    </row>
    <row r="40" spans="1:4" x14ac:dyDescent="0.3">
      <c r="A40" s="120" t="s">
        <v>270</v>
      </c>
      <c r="B40" s="133">
        <f t="shared" ref="B40:C40" si="11">SUM(B41:B46)</f>
        <v>0</v>
      </c>
      <c r="C40" s="133">
        <f t="shared" si="11"/>
        <v>0</v>
      </c>
      <c r="D40" s="133">
        <f>SUM(D41:D46)</f>
        <v>0</v>
      </c>
    </row>
    <row r="41" spans="1:4" hidden="1" x14ac:dyDescent="0.3">
      <c r="A41" s="121" t="s">
        <v>263</v>
      </c>
      <c r="B41" s="134"/>
      <c r="C41" s="134"/>
      <c r="D41" s="134"/>
    </row>
    <row r="42" spans="1:4" hidden="1" x14ac:dyDescent="0.3">
      <c r="A42" s="121" t="s">
        <v>264</v>
      </c>
      <c r="B42" s="134"/>
      <c r="C42" s="134"/>
      <c r="D42" s="134"/>
    </row>
    <row r="43" spans="1:4" hidden="1" x14ac:dyDescent="0.3">
      <c r="A43" s="123" t="s">
        <v>271</v>
      </c>
      <c r="B43" s="134"/>
      <c r="C43" s="134"/>
      <c r="D43" s="134"/>
    </row>
    <row r="44" spans="1:4" hidden="1" x14ac:dyDescent="0.3">
      <c r="A44" s="121" t="s">
        <v>266</v>
      </c>
      <c r="B44" s="134"/>
      <c r="C44" s="134"/>
      <c r="D44" s="134"/>
    </row>
    <row r="45" spans="1:4" x14ac:dyDescent="0.3">
      <c r="A45" s="121" t="s">
        <v>267</v>
      </c>
      <c r="B45" s="134"/>
      <c r="C45" s="134"/>
      <c r="D45" s="134"/>
    </row>
    <row r="46" spans="1:4" hidden="1" x14ac:dyDescent="0.3">
      <c r="A46" s="121" t="s">
        <v>272</v>
      </c>
      <c r="B46" s="134"/>
      <c r="C46" s="134"/>
      <c r="D46" s="134"/>
    </row>
    <row r="47" spans="1:4" ht="21" hidden="1" customHeight="1" x14ac:dyDescent="0.3">
      <c r="A47" s="121" t="s">
        <v>269</v>
      </c>
      <c r="B47" s="135"/>
      <c r="C47" s="135"/>
      <c r="D47" s="135"/>
    </row>
    <row r="48" spans="1:4" ht="21" customHeight="1" x14ac:dyDescent="0.3">
      <c r="A48" s="126" t="s">
        <v>273</v>
      </c>
      <c r="B48" s="136">
        <f t="shared" ref="B48:C48" si="12">B40+B32</f>
        <v>-551620.15999999992</v>
      </c>
      <c r="C48" s="136">
        <f t="shared" si="12"/>
        <v>-406267.69999999995</v>
      </c>
      <c r="D48" s="136">
        <f>D40+D32</f>
        <v>-487506.53999999992</v>
      </c>
    </row>
    <row r="49" spans="1:5" ht="22.95" customHeight="1" x14ac:dyDescent="0.3">
      <c r="A49" s="119" t="s">
        <v>274</v>
      </c>
      <c r="B49" s="132">
        <f t="shared" ref="B49:C49" si="13">B70</f>
        <v>-49599.840000000011</v>
      </c>
      <c r="C49" s="132">
        <f t="shared" si="13"/>
        <v>-49598.840000000011</v>
      </c>
      <c r="D49" s="132">
        <f>D70</f>
        <v>-49597.840000000011</v>
      </c>
    </row>
    <row r="50" spans="1:5" x14ac:dyDescent="0.3">
      <c r="A50" s="120" t="s">
        <v>275</v>
      </c>
      <c r="B50" s="133">
        <f t="shared" ref="B50:C50" si="14">SUM(B51:B55)</f>
        <v>-2</v>
      </c>
      <c r="C50" s="133">
        <f t="shared" si="14"/>
        <v>-1</v>
      </c>
      <c r="D50" s="133">
        <f>SUM(D51:D55)</f>
        <v>0</v>
      </c>
    </row>
    <row r="51" spans="1:5" x14ac:dyDescent="0.3">
      <c r="A51" s="121" t="s">
        <v>276</v>
      </c>
      <c r="B51" s="134"/>
      <c r="C51" s="134"/>
      <c r="D51" s="134"/>
    </row>
    <row r="52" spans="1:5" x14ac:dyDescent="0.3">
      <c r="A52" s="121" t="s">
        <v>277</v>
      </c>
      <c r="B52" s="134"/>
      <c r="C52" s="134"/>
      <c r="D52" s="134"/>
    </row>
    <row r="53" spans="1:5" x14ac:dyDescent="0.3">
      <c r="A53" s="121" t="s">
        <v>278</v>
      </c>
      <c r="B53" s="135"/>
      <c r="C53" s="135"/>
      <c r="D53" s="135"/>
    </row>
    <row r="54" spans="1:5" x14ac:dyDescent="0.3">
      <c r="A54" s="121" t="s">
        <v>279</v>
      </c>
      <c r="B54" s="135"/>
      <c r="C54" s="135"/>
      <c r="D54" s="135"/>
    </row>
    <row r="55" spans="1:5" x14ac:dyDescent="0.3">
      <c r="A55" s="121" t="s">
        <v>280</v>
      </c>
      <c r="B55" s="134">
        <v>-2</v>
      </c>
      <c r="C55" s="134">
        <v>-1</v>
      </c>
      <c r="D55" s="134">
        <v>0</v>
      </c>
    </row>
    <row r="56" spans="1:5" x14ac:dyDescent="0.3">
      <c r="A56" s="120" t="s">
        <v>281</v>
      </c>
      <c r="B56" s="133">
        <f t="shared" ref="B56:C56" si="15">B57+B62</f>
        <v>-49597.840000000011</v>
      </c>
      <c r="C56" s="133">
        <f t="shared" si="15"/>
        <v>-49597.840000000011</v>
      </c>
      <c r="D56" s="133">
        <f>D57+D62</f>
        <v>-49597.840000000011</v>
      </c>
    </row>
    <row r="57" spans="1:5" x14ac:dyDescent="0.3">
      <c r="A57" s="121" t="s">
        <v>282</v>
      </c>
      <c r="B57" s="135">
        <f t="shared" ref="B57:C57" si="16">SUM(B58:B61)</f>
        <v>3402.6299999999992</v>
      </c>
      <c r="C57" s="135">
        <f t="shared" si="16"/>
        <v>3402.6299999999992</v>
      </c>
      <c r="D57" s="135">
        <f>SUM(D58:D61)</f>
        <v>3402.6299999999992</v>
      </c>
    </row>
    <row r="58" spans="1:5" x14ac:dyDescent="0.3">
      <c r="A58" s="127" t="s">
        <v>283</v>
      </c>
      <c r="B58" s="135"/>
      <c r="C58" s="135"/>
      <c r="D58" s="135"/>
    </row>
    <row r="59" spans="1:5" x14ac:dyDescent="0.3">
      <c r="A59" s="127" t="s">
        <v>284</v>
      </c>
      <c r="B59" s="135"/>
      <c r="C59" s="135"/>
      <c r="D59" s="135"/>
    </row>
    <row r="60" spans="1:5" x14ac:dyDescent="0.3">
      <c r="A60" s="127" t="s">
        <v>285</v>
      </c>
      <c r="B60" s="135"/>
      <c r="C60" s="135"/>
      <c r="D60" s="135"/>
    </row>
    <row r="61" spans="1:5" x14ac:dyDescent="0.3">
      <c r="A61" s="127" t="s">
        <v>286</v>
      </c>
      <c r="B61" s="135">
        <f t="shared" ref="B61:C61" si="17">10064.15-6661.52</f>
        <v>3402.6299999999992</v>
      </c>
      <c r="C61" s="135">
        <f t="shared" si="17"/>
        <v>3402.6299999999992</v>
      </c>
      <c r="D61" s="135">
        <f>10064.15-6661.52</f>
        <v>3402.6299999999992</v>
      </c>
    </row>
    <row r="62" spans="1:5" x14ac:dyDescent="0.3">
      <c r="A62" s="121" t="s">
        <v>287</v>
      </c>
      <c r="B62" s="135">
        <f t="shared" ref="B62:C62" si="18">SUM(B63:B66)</f>
        <v>-53000.470000000008</v>
      </c>
      <c r="C62" s="135">
        <f t="shared" si="18"/>
        <v>-53000.470000000008</v>
      </c>
      <c r="D62" s="135">
        <f>SUM(D63:D66)</f>
        <v>-53000.470000000008</v>
      </c>
    </row>
    <row r="63" spans="1:5" x14ac:dyDescent="0.3">
      <c r="A63" s="127" t="s">
        <v>288</v>
      </c>
      <c r="B63" s="135"/>
      <c r="C63" s="135"/>
      <c r="D63" s="135"/>
    </row>
    <row r="64" spans="1:5" x14ac:dyDescent="0.3">
      <c r="A64" s="127" t="s">
        <v>289</v>
      </c>
      <c r="B64" s="135">
        <f t="shared" ref="B64:C64" si="19">127185.99-176827.7+(49641.71-53000.47)</f>
        <v>-53000.470000000008</v>
      </c>
      <c r="C64" s="135">
        <f t="shared" si="19"/>
        <v>-53000.470000000008</v>
      </c>
      <c r="D64" s="135">
        <f>127185.99-176827.7+(49641.71-53000.47)</f>
        <v>-53000.470000000008</v>
      </c>
      <c r="E64" s="135"/>
    </row>
    <row r="65" spans="1:4" ht="16.2" customHeight="1" x14ac:dyDescent="0.3">
      <c r="A65" s="127" t="s">
        <v>290</v>
      </c>
      <c r="B65" s="135"/>
      <c r="C65" s="135"/>
      <c r="D65" s="135"/>
    </row>
    <row r="66" spans="1:4" x14ac:dyDescent="0.3">
      <c r="A66" s="127" t="s">
        <v>291</v>
      </c>
      <c r="B66" s="135"/>
      <c r="C66" s="135"/>
      <c r="D66" s="135"/>
    </row>
    <row r="67" spans="1:4" x14ac:dyDescent="0.3">
      <c r="A67" s="120" t="s">
        <v>292</v>
      </c>
      <c r="B67" s="133">
        <f t="shared" ref="B67:C67" si="20">SUM(B68:B69)</f>
        <v>0</v>
      </c>
      <c r="C67" s="133">
        <f t="shared" si="20"/>
        <v>0</v>
      </c>
      <c r="D67" s="133">
        <f>SUM(D68:D69)</f>
        <v>0</v>
      </c>
    </row>
    <row r="68" spans="1:4" x14ac:dyDescent="0.3">
      <c r="A68" s="121" t="s">
        <v>293</v>
      </c>
      <c r="B68" s="135"/>
      <c r="C68" s="135"/>
      <c r="D68" s="135"/>
    </row>
    <row r="69" spans="1:4" x14ac:dyDescent="0.3">
      <c r="A69" s="121" t="s">
        <v>294</v>
      </c>
      <c r="B69" s="135"/>
      <c r="C69" s="135"/>
      <c r="D69" s="135"/>
    </row>
    <row r="70" spans="1:4" ht="24" customHeight="1" x14ac:dyDescent="0.3">
      <c r="A70" s="125" t="s">
        <v>295</v>
      </c>
      <c r="B70" s="136">
        <f t="shared" ref="B70:C70" si="21">B50+B56+B67</f>
        <v>-49599.840000000011</v>
      </c>
      <c r="C70" s="136">
        <f t="shared" si="21"/>
        <v>-49598.840000000011</v>
      </c>
      <c r="D70" s="136">
        <f>D50+D56+D67</f>
        <v>-49597.840000000011</v>
      </c>
    </row>
    <row r="71" spans="1:4" ht="20.399999999999999" customHeight="1" x14ac:dyDescent="0.3">
      <c r="A71" s="128" t="s">
        <v>296</v>
      </c>
      <c r="B71" s="135"/>
      <c r="C71" s="135"/>
      <c r="D71" s="135"/>
    </row>
    <row r="72" spans="1:4" ht="24.6" customHeight="1" x14ac:dyDescent="0.3">
      <c r="A72" s="119" t="s">
        <v>297</v>
      </c>
      <c r="B72" s="132">
        <f t="shared" ref="B72:C72" si="22">B30+B31+B49</f>
        <v>-1023366.0199999998</v>
      </c>
      <c r="C72" s="132">
        <f t="shared" si="22"/>
        <v>176134.21000000002</v>
      </c>
      <c r="D72" s="132">
        <f>D30+D31+D49</f>
        <v>433443.8700000004</v>
      </c>
    </row>
    <row r="73" spans="1:4" x14ac:dyDescent="0.3">
      <c r="A73" s="127" t="s">
        <v>298</v>
      </c>
      <c r="B73" s="134">
        <v>243712.43</v>
      </c>
      <c r="C73" s="134">
        <v>243713.43</v>
      </c>
      <c r="D73" s="134">
        <v>243714.43</v>
      </c>
    </row>
    <row r="74" spans="1:4" x14ac:dyDescent="0.3">
      <c r="A74" s="127" t="s">
        <v>299</v>
      </c>
      <c r="B74" s="134">
        <f>BalanceRM!B68</f>
        <v>411122.94</v>
      </c>
      <c r="C74" s="134">
        <f>BalanceRM!C68</f>
        <v>0.12280792652346047</v>
      </c>
      <c r="D74" s="134">
        <f>BalanceRM!D68</f>
        <v>677158.3</v>
      </c>
    </row>
    <row r="75" spans="1:4" x14ac:dyDescent="0.3">
      <c r="A75" s="129"/>
      <c r="B75" s="133">
        <f t="shared" ref="B75:C75" si="23">B74-B73</f>
        <v>167410.51</v>
      </c>
      <c r="C75" s="133">
        <f t="shared" si="23"/>
        <v>-243713.30719207347</v>
      </c>
      <c r="D75" s="133">
        <f>D74-D73</f>
        <v>433443.87000000005</v>
      </c>
    </row>
    <row r="77" spans="1:4" x14ac:dyDescent="0.3">
      <c r="B77" s="130">
        <f>B72-B75</f>
        <v>-1190776.5299999998</v>
      </c>
      <c r="D77" s="130">
        <f>D72-D75</f>
        <v>0</v>
      </c>
    </row>
  </sheetData>
  <mergeCells count="4">
    <mergeCell ref="E4:G4"/>
    <mergeCell ref="E5:G5"/>
    <mergeCell ref="F9:H10"/>
    <mergeCell ref="E6:G6"/>
  </mergeCells>
  <pageMargins left="0.70866141732283472" right="0.70866141732283472" top="0.74803149606299213" bottom="0.74803149606299213" header="0.31496062992125984" footer="0.31496062992125984"/>
  <pageSetup paperSize="9" scale="6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BalanceRM</vt:lpstr>
      <vt:lpstr>OyA</vt:lpstr>
      <vt:lpstr>PyGRM</vt:lpstr>
      <vt:lpstr>PyG funcional</vt:lpstr>
      <vt:lpstr>Indicadores</vt:lpstr>
      <vt:lpstr>FM</vt:lpstr>
      <vt:lpstr>EFE</vt:lpstr>
    </vt:vector>
  </TitlesOfParts>
  <Company>axesor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rsantiago</dc:creator>
  <cp:lastModifiedBy>Usuario</cp:lastModifiedBy>
  <cp:revision/>
  <cp:lastPrinted>2023-05-28T16:11:40Z</cp:lastPrinted>
  <dcterms:created xsi:type="dcterms:W3CDTF">2009-07-21T11:45:10Z</dcterms:created>
  <dcterms:modified xsi:type="dcterms:W3CDTF">2023-06-08T14:07:36Z</dcterms:modified>
</cp:coreProperties>
</file>