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Usuario\Desktop\David\Inf + Ade\Carrera\4-curso\2 cuatrimestre\EE\Practicas\"/>
    </mc:Choice>
  </mc:AlternateContent>
  <xr:revisionPtr revIDLastSave="0" documentId="13_ncr:1_{DE1C3083-85F1-4EF2-B1A2-C4D55B6FFD99}" xr6:coauthVersionLast="47" xr6:coauthVersionMax="47" xr10:uidLastSave="{00000000-0000-0000-0000-000000000000}"/>
  <bookViews>
    <workbookView xWindow="-108" yWindow="-108" windowWidth="23256" windowHeight="12720" activeTab="3" xr2:uid="{00000000-000D-0000-FFFF-FFFF00000000}"/>
  </bookViews>
  <sheets>
    <sheet name="Tecnicas Basicas" sheetId="1" r:id="rId1"/>
    <sheet name="Ejercicios T1" sheetId="2" r:id="rId2"/>
    <sheet name="Ejercicios T2" sheetId="3" r:id="rId3"/>
    <sheet name="Ejercicios T3" sheetId="5" r:id="rId4"/>
    <sheet name="Ejercicios T4" sheetId="6" r:id="rId5"/>
    <sheet name="Hoja1" sheetId="4"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6" i="5" l="1"/>
  <c r="C357" i="3" l="1"/>
  <c r="C387" i="3"/>
  <c r="D390" i="3"/>
  <c r="C390" i="3"/>
  <c r="D363" i="3"/>
  <c r="C363" i="3"/>
  <c r="D361" i="3"/>
  <c r="I81" i="6"/>
  <c r="D185" i="6"/>
  <c r="D186" i="6"/>
  <c r="D184" i="6"/>
  <c r="C185" i="6"/>
  <c r="C186" i="6"/>
  <c r="C184" i="6"/>
  <c r="D181" i="6"/>
  <c r="D180" i="6"/>
  <c r="D179" i="6"/>
  <c r="C180" i="6"/>
  <c r="C181" i="6"/>
  <c r="C179" i="6"/>
  <c r="D192" i="6"/>
  <c r="C192" i="6"/>
  <c r="C193" i="6" s="1"/>
  <c r="D191" i="6"/>
  <c r="C191" i="6"/>
  <c r="D190" i="6"/>
  <c r="D193" i="6" s="1"/>
  <c r="C190" i="6"/>
  <c r="E151" i="6"/>
  <c r="E148" i="6"/>
  <c r="E147" i="6"/>
  <c r="E146" i="6"/>
  <c r="E145" i="6"/>
  <c r="E144" i="6"/>
  <c r="E124" i="6"/>
  <c r="F122" i="6"/>
  <c r="E122" i="6"/>
  <c r="F121" i="6"/>
  <c r="E121" i="6"/>
  <c r="F120" i="6"/>
  <c r="E120" i="6"/>
  <c r="F119" i="6"/>
  <c r="E119" i="6"/>
  <c r="F118" i="6"/>
  <c r="E118" i="6"/>
  <c r="F117" i="6"/>
  <c r="E117" i="6"/>
  <c r="F116" i="6"/>
  <c r="E116" i="6"/>
  <c r="F115" i="6"/>
  <c r="E115" i="6"/>
  <c r="F114" i="6"/>
  <c r="E114" i="6"/>
  <c r="F113" i="6"/>
  <c r="E113" i="6"/>
  <c r="F112" i="6"/>
  <c r="E112" i="6"/>
  <c r="I82" i="6"/>
  <c r="I80" i="6"/>
  <c r="E86" i="6"/>
  <c r="E84" i="6" s="1"/>
  <c r="E81" i="6" s="1"/>
  <c r="D81" i="6" s="1"/>
  <c r="E25" i="6"/>
  <c r="E26" i="6"/>
  <c r="E27" i="6"/>
  <c r="E28" i="6"/>
  <c r="E29" i="6"/>
  <c r="E30" i="6"/>
  <c r="E24" i="6"/>
  <c r="D25" i="6"/>
  <c r="D26" i="6"/>
  <c r="D27" i="6"/>
  <c r="D28" i="6"/>
  <c r="D29" i="6"/>
  <c r="D30" i="6"/>
  <c r="D24" i="6"/>
  <c r="C25" i="6"/>
  <c r="C26" i="6"/>
  <c r="C27" i="6"/>
  <c r="C28" i="6"/>
  <c r="C29" i="6"/>
  <c r="C30" i="6"/>
  <c r="C24" i="6"/>
  <c r="D41" i="6"/>
  <c r="E41" i="6" s="1"/>
  <c r="C41" i="6"/>
  <c r="E40" i="6"/>
  <c r="D40" i="6"/>
  <c r="C40" i="6"/>
  <c r="E39" i="6"/>
  <c r="D39" i="6"/>
  <c r="C39" i="6"/>
  <c r="D38" i="6"/>
  <c r="E38" i="6" s="1"/>
  <c r="C38" i="6"/>
  <c r="D37" i="6"/>
  <c r="E37" i="6" s="1"/>
  <c r="C37" i="6"/>
  <c r="E36" i="6"/>
  <c r="D36" i="6"/>
  <c r="C36" i="6"/>
  <c r="J244" i="5"/>
  <c r="J245" i="5"/>
  <c r="J246" i="5"/>
  <c r="J247" i="5"/>
  <c r="J248" i="5"/>
  <c r="J249" i="5"/>
  <c r="J250" i="5"/>
  <c r="J251" i="5"/>
  <c r="J252" i="5"/>
  <c r="J253" i="5"/>
  <c r="J243" i="5"/>
  <c r="I253" i="5"/>
  <c r="I244" i="5"/>
  <c r="I245" i="5"/>
  <c r="I246" i="5"/>
  <c r="I247" i="5"/>
  <c r="I248" i="5"/>
  <c r="I249" i="5"/>
  <c r="I250" i="5"/>
  <c r="I251" i="5"/>
  <c r="I252" i="5"/>
  <c r="I243" i="5"/>
  <c r="H244" i="5"/>
  <c r="H245" i="5"/>
  <c r="H246" i="5"/>
  <c r="H247" i="5"/>
  <c r="H248" i="5"/>
  <c r="H249" i="5"/>
  <c r="H250" i="5"/>
  <c r="H251" i="5"/>
  <c r="H252" i="5"/>
  <c r="H243" i="5"/>
  <c r="G244" i="5"/>
  <c r="G245" i="5"/>
  <c r="G246" i="5"/>
  <c r="G247" i="5"/>
  <c r="G248" i="5"/>
  <c r="G249" i="5"/>
  <c r="G250" i="5"/>
  <c r="G251" i="5"/>
  <c r="G252" i="5"/>
  <c r="G253" i="5"/>
  <c r="G243" i="5"/>
  <c r="F244" i="5"/>
  <c r="F245" i="5"/>
  <c r="F246" i="5"/>
  <c r="F247" i="5"/>
  <c r="F248" i="5"/>
  <c r="F249" i="5"/>
  <c r="F250" i="5"/>
  <c r="F251" i="5"/>
  <c r="F252" i="5"/>
  <c r="F253" i="5"/>
  <c r="F243" i="5"/>
  <c r="I228" i="5"/>
  <c r="I229" i="5"/>
  <c r="I230" i="5"/>
  <c r="I231" i="5"/>
  <c r="I227" i="5"/>
  <c r="H228" i="5"/>
  <c r="H229" i="5"/>
  <c r="H230" i="5"/>
  <c r="H231" i="5"/>
  <c r="H227" i="5"/>
  <c r="E228" i="5"/>
  <c r="E229" i="5"/>
  <c r="E230" i="5"/>
  <c r="E231" i="5"/>
  <c r="E227" i="5"/>
  <c r="D231" i="5"/>
  <c r="D228" i="5"/>
  <c r="D229" i="5"/>
  <c r="D230" i="5"/>
  <c r="D227" i="5"/>
  <c r="C228" i="5"/>
  <c r="C229" i="5"/>
  <c r="C230" i="5"/>
  <c r="C231" i="5"/>
  <c r="C227" i="5"/>
  <c r="E218" i="5"/>
  <c r="E219" i="5"/>
  <c r="E220" i="5"/>
  <c r="E221" i="5"/>
  <c r="E217" i="5"/>
  <c r="D218" i="5"/>
  <c r="D219" i="5"/>
  <c r="D220" i="5"/>
  <c r="D221" i="5"/>
  <c r="D217" i="5"/>
  <c r="C218" i="5"/>
  <c r="C219" i="5"/>
  <c r="C220" i="5"/>
  <c r="C221" i="5"/>
  <c r="C217" i="5"/>
  <c r="C172" i="5"/>
  <c r="B172" i="5"/>
  <c r="F161" i="5"/>
  <c r="D161" i="5"/>
  <c r="C161" i="5"/>
  <c r="B161" i="5"/>
  <c r="I146" i="5"/>
  <c r="J146" i="5" s="1"/>
  <c r="I148" i="5" s="1"/>
  <c r="K140" i="5"/>
  <c r="K141" i="5"/>
  <c r="I141" i="5"/>
  <c r="J141" i="5" s="1"/>
  <c r="I140" i="5"/>
  <c r="I113" i="5"/>
  <c r="E113" i="5"/>
  <c r="I116" i="5" s="1"/>
  <c r="E112" i="5"/>
  <c r="L105" i="5"/>
  <c r="L106" i="5"/>
  <c r="K106" i="5"/>
  <c r="K105" i="5"/>
  <c r="K79" i="5"/>
  <c r="K80" i="5"/>
  <c r="K81" i="5"/>
  <c r="K78" i="5"/>
  <c r="F79" i="5"/>
  <c r="J79" i="5" s="1"/>
  <c r="F80" i="5"/>
  <c r="J80" i="5" s="1"/>
  <c r="F81" i="5"/>
  <c r="J81" i="5" s="1"/>
  <c r="F78" i="5"/>
  <c r="J78" i="5" s="1"/>
  <c r="I79" i="5"/>
  <c r="I80" i="5"/>
  <c r="I81" i="5"/>
  <c r="I78" i="5"/>
  <c r="C361" i="3"/>
  <c r="I378" i="3"/>
  <c r="E361" i="3"/>
  <c r="E362" i="3"/>
  <c r="D362" i="3"/>
  <c r="C362" i="3"/>
  <c r="E357" i="3"/>
  <c r="E358" i="3"/>
  <c r="E359" i="3"/>
  <c r="E356" i="3"/>
  <c r="I351" i="3"/>
  <c r="I352" i="3"/>
  <c r="I350" i="3"/>
  <c r="G351" i="3"/>
  <c r="G352" i="3"/>
  <c r="G350" i="3"/>
  <c r="F351" i="3"/>
  <c r="F352" i="3"/>
  <c r="F350" i="3"/>
  <c r="E353" i="3"/>
  <c r="E354" i="3"/>
  <c r="G381" i="3"/>
  <c r="G379" i="3"/>
  <c r="G380" i="3"/>
  <c r="G378" i="3"/>
  <c r="H378" i="3" s="1"/>
  <c r="E379" i="3"/>
  <c r="E380" i="3"/>
  <c r="E381" i="3"/>
  <c r="E378" i="3"/>
  <c r="D388" i="3"/>
  <c r="C388" i="3"/>
  <c r="D387" i="3"/>
  <c r="D386" i="3"/>
  <c r="D389" i="3" s="1"/>
  <c r="C386" i="3"/>
  <c r="C389" i="3" s="1"/>
  <c r="F382" i="3"/>
  <c r="F381" i="3"/>
  <c r="F380" i="3"/>
  <c r="H380" i="3"/>
  <c r="I380" i="3" s="1"/>
  <c r="F379" i="3"/>
  <c r="F378" i="3"/>
  <c r="D358" i="3"/>
  <c r="C358" i="3"/>
  <c r="D357" i="3"/>
  <c r="D356" i="3"/>
  <c r="D359" i="3" s="1"/>
  <c r="C356" i="3"/>
  <c r="E352" i="3"/>
  <c r="H352" i="3" s="1"/>
  <c r="E351" i="3"/>
  <c r="H351" i="3" s="1"/>
  <c r="E350" i="3"/>
  <c r="E349" i="3"/>
  <c r="E348" i="3"/>
  <c r="O18" i="5"/>
  <c r="N17" i="5"/>
  <c r="O17" i="5"/>
  <c r="N16" i="5"/>
  <c r="O16" i="5"/>
  <c r="I19" i="5"/>
  <c r="N18" i="5" s="1"/>
  <c r="J19" i="5"/>
  <c r="H17" i="5"/>
  <c r="M16" i="5" s="1"/>
  <c r="H18" i="5"/>
  <c r="M17" i="5" s="1"/>
  <c r="H16" i="5"/>
  <c r="C86" i="4"/>
  <c r="G317" i="3"/>
  <c r="H465" i="2"/>
  <c r="N253" i="2"/>
  <c r="L175" i="3"/>
  <c r="E35" i="3"/>
  <c r="E34" i="3"/>
  <c r="E33" i="3"/>
  <c r="K200" i="2"/>
  <c r="N356" i="2"/>
  <c r="H295" i="3"/>
  <c r="L92" i="3"/>
  <c r="G29" i="3"/>
  <c r="H443" i="2"/>
  <c r="N357" i="2"/>
  <c r="M296" i="2"/>
  <c r="N89" i="2"/>
  <c r="M77" i="2"/>
  <c r="H373" i="1"/>
  <c r="G371" i="1"/>
  <c r="F371" i="1"/>
  <c r="E373" i="1"/>
  <c r="F308" i="1"/>
  <c r="F309" i="1"/>
  <c r="F310" i="1"/>
  <c r="F307" i="1"/>
  <c r="D151" i="1"/>
  <c r="H221" i="3"/>
  <c r="F319" i="3"/>
  <c r="G319" i="3" s="1"/>
  <c r="F318" i="3"/>
  <c r="G318" i="3" s="1"/>
  <c r="F317" i="3"/>
  <c r="H296" i="3"/>
  <c r="I296" i="3"/>
  <c r="J296" i="3"/>
  <c r="H297" i="3"/>
  <c r="I297" i="3"/>
  <c r="J297" i="3"/>
  <c r="H298" i="3"/>
  <c r="I298" i="3"/>
  <c r="J298" i="3"/>
  <c r="I295" i="3"/>
  <c r="J295" i="3"/>
  <c r="H289" i="3"/>
  <c r="I289" i="3"/>
  <c r="J289" i="3"/>
  <c r="H290" i="3"/>
  <c r="I290" i="3"/>
  <c r="J290" i="3"/>
  <c r="H291" i="3"/>
  <c r="I291" i="3"/>
  <c r="J291" i="3"/>
  <c r="I288" i="3"/>
  <c r="J288" i="3"/>
  <c r="H288" i="3"/>
  <c r="I281" i="3"/>
  <c r="J281" i="3"/>
  <c r="I282" i="3"/>
  <c r="J282" i="3"/>
  <c r="I283" i="3"/>
  <c r="J283" i="3"/>
  <c r="I284" i="3"/>
  <c r="J284" i="3"/>
  <c r="H282" i="3"/>
  <c r="H283" i="3"/>
  <c r="H284" i="3"/>
  <c r="H281" i="3"/>
  <c r="H258" i="3"/>
  <c r="I258" i="3"/>
  <c r="J258" i="3"/>
  <c r="H259" i="3"/>
  <c r="I259" i="3"/>
  <c r="J259" i="3"/>
  <c r="H260" i="3"/>
  <c r="I260" i="3"/>
  <c r="J260" i="3"/>
  <c r="I257" i="3"/>
  <c r="J257" i="3"/>
  <c r="H257" i="3"/>
  <c r="I250" i="3"/>
  <c r="J250" i="3"/>
  <c r="I251" i="3"/>
  <c r="J251" i="3"/>
  <c r="I252" i="3"/>
  <c r="J252" i="3"/>
  <c r="I253" i="3"/>
  <c r="J253" i="3"/>
  <c r="H251" i="3"/>
  <c r="H252" i="3"/>
  <c r="H253" i="3"/>
  <c r="H250" i="3"/>
  <c r="E222" i="3"/>
  <c r="E220" i="3" s="1"/>
  <c r="E223" i="3"/>
  <c r="E224" i="3"/>
  <c r="E225" i="3"/>
  <c r="E226" i="3"/>
  <c r="E221" i="3"/>
  <c r="H222" i="3"/>
  <c r="H223" i="3"/>
  <c r="H224" i="3"/>
  <c r="H225" i="3"/>
  <c r="H226" i="3"/>
  <c r="I222" i="3"/>
  <c r="I223" i="3"/>
  <c r="I224" i="3"/>
  <c r="I225" i="3"/>
  <c r="I226" i="3"/>
  <c r="I221" i="3"/>
  <c r="I230" i="3"/>
  <c r="D232" i="3"/>
  <c r="H220" i="3"/>
  <c r="C232" i="3"/>
  <c r="H230" i="3"/>
  <c r="F220" i="3"/>
  <c r="F221" i="3"/>
  <c r="F222" i="3"/>
  <c r="F223" i="3"/>
  <c r="F224" i="3"/>
  <c r="F225" i="3"/>
  <c r="F226" i="3"/>
  <c r="D231" i="3"/>
  <c r="C231" i="3"/>
  <c r="D230" i="3"/>
  <c r="F230" i="3" s="1"/>
  <c r="C230" i="3"/>
  <c r="E230" i="3" s="1"/>
  <c r="O176" i="3"/>
  <c r="O177" i="3" s="1"/>
  <c r="P176" i="3"/>
  <c r="P177" i="3" s="1"/>
  <c r="Q176" i="3"/>
  <c r="Q177" i="3" s="1"/>
  <c r="L176" i="3"/>
  <c r="L177" i="3" s="1"/>
  <c r="M175" i="3"/>
  <c r="M176" i="3" s="1"/>
  <c r="M177" i="3" s="1"/>
  <c r="N175" i="3"/>
  <c r="N176" i="3" s="1"/>
  <c r="N177" i="3" s="1"/>
  <c r="O175" i="3"/>
  <c r="P175" i="3"/>
  <c r="Q175" i="3"/>
  <c r="G133" i="3"/>
  <c r="F133" i="3"/>
  <c r="E134" i="3" s="1"/>
  <c r="H133" i="3"/>
  <c r="G134" i="3" s="1"/>
  <c r="E133" i="3"/>
  <c r="E93" i="3"/>
  <c r="E94" i="3"/>
  <c r="I94" i="3" s="1"/>
  <c r="E100" i="3"/>
  <c r="G92" i="3"/>
  <c r="K92" i="3" s="1"/>
  <c r="G93" i="3"/>
  <c r="K93" i="3" s="1"/>
  <c r="G94" i="3"/>
  <c r="K94" i="3" s="1"/>
  <c r="G95" i="3"/>
  <c r="G96" i="3"/>
  <c r="K96" i="3" s="1"/>
  <c r="G97" i="3"/>
  <c r="K97" i="3" s="1"/>
  <c r="G98" i="3"/>
  <c r="K98" i="3" s="1"/>
  <c r="G99" i="3"/>
  <c r="K99" i="3" s="1"/>
  <c r="G100" i="3"/>
  <c r="G91" i="3"/>
  <c r="J99" i="3"/>
  <c r="J100" i="3"/>
  <c r="J92" i="3"/>
  <c r="D94" i="3"/>
  <c r="D98" i="3"/>
  <c r="D99" i="3"/>
  <c r="H99" i="3" s="1"/>
  <c r="D100" i="3"/>
  <c r="H100" i="3" s="1"/>
  <c r="F100" i="3"/>
  <c r="C100" i="3"/>
  <c r="F99" i="3"/>
  <c r="C99" i="3"/>
  <c r="E99" i="3" s="1"/>
  <c r="I99" i="3" s="1"/>
  <c r="L99" i="3" s="1"/>
  <c r="F98" i="3"/>
  <c r="C98" i="3"/>
  <c r="E98" i="3" s="1"/>
  <c r="I98" i="3" s="1"/>
  <c r="F97" i="3"/>
  <c r="J97" i="3" s="1"/>
  <c r="C97" i="3"/>
  <c r="E97" i="3" s="1"/>
  <c r="F96" i="3"/>
  <c r="J96" i="3" s="1"/>
  <c r="C96" i="3"/>
  <c r="E96" i="3" s="1"/>
  <c r="F95" i="3"/>
  <c r="J95" i="3" s="1"/>
  <c r="C95" i="3"/>
  <c r="D95" i="3" s="1"/>
  <c r="H95" i="3" s="1"/>
  <c r="F94" i="3"/>
  <c r="C94" i="3"/>
  <c r="F92" i="3"/>
  <c r="F93" i="3"/>
  <c r="J93" i="3" s="1"/>
  <c r="F91" i="3"/>
  <c r="C92" i="3"/>
  <c r="D92" i="3" s="1"/>
  <c r="H92" i="3" s="1"/>
  <c r="C93" i="3"/>
  <c r="D93" i="3" s="1"/>
  <c r="C91" i="3"/>
  <c r="D91" i="3" s="1"/>
  <c r="G33" i="3"/>
  <c r="G34" i="3"/>
  <c r="F35" i="3"/>
  <c r="G35" i="3" s="1"/>
  <c r="F34" i="3"/>
  <c r="F33" i="3"/>
  <c r="G30" i="3"/>
  <c r="G31" i="3"/>
  <c r="F542" i="2"/>
  <c r="G542" i="2" s="1"/>
  <c r="E542" i="2"/>
  <c r="F541" i="2"/>
  <c r="E541" i="2"/>
  <c r="G541" i="2" s="1"/>
  <c r="F540" i="2"/>
  <c r="G540" i="2" s="1"/>
  <c r="E540" i="2"/>
  <c r="F539" i="2"/>
  <c r="G539" i="2" s="1"/>
  <c r="E539" i="2"/>
  <c r="G538" i="2"/>
  <c r="F538" i="2"/>
  <c r="E538" i="2"/>
  <c r="F537" i="2"/>
  <c r="E537" i="2"/>
  <c r="G537" i="2" s="1"/>
  <c r="G510" i="2"/>
  <c r="G511" i="2"/>
  <c r="G512" i="2"/>
  <c r="G513" i="2"/>
  <c r="G514" i="2"/>
  <c r="G515" i="2"/>
  <c r="G516" i="2"/>
  <c r="G509" i="2"/>
  <c r="F510" i="2"/>
  <c r="F511" i="2"/>
  <c r="F512" i="2"/>
  <c r="F513" i="2"/>
  <c r="F514" i="2"/>
  <c r="F515" i="2"/>
  <c r="F516" i="2"/>
  <c r="F509" i="2"/>
  <c r="E510" i="2"/>
  <c r="E511" i="2"/>
  <c r="E512" i="2"/>
  <c r="E513" i="2"/>
  <c r="E514" i="2"/>
  <c r="E515" i="2"/>
  <c r="E516" i="2"/>
  <c r="E509" i="2"/>
  <c r="E331" i="1"/>
  <c r="G331" i="1"/>
  <c r="G484" i="2"/>
  <c r="G485" i="2"/>
  <c r="G486" i="2"/>
  <c r="G487" i="2"/>
  <c r="G488" i="2"/>
  <c r="G489" i="2"/>
  <c r="G490" i="2"/>
  <c r="G491" i="2"/>
  <c r="G492" i="2"/>
  <c r="G483" i="2"/>
  <c r="H466" i="2"/>
  <c r="H467" i="2"/>
  <c r="H468" i="2"/>
  <c r="H469" i="2"/>
  <c r="H470" i="2"/>
  <c r="H471" i="2"/>
  <c r="H472" i="2"/>
  <c r="H473" i="2"/>
  <c r="H474" i="2"/>
  <c r="H475" i="2"/>
  <c r="I461" i="2"/>
  <c r="H444" i="2"/>
  <c r="H445" i="2"/>
  <c r="H446" i="2"/>
  <c r="H447" i="2"/>
  <c r="H448" i="2"/>
  <c r="H449" i="2"/>
  <c r="H450" i="2"/>
  <c r="H451" i="2"/>
  <c r="H452" i="2"/>
  <c r="N400" i="2"/>
  <c r="N403" i="2"/>
  <c r="N402" i="2"/>
  <c r="N398" i="2"/>
  <c r="N396" i="2"/>
  <c r="M389" i="2"/>
  <c r="N387" i="2"/>
  <c r="M390" i="2"/>
  <c r="M377" i="2"/>
  <c r="M378" i="2"/>
  <c r="M379" i="2"/>
  <c r="M380" i="2"/>
  <c r="M381" i="2"/>
  <c r="M382" i="2"/>
  <c r="M376" i="2"/>
  <c r="M375" i="2"/>
  <c r="N369" i="2"/>
  <c r="M368" i="2"/>
  <c r="M367" i="2"/>
  <c r="N362" i="2"/>
  <c r="N350" i="2"/>
  <c r="N348" i="2"/>
  <c r="N306" i="2"/>
  <c r="N305" i="2"/>
  <c r="M306" i="2"/>
  <c r="M305" i="2"/>
  <c r="N296" i="2"/>
  <c r="O296" i="2"/>
  <c r="P296" i="2"/>
  <c r="Q296" i="2"/>
  <c r="R296" i="2"/>
  <c r="L270" i="2"/>
  <c r="L268" i="2"/>
  <c r="O252" i="2"/>
  <c r="P254" i="2"/>
  <c r="P255" i="2"/>
  <c r="P256" i="2"/>
  <c r="P257" i="2"/>
  <c r="P258" i="2"/>
  <c r="P259" i="2"/>
  <c r="P260" i="2"/>
  <c r="P261" i="2"/>
  <c r="P262" i="2"/>
  <c r="P253" i="2"/>
  <c r="O253" i="2"/>
  <c r="O254" i="2"/>
  <c r="O255" i="2"/>
  <c r="O256" i="2"/>
  <c r="O257" i="2"/>
  <c r="O258" i="2"/>
  <c r="O259" i="2"/>
  <c r="O260" i="2"/>
  <c r="O261" i="2"/>
  <c r="O262" i="2"/>
  <c r="M253" i="2"/>
  <c r="M254" i="2"/>
  <c r="M255" i="2"/>
  <c r="M256" i="2"/>
  <c r="M257" i="2"/>
  <c r="M258" i="2"/>
  <c r="M259" i="2"/>
  <c r="M260" i="2"/>
  <c r="M261" i="2"/>
  <c r="M262" i="2"/>
  <c r="M252" i="2"/>
  <c r="N254" i="2"/>
  <c r="N255" i="2"/>
  <c r="N256" i="2"/>
  <c r="N257" i="2"/>
  <c r="N258" i="2"/>
  <c r="L258" i="2" s="1"/>
  <c r="N259" i="2"/>
  <c r="N260" i="2"/>
  <c r="N261" i="2"/>
  <c r="L261" i="2" s="1"/>
  <c r="N262" i="2"/>
  <c r="L262" i="2" s="1"/>
  <c r="N252" i="2"/>
  <c r="L253" i="2" s="1"/>
  <c r="L256" i="2"/>
  <c r="L255" i="2"/>
  <c r="L254" i="2"/>
  <c r="L257" i="2"/>
  <c r="L259" i="2"/>
  <c r="L260" i="2"/>
  <c r="K253" i="2"/>
  <c r="K254" i="2"/>
  <c r="K255" i="2"/>
  <c r="K256" i="2"/>
  <c r="K257" i="2"/>
  <c r="K258" i="2"/>
  <c r="K259" i="2"/>
  <c r="K260" i="2"/>
  <c r="K261" i="2"/>
  <c r="K262" i="2"/>
  <c r="E371" i="1"/>
  <c r="L201" i="2"/>
  <c r="L202" i="2"/>
  <c r="L203" i="2"/>
  <c r="L204" i="2"/>
  <c r="L205" i="2"/>
  <c r="L206" i="2"/>
  <c r="L207" i="2"/>
  <c r="L208" i="2"/>
  <c r="L209" i="2"/>
  <c r="L210" i="2"/>
  <c r="L211" i="2"/>
  <c r="L212" i="2"/>
  <c r="L213" i="2"/>
  <c r="L200" i="2"/>
  <c r="J200" i="2"/>
  <c r="K201" i="2"/>
  <c r="K202" i="2"/>
  <c r="K203" i="2"/>
  <c r="K204" i="2"/>
  <c r="K205" i="2"/>
  <c r="K206" i="2"/>
  <c r="K207" i="2"/>
  <c r="K208" i="2"/>
  <c r="K209" i="2"/>
  <c r="K210" i="2"/>
  <c r="K211" i="2"/>
  <c r="K212" i="2"/>
  <c r="K213" i="2"/>
  <c r="K199" i="2"/>
  <c r="J201" i="2"/>
  <c r="J202" i="2"/>
  <c r="J203" i="2"/>
  <c r="J204" i="2"/>
  <c r="J205" i="2"/>
  <c r="J206" i="2"/>
  <c r="J207" i="2"/>
  <c r="J208" i="2"/>
  <c r="J209" i="2"/>
  <c r="J210" i="2"/>
  <c r="J211" i="2"/>
  <c r="J212" i="2"/>
  <c r="J213" i="2"/>
  <c r="I213" i="2"/>
  <c r="I201" i="2"/>
  <c r="I202" i="2"/>
  <c r="I203" i="2"/>
  <c r="I204" i="2"/>
  <c r="I205" i="2"/>
  <c r="I206" i="2"/>
  <c r="I207" i="2"/>
  <c r="I208" i="2"/>
  <c r="I209" i="2"/>
  <c r="I210" i="2"/>
  <c r="I211" i="2"/>
  <c r="I212" i="2"/>
  <c r="I200" i="2"/>
  <c r="L172" i="2"/>
  <c r="L169" i="2"/>
  <c r="L167" i="2"/>
  <c r="L162" i="2"/>
  <c r="N156" i="2"/>
  <c r="O156" i="2"/>
  <c r="P156" i="2"/>
  <c r="Q156" i="2"/>
  <c r="M156" i="2"/>
  <c r="N122" i="2"/>
  <c r="N139" i="2"/>
  <c r="N142" i="2"/>
  <c r="N143" i="2"/>
  <c r="N144" i="2"/>
  <c r="N145" i="2"/>
  <c r="N141" i="2"/>
  <c r="N124" i="2"/>
  <c r="N125" i="2"/>
  <c r="N126" i="2"/>
  <c r="N127" i="2"/>
  <c r="N128" i="2"/>
  <c r="N129" i="2"/>
  <c r="N130" i="2"/>
  <c r="N131" i="2"/>
  <c r="N132" i="2"/>
  <c r="D223" i="1"/>
  <c r="O89" i="2"/>
  <c r="P89" i="2"/>
  <c r="Q89" i="2"/>
  <c r="R89" i="2"/>
  <c r="N83" i="2"/>
  <c r="M75" i="2"/>
  <c r="N68" i="2"/>
  <c r="O68" i="2"/>
  <c r="P68" i="2"/>
  <c r="Q68" i="2"/>
  <c r="M68" i="2"/>
  <c r="R56" i="2"/>
  <c r="R57" i="2"/>
  <c r="R58" i="2"/>
  <c r="R59" i="2"/>
  <c r="R60" i="2"/>
  <c r="O56" i="2"/>
  <c r="O57" i="2"/>
  <c r="O58" i="2"/>
  <c r="O59" i="2"/>
  <c r="O60" i="2"/>
  <c r="N61" i="2"/>
  <c r="O61" i="2"/>
  <c r="P61" i="2"/>
  <c r="Q61" i="2"/>
  <c r="R61" i="2"/>
  <c r="M61" i="2"/>
  <c r="M60" i="2"/>
  <c r="R55" i="2"/>
  <c r="O55" i="2"/>
  <c r="M56" i="2"/>
  <c r="M57" i="2"/>
  <c r="M58" i="2"/>
  <c r="M59" i="2"/>
  <c r="M55" i="2"/>
  <c r="N46" i="2"/>
  <c r="O46" i="2"/>
  <c r="P46" i="2"/>
  <c r="Q46" i="2"/>
  <c r="R46" i="2"/>
  <c r="R44" i="2"/>
  <c r="O44" i="2"/>
  <c r="M44" i="2"/>
  <c r="M46" i="2"/>
  <c r="R40" i="2"/>
  <c r="R41" i="2"/>
  <c r="R42" i="2"/>
  <c r="R43" i="2"/>
  <c r="R45" i="2"/>
  <c r="R39" i="2"/>
  <c r="M45" i="2"/>
  <c r="O40" i="2"/>
  <c r="O41" i="2"/>
  <c r="O42" i="2"/>
  <c r="O43" i="2"/>
  <c r="O45" i="2"/>
  <c r="O39" i="2"/>
  <c r="M40" i="2"/>
  <c r="M41" i="2"/>
  <c r="M42" i="2"/>
  <c r="M43" i="2"/>
  <c r="M39" i="2"/>
  <c r="H374" i="1"/>
  <c r="H375" i="1"/>
  <c r="H376" i="1"/>
  <c r="H377" i="1"/>
  <c r="E372" i="1"/>
  <c r="G372" i="1" s="1"/>
  <c r="G373" i="1"/>
  <c r="E374" i="1"/>
  <c r="G374" i="1" s="1"/>
  <c r="E375" i="1"/>
  <c r="E376" i="1"/>
  <c r="E377" i="1"/>
  <c r="G370" i="1"/>
  <c r="F372" i="1"/>
  <c r="F373" i="1"/>
  <c r="F374" i="1"/>
  <c r="F375" i="1"/>
  <c r="F376" i="1"/>
  <c r="F377" i="1"/>
  <c r="G375" i="1"/>
  <c r="G376" i="1"/>
  <c r="G377" i="1"/>
  <c r="G336" i="1"/>
  <c r="G332" i="1"/>
  <c r="G333" i="1"/>
  <c r="G334" i="1"/>
  <c r="G335" i="1"/>
  <c r="F336" i="1"/>
  <c r="E336" i="1"/>
  <c r="F332" i="1"/>
  <c r="F333" i="1"/>
  <c r="F334" i="1"/>
  <c r="F335" i="1"/>
  <c r="F331" i="1"/>
  <c r="D214" i="1"/>
  <c r="D212" i="1"/>
  <c r="D217" i="1"/>
  <c r="E332" i="1"/>
  <c r="E333" i="1"/>
  <c r="E334" i="1"/>
  <c r="E335" i="1"/>
  <c r="F299" i="1"/>
  <c r="F300" i="1"/>
  <c r="F301" i="1"/>
  <c r="F302" i="1"/>
  <c r="F303" i="1"/>
  <c r="F304" i="1"/>
  <c r="F305" i="1"/>
  <c r="F306" i="1"/>
  <c r="F298" i="1"/>
  <c r="F283" i="1"/>
  <c r="F284" i="1"/>
  <c r="F285" i="1"/>
  <c r="F286" i="1"/>
  <c r="F287" i="1"/>
  <c r="F288" i="1"/>
  <c r="F289" i="1"/>
  <c r="F290" i="1"/>
  <c r="F291" i="1"/>
  <c r="F282" i="1"/>
  <c r="E283" i="1"/>
  <c r="E284" i="1"/>
  <c r="E285" i="1"/>
  <c r="E286" i="1"/>
  <c r="E287" i="1"/>
  <c r="E288" i="1"/>
  <c r="E289" i="1"/>
  <c r="E290" i="1"/>
  <c r="E291" i="1"/>
  <c r="E282" i="1"/>
  <c r="D278" i="1"/>
  <c r="E278" i="1"/>
  <c r="F278" i="1"/>
  <c r="G278" i="1"/>
  <c r="H278" i="1"/>
  <c r="I278" i="1"/>
  <c r="J278" i="1"/>
  <c r="C278" i="1"/>
  <c r="F232" i="1"/>
  <c r="F228" i="1"/>
  <c r="D219" i="1"/>
  <c r="D232" i="1"/>
  <c r="D224" i="1"/>
  <c r="D225" i="1"/>
  <c r="D226" i="1"/>
  <c r="D227" i="1"/>
  <c r="D228" i="1"/>
  <c r="D229" i="1"/>
  <c r="D230" i="1"/>
  <c r="D231" i="1"/>
  <c r="D222" i="1"/>
  <c r="D210" i="1"/>
  <c r="D218" i="1"/>
  <c r="D211" i="1"/>
  <c r="D213" i="1"/>
  <c r="D215" i="1"/>
  <c r="D216" i="1"/>
  <c r="D153" i="1"/>
  <c r="D160" i="1"/>
  <c r="D162" i="1"/>
  <c r="D161" i="1"/>
  <c r="D154" i="1"/>
  <c r="D155" i="1"/>
  <c r="D156" i="1"/>
  <c r="D157" i="1"/>
  <c r="D158" i="1"/>
  <c r="D159" i="1"/>
  <c r="D152" i="1"/>
  <c r="E130" i="1"/>
  <c r="E131" i="1"/>
  <c r="E132" i="1"/>
  <c r="E133" i="1"/>
  <c r="E129" i="1"/>
  <c r="D102" i="1"/>
  <c r="D103" i="1"/>
  <c r="D104" i="1"/>
  <c r="D105" i="1"/>
  <c r="D106" i="1"/>
  <c r="D101" i="1"/>
  <c r="I90" i="1"/>
  <c r="G90" i="1"/>
  <c r="F85" i="1"/>
  <c r="G85" i="1" s="1"/>
  <c r="F86" i="1"/>
  <c r="G86" i="1" s="1"/>
  <c r="F87" i="1"/>
  <c r="G87" i="1" s="1"/>
  <c r="F88" i="1"/>
  <c r="G88" i="1" s="1"/>
  <c r="F89" i="1"/>
  <c r="G89" i="1" s="1"/>
  <c r="F90" i="1"/>
  <c r="F84" i="1"/>
  <c r="G84" i="1" s="1"/>
  <c r="H19" i="5" l="1"/>
  <c r="M18" i="5" s="1"/>
  <c r="G161" i="5"/>
  <c r="H161" i="5" s="1"/>
  <c r="H350" i="3"/>
  <c r="H354" i="3" s="1"/>
  <c r="H379" i="3"/>
  <c r="I379" i="3" s="1"/>
  <c r="I381" i="3"/>
  <c r="C359" i="3"/>
  <c r="G222" i="3"/>
  <c r="I220" i="3"/>
  <c r="I97" i="3"/>
  <c r="L97" i="3" s="1"/>
  <c r="H93" i="3"/>
  <c r="H94" i="3"/>
  <c r="K100" i="3"/>
  <c r="E95" i="3"/>
  <c r="I95" i="3" s="1"/>
  <c r="G225" i="3"/>
  <c r="D97" i="3"/>
  <c r="H97" i="3" s="1"/>
  <c r="J98" i="3"/>
  <c r="L98" i="3" s="1"/>
  <c r="E92" i="3"/>
  <c r="I92" i="3" s="1"/>
  <c r="D96" i="3"/>
  <c r="H96" i="3" s="1"/>
  <c r="E91" i="3"/>
  <c r="J94" i="3"/>
  <c r="L94" i="3" s="1"/>
  <c r="I100" i="3"/>
  <c r="G223" i="3"/>
  <c r="G224" i="3"/>
  <c r="G226" i="3"/>
  <c r="G230" i="3"/>
  <c r="G221" i="3"/>
  <c r="I96" i="3"/>
  <c r="L96" i="3" s="1"/>
  <c r="K95" i="3"/>
  <c r="H372" i="1"/>
  <c r="H371" i="1"/>
  <c r="I354" i="3" l="1"/>
  <c r="H381" i="3"/>
  <c r="G220" i="3"/>
  <c r="H98" i="3"/>
  <c r="L95" i="3"/>
  <c r="I93" i="3"/>
  <c r="L93" i="3" s="1"/>
  <c r="L100" i="3"/>
</calcChain>
</file>

<file path=xl/sharedStrings.xml><?xml version="1.0" encoding="utf-8"?>
<sst xmlns="http://schemas.openxmlformats.org/spreadsheetml/2006/main" count="957" uniqueCount="608">
  <si>
    <t>GMD 2018 (€)</t>
  </si>
  <si>
    <t>VAR. PRECIOS 2019</t>
  </si>
  <si>
    <t>PONDERACIÓN</t>
  </si>
  <si>
    <t>VARIAC. PONDERADA</t>
  </si>
  <si>
    <t>Alojamiento</t>
  </si>
  <si>
    <t>Transporte</t>
  </si>
  <si>
    <t>Restauración</t>
  </si>
  <si>
    <t>Visitas, museos y monumentos</t>
  </si>
  <si>
    <t>Regalos y souvenirs</t>
  </si>
  <si>
    <t>Otras compras</t>
  </si>
  <si>
    <t>TOTAL</t>
  </si>
  <si>
    <t>Tasa Variacion de Precios x Ponderacion</t>
  </si>
  <si>
    <t>Nº empresas</t>
  </si>
  <si>
    <t>%</t>
  </si>
  <si>
    <t>1. Agricultura</t>
  </si>
  <si>
    <t>2. Industria manufacturera</t>
  </si>
  <si>
    <t>3. Energía y agua</t>
  </si>
  <si>
    <t>4. Construcción</t>
  </si>
  <si>
    <t>5. Servicios tradicionales</t>
  </si>
  <si>
    <t>6. Servicios avanzados</t>
  </si>
  <si>
    <t xml:space="preserve"> --&gt; * 100 + 1 =</t>
  </si>
  <si>
    <t>Gasto Medio de 2018 * 1,02384 = 105,95 (GMD 2019)</t>
  </si>
  <si>
    <t>Año 2018</t>
  </si>
  <si>
    <t>Año 2019</t>
  </si>
  <si>
    <t>TVP</t>
  </si>
  <si>
    <t xml:space="preserve">    Agricultura</t>
  </si>
  <si>
    <t xml:space="preserve">    Industria</t>
  </si>
  <si>
    <t xml:space="preserve">    Construcción</t>
  </si>
  <si>
    <t xml:space="preserve">    Servicios</t>
  </si>
  <si>
    <t xml:space="preserve">IPC </t>
  </si>
  <si>
    <t>Ocio y cultura</t>
  </si>
  <si>
    <t>2017M01</t>
  </si>
  <si>
    <t>2018M01</t>
  </si>
  <si>
    <t>2017M02</t>
  </si>
  <si>
    <t>2018M02</t>
  </si>
  <si>
    <t>2017M03</t>
  </si>
  <si>
    <t>2018M03</t>
  </si>
  <si>
    <t>2017M04</t>
  </si>
  <si>
    <t>2018M04</t>
  </si>
  <si>
    <t>2017M05</t>
  </si>
  <si>
    <t>2018M05</t>
  </si>
  <si>
    <t>2017M06</t>
  </si>
  <si>
    <t>2018M06</t>
  </si>
  <si>
    <t>2017M07</t>
  </si>
  <si>
    <t>2018M07</t>
  </si>
  <si>
    <t>2017M08</t>
  </si>
  <si>
    <t>2018M08</t>
  </si>
  <si>
    <t>2017M09</t>
  </si>
  <si>
    <t>2018M09</t>
  </si>
  <si>
    <t>2017M10</t>
  </si>
  <si>
    <t>2017M11</t>
  </si>
  <si>
    <t>2017M12</t>
  </si>
  <si>
    <t>TV IPC</t>
  </si>
  <si>
    <t>TV interanual en agosto 2018 =</t>
  </si>
  <si>
    <t>TV acumulada en agosto 2018 =</t>
  </si>
  <si>
    <t>TV mensual abril y sept.  2018 =</t>
  </si>
  <si>
    <t xml:space="preserve">TV trimestral (T3/T2 de 2018) = </t>
  </si>
  <si>
    <t>Media T2</t>
  </si>
  <si>
    <t>Media T3</t>
  </si>
  <si>
    <t xml:space="preserve">PIB sector industrial </t>
  </si>
  <si>
    <t>(Mill. €)</t>
  </si>
  <si>
    <t>TV interanual</t>
  </si>
  <si>
    <t>Media TVP</t>
  </si>
  <si>
    <r>
      <t>(V</t>
    </r>
    <r>
      <rPr>
        <b/>
        <vertAlign val="subscript"/>
        <sz val="11"/>
        <color rgb="FF000000"/>
        <rFont val="Calibri"/>
        <family val="2"/>
        <scheme val="minor"/>
      </rPr>
      <t>F</t>
    </r>
    <r>
      <rPr>
        <b/>
        <sz val="11"/>
        <color rgb="FF000000"/>
        <rFont val="Calibri"/>
        <family val="2"/>
        <scheme val="minor"/>
      </rPr>
      <t>/V</t>
    </r>
    <r>
      <rPr>
        <b/>
        <vertAlign val="subscript"/>
        <sz val="11"/>
        <color rgb="FF000000"/>
        <rFont val="Calibri"/>
        <family val="2"/>
        <scheme val="minor"/>
      </rPr>
      <t>i</t>
    </r>
    <r>
      <rPr>
        <b/>
        <sz val="11"/>
        <color rgb="FF000000"/>
        <rFont val="Calibri"/>
        <family val="2"/>
        <scheme val="minor"/>
      </rPr>
      <t xml:space="preserve"> * 100)/n</t>
    </r>
  </si>
  <si>
    <t>TVMA 2010-17</t>
  </si>
  <si>
    <t>PIB sector turismo (prec. Ctes, Base 2010)</t>
  </si>
  <si>
    <t>TV interanuales</t>
  </si>
  <si>
    <t>TVMA 2007-2013</t>
  </si>
  <si>
    <t>TVMA 2013-2017</t>
  </si>
  <si>
    <t>TVM = 3.16</t>
  </si>
  <si>
    <t>PIB sector industrial (mil. €)</t>
  </si>
  <si>
    <t>Nº índices</t>
  </si>
  <si>
    <t>Base 100=Año 2010</t>
  </si>
  <si>
    <t>INGRESOS POR TURISMO</t>
  </si>
  <si>
    <t>(Miles Mill. $)</t>
  </si>
  <si>
    <t>Índices corte transversal Respecto a España</t>
  </si>
  <si>
    <t>1 Estados Unidos</t>
  </si>
  <si>
    <t>2 España</t>
  </si>
  <si>
    <t>3 Francia</t>
  </si>
  <si>
    <t>4 China</t>
  </si>
  <si>
    <t>5 Italia</t>
  </si>
  <si>
    <t>6 Alemania</t>
  </si>
  <si>
    <t>7 Reino Unido</t>
  </si>
  <si>
    <t>8 Australia</t>
  </si>
  <si>
    <t>9 Hong Kong (China)</t>
  </si>
  <si>
    <t>10 Turquía</t>
  </si>
  <si>
    <t>Cambio de base de una serie de índices</t>
  </si>
  <si>
    <t>Índices de volumen encadenados</t>
  </si>
  <si>
    <t>(año 2000 = 100)</t>
  </si>
  <si>
    <t>(año 2008 = 100)</t>
  </si>
  <si>
    <t>Serie enlazada (Base 100=2008)</t>
  </si>
  <si>
    <t>Millones de €</t>
  </si>
  <si>
    <t>Ponderación 2014</t>
  </si>
  <si>
    <t>Contribuc. Crecim. Agregado</t>
  </si>
  <si>
    <t>Gasto en Consumo final de los Hogares</t>
  </si>
  <si>
    <t>Gasto en Consumo final de las AA.PP</t>
  </si>
  <si>
    <t>Formación bruta de capital</t>
  </si>
  <si>
    <t>Exportaciones de bienes y servicios</t>
  </si>
  <si>
    <t>Importaciones de bienes y servicios</t>
  </si>
  <si>
    <t>PIB prec. Merc.</t>
  </si>
  <si>
    <t>PIB industria prec. Corr</t>
  </si>
  <si>
    <t>Indices volumen (Base 100= 2010)</t>
  </si>
  <si>
    <t>PIB industria prec. Ctes</t>
  </si>
  <si>
    <t>Indices PIB nominal</t>
  </si>
  <si>
    <t>DPIB 1</t>
  </si>
  <si>
    <t>TV precios</t>
  </si>
  <si>
    <t>2016(P)</t>
  </si>
  <si>
    <t>2017(A)</t>
  </si>
  <si>
    <t>PIB nominal en valores monetarios y PIB real en indices de volumen</t>
  </si>
  <si>
    <t>a. Convertir el PIB norminal en nº de indices --&gt; DPIB = Nº Indices PIB Nominal / Indices de volumen x 100</t>
  </si>
  <si>
    <t>b. Convertir los indices de volumen en valores monetarios--&gt; Reglas de ties DPIB = PIB nominal / PIB real x 100</t>
  </si>
  <si>
    <t>PIB nominal en valores monetarios:</t>
  </si>
  <si>
    <t>DPIB = PIB nominal / PIB real * 100</t>
  </si>
  <si>
    <t>2019 (P)</t>
  </si>
  <si>
    <t>2020 (A)</t>
  </si>
  <si>
    <t>Demanda</t>
  </si>
  <si>
    <t>Gasto en consumo final</t>
  </si>
  <si>
    <t xml:space="preserve">Formación bruta de capital </t>
  </si>
  <si>
    <t xml:space="preserve"> - Formación bruta de capital fijo</t>
  </si>
  <si>
    <t xml:space="preserve"> - Variación de existencias y adquisiciones menos cesiones de objetos valiosos</t>
  </si>
  <si>
    <t>PIB A PRECIOS DE MERCADO</t>
  </si>
  <si>
    <t>Oferta</t>
  </si>
  <si>
    <t xml:space="preserve">Agricultura, ganadería, silvicultura y pesca </t>
  </si>
  <si>
    <t>Industria</t>
  </si>
  <si>
    <t>Construcción</t>
  </si>
  <si>
    <t>Servicios</t>
  </si>
  <si>
    <t>VAB precios básicos</t>
  </si>
  <si>
    <t>Impuestos netos sobre los productos</t>
  </si>
  <si>
    <t>a) Estructura porcentual desde el punto de vista en 2015, 2017 y 2020.</t>
  </si>
  <si>
    <t>b) Estructura porcentual del PIB por sectores Economicos en 2015, 2017 y 2020.</t>
  </si>
  <si>
    <t>c) La tasa de crecimiento interanual del PIB desde 2015 y 2020.</t>
  </si>
  <si>
    <t>TV Interanual</t>
  </si>
  <si>
    <t>d) La tasa de variacion media del PIB en el periodo de 2015 a 2020.</t>
  </si>
  <si>
    <t>METODO 1 --&gt;</t>
  </si>
  <si>
    <t>METODO 2 --&gt;</t>
  </si>
  <si>
    <t>e) La tasa de variacion media acumulativa del PIB en el periodo de 2015 a 2020.</t>
  </si>
  <si>
    <t>TVMA (2015-2020) --&gt;</t>
  </si>
  <si>
    <t>f) El PIB en numero indices para todo el periodo (año base 2015)</t>
  </si>
  <si>
    <t>T I</t>
  </si>
  <si>
    <t>T II</t>
  </si>
  <si>
    <t>T III</t>
  </si>
  <si>
    <t>T IV</t>
  </si>
  <si>
    <t>PIB a precios de mercado</t>
  </si>
  <si>
    <r>
      <t xml:space="preserve">   </t>
    </r>
    <r>
      <rPr>
        <b/>
        <sz val="11"/>
        <color rgb="FF000000"/>
        <rFont val="Calibri"/>
        <family val="2"/>
      </rPr>
      <t>DEMANDA</t>
    </r>
  </si>
  <si>
    <t xml:space="preserve">   Gasto en consumo final</t>
  </si>
  <si>
    <t xml:space="preserve">      Gasto en consumo final de los hogares</t>
  </si>
  <si>
    <t xml:space="preserve">      Gasto en consumo final de las ISFLSH</t>
  </si>
  <si>
    <t xml:space="preserve">      Gasto en consumo final de las AAPP</t>
  </si>
  <si>
    <t xml:space="preserve">   Formación bruta de capital</t>
  </si>
  <si>
    <t xml:space="preserve">      Formación bruta de capital fijo</t>
  </si>
  <si>
    <t xml:space="preserve">   DEMANDA NACIONAL</t>
  </si>
  <si>
    <t xml:space="preserve">   Exportaciones de bienes y servicios</t>
  </si>
  <si>
    <t xml:space="preserve">   Importaciones de bienes y servicios</t>
  </si>
  <si>
    <t>OFERTA</t>
  </si>
  <si>
    <t>a) Crecimiento interanual de los componentes del PIB desde el lado de la demanada, en el segundo trimestre</t>
  </si>
  <si>
    <t>TV Interanual T2</t>
  </si>
  <si>
    <t>b) Crecimiento interanual de los componentes del PIB desde el lado de la oferta en el segundo trimestre</t>
  </si>
  <si>
    <t>c) Crecimiento trimestral del PIB desde el comienzo del periodo.</t>
  </si>
  <si>
    <t>TV Trimestral</t>
  </si>
  <si>
    <t xml:space="preserve"> d) Crecimiento del PIB en lo que va de año de 2018.</t>
  </si>
  <si>
    <t>e) Crecimiento interanual del PIB durante el primer semestre de 2018.</t>
  </si>
  <si>
    <t>Media 1 Sem 2018</t>
  </si>
  <si>
    <t>TV Interanual 1 sem 2018</t>
  </si>
  <si>
    <t>EJERCICIO 3</t>
  </si>
  <si>
    <t>PIB prec. Corrientes</t>
  </si>
  <si>
    <t>Índices de Volumen</t>
  </si>
  <si>
    <t>a) La tasa de crecimiento interanual del PIB desde 2005 a 2019, a precios corrientes y a precios constantes ¿A qué se debe la diferencia entre ambas tasas?</t>
  </si>
  <si>
    <t>PIB prec. Constantes</t>
  </si>
  <si>
    <t>TV PIB prec corr</t>
  </si>
  <si>
    <t>TV PIB prec cts</t>
  </si>
  <si>
    <t>DPIB</t>
  </si>
  <si>
    <t>Porque la corrientes hace referencia a la cantidad producida y a los precios, sin embargo en precios constantes solo a los precios.</t>
  </si>
  <si>
    <t>b) El deflactor implícito del PIB, en base 2015, desde el año 2005 a 2019. Explique el significado del mismo y las diferencias entre los distintos años.</t>
  </si>
  <si>
    <t>SI es por debajo de 100 quiere decir que decrece el PIB y si es mayor que 100 hay un incremento del PIB</t>
  </si>
  <si>
    <t>TV DPIB</t>
  </si>
  <si>
    <t>|</t>
  </si>
  <si>
    <t>v</t>
  </si>
  <si>
    <t>Incluye la TV qi cantidad producible de b y S. TV p precios de los b y S.</t>
  </si>
  <si>
    <t>a) La tasa de crecimiento interanual del PIB desde 2010 a 2020 a precios corrientes y constantes ¿A qué se debe la diferencia entre ambas tasas?</t>
  </si>
  <si>
    <t>b) El deflactor implícito del PIB desde 2010 a 2020.</t>
  </si>
  <si>
    <t>c) Calcular el crecimiento de los precios en los periodos 2010-2015 y 2016-2020, utilizando tasas de variación medias anuales acumulativas.</t>
  </si>
  <si>
    <t>PIB prec cts</t>
  </si>
  <si>
    <t>Por lo mismo de antes, uno tiene cantidad y precios y el otro solo precios</t>
  </si>
  <si>
    <t>TVMA 2010-2015</t>
  </si>
  <si>
    <t>TVMA 2016-2020</t>
  </si>
  <si>
    <t>T1-T2</t>
  </si>
  <si>
    <t>EJERCICIO 5</t>
  </si>
  <si>
    <t>PIB pm (precios corrientes)</t>
  </si>
  <si>
    <t>PIB pm (volumen)</t>
  </si>
  <si>
    <t>a) El deflactor implícito del PIB para todos los años.</t>
  </si>
  <si>
    <t>b) ¿Cuánto crecieron los precios entre 1995 y 2005? ¿Y entre 2005 y 2020?</t>
  </si>
  <si>
    <t>C) Cuál es el año base de la serie del DPIB obtenida en el punto a)? ¿Y el de la serie del PIB pm en términos de volumen?</t>
  </si>
  <si>
    <t>1995-2005</t>
  </si>
  <si>
    <t>2005-2020</t>
  </si>
  <si>
    <t>TV Media</t>
  </si>
  <si>
    <t>TVMA</t>
  </si>
  <si>
    <t>Donde mas crecen los precios fueron de 2000 a 2005</t>
  </si>
  <si>
    <t>a) La tasa de inflación interanual en agosto de 2020 y agosto de 2021.</t>
  </si>
  <si>
    <t>2019M01</t>
  </si>
  <si>
    <t>2020M01</t>
  </si>
  <si>
    <t>2021M01</t>
  </si>
  <si>
    <t>2019M02</t>
  </si>
  <si>
    <t>2020M02</t>
  </si>
  <si>
    <t>2021M02</t>
  </si>
  <si>
    <t>2019M03</t>
  </si>
  <si>
    <t>2020M03</t>
  </si>
  <si>
    <t>2021M03</t>
  </si>
  <si>
    <t>2019M04</t>
  </si>
  <si>
    <t>2020M04</t>
  </si>
  <si>
    <t>2021M04</t>
  </si>
  <si>
    <t>2019M05</t>
  </si>
  <si>
    <t>2020M05</t>
  </si>
  <si>
    <t>2021M05</t>
  </si>
  <si>
    <t>2019M06</t>
  </si>
  <si>
    <t>2020M06</t>
  </si>
  <si>
    <t>2021M06</t>
  </si>
  <si>
    <t>2019M07</t>
  </si>
  <si>
    <t>2020M07</t>
  </si>
  <si>
    <t>2021M07</t>
  </si>
  <si>
    <t>2019M08</t>
  </si>
  <si>
    <t>2020M08</t>
  </si>
  <si>
    <t>2021M08</t>
  </si>
  <si>
    <t>2019M09</t>
  </si>
  <si>
    <t>2020M09</t>
  </si>
  <si>
    <t>2019M10</t>
  </si>
  <si>
    <t>2020M10</t>
  </si>
  <si>
    <t>2019M11</t>
  </si>
  <si>
    <t>2020M11</t>
  </si>
  <si>
    <t>2019M12</t>
  </si>
  <si>
    <t>2020M12</t>
  </si>
  <si>
    <t>b) La tasa de variación acumulada del IPC en agosto de 2021.</t>
  </si>
  <si>
    <t>c) La tasa de inflación interanual en diciembre de 2020.</t>
  </si>
  <si>
    <t>d) La tasa de variación del IPC de 2020, respecto al año anterior (como media de los 12 meses).</t>
  </si>
  <si>
    <t>TV Interanual de agosto 2020:</t>
  </si>
  <si>
    <t>TV Interanual de agosto 2021:</t>
  </si>
  <si>
    <t>TV acumulada de agosto 2021:</t>
  </si>
  <si>
    <t>TV Interanual de diciembre 2020:</t>
  </si>
  <si>
    <t>Es la variacion de ese mes respecto a diciembre del anterior</t>
  </si>
  <si>
    <t>e) La variación mensual de los precios desde enero a agosto de 2021.</t>
  </si>
  <si>
    <t>f) La variación trimestral en el segundo trimestre de 2021.</t>
  </si>
  <si>
    <t>g) Comparar la evolución del IPC en el primer semestre de 2021, respecto al mismo periodo de 2019 y 2020.</t>
  </si>
  <si>
    <t>Media 2019:</t>
  </si>
  <si>
    <t>Media 2020:</t>
  </si>
  <si>
    <t>Meses</t>
  </si>
  <si>
    <t>TV Mensual</t>
  </si>
  <si>
    <t>TV Trimestral 2T 2021:</t>
  </si>
  <si>
    <t>Media 2T 2021:</t>
  </si>
  <si>
    <t>Media 1T 2021:</t>
  </si>
  <si>
    <t>Media 1 Semetre 2019:</t>
  </si>
  <si>
    <t>Media 1 Semetre 2020:</t>
  </si>
  <si>
    <t>Media 1 Semetre 2021:</t>
  </si>
  <si>
    <t>TV Semestral 20-19:</t>
  </si>
  <si>
    <t>TV Semestral 21-20:</t>
  </si>
  <si>
    <t>h) ¿Cuál es el mes en el que coinciden la tasa de variación del IPC mensual y la acumulada? ¿Cuál es su valor?</t>
  </si>
  <si>
    <t xml:space="preserve">i) ¿Qué dos tasas coinciden en el mes de diciembre? </t>
  </si>
  <si>
    <t>En el mes de enero, porque la forma de calculo es la misma, es decir, cuando lo compara con respecto a diciembre del año anterior.</t>
  </si>
  <si>
    <t>La acumulada en diciembre de un año se hace en referencia de diciembre del año anterior porque coinciden.</t>
  </si>
  <si>
    <t>Y el interanual</t>
  </si>
  <si>
    <t>IPC media anual</t>
  </si>
  <si>
    <t>PIB pm corrientes</t>
  </si>
  <si>
    <t>a) Calcule el crecimiento interanual de los precios de la economía española.</t>
  </si>
  <si>
    <t>b) Obtenga la serie del PIB deflactada a los precios vigentes en 2016.</t>
  </si>
  <si>
    <t xml:space="preserve">c) Calcule el crecimiento del PIB a precios constantes. </t>
  </si>
  <si>
    <t>TV Interanual IPC</t>
  </si>
  <si>
    <t>Dividir el PIB a precios corrientes entre el ipc de ese año</t>
  </si>
  <si>
    <t>PIB deflactada 2016:</t>
  </si>
  <si>
    <t xml:space="preserve">PIB Deflactado </t>
  </si>
  <si>
    <t>TV PIB Deflactado</t>
  </si>
  <si>
    <t>Producto interior bruto a precios de mercado y sus componentes</t>
  </si>
  <si>
    <t>Precios corrientes</t>
  </si>
  <si>
    <t>Unidad: millones de euros</t>
  </si>
  <si>
    <r>
      <t> </t>
    </r>
    <r>
      <rPr>
        <b/>
        <sz val="10"/>
        <color rgb="FF000000"/>
        <rFont val="Times New Roman"/>
        <family val="1"/>
      </rPr>
      <t>Demanda</t>
    </r>
  </si>
  <si>
    <t xml:space="preserve">    Gasto en consumo final</t>
  </si>
  <si>
    <t xml:space="preserve">    Formación bruta de capital </t>
  </si>
  <si>
    <t xml:space="preserve">      Variación de existencias  </t>
  </si>
  <si>
    <t xml:space="preserve">      Adquisiciones menos cesiones de objetos valiosos</t>
  </si>
  <si>
    <t xml:space="preserve">    Exportaciones de bienes y servicios</t>
  </si>
  <si>
    <t xml:space="preserve">    Importaciones de bienes y servicios</t>
  </si>
  <si>
    <t>PRODUCTO INTERIOR BRUTO A PRECIOS DE MERCADO</t>
  </si>
  <si>
    <t>(P) Estimación provisional</t>
  </si>
  <si>
    <t xml:space="preserve">                              </t>
  </si>
  <si>
    <t xml:space="preserve">Fuente: INE. </t>
  </si>
  <si>
    <t>Ponderacion 2018</t>
  </si>
  <si>
    <t>    Oferta</t>
  </si>
  <si>
    <t>2018 </t>
  </si>
  <si>
    <t>2019 (P) </t>
  </si>
  <si>
    <t xml:space="preserve">    Agricultura, ganadería, silvicultura y pesca </t>
  </si>
  <si>
    <t xml:space="preserve">    Impuestos menos subvenciones sobre los productos</t>
  </si>
  <si>
    <t>Ej</t>
  </si>
  <si>
    <t>Variables Economicas</t>
  </si>
  <si>
    <t>PIB</t>
  </si>
  <si>
    <t>Empleo</t>
  </si>
  <si>
    <t>Población</t>
  </si>
  <si>
    <t>Magnitud</t>
  </si>
  <si>
    <t>Millones de euros</t>
  </si>
  <si>
    <t>Millones de ocupados</t>
  </si>
  <si>
    <t>Millones de personas</t>
  </si>
  <si>
    <t>Periodo 1</t>
  </si>
  <si>
    <t>Periodo 10</t>
  </si>
  <si>
    <t>Renta/hab</t>
  </si>
  <si>
    <t>PAT</t>
  </si>
  <si>
    <t>Tasa global de empleo</t>
  </si>
  <si>
    <t>TV MA</t>
  </si>
  <si>
    <t>Ꜭ PIB pc ~= Ꜭ  PAT + Ꜭ Tasa Empleo</t>
  </si>
  <si>
    <t>PIB/Poblacion ==&gt; PAT[[ PIB/Empleo ]] x T.Global.Empleo [[ Empleo/Poblacion ]]</t>
  </si>
  <si>
    <t>Durante este periodo de crecimiento del Pib capita se ha debido al crecimineto de PAT que aporta 2.5 puntos sobre 3.</t>
  </si>
  <si>
    <t>PIB prec. corr. (Millones €)</t>
  </si>
  <si>
    <t>Indices Volumen</t>
  </si>
  <si>
    <t>Población (Miles)</t>
  </si>
  <si>
    <t>Población Activa (Miles)</t>
  </si>
  <si>
    <t>Nº Ocupados (Miles)</t>
  </si>
  <si>
    <t>Lo podemos subdividir la tasa de empleo:</t>
  </si>
  <si>
    <t>Empleo/PET o PA    x   PET o PA / Poblacion</t>
  </si>
  <si>
    <t>Tasa de Empleo o Tasa de ocupacion</t>
  </si>
  <si>
    <t xml:space="preserve"> --&gt; Poblacion Activa per Capita</t>
  </si>
  <si>
    <t>Modelo corto:</t>
  </si>
  <si>
    <t>Modelo extendido</t>
  </si>
  <si>
    <t>Ꜭ PIB pc ~= Ꜭ  PAT + Ꜭ Tasa Empleo + Ꜭ P.A per Capita</t>
  </si>
  <si>
    <t>Poblacion Activa per Capita</t>
  </si>
  <si>
    <t>T.Empleo</t>
  </si>
  <si>
    <t>PIB real</t>
  </si>
  <si>
    <t>PIB real per Capita</t>
  </si>
  <si>
    <t>Tasas de variacion</t>
  </si>
  <si>
    <t>PIB real per capita</t>
  </si>
  <si>
    <t>P.A per Capita</t>
  </si>
  <si>
    <t>TV PIB per Capita</t>
  </si>
  <si>
    <t>España</t>
  </si>
  <si>
    <t>Alemania</t>
  </si>
  <si>
    <t>Renta pc</t>
  </si>
  <si>
    <t>6521,7 (1+0,03)^x = 8888,9 (1+0,0191)^x</t>
  </si>
  <si>
    <t>Para lograr que coincidan en el tiempo cuanto tiempo tardaria:</t>
  </si>
  <si>
    <t xml:space="preserve"> ==&gt; </t>
  </si>
  <si>
    <t xml:space="preserve"> 1,03 ^ x = 1,363 x (1,0191)^x</t>
  </si>
  <si>
    <t>(1,03/1,0191)^x = 1,363</t>
  </si>
  <si>
    <t xml:space="preserve"> ==&gt;</t>
  </si>
  <si>
    <t>x Ln (1,0107) = Ln ( 1,363)</t>
  </si>
  <si>
    <t>x = 29,1</t>
  </si>
  <si>
    <t>X = 1,040313</t>
  </si>
  <si>
    <t>Tasa Crecimiento</t>
  </si>
  <si>
    <t>Reino Unido</t>
  </si>
  <si>
    <t>Variables</t>
  </si>
  <si>
    <t>1991-2000</t>
  </si>
  <si>
    <t>2001-2005</t>
  </si>
  <si>
    <t>Productividad del trabajo</t>
  </si>
  <si>
    <t>Dotación de capital por trabajador</t>
  </si>
  <si>
    <t>Participación de las rentas del capital en el VAB</t>
  </si>
  <si>
    <t>a) Obtener la tasa de progreso técnico en los dos periodos y los tres países, y asigne en % el peso del crecimiento de la productividad del trabajo al avance de la dotación de capital por trabajador y a las mejoras tecnológicas.</t>
  </si>
  <si>
    <t>Ꜭ A ~= Ꜭy (PAT) -  (alfa) * Dotacion de capital por trabajador</t>
  </si>
  <si>
    <t>alfa --&gt; Participación de las rentas del capital en el VAB</t>
  </si>
  <si>
    <t>beta --&gt; Participación de las rentas del trabajo en el VAB</t>
  </si>
  <si>
    <t xml:space="preserve">Ꜭ A </t>
  </si>
  <si>
    <t>Ꜭ A (progreso tecnico) ~= Ꜭy (PAT) - &lt;Ꜭk - B Ꜭ h</t>
  </si>
  <si>
    <t>Peso A</t>
  </si>
  <si>
    <t>Peso Dot. Cap por trabajador</t>
  </si>
  <si>
    <t>b) Analizar las principales diferencias entre ambos periodos en cuanto a las fuentes de crecimiento de la productividad del trabajo ¿Qué rasgos diferencian a España de Alemania y, sobre todo, de Reino Unidos?</t>
  </si>
  <si>
    <t>Podemos ver que hay una diferencia entre España y Alemania, respecto a Reino Unido, los primeros reducen el crecimiento de la tasa del progreso tecnico, cosa que no pasa en Reino Unido. Lo segundo, los primeros paises la tasa de progreso tecnico ha contribuido menos (en peso) que Reino Unido. Ademas en el caso de España hemos reducido la tasa de progreso tecnico (negativo) contribuyendo negativamente.</t>
  </si>
  <si>
    <t>Contribución al crecimiento del PIB desde la oferta.</t>
  </si>
  <si>
    <t xml:space="preserve"> Dato base</t>
  </si>
  <si>
    <t>T. de var</t>
  </si>
  <si>
    <t>Cont. Crec</t>
  </si>
  <si>
    <t>Periodo 2</t>
  </si>
  <si>
    <t>Producto interior bruto</t>
  </si>
  <si>
    <t>VABPB Agricultura, ganadería, silvicultura y pesca</t>
  </si>
  <si>
    <t>VABPB Ramas energéticas</t>
  </si>
  <si>
    <t>VABPB Ramas de la industria</t>
  </si>
  <si>
    <t>VABPB Rama de la construcción</t>
  </si>
  <si>
    <t>VABPB Ramas de los servicios de mercado</t>
  </si>
  <si>
    <t>VABPB Ramas de los servicios no de mercado</t>
  </si>
  <si>
    <t>IVA que grava los productos</t>
  </si>
  <si>
    <t>Impuestos netos sobre importaciones</t>
  </si>
  <si>
    <t>Otros impuestos netos sobre los productos</t>
  </si>
  <si>
    <t>Impuestos netos</t>
  </si>
  <si>
    <t>Total</t>
  </si>
  <si>
    <t>Particip PIB</t>
  </si>
  <si>
    <t>Particip VAB</t>
  </si>
  <si>
    <t>VAB Total</t>
  </si>
  <si>
    <t>VAB</t>
  </si>
  <si>
    <t>VALOR DE LA PRODUCCIÓN</t>
  </si>
  <si>
    <t>Industria química</t>
  </si>
  <si>
    <t>Fabricación de material de transporte</t>
  </si>
  <si>
    <t>Hostelería</t>
  </si>
  <si>
    <t>CONSUMOS INTERMEDIOS</t>
  </si>
  <si>
    <t>REMUNERACIÓN DE ASALARIADOS</t>
  </si>
  <si>
    <t>EBE/RENTAS MIXTAS</t>
  </si>
  <si>
    <t xml:space="preserve"> % VAB/Valor Prod</t>
  </si>
  <si>
    <t xml:space="preserve"> % VAB/Remuneracion asalariados</t>
  </si>
  <si>
    <t xml:space="preserve"> % VAB/Rentas mixtas</t>
  </si>
  <si>
    <t>Conclusion:</t>
  </si>
  <si>
    <t>Se da una sustitucion de como se realiza la produccion, el capital como factor esta ganando importancia de lo que es la produccion del sector</t>
  </si>
  <si>
    <t>Valor de la producción</t>
  </si>
  <si>
    <t>Exportaciones</t>
  </si>
  <si>
    <t>Importaciones</t>
  </si>
  <si>
    <t>CA</t>
  </si>
  <si>
    <t>Penetración</t>
  </si>
  <si>
    <t>Agricultura</t>
  </si>
  <si>
    <t>Consumo Aparente = Valor de la produccion + Importaciones - Exportaciones</t>
  </si>
  <si>
    <t>Grado de penetracion Importaciones = Importaciones / Cons Aparente * 100</t>
  </si>
  <si>
    <t>PIB real = PIB nominal / IPC x 100</t>
  </si>
  <si>
    <t>6521,7 * (1+ X)^15 = 8888,9 * (1,0191)^15</t>
  </si>
  <si>
    <t>Media 1 Sem 2017</t>
  </si>
  <si>
    <t>-</t>
  </si>
  <si>
    <t>Precios Corrientes</t>
  </si>
  <si>
    <t>PIB per cápita (Euros)</t>
  </si>
  <si>
    <t>Precios Constantes</t>
  </si>
  <si>
    <t>Agricultura, ganadería, silvicultura y pesca</t>
  </si>
  <si>
    <t>Impuestos menos subvenciones sobre los productos</t>
  </si>
  <si>
    <t>Rentas</t>
  </si>
  <si>
    <t>Remuneración de los asalariados</t>
  </si>
  <si>
    <t>Excedente de explotación bruto / Renta mixta bruta</t>
  </si>
  <si>
    <t>PIB per cápita (*)</t>
  </si>
  <si>
    <t>TVMA Crecimiento Oferta Precios ctes.</t>
  </si>
  <si>
    <t>(en miles)</t>
  </si>
  <si>
    <t>Varones</t>
  </si>
  <si>
    <t>Mujeres</t>
  </si>
  <si>
    <t xml:space="preserve">Población de 16 años y más </t>
  </si>
  <si>
    <t xml:space="preserve">Activos </t>
  </si>
  <si>
    <t xml:space="preserve">Ocupados </t>
  </si>
  <si>
    <t>Apartado A)</t>
  </si>
  <si>
    <t>Totales</t>
  </si>
  <si>
    <t>Parados</t>
  </si>
  <si>
    <t>Muejres</t>
  </si>
  <si>
    <t>Tasa de Actividad</t>
  </si>
  <si>
    <t>Tasa de Empleo</t>
  </si>
  <si>
    <t>Tasa de Paro</t>
  </si>
  <si>
    <t>Formulas:</t>
  </si>
  <si>
    <t>Apartado B)</t>
  </si>
  <si>
    <t>Las tasas de actividad vemos que hay un sesgo bastante importante entre hombre y mujeres, debido a factores socioculturales.</t>
  </si>
  <si>
    <t>De toda la poblacion que podria trabajar en España, (&lt;16), solo un 60% esta dispuesta a hacerlo y en el caso de las mujeres solo el 50%.</t>
  </si>
  <si>
    <t>La poblacion masculina tiene una mayor tasa de empleo, la tasa de paro masculina y femenina no se corresponde a lo anteriormente dicho, en el mercado de trabajo auqnue siempre ha habido una mayor tasa de paro en las mujeres, se debe a que se retira mayormente puestos masculinos por la crisis financiera.</t>
  </si>
  <si>
    <t>(Mantiene) Pob. Activa</t>
  </si>
  <si>
    <t>La tasa de Paro (Aumenta)</t>
  </si>
  <si>
    <t xml:space="preserve"> ==&gt;  (Descenso) Empleo --&gt; Misma Cuantia que un (Aumento) Parados</t>
  </si>
  <si>
    <t>Tipo test</t>
  </si>
  <si>
    <t>(Incremento) Pob. Activa</t>
  </si>
  <si>
    <t xml:space="preserve">(Desciende) Pob. Activa </t>
  </si>
  <si>
    <t xml:space="preserve"> ==&gt; (Variacion) Parados menor que (Variacion) Ocupados</t>
  </si>
  <si>
    <t xml:space="preserve"> ==&gt; (Variacion) Parados mas que proporcional al (Variacion) Ocupados</t>
  </si>
  <si>
    <t>TC</t>
  </si>
  <si>
    <t>Descuento de PIB real</t>
  </si>
  <si>
    <t>Contribución</t>
  </si>
  <si>
    <t>Variac.</t>
  </si>
  <si>
    <t>Particip.</t>
  </si>
  <si>
    <t>Var unitaria</t>
  </si>
  <si>
    <t>Contrib.</t>
  </si>
  <si>
    <t>Porc.</t>
  </si>
  <si>
    <t>PIB. Componentes de la renta</t>
  </si>
  <si>
    <t>(millones de euros)</t>
  </si>
  <si>
    <t>PIB a precios de 1995</t>
  </si>
  <si>
    <t>PIB a precios corrientes</t>
  </si>
  <si>
    <t>Excedente de explotación bruto</t>
  </si>
  <si>
    <t>Impuestos netos sobre la prod. y las import.</t>
  </si>
  <si>
    <t>Empleo (miles)</t>
  </si>
  <si>
    <t>Asalariados (miles)</t>
  </si>
  <si>
    <t>Salarios</t>
  </si>
  <si>
    <t>Productividad</t>
  </si>
  <si>
    <t>Tasa de asalarización</t>
  </si>
  <si>
    <t>Coste Laboral Unitario</t>
  </si>
  <si>
    <t>Deflactor PIB</t>
  </si>
  <si>
    <t>CLU*TA</t>
  </si>
  <si>
    <t>PRODUCTO INTERIOR BRUTO</t>
  </si>
  <si>
    <t>Variacion unitaria total</t>
  </si>
  <si>
    <t>Var unit del DEFLACTOR (lo que ha crecido en realidad PIB)</t>
  </si>
  <si>
    <t>Contribucion</t>
  </si>
  <si>
    <t>Datos brutos. Unidad: millones de euros</t>
  </si>
  <si>
    <t xml:space="preserve">2006 </t>
  </si>
  <si>
    <t xml:space="preserve">2007 </t>
  </si>
  <si>
    <t>PIBpm a precios corrientes</t>
  </si>
  <si>
    <t>Empleo equivalente total (miles)</t>
  </si>
  <si>
    <t>Empleo equivalente asalariado (miles)</t>
  </si>
  <si>
    <t>&gt;&gt; del enunciao</t>
  </si>
  <si>
    <t>Coste Laboral Unitario Nominal</t>
  </si>
  <si>
    <t>Coste Laboral Unitario Real</t>
  </si>
  <si>
    <t>no puedes comparar 2006 con 2006 es el año base no puedes compararlo con el mismo</t>
  </si>
  <si>
    <t>Participación</t>
  </si>
  <si>
    <t>Años</t>
  </si>
  <si>
    <t>Población en edad de trabajar</t>
  </si>
  <si>
    <t>Población activa</t>
  </si>
  <si>
    <t>Población ocupada</t>
  </si>
  <si>
    <t>Tasa de actividad</t>
  </si>
  <si>
    <t>Tasa de paro</t>
  </si>
  <si>
    <t>Población parada</t>
  </si>
  <si>
    <t>Población de 16 o más años</t>
  </si>
  <si>
    <t>Hombres</t>
  </si>
  <si>
    <t>Población Activa</t>
  </si>
  <si>
    <t>Población Ocupada</t>
  </si>
  <si>
    <t>Poblacion activa 2020 =17866 + poblacion parada 2020</t>
  </si>
  <si>
    <t>Poblacion Ocupada</t>
  </si>
  <si>
    <t>Poblacion activa 2020 = Poblacion ocupada 2020 + Poblacion parada 2020</t>
  </si>
  <si>
    <t>Poblacion Parada</t>
  </si>
  <si>
    <t>Poblacion 16 o mas</t>
  </si>
  <si>
    <t>Poblacion Activa = Poblacion Parada 2020 / Tasa De Paro x 100</t>
  </si>
  <si>
    <t>17866 + poblacion parada = poblacion parada / tasa de paro x 100</t>
  </si>
  <si>
    <t>Poblacion Parada = 3573'2/0.8</t>
  </si>
  <si>
    <t>Poblacion activa = 17866 + 4466,5 ==&gt; 22332,5</t>
  </si>
  <si>
    <t>Tasa actividad = 22332,5 / 38497 * 100</t>
  </si>
  <si>
    <t>(miles de pers.)</t>
  </si>
  <si>
    <t>Variacion Poblacion parada</t>
  </si>
  <si>
    <t>Poblacion Activa 2011</t>
  </si>
  <si>
    <t>Poblacion Parada 2011</t>
  </si>
  <si>
    <t>Poblacion 16 +</t>
  </si>
  <si>
    <t>Poblacion Activa</t>
  </si>
  <si>
    <t>TA (16-64) = (Ocupados/Poblacion 16-64) + (Parados/poblacion 16-64)</t>
  </si>
  <si>
    <t>TA (16-64) = TE (16-64) + (Parados/poblacion 16-64)</t>
  </si>
  <si>
    <t>1º ecuacion</t>
  </si>
  <si>
    <t>poblacion 16-64 = poblacion activa/TA</t>
  </si>
  <si>
    <t>poblacion 16-64 = poblacion activa/0,7475</t>
  </si>
  <si>
    <t>2º ecuacion</t>
  </si>
  <si>
    <t>despejamos poblacion 16-64 e igualamos</t>
  </si>
  <si>
    <t>22,99 = Parados/Pob. Activa</t>
  </si>
  <si>
    <t>Por lo que TP = 22,99</t>
  </si>
  <si>
    <t>poblacion 16-64 = (parados / 17,19)</t>
  </si>
  <si>
    <t xml:space="preserve">SUBSECTORES </t>
  </si>
  <si>
    <t>Saldo</t>
  </si>
  <si>
    <t>Deuda</t>
  </si>
  <si>
    <t>Administración Central</t>
  </si>
  <si>
    <t>Comunidades Autónomas</t>
  </si>
  <si>
    <t>Corporaciones Locales</t>
  </si>
  <si>
    <t>Adm. de Seguridad Social</t>
  </si>
  <si>
    <t>Total Administr. Públicas</t>
  </si>
  <si>
    <t>PIB utilizado</t>
  </si>
  <si>
    <t>Variacion</t>
  </si>
  <si>
    <t>Ponderacion 2006</t>
  </si>
  <si>
    <t>TV</t>
  </si>
  <si>
    <t>Apartado C)</t>
  </si>
  <si>
    <t>Concepto (millones de euros corrientes)</t>
  </si>
  <si>
    <t>Impuestos sobre la producción y las importaciones</t>
  </si>
  <si>
    <t xml:space="preserve">   - IVA</t>
  </si>
  <si>
    <t xml:space="preserve">   - Otros impuestos </t>
  </si>
  <si>
    <t>Imp. corrientes sobre renta, patrimonio, etc.</t>
  </si>
  <si>
    <t xml:space="preserve">   - Impuesto sobre la Renta de las Personas Físicas</t>
  </si>
  <si>
    <t xml:space="preserve">   - Impuesto sobre sociedades</t>
  </si>
  <si>
    <t xml:space="preserve">   - Otros impuestos corrientes</t>
  </si>
  <si>
    <t>Impuestos sobre el capital</t>
  </si>
  <si>
    <t xml:space="preserve">Cotizaciones sociales </t>
  </si>
  <si>
    <t>Ajustes por recaudación incierta</t>
  </si>
  <si>
    <t>TOTAL RECURSOS FISCALES</t>
  </si>
  <si>
    <t>Estructura porcentual</t>
  </si>
  <si>
    <t>Variacion (diferencia porcentual)</t>
  </si>
  <si>
    <t>Formulas para estudiar:</t>
  </si>
  <si>
    <t>Estados Unidos</t>
  </si>
  <si>
    <t>Francia</t>
  </si>
  <si>
    <t>Irlanda</t>
  </si>
  <si>
    <t>Luxemburgo</t>
  </si>
  <si>
    <t>Grado de apertura (cuanto de abierta esta la economia)</t>
  </si>
  <si>
    <t>Exportar</t>
  </si>
  <si>
    <t>Importar</t>
  </si>
  <si>
    <t>S C relativo</t>
  </si>
  <si>
    <t>Propensiones</t>
  </si>
  <si>
    <t>T de cobertura</t>
  </si>
  <si>
    <t xml:space="preserve"> (que parte de las compras cubrimos con las ventas, &gt;100 superavit)</t>
  </si>
  <si>
    <t xml:space="preserve">S comercial </t>
  </si>
  <si>
    <t>(si hay superavit o deficit)</t>
  </si>
  <si>
    <t>(Datos en millones de euros)</t>
  </si>
  <si>
    <t>Es lo mismo que el anterior no hace falta hacerlo</t>
  </si>
  <si>
    <t>BALANZAS</t>
  </si>
  <si>
    <t>Ingresos</t>
  </si>
  <si>
    <t>Pagos</t>
  </si>
  <si>
    <t>Comercial</t>
  </si>
  <si>
    <t>Rentas primarias</t>
  </si>
  <si>
    <t>Rentas secundarias</t>
  </si>
  <si>
    <t>Corriente</t>
  </si>
  <si>
    <t>Capital</t>
  </si>
  <si>
    <t>Corriente y capital</t>
  </si>
  <si>
    <t>Financiera</t>
  </si>
  <si>
    <t>Errores y omisiones</t>
  </si>
  <si>
    <t>Cobertura servicios</t>
  </si>
  <si>
    <t>Saldo comercial/saldo corriente</t>
  </si>
  <si>
    <t>Necesidad de financiación</t>
  </si>
  <si>
    <t>Saldo de cuenta corriente + saldo cuenta capital = Saldo cuenta financiera +/- errores y omisiones</t>
  </si>
  <si>
    <t>Tasa cobertura = (Ingresos/Pagos) *100</t>
  </si>
  <si>
    <t>Capacidad/necesidad de financiacion = Saldo cuenta corriente + saldo cuenta capital</t>
  </si>
  <si>
    <t xml:space="preserve"> AÑO 2017</t>
  </si>
  <si>
    <t>INGRESOS</t>
  </si>
  <si>
    <t>PAGOS</t>
  </si>
  <si>
    <t>CUENTA CORRIENTE</t>
  </si>
  <si>
    <t>Balanza comercial</t>
  </si>
  <si>
    <t>- Turismo y viajes</t>
  </si>
  <si>
    <t>- Servicios no turísticos</t>
  </si>
  <si>
    <t>- Del trabajo</t>
  </si>
  <si>
    <t>- De la inversión</t>
  </si>
  <si>
    <t>- Otras rentas primarias</t>
  </si>
  <si>
    <t>CUENTA DE CAPITAL</t>
  </si>
  <si>
    <t>Saldos</t>
  </si>
  <si>
    <t>Tasa de cobertura</t>
  </si>
  <si>
    <t>Capacidad de financiacion=</t>
  </si>
  <si>
    <t>CUENTA FINANCIERA</t>
  </si>
  <si>
    <t>VNA</t>
  </si>
  <si>
    <t>VNP</t>
  </si>
  <si>
    <t>Inversiones Directas</t>
  </si>
  <si>
    <t>Inversiones en cartera</t>
  </si>
  <si>
    <t>Otras inversiones</t>
  </si>
  <si>
    <t>Derivados financieros</t>
  </si>
  <si>
    <t>Reservas</t>
  </si>
  <si>
    <t xml:space="preserve">        (Millones de euros)</t>
  </si>
  <si>
    <t>El mundo nos presta mas prestamos de los que nosotros damos, estamos siendo financiados</t>
  </si>
  <si>
    <t>Capacidad de financiacion(al ser + si no seria necesidad):</t>
  </si>
  <si>
    <t>Damos mas inversion directa que la que nos dan, seguimos proceso de internacinalizacion</t>
  </si>
  <si>
    <t>Tenemos liquidez, con reservas de divisas a nuestro favor</t>
  </si>
  <si>
    <t>PII. Inversiones extranjeras en España (sin Banco de España)</t>
  </si>
  <si>
    <t>(Millones de euros)</t>
  </si>
  <si>
    <t>Inversiones en Cartera</t>
  </si>
  <si>
    <t>Otras Inversiones</t>
  </si>
  <si>
    <t>PII. Inversiones españolas en el exterior (sin Banco de España)</t>
  </si>
  <si>
    <t>PII inversion española en el exterior</t>
  </si>
  <si>
    <t>PII inversion extranjera en españa</t>
  </si>
  <si>
    <t>PII neta = Inversiones españolas en exterior - Inversion extranjera en españa</t>
  </si>
  <si>
    <t>total=</t>
  </si>
  <si>
    <t>Coste Laboral Unitario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</si>
</sst>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
    <numFmt numFmtId="168" formatCode="#,##0.0"/>
    <numFmt numFmtId="169" formatCode="0.00000"/>
  </numFmts>
  <fonts count="64" x14ac:knownFonts="1">
    <font>
      <sz val="11"/>
      <color theme="1"/>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b/>
      <vertAlign val="subscript"/>
      <sz val="11"/>
      <color rgb="FF000000"/>
      <name val="Calibri"/>
      <family val="2"/>
      <scheme val="minor"/>
    </font>
    <font>
      <b/>
      <sz val="11"/>
      <color rgb="FF000000"/>
      <name val="Times New Roman"/>
      <family val="1"/>
    </font>
    <font>
      <sz val="11"/>
      <color rgb="FF000000"/>
      <name val="Times New Roman"/>
      <family val="1"/>
    </font>
    <font>
      <b/>
      <u/>
      <sz val="11"/>
      <color theme="1"/>
      <name val="Calibri"/>
      <family val="2"/>
      <scheme val="minor"/>
    </font>
    <font>
      <b/>
      <sz val="12"/>
      <color theme="1"/>
      <name val="Calibri"/>
      <family val="2"/>
      <scheme val="minor"/>
    </font>
    <font>
      <sz val="10"/>
      <color theme="1"/>
      <name val="Times New Roman"/>
      <family val="1"/>
    </font>
    <font>
      <b/>
      <sz val="10"/>
      <color rgb="FF000000"/>
      <name val="Times New Roman"/>
      <family val="1"/>
    </font>
    <font>
      <b/>
      <sz val="10"/>
      <color theme="1"/>
      <name val="Times New Roman"/>
      <family val="1"/>
    </font>
    <font>
      <sz val="10"/>
      <color rgb="FF000000"/>
      <name val="Times New Roman"/>
      <family val="1"/>
    </font>
    <font>
      <sz val="10"/>
      <color rgb="FF808080"/>
      <name val="Times New Roman"/>
      <family val="1"/>
    </font>
    <font>
      <b/>
      <sz val="16"/>
      <color theme="1"/>
      <name val="Calibri"/>
      <family val="2"/>
      <scheme val="minor"/>
    </font>
    <font>
      <sz val="9"/>
      <color rgb="FF000000"/>
      <name val="Tahoma"/>
      <family val="2"/>
    </font>
    <font>
      <b/>
      <sz val="9"/>
      <color rgb="FF000000"/>
      <name val="Arial"/>
      <family val="2"/>
    </font>
    <font>
      <sz val="11"/>
      <color rgb="FF000000"/>
      <name val="Calibri"/>
      <family val="2"/>
    </font>
    <font>
      <b/>
      <sz val="11"/>
      <color rgb="FF000000"/>
      <name val="Calibri"/>
      <family val="2"/>
    </font>
    <font>
      <sz val="9"/>
      <color rgb="FF000000"/>
      <name val="Arial"/>
      <family val="2"/>
    </font>
    <font>
      <b/>
      <sz val="24"/>
      <color theme="1"/>
      <name val="Calibri"/>
      <family val="2"/>
      <scheme val="minor"/>
    </font>
    <font>
      <sz val="11"/>
      <color theme="1"/>
      <name val="Times New Roman"/>
      <family val="1"/>
    </font>
    <font>
      <b/>
      <sz val="9"/>
      <color theme="1"/>
      <name val="Arial"/>
      <family val="2"/>
    </font>
    <font>
      <sz val="9"/>
      <color theme="1"/>
      <name val="Arial"/>
      <family val="2"/>
    </font>
    <font>
      <sz val="12"/>
      <color theme="1"/>
      <name val="Times New Roman"/>
      <family val="1"/>
    </font>
    <font>
      <b/>
      <sz val="11"/>
      <color theme="1"/>
      <name val="Times New Roman"/>
      <family val="1"/>
    </font>
    <font>
      <sz val="14"/>
      <color theme="1"/>
      <name val="Calibri"/>
      <family val="2"/>
      <scheme val="minor"/>
    </font>
    <font>
      <sz val="16"/>
      <color theme="1"/>
      <name val="Calibri"/>
      <family val="2"/>
      <scheme val="minor"/>
    </font>
    <font>
      <b/>
      <sz val="14"/>
      <color theme="1"/>
      <name val="Calibri"/>
      <family val="2"/>
      <scheme val="minor"/>
    </font>
    <font>
      <sz val="14"/>
      <color theme="1"/>
      <name val="Calibri"/>
      <family val="2"/>
    </font>
    <font>
      <sz val="16"/>
      <name val="Arial"/>
      <family val="2"/>
    </font>
    <font>
      <b/>
      <sz val="16"/>
      <name val="Arial"/>
      <family val="2"/>
    </font>
    <font>
      <sz val="18"/>
      <color theme="1"/>
      <name val="Calibri"/>
      <family val="2"/>
      <scheme val="minor"/>
    </font>
    <font>
      <sz val="14"/>
      <color theme="1"/>
      <name val="Arial"/>
      <family val="2"/>
    </font>
    <font>
      <sz val="16"/>
      <color theme="1"/>
      <name val="Arial"/>
      <family val="2"/>
    </font>
    <font>
      <b/>
      <sz val="14"/>
      <color theme="1"/>
      <name val="Arial"/>
      <family val="2"/>
    </font>
    <font>
      <sz val="10"/>
      <color theme="1"/>
      <name val="Open Sans"/>
      <family val="2"/>
    </font>
    <font>
      <sz val="10"/>
      <color rgb="FF000000"/>
      <name val="Arial"/>
      <family val="2"/>
    </font>
    <font>
      <b/>
      <sz val="10"/>
      <color rgb="FF000000"/>
      <name val="Arial"/>
      <family val="2"/>
    </font>
    <font>
      <i/>
      <sz val="11"/>
      <color theme="1"/>
      <name val="Arial"/>
      <family val="2"/>
    </font>
    <font>
      <sz val="11"/>
      <color theme="1"/>
      <name val="Arial"/>
      <family val="2"/>
    </font>
    <font>
      <b/>
      <sz val="18"/>
      <color theme="1"/>
      <name val="Calibri"/>
      <family val="2"/>
      <scheme val="minor"/>
    </font>
    <font>
      <b/>
      <sz val="14"/>
      <name val="Arial"/>
      <family val="2"/>
    </font>
    <font>
      <b/>
      <sz val="14"/>
      <name val="Univers"/>
      <family val="2"/>
    </font>
    <font>
      <sz val="10"/>
      <name val="Arial"/>
      <family val="2"/>
    </font>
    <font>
      <b/>
      <sz val="13"/>
      <name val="Arial"/>
      <family val="2"/>
    </font>
    <font>
      <sz val="13"/>
      <name val="Arial"/>
      <family val="2"/>
    </font>
    <font>
      <b/>
      <sz val="13"/>
      <name val="Univers"/>
      <family val="2"/>
    </font>
    <font>
      <b/>
      <sz val="12"/>
      <name val="Arial"/>
      <family val="2"/>
    </font>
    <font>
      <b/>
      <sz val="11"/>
      <color rgb="FF000000"/>
      <name val="Arial"/>
      <family val="2"/>
    </font>
    <font>
      <sz val="11"/>
      <color rgb="FF000000"/>
      <name val="Arial"/>
      <family val="2"/>
    </font>
    <font>
      <b/>
      <i/>
      <sz val="11"/>
      <color theme="1"/>
      <name val="Arial"/>
      <family val="2"/>
    </font>
    <font>
      <sz val="20"/>
      <color theme="1"/>
      <name val="Calibri"/>
      <family val="2"/>
      <scheme val="minor"/>
    </font>
    <font>
      <sz val="12"/>
      <color rgb="FF000000"/>
      <name val="Arial"/>
      <family val="2"/>
    </font>
    <font>
      <sz val="8"/>
      <name val="Calibri"/>
      <family val="2"/>
      <scheme val="minor"/>
    </font>
    <font>
      <b/>
      <sz val="12"/>
      <color theme="1"/>
      <name val="Times New Roman"/>
      <family val="1"/>
    </font>
    <font>
      <b/>
      <i/>
      <sz val="11"/>
      <color rgb="FF000000"/>
      <name val="Arial"/>
      <family val="2"/>
    </font>
    <font>
      <sz val="14"/>
      <name val="Arial"/>
      <family val="2"/>
    </font>
    <font>
      <b/>
      <sz val="20"/>
      <color theme="1"/>
      <name val="Calibri"/>
      <family val="2"/>
      <scheme val="minor"/>
    </font>
    <font>
      <sz val="14"/>
      <color indexed="8"/>
      <name val="Calibri"/>
      <family val="2"/>
    </font>
    <font>
      <b/>
      <sz val="14"/>
      <color indexed="8"/>
      <name val="Calibri"/>
      <family val="2"/>
    </font>
    <font>
      <b/>
      <sz val="10"/>
      <color theme="1"/>
      <name val="Arial"/>
      <family val="2"/>
    </font>
    <font>
      <b/>
      <sz val="12"/>
      <color rgb="FF000000"/>
      <name val="Times New Roman"/>
      <family val="1"/>
    </font>
  </fonts>
  <fills count="28">
    <fill>
      <patternFill patternType="none"/>
    </fill>
    <fill>
      <patternFill patternType="gray125"/>
    </fill>
    <fill>
      <patternFill patternType="solid">
        <fgColor rgb="FFFBD4B4"/>
        <bgColor indexed="64"/>
      </patternFill>
    </fill>
    <fill>
      <patternFill patternType="solid">
        <fgColor rgb="FFFF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DE9D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B6C5DF"/>
        <bgColor indexed="64"/>
      </patternFill>
    </fill>
    <fill>
      <patternFill patternType="solid">
        <fgColor rgb="FFD9EAD3"/>
        <bgColor indexed="64"/>
      </patternFill>
    </fill>
    <fill>
      <patternFill patternType="solid">
        <fgColor rgb="FFB8CCE4"/>
        <bgColor indexed="64"/>
      </patternFill>
    </fill>
    <fill>
      <patternFill patternType="solid">
        <fgColor rgb="FFB6D7A8"/>
        <bgColor indexed="64"/>
      </patternFill>
    </fill>
    <fill>
      <patternFill patternType="solid">
        <fgColor rgb="FFDBE5F1"/>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8" tint="0.79998168889431442"/>
        <bgColor indexed="64"/>
      </patternFill>
    </fill>
  </fills>
  <borders count="50">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medium">
        <color indexed="64"/>
      </bottom>
      <diagonal/>
    </border>
    <border>
      <left/>
      <right/>
      <top style="thick">
        <color indexed="64"/>
      </top>
      <bottom style="medium">
        <color indexed="64"/>
      </bottom>
      <diagonal/>
    </border>
    <border>
      <left/>
      <right/>
      <top/>
      <bottom style="thick">
        <color indexed="64"/>
      </bottom>
      <diagonal/>
    </border>
  </borders>
  <cellStyleXfs count="2">
    <xf numFmtId="0" fontId="0" fillId="0" borderId="0"/>
    <xf numFmtId="0" fontId="45" fillId="0" borderId="0"/>
  </cellStyleXfs>
  <cellXfs count="574">
    <xf numFmtId="0" fontId="0" fillId="0" borderId="0" xfId="0"/>
    <xf numFmtId="0" fontId="2" fillId="0" borderId="4" xfId="0" applyFont="1" applyBorder="1" applyAlignment="1">
      <alignment horizontal="right" vertical="center"/>
    </xf>
    <xf numFmtId="0" fontId="0" fillId="0" borderId="0" xfId="0" applyAlignment="1">
      <alignment wrapText="1"/>
    </xf>
    <xf numFmtId="0" fontId="1" fillId="0" borderId="0" xfId="0" applyFon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4" xfId="0" applyFont="1" applyBorder="1" applyAlignment="1">
      <alignment horizontal="righ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3" fontId="2" fillId="0" borderId="4" xfId="0" applyNumberFormat="1" applyFont="1" applyBorder="1" applyAlignment="1">
      <alignment horizontal="right" vertical="center" wrapText="1"/>
    </xf>
    <xf numFmtId="0" fontId="2" fillId="0" borderId="5" xfId="0" applyFont="1" applyBorder="1" applyAlignment="1">
      <alignment horizontal="center" vertical="center" wrapText="1"/>
    </xf>
    <xf numFmtId="0" fontId="3" fillId="0" borderId="2" xfId="0" applyFont="1" applyBorder="1" applyAlignment="1">
      <alignment horizontal="center" vertical="center"/>
    </xf>
    <xf numFmtId="0" fontId="2" fillId="0" borderId="0" xfId="0" applyFont="1" applyAlignment="1">
      <alignment vertical="center"/>
    </xf>
    <xf numFmtId="0" fontId="0" fillId="0" borderId="3" xfId="0" applyBorder="1"/>
    <xf numFmtId="0" fontId="0" fillId="0" borderId="5" xfId="0" applyBorder="1" applyAlignment="1">
      <alignment vertical="center"/>
    </xf>
    <xf numFmtId="3" fontId="0" fillId="0" borderId="4" xfId="0" applyNumberFormat="1" applyBorder="1" applyAlignment="1">
      <alignment horizontal="right" vertical="center"/>
    </xf>
    <xf numFmtId="0" fontId="4" fillId="0" borderId="5" xfId="0" applyFont="1" applyBorder="1" applyAlignment="1">
      <alignment horizontal="left" vertical="center" indent="1"/>
    </xf>
    <xf numFmtId="3" fontId="4" fillId="0" borderId="4" xfId="0" applyNumberFormat="1" applyFont="1" applyBorder="1" applyAlignment="1">
      <alignment horizontal="right" vertical="center"/>
    </xf>
    <xf numFmtId="0" fontId="0" fillId="0" borderId="0" xfId="0" applyAlignment="1">
      <alignment vertical="center"/>
    </xf>
    <xf numFmtId="0" fontId="0" fillId="0" borderId="5" xfId="0" applyBorder="1"/>
    <xf numFmtId="0" fontId="3" fillId="0" borderId="7" xfId="0" applyFont="1" applyBorder="1" applyAlignment="1">
      <alignment horizontal="center" vertical="center" wrapText="1"/>
    </xf>
    <xf numFmtId="0" fontId="0" fillId="0" borderId="4" xfId="0" applyBorder="1"/>
    <xf numFmtId="0" fontId="3" fillId="0" borderId="5" xfId="0" applyFont="1" applyBorder="1" applyAlignment="1">
      <alignment horizontal="center" vertical="center" wrapText="1"/>
    </xf>
    <xf numFmtId="0" fontId="2" fillId="0" borderId="4" xfId="0" applyFont="1" applyBorder="1" applyAlignment="1">
      <alignment vertical="center"/>
    </xf>
    <xf numFmtId="17" fontId="2" fillId="0" borderId="4" xfId="0" applyNumberFormat="1" applyFont="1" applyBorder="1" applyAlignment="1">
      <alignment horizontal="right" vertical="center"/>
    </xf>
    <xf numFmtId="0" fontId="3" fillId="0" borderId="4" xfId="0" applyFont="1" applyBorder="1" applyAlignment="1">
      <alignment vertical="center"/>
    </xf>
    <xf numFmtId="0" fontId="2" fillId="0" borderId="5" xfId="0" applyFont="1" applyBorder="1" applyAlignment="1">
      <alignment horizontal="right" vertical="center"/>
    </xf>
    <xf numFmtId="0" fontId="3" fillId="0" borderId="2" xfId="0" applyFont="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right" vertical="center" wrapText="1"/>
    </xf>
    <xf numFmtId="0" fontId="0" fillId="0" borderId="0" xfId="0" applyAlignment="1">
      <alignment vertical="center" wrapText="1"/>
    </xf>
    <xf numFmtId="3" fontId="2" fillId="0" borderId="4" xfId="0" applyNumberFormat="1" applyFont="1" applyBorder="1" applyAlignment="1">
      <alignment horizontal="right" vertical="center"/>
    </xf>
    <xf numFmtId="0" fontId="0" fillId="0" borderId="3" xfId="0" applyBorder="1" applyAlignment="1">
      <alignment vertical="center" wrapText="1"/>
    </xf>
    <xf numFmtId="0" fontId="3" fillId="0" borderId="5" xfId="0" applyFont="1" applyBorder="1" applyAlignment="1">
      <alignment vertical="center"/>
    </xf>
    <xf numFmtId="0" fontId="0" fillId="0" borderId="0" xfId="0" applyAlignment="1">
      <alignment horizontal="justify" vertical="center"/>
    </xf>
    <xf numFmtId="0" fontId="6" fillId="0" borderId="3" xfId="0" applyFont="1" applyBorder="1" applyAlignment="1">
      <alignment vertical="center" wrapText="1"/>
    </xf>
    <xf numFmtId="0" fontId="6" fillId="0" borderId="5" xfId="0" applyFont="1" applyBorder="1" applyAlignment="1">
      <alignment vertical="center" wrapText="1"/>
    </xf>
    <xf numFmtId="0" fontId="6" fillId="0" borderId="4" xfId="0" applyFont="1" applyBorder="1" applyAlignment="1">
      <alignment horizontal="right" vertical="center" wrapText="1"/>
    </xf>
    <xf numFmtId="0" fontId="6" fillId="0" borderId="10" xfId="0" applyFont="1" applyBorder="1" applyAlignment="1">
      <alignment horizontal="right" vertical="center" wrapText="1"/>
    </xf>
    <xf numFmtId="0" fontId="6" fillId="0" borderId="5" xfId="0" applyFont="1" applyBorder="1" applyAlignment="1">
      <alignment horizontal="right" vertical="center" wrapText="1"/>
    </xf>
    <xf numFmtId="0" fontId="7" fillId="0" borderId="5" xfId="0" applyFont="1" applyBorder="1" applyAlignment="1">
      <alignment vertical="center" wrapText="1"/>
    </xf>
    <xf numFmtId="0" fontId="7" fillId="0" borderId="4" xfId="0" applyFont="1" applyBorder="1" applyAlignment="1">
      <alignment horizontal="right" vertical="center" wrapText="1"/>
    </xf>
    <xf numFmtId="0" fontId="7" fillId="0" borderId="10" xfId="0" applyFont="1" applyBorder="1" applyAlignment="1">
      <alignment horizontal="right" vertical="center" wrapText="1"/>
    </xf>
    <xf numFmtId="0" fontId="8" fillId="0" borderId="0" xfId="0" applyFont="1" applyAlignment="1">
      <alignment horizontal="justify" vertical="center"/>
    </xf>
    <xf numFmtId="0" fontId="4" fillId="0" borderId="0" xfId="0" applyFont="1" applyAlignment="1">
      <alignment horizontal="justify" vertical="center"/>
    </xf>
    <xf numFmtId="0" fontId="3" fillId="0" borderId="5" xfId="0" applyFont="1" applyBorder="1" applyAlignment="1">
      <alignment horizontal="right" vertical="center"/>
    </xf>
    <xf numFmtId="0" fontId="3" fillId="0" borderId="4" xfId="0" applyFont="1" applyBorder="1" applyAlignment="1">
      <alignment horizontal="right" vertical="center"/>
    </xf>
    <xf numFmtId="0" fontId="9" fillId="0" borderId="3" xfId="0" applyFont="1" applyBorder="1" applyAlignment="1">
      <alignment vertical="center" wrapText="1"/>
    </xf>
    <xf numFmtId="3" fontId="3" fillId="0" borderId="4" xfId="0" applyNumberFormat="1" applyFont="1" applyBorder="1" applyAlignment="1">
      <alignment horizontal="right" vertical="center" wrapText="1"/>
    </xf>
    <xf numFmtId="4" fontId="0" fillId="0" borderId="0" xfId="0" applyNumberFormat="1"/>
    <xf numFmtId="4" fontId="2" fillId="0" borderId="4" xfId="0" applyNumberFormat="1" applyFont="1" applyBorder="1" applyAlignment="1">
      <alignment horizontal="right" vertical="center" wrapText="1"/>
    </xf>
    <xf numFmtId="0" fontId="3" fillId="0" borderId="0" xfId="0" applyFont="1" applyAlignment="1">
      <alignment horizontal="center" vertical="center"/>
    </xf>
    <xf numFmtId="0" fontId="4" fillId="0" borderId="0" xfId="0" applyFont="1"/>
    <xf numFmtId="0" fontId="2" fillId="0" borderId="10" xfId="0" applyFont="1" applyBorder="1" applyAlignment="1">
      <alignment horizontal="right" vertical="center" wrapText="1"/>
    </xf>
    <xf numFmtId="4" fontId="2" fillId="0" borderId="16" xfId="0" applyNumberFormat="1" applyFont="1" applyBorder="1" applyAlignment="1">
      <alignment horizontal="right" vertical="center"/>
    </xf>
    <xf numFmtId="0" fontId="0" fillId="0" borderId="15" xfId="0" applyBorder="1"/>
    <xf numFmtId="0" fontId="10" fillId="2" borderId="3" xfId="0" applyFont="1" applyFill="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2" fillId="0" borderId="5" xfId="0" applyFont="1" applyBorder="1" applyAlignment="1">
      <alignment vertical="center"/>
    </xf>
    <xf numFmtId="0" fontId="12" fillId="0" borderId="4" xfId="0" applyFont="1" applyBorder="1" applyAlignment="1">
      <alignment vertical="center"/>
    </xf>
    <xf numFmtId="0" fontId="10" fillId="0" borderId="4" xfId="0" applyFont="1" applyBorder="1" applyAlignment="1">
      <alignment vertical="center" wrapText="1"/>
    </xf>
    <xf numFmtId="0" fontId="13" fillId="3" borderId="5" xfId="0" applyFont="1" applyFill="1" applyBorder="1" applyAlignment="1">
      <alignment vertical="center"/>
    </xf>
    <xf numFmtId="3" fontId="13" fillId="3" borderId="4" xfId="0" applyNumberFormat="1" applyFont="1" applyFill="1" applyBorder="1" applyAlignment="1">
      <alignment horizontal="right" vertical="center"/>
    </xf>
    <xf numFmtId="3" fontId="10" fillId="0" borderId="4" xfId="0" applyNumberFormat="1" applyFont="1" applyBorder="1" applyAlignment="1">
      <alignment horizontal="right" vertical="center" wrapText="1"/>
    </xf>
    <xf numFmtId="0" fontId="14" fillId="3" borderId="5" xfId="0" applyFont="1" applyFill="1" applyBorder="1" applyAlignment="1">
      <alignment vertical="center"/>
    </xf>
    <xf numFmtId="0" fontId="10" fillId="3" borderId="4" xfId="0" applyFont="1" applyFill="1" applyBorder="1" applyAlignment="1">
      <alignment vertical="center"/>
    </xf>
    <xf numFmtId="0" fontId="10" fillId="0" borderId="4" xfId="0" applyFont="1" applyBorder="1" applyAlignment="1">
      <alignment horizontal="right" vertical="center" wrapText="1"/>
    </xf>
    <xf numFmtId="0" fontId="11" fillId="2" borderId="5" xfId="0" applyFont="1" applyFill="1" applyBorder="1" applyAlignment="1">
      <alignment vertical="center"/>
    </xf>
    <xf numFmtId="3" fontId="11" fillId="2" borderId="4" xfId="0" applyNumberFormat="1" applyFont="1" applyFill="1" applyBorder="1" applyAlignment="1">
      <alignment horizontal="right" vertical="center"/>
    </xf>
    <xf numFmtId="3" fontId="11" fillId="2" borderId="4" xfId="0" applyNumberFormat="1" applyFont="1" applyFill="1" applyBorder="1" applyAlignment="1">
      <alignment horizontal="right" vertical="center" wrapText="1"/>
    </xf>
    <xf numFmtId="0" fontId="12" fillId="0" borderId="4" xfId="0" applyFont="1" applyBorder="1" applyAlignment="1">
      <alignment horizontal="right" vertical="center" wrapText="1"/>
    </xf>
    <xf numFmtId="3" fontId="10" fillId="0" borderId="4" xfId="0" applyNumberFormat="1" applyFont="1" applyBorder="1" applyAlignment="1">
      <alignment horizontal="right" vertical="center"/>
    </xf>
    <xf numFmtId="0" fontId="11" fillId="3" borderId="5" xfId="0" applyFont="1" applyFill="1" applyBorder="1" applyAlignment="1">
      <alignment vertical="center"/>
    </xf>
    <xf numFmtId="3" fontId="12" fillId="0" borderId="4" xfId="0" applyNumberFormat="1" applyFont="1" applyBorder="1" applyAlignment="1">
      <alignment horizontal="right" vertical="center"/>
    </xf>
    <xf numFmtId="3" fontId="12" fillId="0" borderId="4" xfId="0" applyNumberFormat="1" applyFont="1" applyBorder="1" applyAlignment="1">
      <alignment horizontal="right" vertical="center" wrapText="1"/>
    </xf>
    <xf numFmtId="0" fontId="15" fillId="0" borderId="0" xfId="0" applyFont="1"/>
    <xf numFmtId="164" fontId="13" fillId="3" borderId="4" xfId="0" applyNumberFormat="1" applyFont="1" applyFill="1" applyBorder="1" applyAlignment="1">
      <alignment horizontal="right" vertical="center"/>
    </xf>
    <xf numFmtId="164" fontId="10" fillId="0" borderId="4" xfId="0" applyNumberFormat="1" applyFont="1" applyBorder="1" applyAlignment="1">
      <alignment horizontal="right" vertical="center" wrapText="1"/>
    </xf>
    <xf numFmtId="164" fontId="10" fillId="3" borderId="4" xfId="0" applyNumberFormat="1" applyFont="1" applyFill="1" applyBorder="1" applyAlignment="1">
      <alignment vertical="center"/>
    </xf>
    <xf numFmtId="164" fontId="10" fillId="0" borderId="4" xfId="0" applyNumberFormat="1" applyFont="1" applyBorder="1" applyAlignment="1">
      <alignment horizontal="right" vertical="center"/>
    </xf>
    <xf numFmtId="164" fontId="12" fillId="0" borderId="4" xfId="0" applyNumberFormat="1" applyFont="1" applyBorder="1" applyAlignment="1">
      <alignment horizontal="right" vertical="center"/>
    </xf>
    <xf numFmtId="164" fontId="12" fillId="0" borderId="4" xfId="0" applyNumberFormat="1" applyFont="1" applyBorder="1" applyAlignment="1">
      <alignment horizontal="right" vertical="center" wrapText="1"/>
    </xf>
    <xf numFmtId="4" fontId="12" fillId="0" borderId="4" xfId="0" applyNumberFormat="1" applyFont="1" applyBorder="1" applyAlignment="1">
      <alignment vertical="center"/>
    </xf>
    <xf numFmtId="0" fontId="16" fillId="2" borderId="1" xfId="0" applyFont="1" applyFill="1" applyBorder="1" applyAlignment="1">
      <alignment horizontal="left" vertical="center" indent="1"/>
    </xf>
    <xf numFmtId="0" fontId="17" fillId="2" borderId="4"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0" borderId="5" xfId="0" applyFont="1" applyBorder="1" applyAlignment="1">
      <alignment vertical="center" wrapText="1"/>
    </xf>
    <xf numFmtId="0" fontId="20" fillId="0" borderId="5" xfId="0" applyFont="1" applyBorder="1" applyAlignment="1">
      <alignment vertical="center" wrapText="1"/>
    </xf>
    <xf numFmtId="0" fontId="11" fillId="0" borderId="0" xfId="0" applyFont="1" applyAlignment="1">
      <alignment vertical="center"/>
    </xf>
    <xf numFmtId="0" fontId="16" fillId="2" borderId="5" xfId="0" applyFont="1" applyFill="1" applyBorder="1" applyAlignment="1">
      <alignment horizontal="left" vertical="center" wrapText="1"/>
    </xf>
    <xf numFmtId="0" fontId="17" fillId="0" borderId="4" xfId="0" applyFont="1" applyBorder="1" applyAlignment="1">
      <alignment horizontal="right" vertical="center" wrapText="1"/>
    </xf>
    <xf numFmtId="0" fontId="18" fillId="2" borderId="5" xfId="0" applyFont="1" applyFill="1" applyBorder="1" applyAlignment="1">
      <alignment vertical="center" wrapText="1"/>
    </xf>
    <xf numFmtId="0" fontId="10" fillId="2" borderId="4" xfId="0" applyFont="1" applyFill="1" applyBorder="1" applyAlignment="1">
      <alignment vertical="center" wrapText="1"/>
    </xf>
    <xf numFmtId="0" fontId="20" fillId="0" borderId="4" xfId="0" applyFont="1" applyBorder="1" applyAlignment="1">
      <alignment horizontal="right" vertical="center" wrapText="1"/>
    </xf>
    <xf numFmtId="0" fontId="17" fillId="2" borderId="5" xfId="0" applyFont="1" applyFill="1" applyBorder="1" applyAlignment="1">
      <alignment horizontal="left" vertical="center" wrapText="1"/>
    </xf>
    <xf numFmtId="0" fontId="20" fillId="2" borderId="4" xfId="0" applyFont="1" applyFill="1" applyBorder="1" applyAlignment="1">
      <alignment horizontal="right" vertical="center" wrapText="1"/>
    </xf>
    <xf numFmtId="0" fontId="10" fillId="2" borderId="3" xfId="0" applyFont="1" applyFill="1" applyBorder="1" applyAlignment="1">
      <alignment wrapText="1"/>
    </xf>
    <xf numFmtId="0" fontId="20" fillId="0" borderId="5" xfId="0" applyFont="1" applyBorder="1" applyAlignment="1">
      <alignment horizontal="right" vertical="center" wrapText="1"/>
    </xf>
    <xf numFmtId="3" fontId="20" fillId="0" borderId="4" xfId="0" applyNumberFormat="1" applyFont="1" applyBorder="1" applyAlignment="1">
      <alignment horizontal="right" vertical="center" wrapText="1"/>
    </xf>
    <xf numFmtId="0" fontId="10" fillId="2" borderId="3" xfId="0" applyFont="1" applyFill="1" applyBorder="1" applyAlignment="1">
      <alignment vertical="center" wrapText="1"/>
    </xf>
    <xf numFmtId="0" fontId="20" fillId="0" borderId="8" xfId="0" applyFont="1" applyBorder="1" applyAlignment="1">
      <alignment horizontal="right" vertical="center" wrapText="1"/>
    </xf>
    <xf numFmtId="0" fontId="17" fillId="2" borderId="7" xfId="0" applyFont="1" applyFill="1" applyBorder="1" applyAlignment="1">
      <alignment horizontal="center" vertical="center" wrapText="1"/>
    </xf>
    <xf numFmtId="0" fontId="4" fillId="0" borderId="0" xfId="0" applyFont="1" applyAlignment="1">
      <alignment wrapText="1"/>
    </xf>
    <xf numFmtId="0" fontId="4" fillId="0" borderId="15" xfId="0" applyFont="1" applyBorder="1"/>
    <xf numFmtId="0" fontId="21" fillId="0" borderId="0" xfId="0" applyFont="1"/>
    <xf numFmtId="0" fontId="17" fillId="2" borderId="3" xfId="0" applyFont="1" applyFill="1" applyBorder="1" applyAlignment="1">
      <alignment vertical="center" wrapText="1"/>
    </xf>
    <xf numFmtId="0" fontId="22" fillId="0" borderId="0" xfId="0" applyFont="1" applyAlignment="1">
      <alignment horizontal="left" vertical="center" indent="7"/>
    </xf>
    <xf numFmtId="0" fontId="17" fillId="2" borderId="1" xfId="0" applyFont="1" applyFill="1" applyBorder="1" applyAlignment="1">
      <alignment vertical="center" wrapText="1"/>
    </xf>
    <xf numFmtId="0" fontId="17" fillId="2" borderId="15" xfId="0" applyFont="1" applyFill="1" applyBorder="1" applyAlignment="1">
      <alignment horizontal="center" vertical="center" wrapText="1"/>
    </xf>
    <xf numFmtId="0" fontId="23" fillId="0" borderId="3" xfId="0" applyFont="1" applyBorder="1" applyAlignment="1">
      <alignment vertical="center"/>
    </xf>
    <xf numFmtId="0" fontId="24" fillId="0" borderId="2" xfId="0" applyFont="1" applyBorder="1" applyAlignment="1">
      <alignment horizontal="right" vertical="center"/>
    </xf>
    <xf numFmtId="0" fontId="10" fillId="0" borderId="2" xfId="0" applyFont="1" applyBorder="1" applyAlignment="1">
      <alignment vertical="top"/>
    </xf>
    <xf numFmtId="0" fontId="23" fillId="0" borderId="2" xfId="0" applyFont="1" applyBorder="1" applyAlignment="1">
      <alignment vertical="center"/>
    </xf>
    <xf numFmtId="0" fontId="23" fillId="0" borderId="5" xfId="0" applyFont="1" applyBorder="1" applyAlignment="1">
      <alignment vertical="center"/>
    </xf>
    <xf numFmtId="0" fontId="24" fillId="0" borderId="4" xfId="0" applyFont="1" applyBorder="1" applyAlignment="1">
      <alignment horizontal="right" vertical="center"/>
    </xf>
    <xf numFmtId="0" fontId="10" fillId="0" borderId="4" xfId="0" applyFont="1" applyBorder="1" applyAlignment="1">
      <alignment vertical="top"/>
    </xf>
    <xf numFmtId="0" fontId="23" fillId="0" borderId="4" xfId="0" applyFont="1" applyBorder="1" applyAlignment="1">
      <alignment vertical="center"/>
    </xf>
    <xf numFmtId="0" fontId="23" fillId="0" borderId="15" xfId="0" applyFont="1" applyBorder="1" applyAlignment="1">
      <alignment vertical="center"/>
    </xf>
    <xf numFmtId="0" fontId="20" fillId="0" borderId="5" xfId="0" applyFont="1" applyBorder="1" applyAlignment="1">
      <alignment horizontal="center" vertical="center" wrapText="1"/>
    </xf>
    <xf numFmtId="0" fontId="20" fillId="0" borderId="15" xfId="0" applyFont="1" applyBorder="1" applyAlignment="1">
      <alignment horizontal="center" vertical="center" wrapText="1"/>
    </xf>
    <xf numFmtId="0" fontId="4" fillId="6" borderId="15" xfId="0" applyFont="1" applyFill="1" applyBorder="1" applyAlignment="1">
      <alignment wrapText="1"/>
    </xf>
    <xf numFmtId="0" fontId="26" fillId="0" borderId="0" xfId="0" applyFont="1" applyAlignment="1">
      <alignment vertical="center"/>
    </xf>
    <xf numFmtId="0" fontId="25" fillId="0" borderId="0" xfId="0" applyFont="1" applyAlignment="1">
      <alignment vertical="center" wrapText="1"/>
    </xf>
    <xf numFmtId="0" fontId="25" fillId="0" borderId="10" xfId="0" applyFont="1" applyBorder="1" applyAlignment="1">
      <alignment vertical="center" wrapText="1"/>
    </xf>
    <xf numFmtId="0" fontId="11" fillId="7" borderId="4" xfId="0" applyFont="1" applyFill="1" applyBorder="1" applyAlignment="1">
      <alignment horizontal="center" vertical="center" wrapText="1"/>
    </xf>
    <xf numFmtId="0" fontId="11" fillId="3" borderId="5" xfId="0" applyFont="1" applyFill="1" applyBorder="1" applyAlignment="1">
      <alignment horizontal="left" vertical="center" indent="1"/>
    </xf>
    <xf numFmtId="3" fontId="11" fillId="3" borderId="4" xfId="0" applyNumberFormat="1" applyFont="1" applyFill="1" applyBorder="1" applyAlignment="1">
      <alignment horizontal="right" vertical="center"/>
    </xf>
    <xf numFmtId="0" fontId="11" fillId="0" borderId="0" xfId="0" applyFont="1" applyAlignment="1">
      <alignment horizontal="center" vertical="center"/>
    </xf>
    <xf numFmtId="0" fontId="13" fillId="3" borderId="3" xfId="0" applyFont="1" applyFill="1" applyBorder="1" applyAlignment="1">
      <alignment horizontal="left" vertical="center" wrapText="1"/>
    </xf>
    <xf numFmtId="0" fontId="11" fillId="3" borderId="5" xfId="0" applyFont="1" applyFill="1" applyBorder="1" applyAlignment="1">
      <alignment horizontal="left" vertical="center"/>
    </xf>
    <xf numFmtId="0" fontId="11" fillId="0" borderId="0" xfId="0" applyFont="1" applyAlignment="1">
      <alignment horizontal="left" vertical="center"/>
    </xf>
    <xf numFmtId="0" fontId="25" fillId="0" borderId="0" xfId="0" applyFont="1" applyAlignment="1">
      <alignment vertical="center"/>
    </xf>
    <xf numFmtId="0" fontId="25" fillId="0" borderId="10" xfId="0" applyFont="1" applyBorder="1" applyAlignment="1">
      <alignment vertical="center"/>
    </xf>
    <xf numFmtId="0" fontId="11" fillId="7" borderId="10" xfId="0" applyFont="1" applyFill="1" applyBorder="1" applyAlignment="1">
      <alignment horizontal="center" vertical="center" wrapText="1"/>
    </xf>
    <xf numFmtId="0" fontId="11" fillId="7" borderId="15" xfId="0" applyFont="1" applyFill="1" applyBorder="1" applyAlignment="1">
      <alignment horizontal="center" vertical="center" wrapText="1"/>
    </xf>
    <xf numFmtId="3" fontId="13" fillId="3" borderId="10" xfId="0" applyNumberFormat="1" applyFont="1" applyFill="1" applyBorder="1" applyAlignment="1">
      <alignment horizontal="right" vertical="center"/>
    </xf>
    <xf numFmtId="3" fontId="11" fillId="3" borderId="10" xfId="0" applyNumberFormat="1" applyFont="1" applyFill="1" applyBorder="1" applyAlignment="1">
      <alignment horizontal="right" vertical="center"/>
    </xf>
    <xf numFmtId="0" fontId="11" fillId="3" borderId="3" xfId="0" applyFont="1" applyFill="1" applyBorder="1" applyAlignment="1">
      <alignment vertical="center"/>
    </xf>
    <xf numFmtId="0" fontId="11" fillId="2" borderId="4" xfId="0" applyFont="1" applyFill="1" applyBorder="1" applyAlignment="1">
      <alignment horizontal="right" vertical="center"/>
    </xf>
    <xf numFmtId="0" fontId="0" fillId="8" borderId="15" xfId="0" applyFill="1" applyBorder="1"/>
    <xf numFmtId="0" fontId="11" fillId="9" borderId="15" xfId="0" applyFont="1" applyFill="1" applyBorder="1" applyAlignment="1">
      <alignment horizontal="center" vertical="center" wrapText="1"/>
    </xf>
    <xf numFmtId="0" fontId="0" fillId="0" borderId="15" xfId="0" applyBorder="1" applyAlignment="1">
      <alignment wrapText="1"/>
    </xf>
    <xf numFmtId="0" fontId="0" fillId="9" borderId="15" xfId="0" applyFill="1" applyBorder="1" applyAlignment="1">
      <alignment wrapText="1"/>
    </xf>
    <xf numFmtId="0" fontId="0" fillId="8" borderId="15" xfId="0" applyFill="1" applyBorder="1" applyAlignment="1">
      <alignment wrapText="1"/>
    </xf>
    <xf numFmtId="0" fontId="0" fillId="10" borderId="15" xfId="0" applyFill="1" applyBorder="1" applyAlignment="1">
      <alignment wrapText="1"/>
    </xf>
    <xf numFmtId="0" fontId="0" fillId="9" borderId="15" xfId="0" applyFill="1" applyBorder="1"/>
    <xf numFmtId="0" fontId="0" fillId="11" borderId="15" xfId="0" applyFill="1" applyBorder="1"/>
    <xf numFmtId="0" fontId="18" fillId="0" borderId="5" xfId="0" applyFont="1" applyBorder="1" applyAlignment="1">
      <alignment horizontal="center" vertical="center"/>
    </xf>
    <xf numFmtId="3" fontId="18" fillId="0" borderId="4" xfId="0" applyNumberFormat="1" applyFont="1" applyBorder="1" applyAlignment="1">
      <alignment horizontal="right" vertical="center"/>
    </xf>
    <xf numFmtId="0" fontId="18" fillId="0" borderId="4" xfId="0" applyFont="1" applyBorder="1" applyAlignment="1">
      <alignment horizontal="right" vertical="center"/>
    </xf>
    <xf numFmtId="4" fontId="18" fillId="0" borderId="4" xfId="0" applyNumberFormat="1" applyFont="1" applyBorder="1" applyAlignment="1">
      <alignment horizontal="right" vertical="center"/>
    </xf>
    <xf numFmtId="0" fontId="10" fillId="0" borderId="3" xfId="0" applyFont="1" applyBorder="1" applyAlignment="1">
      <alignment wrapText="1"/>
    </xf>
    <xf numFmtId="0" fontId="19" fillId="0" borderId="2" xfId="0" applyFont="1" applyBorder="1" applyAlignment="1">
      <alignment horizontal="center" vertical="center" wrapText="1"/>
    </xf>
    <xf numFmtId="0" fontId="29" fillId="0" borderId="0" xfId="0" applyFont="1"/>
    <xf numFmtId="0" fontId="0" fillId="6" borderId="24" xfId="0" applyFill="1" applyBorder="1"/>
    <xf numFmtId="0" fontId="29" fillId="6" borderId="23" xfId="0" applyFont="1" applyFill="1" applyBorder="1"/>
    <xf numFmtId="0" fontId="29" fillId="6" borderId="29" xfId="0" applyFont="1" applyFill="1" applyBorder="1"/>
    <xf numFmtId="0" fontId="0" fillId="0" borderId="26" xfId="0" applyBorder="1"/>
    <xf numFmtId="0" fontId="0" fillId="0" borderId="30" xfId="0" applyBorder="1"/>
    <xf numFmtId="0" fontId="0" fillId="0" borderId="32" xfId="0" applyBorder="1"/>
    <xf numFmtId="0" fontId="0" fillId="0" borderId="33" xfId="0" applyBorder="1"/>
    <xf numFmtId="0" fontId="29" fillId="0" borderId="25" xfId="0" applyFont="1" applyBorder="1"/>
    <xf numFmtId="0" fontId="28" fillId="0" borderId="32" xfId="0" applyFont="1" applyBorder="1"/>
    <xf numFmtId="0" fontId="29" fillId="12" borderId="25" xfId="0" applyFont="1" applyFill="1" applyBorder="1"/>
    <xf numFmtId="0" fontId="27" fillId="12" borderId="26" xfId="0" applyFont="1" applyFill="1" applyBorder="1"/>
    <xf numFmtId="0" fontId="27" fillId="12" borderId="30" xfId="0" applyFont="1" applyFill="1" applyBorder="1"/>
    <xf numFmtId="0" fontId="30" fillId="12" borderId="31" xfId="0" applyFont="1" applyFill="1" applyBorder="1"/>
    <xf numFmtId="0" fontId="27" fillId="12" borderId="32" xfId="0" applyFont="1" applyFill="1" applyBorder="1"/>
    <xf numFmtId="0" fontId="27" fillId="12" borderId="33" xfId="0" applyFont="1" applyFill="1" applyBorder="1"/>
    <xf numFmtId="0" fontId="19" fillId="12" borderId="2" xfId="0" applyFont="1" applyFill="1" applyBorder="1" applyAlignment="1">
      <alignment horizontal="center" vertical="center" wrapText="1"/>
    </xf>
    <xf numFmtId="0" fontId="18" fillId="10" borderId="4" xfId="0" applyFont="1" applyFill="1" applyBorder="1" applyAlignment="1">
      <alignment horizontal="right" vertical="center"/>
    </xf>
    <xf numFmtId="4" fontId="18" fillId="10" borderId="4" xfId="0" applyNumberFormat="1" applyFont="1" applyFill="1" applyBorder="1" applyAlignment="1">
      <alignment horizontal="right" vertical="center"/>
    </xf>
    <xf numFmtId="4" fontId="18" fillId="8" borderId="4" xfId="0" applyNumberFormat="1" applyFont="1" applyFill="1" applyBorder="1" applyAlignment="1">
      <alignment horizontal="right" vertical="center"/>
    </xf>
    <xf numFmtId="0" fontId="19" fillId="5" borderId="4" xfId="0" applyFont="1" applyFill="1" applyBorder="1" applyAlignment="1">
      <alignment horizontal="center" vertical="center" wrapText="1"/>
    </xf>
    <xf numFmtId="0" fontId="19" fillId="5" borderId="10" xfId="0" applyFont="1" applyFill="1" applyBorder="1" applyAlignment="1">
      <alignment horizontal="center" vertical="center" wrapText="1"/>
    </xf>
    <xf numFmtId="4" fontId="18" fillId="8" borderId="10" xfId="0" applyNumberFormat="1" applyFont="1" applyFill="1" applyBorder="1" applyAlignment="1">
      <alignment horizontal="right" vertical="center"/>
    </xf>
    <xf numFmtId="0" fontId="19" fillId="13" borderId="15" xfId="0" applyFont="1" applyFill="1" applyBorder="1" applyAlignment="1">
      <alignment horizontal="center" vertical="center" wrapText="1"/>
    </xf>
    <xf numFmtId="4" fontId="18" fillId="14" borderId="34" xfId="0" applyNumberFormat="1" applyFont="1" applyFill="1" applyBorder="1" applyAlignment="1">
      <alignment horizontal="right" vertical="center"/>
    </xf>
    <xf numFmtId="4" fontId="18" fillId="14" borderId="35" xfId="0" applyNumberFormat="1" applyFont="1" applyFill="1" applyBorder="1" applyAlignment="1">
      <alignment horizontal="right" vertical="center"/>
    </xf>
    <xf numFmtId="0" fontId="0" fillId="11" borderId="15" xfId="0" applyFill="1" applyBorder="1" applyAlignment="1">
      <alignment wrapText="1"/>
    </xf>
    <xf numFmtId="0" fontId="0" fillId="10" borderId="15" xfId="0" applyFill="1" applyBorder="1"/>
    <xf numFmtId="0" fontId="4" fillId="10" borderId="15" xfId="0" applyFont="1" applyFill="1" applyBorder="1" applyAlignment="1">
      <alignment wrapText="1"/>
    </xf>
    <xf numFmtId="0" fontId="0" fillId="0" borderId="27" xfId="0" applyBorder="1"/>
    <xf numFmtId="0" fontId="0" fillId="0" borderId="28" xfId="0" applyBorder="1"/>
    <xf numFmtId="0" fontId="27" fillId="8" borderId="25" xfId="0" applyFont="1" applyFill="1" applyBorder="1"/>
    <xf numFmtId="0" fontId="0" fillId="8" borderId="26" xfId="0" applyFill="1" applyBorder="1"/>
    <xf numFmtId="0" fontId="0" fillId="8" borderId="30" xfId="0" applyFill="1" applyBorder="1"/>
    <xf numFmtId="0" fontId="0" fillId="8" borderId="27" xfId="0" applyFill="1" applyBorder="1"/>
    <xf numFmtId="0" fontId="0" fillId="8" borderId="0" xfId="0" applyFill="1"/>
    <xf numFmtId="0" fontId="0" fillId="8" borderId="28" xfId="0" applyFill="1" applyBorder="1"/>
    <xf numFmtId="0" fontId="27" fillId="8" borderId="27" xfId="0" applyFont="1" applyFill="1" applyBorder="1"/>
    <xf numFmtId="0" fontId="27" fillId="8" borderId="0" xfId="0" applyFont="1" applyFill="1"/>
    <xf numFmtId="0" fontId="27" fillId="8" borderId="28" xfId="0" applyFont="1" applyFill="1" applyBorder="1"/>
    <xf numFmtId="0" fontId="27" fillId="8" borderId="31" xfId="0" applyFont="1" applyFill="1" applyBorder="1"/>
    <xf numFmtId="0" fontId="27" fillId="8" borderId="32" xfId="0" applyFont="1" applyFill="1" applyBorder="1"/>
    <xf numFmtId="10" fontId="27" fillId="8" borderId="33" xfId="0" applyNumberFormat="1" applyFont="1" applyFill="1" applyBorder="1"/>
    <xf numFmtId="0" fontId="28" fillId="0" borderId="27" xfId="0" applyFont="1" applyBorder="1"/>
    <xf numFmtId="0" fontId="28" fillId="0" borderId="0" xfId="0" applyFont="1"/>
    <xf numFmtId="0" fontId="28" fillId="0" borderId="31" xfId="0" applyFont="1" applyBorder="1"/>
    <xf numFmtId="0" fontId="25" fillId="0" borderId="0" xfId="0" applyFont="1" applyAlignment="1">
      <alignment horizontal="justify" vertical="center"/>
    </xf>
    <xf numFmtId="0" fontId="10" fillId="0" borderId="3" xfId="0" applyFont="1" applyBorder="1"/>
    <xf numFmtId="0" fontId="19" fillId="0" borderId="5" xfId="0" applyFont="1" applyBorder="1" applyAlignment="1">
      <alignment horizontal="center" vertical="center"/>
    </xf>
    <xf numFmtId="0" fontId="19" fillId="0" borderId="4" xfId="0" applyFont="1" applyBorder="1" applyAlignment="1">
      <alignment horizontal="center" vertical="center"/>
    </xf>
    <xf numFmtId="0" fontId="0" fillId="12" borderId="15" xfId="0" applyFill="1" applyBorder="1"/>
    <xf numFmtId="0" fontId="30" fillId="12" borderId="15" xfId="0" applyFont="1" applyFill="1" applyBorder="1"/>
    <xf numFmtId="0" fontId="19" fillId="15" borderId="5" xfId="0" applyFont="1" applyFill="1" applyBorder="1" applyAlignment="1">
      <alignment vertical="center"/>
    </xf>
    <xf numFmtId="0" fontId="10" fillId="15" borderId="3" xfId="0" applyFont="1" applyFill="1" applyBorder="1"/>
    <xf numFmtId="0" fontId="19" fillId="15" borderId="5" xfId="0" applyFont="1" applyFill="1" applyBorder="1" applyAlignment="1">
      <alignment horizontal="center" vertical="center"/>
    </xf>
    <xf numFmtId="0" fontId="19" fillId="15" borderId="4" xfId="0" applyFont="1" applyFill="1" applyBorder="1" applyAlignment="1">
      <alignment horizontal="center" vertical="center"/>
    </xf>
    <xf numFmtId="0" fontId="19" fillId="0" borderId="5" xfId="0" applyFont="1" applyBorder="1" applyAlignment="1">
      <alignment vertical="center" wrapText="1"/>
    </xf>
    <xf numFmtId="0" fontId="19" fillId="15" borderId="6" xfId="0" applyFont="1" applyFill="1" applyBorder="1" applyAlignment="1">
      <alignment horizontal="center" vertical="center"/>
    </xf>
    <xf numFmtId="0" fontId="19" fillId="15" borderId="2" xfId="0" applyFont="1" applyFill="1" applyBorder="1" applyAlignment="1">
      <alignment horizontal="center" vertical="center"/>
    </xf>
    <xf numFmtId="0" fontId="19" fillId="15" borderId="5" xfId="0" applyFont="1" applyFill="1" applyBorder="1" applyAlignment="1">
      <alignment vertical="center" wrapText="1"/>
    </xf>
    <xf numFmtId="0" fontId="18" fillId="11" borderId="4" xfId="0" applyFont="1" applyFill="1" applyBorder="1" applyAlignment="1">
      <alignment horizontal="right" vertical="center"/>
    </xf>
    <xf numFmtId="0" fontId="31" fillId="0" borderId="0" xfId="0" applyFont="1"/>
    <xf numFmtId="0" fontId="32" fillId="0" borderId="0" xfId="0" applyFont="1" applyAlignment="1">
      <alignment horizontal="center"/>
    </xf>
    <xf numFmtId="0" fontId="31" fillId="16" borderId="15" xfId="0" applyFont="1" applyFill="1" applyBorder="1" applyAlignment="1">
      <alignment horizontal="center" wrapText="1"/>
    </xf>
    <xf numFmtId="3" fontId="31" fillId="10" borderId="15" xfId="0" applyNumberFormat="1" applyFont="1" applyFill="1" applyBorder="1" applyAlignment="1">
      <alignment wrapText="1"/>
    </xf>
    <xf numFmtId="0" fontId="31" fillId="10" borderId="15" xfId="0" applyFont="1" applyFill="1" applyBorder="1" applyAlignment="1">
      <alignment wrapText="1"/>
    </xf>
    <xf numFmtId="0" fontId="31" fillId="10" borderId="23" xfId="0" applyFont="1" applyFill="1" applyBorder="1"/>
    <xf numFmtId="0" fontId="31" fillId="16" borderId="23" xfId="0" applyFont="1" applyFill="1" applyBorder="1"/>
    <xf numFmtId="3" fontId="31" fillId="17" borderId="15" xfId="0" applyNumberFormat="1" applyFont="1" applyFill="1" applyBorder="1" applyAlignment="1">
      <alignment horizontal="center" wrapText="1"/>
    </xf>
    <xf numFmtId="0" fontId="31" fillId="17" borderId="15" xfId="0" applyFont="1" applyFill="1" applyBorder="1" applyAlignment="1">
      <alignment horizontal="center" wrapText="1"/>
    </xf>
    <xf numFmtId="0" fontId="31" fillId="17" borderId="15" xfId="0" applyFont="1" applyFill="1" applyBorder="1" applyAlignment="1">
      <alignment wrapText="1"/>
    </xf>
    <xf numFmtId="3" fontId="31" fillId="8" borderId="15" xfId="0" applyNumberFormat="1" applyFont="1" applyFill="1" applyBorder="1" applyAlignment="1">
      <alignment wrapText="1"/>
    </xf>
    <xf numFmtId="165" fontId="31" fillId="8" borderId="15" xfId="0" applyNumberFormat="1" applyFont="1" applyFill="1" applyBorder="1" applyAlignment="1">
      <alignment wrapText="1"/>
    </xf>
    <xf numFmtId="0" fontId="31" fillId="8" borderId="15" xfId="0" applyFont="1" applyFill="1" applyBorder="1" applyAlignment="1">
      <alignment wrapText="1"/>
    </xf>
    <xf numFmtId="3" fontId="0" fillId="0" borderId="0" xfId="0" applyNumberFormat="1"/>
    <xf numFmtId="2" fontId="31" fillId="8" borderId="15" xfId="0" applyNumberFormat="1" applyFont="1" applyFill="1" applyBorder="1" applyAlignment="1">
      <alignment wrapText="1"/>
    </xf>
    <xf numFmtId="0" fontId="31" fillId="10" borderId="15" xfId="0" applyFont="1" applyFill="1" applyBorder="1"/>
    <xf numFmtId="3" fontId="33" fillId="10" borderId="15" xfId="0" applyNumberFormat="1" applyFont="1" applyFill="1" applyBorder="1"/>
    <xf numFmtId="0" fontId="34" fillId="0" borderId="3" xfId="0" applyFont="1" applyBorder="1" applyAlignment="1">
      <alignment vertical="center"/>
    </xf>
    <xf numFmtId="0" fontId="34" fillId="0" borderId="2" xfId="0" applyFont="1" applyBorder="1" applyAlignment="1">
      <alignment horizontal="right" vertical="center"/>
    </xf>
    <xf numFmtId="0" fontId="34" fillId="0" borderId="5" xfId="0" applyFont="1" applyBorder="1" applyAlignment="1">
      <alignment vertical="center"/>
    </xf>
    <xf numFmtId="0" fontId="34" fillId="0" borderId="4" xfId="0" applyFont="1" applyBorder="1" applyAlignment="1">
      <alignment vertical="center"/>
    </xf>
    <xf numFmtId="3" fontId="34" fillId="0" borderId="4" xfId="0" applyNumberFormat="1" applyFont="1" applyBorder="1" applyAlignment="1">
      <alignment horizontal="right" vertical="center"/>
    </xf>
    <xf numFmtId="0" fontId="35" fillId="0" borderId="3" xfId="0" applyFont="1" applyBorder="1" applyAlignment="1">
      <alignment vertical="center"/>
    </xf>
    <xf numFmtId="0" fontId="35" fillId="0" borderId="2" xfId="0" applyFont="1" applyBorder="1" applyAlignment="1">
      <alignment horizontal="right" vertical="center"/>
    </xf>
    <xf numFmtId="0" fontId="35" fillId="0" borderId="5" xfId="0" applyFont="1" applyBorder="1" applyAlignment="1">
      <alignment vertical="center"/>
    </xf>
    <xf numFmtId="0" fontId="35" fillId="0" borderId="4" xfId="0" applyFont="1" applyBorder="1" applyAlignment="1">
      <alignment vertical="center"/>
    </xf>
    <xf numFmtId="3" fontId="35" fillId="0" borderId="4" xfId="0" applyNumberFormat="1" applyFont="1" applyBorder="1" applyAlignment="1">
      <alignment horizontal="right" vertical="center"/>
    </xf>
    <xf numFmtId="0" fontId="35" fillId="16" borderId="5" xfId="0" applyFont="1" applyFill="1" applyBorder="1" applyAlignment="1">
      <alignment vertical="center"/>
    </xf>
    <xf numFmtId="0" fontId="35" fillId="10" borderId="5" xfId="0" applyFont="1" applyFill="1" applyBorder="1" applyAlignment="1">
      <alignment vertical="center"/>
    </xf>
    <xf numFmtId="3" fontId="27" fillId="8" borderId="15" xfId="0" applyNumberFormat="1" applyFont="1" applyFill="1" applyBorder="1"/>
    <xf numFmtId="0" fontId="34" fillId="8" borderId="15" xfId="0" applyFont="1" applyFill="1" applyBorder="1" applyAlignment="1">
      <alignment vertical="center"/>
    </xf>
    <xf numFmtId="0" fontId="27" fillId="17" borderId="15" xfId="0" applyFont="1" applyFill="1" applyBorder="1"/>
    <xf numFmtId="4" fontId="27" fillId="8" borderId="15" xfId="0" applyNumberFormat="1" applyFont="1" applyFill="1" applyBorder="1"/>
    <xf numFmtId="3" fontId="27" fillId="17" borderId="15" xfId="0" applyNumberFormat="1" applyFont="1" applyFill="1" applyBorder="1"/>
    <xf numFmtId="0" fontId="36" fillId="0" borderId="0" xfId="0" applyFont="1" applyAlignment="1">
      <alignment vertical="center"/>
    </xf>
    <xf numFmtId="0" fontId="27" fillId="16" borderId="15" xfId="0" applyFont="1" applyFill="1" applyBorder="1"/>
    <xf numFmtId="0" fontId="27" fillId="16" borderId="15" xfId="0" applyFont="1" applyFill="1" applyBorder="1" applyAlignment="1">
      <alignment horizontal="center"/>
    </xf>
    <xf numFmtId="0" fontId="27" fillId="10" borderId="15" xfId="0" applyFont="1" applyFill="1" applyBorder="1"/>
    <xf numFmtId="0" fontId="27" fillId="8" borderId="15" xfId="0" applyFont="1" applyFill="1" applyBorder="1"/>
    <xf numFmtId="0" fontId="29" fillId="6" borderId="15" xfId="0" applyFont="1" applyFill="1" applyBorder="1"/>
    <xf numFmtId="0" fontId="0" fillId="6" borderId="15" xfId="0" applyFill="1" applyBorder="1"/>
    <xf numFmtId="166" fontId="31" fillId="8" borderId="15" xfId="0" applyNumberFormat="1" applyFont="1" applyFill="1" applyBorder="1" applyAlignment="1">
      <alignment wrapText="1"/>
    </xf>
    <xf numFmtId="0" fontId="37" fillId="18" borderId="36" xfId="0" applyFont="1" applyFill="1" applyBorder="1" applyAlignment="1">
      <alignment vertical="center" wrapText="1"/>
    </xf>
    <xf numFmtId="0" fontId="37" fillId="18" borderId="37" xfId="0" applyFont="1" applyFill="1" applyBorder="1" applyAlignment="1">
      <alignment vertical="center" wrapText="1"/>
    </xf>
    <xf numFmtId="0" fontId="23" fillId="18" borderId="37" xfId="0" applyFont="1" applyFill="1" applyBorder="1" applyAlignment="1">
      <alignment horizontal="center" vertical="center" wrapText="1"/>
    </xf>
    <xf numFmtId="0" fontId="37" fillId="18" borderId="38" xfId="0" applyFont="1" applyFill="1" applyBorder="1" applyAlignment="1">
      <alignment vertical="center" wrapText="1"/>
    </xf>
    <xf numFmtId="0" fontId="23" fillId="18" borderId="36" xfId="0" applyFont="1" applyFill="1" applyBorder="1" applyAlignment="1">
      <alignment vertical="center" wrapText="1"/>
    </xf>
    <xf numFmtId="0" fontId="23" fillId="18" borderId="37" xfId="0" applyFont="1" applyFill="1" applyBorder="1" applyAlignment="1">
      <alignment vertical="center" wrapText="1"/>
    </xf>
    <xf numFmtId="0" fontId="23" fillId="18" borderId="38" xfId="0" applyFont="1" applyFill="1" applyBorder="1" applyAlignment="1">
      <alignment vertical="center" wrapText="1"/>
    </xf>
    <xf numFmtId="0" fontId="37" fillId="19" borderId="39" xfId="0" applyFont="1" applyFill="1" applyBorder="1" applyAlignment="1">
      <alignment wrapText="1"/>
    </xf>
    <xf numFmtId="0" fontId="37" fillId="19" borderId="39" xfId="0" applyFont="1" applyFill="1" applyBorder="1" applyAlignment="1">
      <alignment horizontal="right" wrapText="1"/>
    </xf>
    <xf numFmtId="0" fontId="17" fillId="18" borderId="40" xfId="0" applyFont="1" applyFill="1" applyBorder="1" applyAlignment="1">
      <alignment vertical="center" wrapText="1"/>
    </xf>
    <xf numFmtId="0" fontId="17" fillId="18" borderId="41" xfId="0" applyFont="1" applyFill="1" applyBorder="1" applyAlignment="1">
      <alignment vertical="center" wrapText="1"/>
    </xf>
    <xf numFmtId="0" fontId="17" fillId="18" borderId="42" xfId="0" applyFont="1" applyFill="1" applyBorder="1" applyAlignment="1">
      <alignment vertical="center" wrapText="1"/>
    </xf>
    <xf numFmtId="0" fontId="17" fillId="18" borderId="43" xfId="0" applyFont="1" applyFill="1" applyBorder="1" applyAlignment="1">
      <alignment vertical="center" wrapText="1"/>
    </xf>
    <xf numFmtId="0" fontId="38" fillId="19" borderId="44" xfId="0" applyFont="1" applyFill="1" applyBorder="1" applyAlignment="1">
      <alignment vertical="center" wrapText="1"/>
    </xf>
    <xf numFmtId="0" fontId="38" fillId="19" borderId="44" xfId="0" applyFont="1" applyFill="1" applyBorder="1" applyAlignment="1">
      <alignment horizontal="right" vertical="center" wrapText="1"/>
    </xf>
    <xf numFmtId="0" fontId="38" fillId="19" borderId="45" xfId="0" applyFont="1" applyFill="1" applyBorder="1" applyAlignment="1">
      <alignment horizontal="right" vertical="center" wrapText="1"/>
    </xf>
    <xf numFmtId="2" fontId="0" fillId="0" borderId="0" xfId="0" applyNumberFormat="1"/>
    <xf numFmtId="2" fontId="37" fillId="0" borderId="39" xfId="0" applyNumberFormat="1" applyFont="1" applyBorder="1" applyAlignment="1">
      <alignment horizontal="right" wrapText="1"/>
    </xf>
    <xf numFmtId="2" fontId="37" fillId="0" borderId="39" xfId="0" applyNumberFormat="1" applyFont="1" applyBorder="1" applyAlignment="1">
      <alignment horizontal="center" wrapText="1"/>
    </xf>
    <xf numFmtId="0" fontId="17" fillId="20" borderId="46" xfId="0" applyFont="1" applyFill="1" applyBorder="1" applyAlignment="1">
      <alignment vertical="center"/>
    </xf>
    <xf numFmtId="0" fontId="39" fillId="21" borderId="46" xfId="0" applyFont="1" applyFill="1" applyBorder="1" applyAlignment="1">
      <alignment horizontal="right" vertical="center"/>
    </xf>
    <xf numFmtId="0" fontId="20" fillId="22" borderId="46" xfId="0" applyFont="1" applyFill="1" applyBorder="1" applyAlignment="1">
      <alignment vertical="center"/>
    </xf>
    <xf numFmtId="0" fontId="38" fillId="19" borderId="46" xfId="0" applyFont="1" applyFill="1" applyBorder="1" applyAlignment="1">
      <alignment horizontal="right" vertical="center"/>
    </xf>
    <xf numFmtId="0" fontId="17" fillId="18" borderId="46" xfId="0" applyFont="1" applyFill="1" applyBorder="1" applyAlignment="1">
      <alignment vertical="center"/>
    </xf>
    <xf numFmtId="0" fontId="17" fillId="20" borderId="46" xfId="0" applyFont="1" applyFill="1" applyBorder="1" applyAlignment="1">
      <alignment vertical="center" wrapText="1"/>
    </xf>
    <xf numFmtId="0" fontId="38" fillId="21" borderId="46" xfId="0" applyFont="1" applyFill="1" applyBorder="1" applyAlignment="1">
      <alignment vertical="center" wrapText="1"/>
    </xf>
    <xf numFmtId="0" fontId="39" fillId="21" borderId="46" xfId="0" applyFont="1" applyFill="1" applyBorder="1" applyAlignment="1">
      <alignment horizontal="right" vertical="center" wrapText="1"/>
    </xf>
    <xf numFmtId="0" fontId="20" fillId="22" borderId="46" xfId="0" applyFont="1" applyFill="1" applyBorder="1" applyAlignment="1">
      <alignment vertical="center" wrapText="1"/>
    </xf>
    <xf numFmtId="0" fontId="17" fillId="18" borderId="46" xfId="0" applyFont="1" applyFill="1" applyBorder="1" applyAlignment="1">
      <alignment vertical="center" wrapText="1"/>
    </xf>
    <xf numFmtId="0" fontId="38" fillId="19" borderId="46" xfId="0" applyFont="1" applyFill="1" applyBorder="1" applyAlignment="1">
      <alignment horizontal="right" vertical="center" wrapText="1"/>
    </xf>
    <xf numFmtId="0" fontId="17" fillId="22" borderId="46" xfId="0" applyFont="1" applyFill="1" applyBorder="1" applyAlignment="1">
      <alignment vertical="center" wrapText="1"/>
    </xf>
    <xf numFmtId="0" fontId="38" fillId="21" borderId="46" xfId="0" applyFont="1" applyFill="1" applyBorder="1" applyAlignment="1">
      <alignment horizontal="right" vertical="center" wrapText="1"/>
    </xf>
    <xf numFmtId="0" fontId="39" fillId="20" borderId="46" xfId="0" applyFont="1" applyFill="1" applyBorder="1" applyAlignment="1">
      <alignment vertical="center"/>
    </xf>
    <xf numFmtId="0" fontId="40" fillId="0" borderId="14" xfId="0" applyFont="1" applyBorder="1" applyAlignment="1">
      <alignment horizontal="center" vertical="center" wrapText="1"/>
    </xf>
    <xf numFmtId="0" fontId="41" fillId="0" borderId="0" xfId="0" applyFont="1" applyAlignment="1">
      <alignment vertical="center" wrapText="1"/>
    </xf>
    <xf numFmtId="4" fontId="41" fillId="0" borderId="0" xfId="0" applyNumberFormat="1" applyFont="1" applyAlignment="1">
      <alignment horizontal="center" vertical="center" wrapText="1"/>
    </xf>
    <xf numFmtId="0" fontId="41" fillId="0" borderId="10" xfId="0" applyFont="1" applyBorder="1" applyAlignment="1">
      <alignment vertical="center" wrapText="1"/>
    </xf>
    <xf numFmtId="4" fontId="41" fillId="0" borderId="10" xfId="0" applyNumberFormat="1" applyFont="1" applyBorder="1" applyAlignment="1">
      <alignment horizontal="center" vertical="center" wrapText="1"/>
    </xf>
    <xf numFmtId="0" fontId="0" fillId="12" borderId="0" xfId="0" applyFill="1"/>
    <xf numFmtId="0" fontId="4" fillId="12" borderId="0" xfId="0" applyFont="1" applyFill="1"/>
    <xf numFmtId="0" fontId="41" fillId="16" borderId="15" xfId="0" applyFont="1" applyFill="1" applyBorder="1" applyAlignment="1">
      <alignment vertical="center" wrapText="1"/>
    </xf>
    <xf numFmtId="0" fontId="0" fillId="16" borderId="15" xfId="0" applyFill="1" applyBorder="1"/>
    <xf numFmtId="0" fontId="0" fillId="16" borderId="15" xfId="0" applyFill="1" applyBorder="1" applyAlignment="1">
      <alignment wrapText="1"/>
    </xf>
    <xf numFmtId="4" fontId="0" fillId="10" borderId="15" xfId="0" applyNumberFormat="1" applyFill="1" applyBorder="1"/>
    <xf numFmtId="0" fontId="4" fillId="5" borderId="15" xfId="0" applyFont="1" applyFill="1" applyBorder="1"/>
    <xf numFmtId="0" fontId="43" fillId="0" borderId="0" xfId="0" applyFont="1"/>
    <xf numFmtId="0" fontId="43" fillId="0" borderId="0" xfId="0" applyFont="1" applyAlignment="1">
      <alignment vertical="center" wrapText="1"/>
    </xf>
    <xf numFmtId="166" fontId="43" fillId="0" borderId="0" xfId="0" applyNumberFormat="1" applyFont="1"/>
    <xf numFmtId="0" fontId="0" fillId="4" borderId="0" xfId="0" applyFill="1"/>
    <xf numFmtId="0" fontId="45" fillId="0" borderId="0" xfId="1"/>
    <xf numFmtId="0" fontId="46" fillId="0" borderId="0" xfId="1" applyFont="1"/>
    <xf numFmtId="0" fontId="47" fillId="0" borderId="0" xfId="1" applyFont="1"/>
    <xf numFmtId="169" fontId="46" fillId="0" borderId="0" xfId="1" applyNumberFormat="1" applyFont="1"/>
    <xf numFmtId="0" fontId="41" fillId="0" borderId="0" xfId="0" applyFont="1" applyAlignment="1">
      <alignment vertical="center"/>
    </xf>
    <xf numFmtId="0" fontId="10" fillId="0" borderId="10" xfId="0" applyFont="1" applyBorder="1" applyAlignment="1">
      <alignment vertical="center"/>
    </xf>
    <xf numFmtId="0" fontId="10" fillId="0" borderId="4" xfId="0" applyFont="1" applyBorder="1" applyAlignment="1">
      <alignment vertical="center"/>
    </xf>
    <xf numFmtId="0" fontId="40" fillId="0" borderId="14" xfId="0" applyFont="1" applyBorder="1" applyAlignment="1">
      <alignment horizontal="center" vertical="center"/>
    </xf>
    <xf numFmtId="0" fontId="41" fillId="0" borderId="0" xfId="0" applyFont="1" applyAlignment="1">
      <alignment horizontal="center" vertical="center"/>
    </xf>
    <xf numFmtId="0" fontId="41" fillId="0" borderId="10" xfId="0" applyFont="1" applyBorder="1" applyAlignment="1">
      <alignment horizontal="center" vertical="center"/>
    </xf>
    <xf numFmtId="0" fontId="40" fillId="0" borderId="0" xfId="0" applyFont="1" applyAlignment="1">
      <alignment vertical="center"/>
    </xf>
    <xf numFmtId="0" fontId="40" fillId="0" borderId="13" xfId="0" applyFont="1" applyBorder="1" applyAlignment="1">
      <alignment vertical="center"/>
    </xf>
    <xf numFmtId="0" fontId="40" fillId="0" borderId="0" xfId="0" applyFont="1" applyAlignment="1">
      <alignment horizontal="right" vertical="center"/>
    </xf>
    <xf numFmtId="0" fontId="40" fillId="0" borderId="13" xfId="0" applyFont="1" applyBorder="1" applyAlignment="1">
      <alignment horizontal="right" vertical="center"/>
    </xf>
    <xf numFmtId="0" fontId="41" fillId="0" borderId="13" xfId="0" applyFont="1" applyBorder="1" applyAlignment="1">
      <alignment vertical="center"/>
    </xf>
    <xf numFmtId="3" fontId="41" fillId="0" borderId="13" xfId="0" applyNumberFormat="1" applyFont="1" applyBorder="1" applyAlignment="1">
      <alignment horizontal="right" vertical="center"/>
    </xf>
    <xf numFmtId="0" fontId="41" fillId="0" borderId="0" xfId="0" applyFont="1" applyAlignment="1">
      <alignment horizontal="right" vertical="center"/>
    </xf>
    <xf numFmtId="3" fontId="41" fillId="0" borderId="0" xfId="0" applyNumberFormat="1" applyFont="1" applyAlignment="1">
      <alignment horizontal="right" vertical="center"/>
    </xf>
    <xf numFmtId="0" fontId="41" fillId="0" borderId="10" xfId="0" applyFont="1" applyBorder="1" applyAlignment="1">
      <alignment vertical="center"/>
    </xf>
    <xf numFmtId="3" fontId="41" fillId="0" borderId="10" xfId="0" applyNumberFormat="1" applyFont="1" applyBorder="1" applyAlignment="1">
      <alignment horizontal="right" vertical="center"/>
    </xf>
    <xf numFmtId="0" fontId="44" fillId="0" borderId="0" xfId="1" applyFont="1"/>
    <xf numFmtId="0" fontId="46" fillId="16" borderId="25" xfId="1" applyFont="1" applyFill="1" applyBorder="1"/>
    <xf numFmtId="0" fontId="46" fillId="16" borderId="26" xfId="1" applyFont="1" applyFill="1" applyBorder="1" applyAlignment="1">
      <alignment horizontal="center"/>
    </xf>
    <xf numFmtId="0" fontId="46" fillId="16" borderId="30" xfId="1" applyFont="1" applyFill="1" applyBorder="1" applyAlignment="1">
      <alignment horizontal="center"/>
    </xf>
    <xf numFmtId="0" fontId="46" fillId="16" borderId="31" xfId="1" applyFont="1" applyFill="1" applyBorder="1"/>
    <xf numFmtId="0" fontId="46" fillId="16" borderId="32" xfId="1" applyFont="1" applyFill="1" applyBorder="1" applyAlignment="1">
      <alignment horizontal="center"/>
    </xf>
    <xf numFmtId="0" fontId="46" fillId="16" borderId="33" xfId="1" applyFont="1" applyFill="1" applyBorder="1" applyAlignment="1">
      <alignment horizontal="center"/>
    </xf>
    <xf numFmtId="0" fontId="46" fillId="10" borderId="15" xfId="1" applyFont="1" applyFill="1" applyBorder="1"/>
    <xf numFmtId="3" fontId="46" fillId="23" borderId="15" xfId="1" applyNumberFormat="1" applyFont="1" applyFill="1" applyBorder="1"/>
    <xf numFmtId="168" fontId="46" fillId="23" borderId="15" xfId="1" applyNumberFormat="1" applyFont="1" applyFill="1" applyBorder="1"/>
    <xf numFmtId="0" fontId="46" fillId="24" borderId="15" xfId="1" applyFont="1" applyFill="1" applyBorder="1"/>
    <xf numFmtId="0" fontId="45" fillId="24" borderId="15" xfId="1" applyFill="1" applyBorder="1"/>
    <xf numFmtId="0" fontId="47" fillId="24" borderId="15" xfId="1" applyFont="1" applyFill="1" applyBorder="1"/>
    <xf numFmtId="0" fontId="46" fillId="17" borderId="15" xfId="1" applyFont="1" applyFill="1" applyBorder="1"/>
    <xf numFmtId="0" fontId="47" fillId="17" borderId="15" xfId="1" applyFont="1" applyFill="1" applyBorder="1"/>
    <xf numFmtId="2" fontId="49" fillId="17" borderId="15" xfId="1" applyNumberFormat="1" applyFont="1" applyFill="1" applyBorder="1"/>
    <xf numFmtId="2" fontId="45" fillId="17" borderId="15" xfId="1" applyNumberFormat="1" applyFill="1" applyBorder="1"/>
    <xf numFmtId="0" fontId="46" fillId="16" borderId="15" xfId="1" applyFont="1" applyFill="1" applyBorder="1"/>
    <xf numFmtId="0" fontId="46" fillId="16" borderId="15" xfId="1" applyFont="1" applyFill="1" applyBorder="1" applyAlignment="1">
      <alignment horizontal="center"/>
    </xf>
    <xf numFmtId="0" fontId="48" fillId="16" borderId="15" xfId="1" applyFont="1" applyFill="1" applyBorder="1"/>
    <xf numFmtId="169" fontId="46" fillId="10" borderId="15" xfId="1" applyNumberFormat="1" applyFont="1" applyFill="1" applyBorder="1"/>
    <xf numFmtId="0" fontId="43" fillId="16" borderId="19" xfId="0" applyFont="1" applyFill="1" applyBorder="1"/>
    <xf numFmtId="0" fontId="44" fillId="16" borderId="19" xfId="0" applyFont="1" applyFill="1" applyBorder="1"/>
    <xf numFmtId="0" fontId="44" fillId="16" borderId="21" xfId="0" applyFont="1" applyFill="1" applyBorder="1"/>
    <xf numFmtId="3" fontId="43" fillId="10" borderId="15" xfId="0" applyNumberFormat="1" applyFont="1" applyFill="1" applyBorder="1"/>
    <xf numFmtId="3" fontId="43" fillId="10" borderId="34" xfId="0" applyNumberFormat="1" applyFont="1" applyFill="1" applyBorder="1"/>
    <xf numFmtId="0" fontId="43" fillId="24" borderId="15" xfId="0" applyFont="1" applyFill="1" applyBorder="1"/>
    <xf numFmtId="0" fontId="43" fillId="24" borderId="23" xfId="0" applyFont="1" applyFill="1" applyBorder="1"/>
    <xf numFmtId="3" fontId="43" fillId="10" borderId="23" xfId="0" applyNumberFormat="1" applyFont="1" applyFill="1" applyBorder="1"/>
    <xf numFmtId="3" fontId="43" fillId="10" borderId="47" xfId="0" applyNumberFormat="1" applyFont="1" applyFill="1" applyBorder="1"/>
    <xf numFmtId="0" fontId="43" fillId="24" borderId="15" xfId="0" applyFont="1" applyFill="1" applyBorder="1" applyAlignment="1">
      <alignment vertical="center" wrapText="1"/>
    </xf>
    <xf numFmtId="0" fontId="0" fillId="24" borderId="15" xfId="0" applyFill="1" applyBorder="1"/>
    <xf numFmtId="166" fontId="43" fillId="8" borderId="15" xfId="0" applyNumberFormat="1" applyFont="1" applyFill="1" applyBorder="1"/>
    <xf numFmtId="2" fontId="32" fillId="8" borderId="15" xfId="0" applyNumberFormat="1" applyFont="1" applyFill="1" applyBorder="1"/>
    <xf numFmtId="0" fontId="43" fillId="8" borderId="15" xfId="0" applyFont="1" applyFill="1" applyBorder="1"/>
    <xf numFmtId="0" fontId="44" fillId="16" borderId="15" xfId="0" applyFont="1" applyFill="1" applyBorder="1"/>
    <xf numFmtId="167" fontId="43" fillId="10" borderId="15" xfId="0" applyNumberFormat="1" applyFont="1" applyFill="1" applyBorder="1"/>
    <xf numFmtId="0" fontId="44" fillId="25" borderId="0" xfId="0" applyFont="1" applyFill="1"/>
    <xf numFmtId="0" fontId="43" fillId="25" borderId="0" xfId="0" applyFont="1" applyFill="1"/>
    <xf numFmtId="3" fontId="43" fillId="25" borderId="0" xfId="0" applyNumberFormat="1" applyFont="1" applyFill="1"/>
    <xf numFmtId="166" fontId="43" fillId="25" borderId="0" xfId="0" applyNumberFormat="1" applyFont="1" applyFill="1"/>
    <xf numFmtId="0" fontId="0" fillId="25" borderId="15" xfId="0" applyFill="1" applyBorder="1"/>
    <xf numFmtId="0" fontId="41" fillId="16" borderId="15" xfId="0" applyFont="1" applyFill="1" applyBorder="1" applyAlignment="1">
      <alignment horizontal="center" vertical="center" wrapText="1"/>
    </xf>
    <xf numFmtId="4" fontId="41" fillId="10" borderId="15" xfId="0" applyNumberFormat="1" applyFont="1" applyFill="1" applyBorder="1" applyAlignment="1">
      <alignment horizontal="right" vertical="center" wrapText="1"/>
    </xf>
    <xf numFmtId="0" fontId="52" fillId="16" borderId="15" xfId="0" applyFont="1" applyFill="1" applyBorder="1" applyAlignment="1">
      <alignment horizontal="center" vertical="center" wrapText="1"/>
    </xf>
    <xf numFmtId="0" fontId="52" fillId="17" borderId="15" xfId="0" applyFont="1" applyFill="1" applyBorder="1" applyAlignment="1">
      <alignment horizontal="center" vertical="center" wrapText="1"/>
    </xf>
    <xf numFmtId="0" fontId="41" fillId="17" borderId="15" xfId="0" applyFont="1" applyFill="1" applyBorder="1" applyAlignment="1">
      <alignment horizontal="center" vertical="center" wrapText="1"/>
    </xf>
    <xf numFmtId="4" fontId="41" fillId="8" borderId="15" xfId="0" applyNumberFormat="1" applyFont="1" applyFill="1" applyBorder="1" applyAlignment="1">
      <alignment horizontal="right" vertical="center" wrapText="1"/>
    </xf>
    <xf numFmtId="4" fontId="0" fillId="8" borderId="15" xfId="0" applyNumberFormat="1" applyFill="1" applyBorder="1"/>
    <xf numFmtId="0" fontId="51" fillId="16" borderId="4" xfId="0" applyFont="1" applyFill="1" applyBorder="1" applyAlignment="1">
      <alignment horizontal="center" vertical="center"/>
    </xf>
    <xf numFmtId="0" fontId="50" fillId="16" borderId="2" xfId="0" applyFont="1" applyFill="1" applyBorder="1" applyAlignment="1">
      <alignment horizontal="center" vertical="center"/>
    </xf>
    <xf numFmtId="3" fontId="51" fillId="10" borderId="4" xfId="0" applyNumberFormat="1" applyFont="1" applyFill="1" applyBorder="1" applyAlignment="1">
      <alignment horizontal="center" vertical="center"/>
    </xf>
    <xf numFmtId="0" fontId="51" fillId="17" borderId="15" xfId="0" applyFont="1" applyFill="1" applyBorder="1" applyAlignment="1">
      <alignment horizontal="center" vertical="center"/>
    </xf>
    <xf numFmtId="0" fontId="50" fillId="17" borderId="15" xfId="0" applyFont="1" applyFill="1" applyBorder="1" applyAlignment="1">
      <alignment horizontal="center" vertical="center"/>
    </xf>
    <xf numFmtId="0" fontId="33" fillId="0" borderId="0" xfId="0" applyFont="1"/>
    <xf numFmtId="3" fontId="0" fillId="0" borderId="15" xfId="0" applyNumberFormat="1" applyBorder="1"/>
    <xf numFmtId="0" fontId="0" fillId="17" borderId="15" xfId="0" applyFill="1" applyBorder="1"/>
    <xf numFmtId="0" fontId="40" fillId="26" borderId="15" xfId="0" applyFont="1" applyFill="1" applyBorder="1" applyAlignment="1">
      <alignment horizontal="center" vertical="center" wrapText="1"/>
    </xf>
    <xf numFmtId="0" fontId="41" fillId="26" borderId="15" xfId="0" applyFont="1" applyFill="1" applyBorder="1" applyAlignment="1">
      <alignment horizontal="center" vertical="center"/>
    </xf>
    <xf numFmtId="4" fontId="41" fillId="27" borderId="15" xfId="0" applyNumberFormat="1" applyFont="1" applyFill="1" applyBorder="1" applyAlignment="1">
      <alignment horizontal="center" vertical="center" wrapText="1"/>
    </xf>
    <xf numFmtId="0" fontId="0" fillId="27" borderId="15" xfId="0" applyFill="1" applyBorder="1"/>
    <xf numFmtId="4" fontId="0" fillId="27" borderId="15" xfId="0" applyNumberFormat="1" applyFill="1" applyBorder="1"/>
    <xf numFmtId="0" fontId="0" fillId="6" borderId="0" xfId="0" applyFill="1"/>
    <xf numFmtId="0" fontId="41" fillId="17" borderId="15" xfId="0" applyFont="1" applyFill="1" applyBorder="1" applyAlignment="1">
      <alignment vertical="center"/>
    </xf>
    <xf numFmtId="0" fontId="0" fillId="0" borderId="0" xfId="0" applyAlignment="1">
      <alignment horizontal="center"/>
    </xf>
    <xf numFmtId="0" fontId="42" fillId="0" borderId="0" xfId="0" applyFont="1"/>
    <xf numFmtId="0" fontId="57" fillId="0" borderId="48" xfId="0" applyFont="1" applyBorder="1" applyAlignment="1">
      <alignment vertical="center"/>
    </xf>
    <xf numFmtId="0" fontId="57" fillId="0" borderId="48" xfId="0" applyFont="1" applyBorder="1" applyAlignment="1">
      <alignment horizontal="center" vertical="center"/>
    </xf>
    <xf numFmtId="0" fontId="50" fillId="0" borderId="0" xfId="0" applyFont="1" applyAlignment="1">
      <alignment vertical="center"/>
    </xf>
    <xf numFmtId="3" fontId="50" fillId="0" borderId="0" xfId="0" applyNumberFormat="1" applyFont="1" applyAlignment="1">
      <alignment horizontal="right" vertical="center"/>
    </xf>
    <xf numFmtId="0" fontId="51" fillId="0" borderId="0" xfId="0" applyFont="1" applyAlignment="1">
      <alignment vertical="center"/>
    </xf>
    <xf numFmtId="3" fontId="51" fillId="0" borderId="0" xfId="0" applyNumberFormat="1" applyFont="1" applyAlignment="1">
      <alignment horizontal="right" vertical="center"/>
    </xf>
    <xf numFmtId="0" fontId="50" fillId="0" borderId="49" xfId="0" applyFont="1" applyBorder="1" applyAlignment="1">
      <alignment vertical="center"/>
    </xf>
    <xf numFmtId="0" fontId="50" fillId="0" borderId="49" xfId="0" applyFont="1" applyBorder="1" applyAlignment="1">
      <alignment horizontal="right" vertical="center"/>
    </xf>
    <xf numFmtId="0" fontId="0" fillId="11" borderId="0" xfId="0" applyFill="1"/>
    <xf numFmtId="0" fontId="42" fillId="11" borderId="0" xfId="0" applyFont="1" applyFill="1"/>
    <xf numFmtId="0" fontId="0" fillId="17" borderId="15" xfId="0" applyFill="1" applyBorder="1" applyAlignment="1">
      <alignment wrapText="1"/>
    </xf>
    <xf numFmtId="0" fontId="0" fillId="17" borderId="23" xfId="0" applyFill="1" applyBorder="1"/>
    <xf numFmtId="0" fontId="42" fillId="11" borderId="0" xfId="0" applyFont="1" applyFill="1" applyAlignment="1">
      <alignment vertical="top"/>
    </xf>
    <xf numFmtId="0" fontId="58" fillId="0" borderId="10" xfId="0" applyFont="1" applyBorder="1"/>
    <xf numFmtId="0" fontId="43" fillId="0" borderId="10" xfId="0" applyFont="1" applyBorder="1" applyAlignment="1">
      <alignment horizontal="center"/>
    </xf>
    <xf numFmtId="3" fontId="43" fillId="0" borderId="0" xfId="0" applyNumberFormat="1" applyFont="1" applyAlignment="1">
      <alignment horizontal="right"/>
    </xf>
    <xf numFmtId="0" fontId="43" fillId="0" borderId="10" xfId="0" applyFont="1" applyBorder="1"/>
    <xf numFmtId="3" fontId="43" fillId="0" borderId="10" xfId="0" applyNumberFormat="1" applyFont="1" applyBorder="1" applyAlignment="1">
      <alignment horizontal="right"/>
    </xf>
    <xf numFmtId="0" fontId="58" fillId="17" borderId="15" xfId="0" applyFont="1" applyFill="1" applyBorder="1"/>
    <xf numFmtId="0" fontId="43" fillId="17" borderId="15" xfId="0" applyFont="1" applyFill="1" applyBorder="1" applyAlignment="1">
      <alignment horizontal="center"/>
    </xf>
    <xf numFmtId="0" fontId="43" fillId="17" borderId="15" xfId="0" applyFont="1" applyFill="1" applyBorder="1"/>
    <xf numFmtId="165" fontId="43" fillId="8" borderId="15" xfId="0" applyNumberFormat="1" applyFont="1" applyFill="1" applyBorder="1"/>
    <xf numFmtId="3" fontId="43" fillId="8" borderId="15" xfId="0" applyNumberFormat="1" applyFont="1" applyFill="1" applyBorder="1"/>
    <xf numFmtId="0" fontId="60" fillId="0" borderId="0" xfId="0" applyFont="1"/>
    <xf numFmtId="168" fontId="60" fillId="0" borderId="0" xfId="0" applyNumberFormat="1" applyFont="1"/>
    <xf numFmtId="168" fontId="61" fillId="0" borderId="0" xfId="0" applyNumberFormat="1" applyFont="1"/>
    <xf numFmtId="0" fontId="30" fillId="17" borderId="15" xfId="0" applyFont="1" applyFill="1" applyBorder="1"/>
    <xf numFmtId="0" fontId="30" fillId="17" borderId="15" xfId="0" applyFont="1" applyFill="1" applyBorder="1" applyAlignment="1">
      <alignment horizontal="center"/>
    </xf>
    <xf numFmtId="0" fontId="60" fillId="17" borderId="15" xfId="0" applyFont="1" applyFill="1" applyBorder="1"/>
    <xf numFmtId="0" fontId="60" fillId="10" borderId="15" xfId="0" applyFont="1" applyFill="1" applyBorder="1"/>
    <xf numFmtId="168" fontId="60" fillId="10" borderId="15" xfId="0" applyNumberFormat="1" applyFont="1" applyFill="1" applyBorder="1"/>
    <xf numFmtId="168" fontId="61" fillId="8" borderId="15" xfId="0" applyNumberFormat="1" applyFont="1" applyFill="1" applyBorder="1"/>
    <xf numFmtId="0" fontId="61" fillId="8" borderId="15" xfId="0" applyFont="1" applyFill="1" applyBorder="1"/>
    <xf numFmtId="0" fontId="4" fillId="8" borderId="15" xfId="0" applyFont="1" applyFill="1" applyBorder="1"/>
    <xf numFmtId="168" fontId="29" fillId="8" borderId="15" xfId="0" applyNumberFormat="1" applyFont="1" applyFill="1" applyBorder="1"/>
    <xf numFmtId="2" fontId="61" fillId="8" borderId="15" xfId="0" applyNumberFormat="1" applyFont="1" applyFill="1" applyBorder="1"/>
    <xf numFmtId="0" fontId="60" fillId="6" borderId="0" xfId="0" applyFont="1" applyFill="1"/>
    <xf numFmtId="0" fontId="39" fillId="16" borderId="3" xfId="0" applyFont="1" applyFill="1" applyBorder="1" applyAlignment="1">
      <alignment vertical="center"/>
    </xf>
    <xf numFmtId="0" fontId="39" fillId="16" borderId="2" xfId="0" applyFont="1" applyFill="1" applyBorder="1" applyAlignment="1">
      <alignment horizontal="center" vertical="center" wrapText="1"/>
    </xf>
    <xf numFmtId="0" fontId="39" fillId="16" borderId="5" xfId="0" applyFont="1" applyFill="1" applyBorder="1" applyAlignment="1">
      <alignment vertical="center" wrapText="1"/>
    </xf>
    <xf numFmtId="0" fontId="38" fillId="16" borderId="5" xfId="0" applyFont="1" applyFill="1" applyBorder="1" applyAlignment="1">
      <alignment vertical="center" wrapText="1"/>
    </xf>
    <xf numFmtId="3" fontId="17" fillId="10" borderId="4" xfId="0" applyNumberFormat="1" applyFont="1" applyFill="1" applyBorder="1" applyAlignment="1">
      <alignment horizontal="right" vertical="center"/>
    </xf>
    <xf numFmtId="3" fontId="20" fillId="10" borderId="4" xfId="0" applyNumberFormat="1" applyFont="1" applyFill="1" applyBorder="1" applyAlignment="1">
      <alignment horizontal="right" vertical="center"/>
    </xf>
    <xf numFmtId="0" fontId="20" fillId="10" borderId="4" xfId="0" applyFont="1" applyFill="1" applyBorder="1" applyAlignment="1">
      <alignment horizontal="right" vertical="center"/>
    </xf>
    <xf numFmtId="0" fontId="17" fillId="10" borderId="4" xfId="0" applyFont="1" applyFill="1" applyBorder="1" applyAlignment="1">
      <alignment horizontal="right" vertical="center"/>
    </xf>
    <xf numFmtId="3" fontId="20" fillId="8" borderId="4" xfId="0" applyNumberFormat="1" applyFont="1" applyFill="1" applyBorder="1" applyAlignment="1">
      <alignment horizontal="right" vertical="center"/>
    </xf>
    <xf numFmtId="0" fontId="39" fillId="17" borderId="2" xfId="0" applyFont="1" applyFill="1" applyBorder="1" applyAlignment="1">
      <alignment horizontal="center" vertical="center" wrapText="1"/>
    </xf>
    <xf numFmtId="3" fontId="20" fillId="8" borderId="15" xfId="0" applyNumberFormat="1" applyFont="1" applyFill="1" applyBorder="1" applyAlignment="1">
      <alignment horizontal="right" vertical="center"/>
    </xf>
    <xf numFmtId="0" fontId="56" fillId="0" borderId="0" xfId="0" applyFont="1" applyAlignment="1">
      <alignment horizontal="left" vertical="center" indent="4"/>
    </xf>
    <xf numFmtId="3" fontId="38" fillId="10" borderId="4" xfId="0" applyNumberFormat="1" applyFont="1" applyFill="1" applyBorder="1" applyAlignment="1">
      <alignment horizontal="right" vertical="center"/>
    </xf>
    <xf numFmtId="0" fontId="39" fillId="16" borderId="15" xfId="0" applyFont="1" applyFill="1" applyBorder="1" applyAlignment="1">
      <alignment vertical="center" wrapText="1"/>
    </xf>
    <xf numFmtId="0" fontId="39" fillId="16" borderId="15" xfId="0" applyFont="1" applyFill="1" applyBorder="1" applyAlignment="1">
      <alignment horizontal="center" vertical="center"/>
    </xf>
    <xf numFmtId="0" fontId="62" fillId="16" borderId="23" xfId="0" applyFont="1" applyFill="1" applyBorder="1" applyAlignment="1">
      <alignment horizontal="center" vertical="center"/>
    </xf>
    <xf numFmtId="3" fontId="38" fillId="10" borderId="10" xfId="0" applyNumberFormat="1" applyFont="1" applyFill="1" applyBorder="1" applyAlignment="1">
      <alignment horizontal="right" vertical="center"/>
    </xf>
    <xf numFmtId="0" fontId="38" fillId="10" borderId="10" xfId="0" applyFont="1" applyFill="1" applyBorder="1" applyAlignment="1">
      <alignment horizontal="right" vertical="center"/>
    </xf>
    <xf numFmtId="3" fontId="0" fillId="8" borderId="15" xfId="0" applyNumberFormat="1" applyFill="1" applyBorder="1"/>
    <xf numFmtId="0" fontId="7" fillId="0" borderId="0" xfId="0" applyFont="1" applyAlignment="1">
      <alignment vertical="center"/>
    </xf>
    <xf numFmtId="164" fontId="0" fillId="0" borderId="0" xfId="0" applyNumberFormat="1"/>
    <xf numFmtId="0" fontId="10" fillId="0" borderId="0" xfId="0" applyFont="1"/>
    <xf numFmtId="0" fontId="10" fillId="16" borderId="15" xfId="0" applyFont="1" applyFill="1" applyBorder="1" applyAlignment="1">
      <alignment wrapText="1"/>
    </xf>
    <xf numFmtId="0" fontId="6" fillId="16" borderId="15" xfId="0" applyFont="1" applyFill="1" applyBorder="1" applyAlignment="1">
      <alignment horizontal="right" vertical="center"/>
    </xf>
    <xf numFmtId="0" fontId="7" fillId="16" borderId="15" xfId="0" applyFont="1" applyFill="1" applyBorder="1" applyAlignment="1">
      <alignment vertical="center"/>
    </xf>
    <xf numFmtId="3" fontId="7" fillId="10" borderId="15" xfId="0" applyNumberFormat="1" applyFont="1" applyFill="1" applyBorder="1" applyAlignment="1">
      <alignment horizontal="right" vertical="center"/>
    </xf>
    <xf numFmtId="0" fontId="10" fillId="17" borderId="15" xfId="0" applyFont="1" applyFill="1" applyBorder="1" applyAlignment="1">
      <alignment wrapText="1"/>
    </xf>
    <xf numFmtId="0" fontId="6" fillId="17" borderId="15" xfId="0" applyFont="1" applyFill="1" applyBorder="1" applyAlignment="1">
      <alignment horizontal="right" vertical="center"/>
    </xf>
    <xf numFmtId="0" fontId="7" fillId="17" borderId="15" xfId="0" applyFont="1" applyFill="1" applyBorder="1" applyAlignment="1">
      <alignment vertical="center"/>
    </xf>
    <xf numFmtId="164" fontId="7" fillId="8" borderId="15" xfId="0" applyNumberFormat="1" applyFont="1" applyFill="1" applyBorder="1" applyAlignment="1">
      <alignment horizontal="right" vertical="center"/>
    </xf>
    <xf numFmtId="164" fontId="6" fillId="17" borderId="15" xfId="0" applyNumberFormat="1" applyFont="1" applyFill="1" applyBorder="1" applyAlignment="1">
      <alignment horizontal="right" vertical="center"/>
    </xf>
    <xf numFmtId="0" fontId="12" fillId="17" borderId="15" xfId="0" applyFont="1" applyFill="1" applyBorder="1" applyAlignment="1">
      <alignment wrapText="1"/>
    </xf>
    <xf numFmtId="164" fontId="0" fillId="8" borderId="15" xfId="0" applyNumberFormat="1" applyFill="1" applyBorder="1"/>
    <xf numFmtId="0" fontId="2" fillId="0" borderId="6" xfId="0" applyFont="1" applyBorder="1" applyAlignment="1">
      <alignment horizontal="right" vertical="center"/>
    </xf>
    <xf numFmtId="0" fontId="2" fillId="0" borderId="2" xfId="0" applyFont="1" applyBorder="1" applyAlignment="1">
      <alignment horizontal="right" vertical="center"/>
    </xf>
    <xf numFmtId="0" fontId="0" fillId="0" borderId="11" xfId="0" applyBorder="1"/>
    <xf numFmtId="0" fontId="0" fillId="0" borderId="0" xfId="0"/>
    <xf numFmtId="0" fontId="2" fillId="0" borderId="11" xfId="0" applyFont="1" applyBorder="1" applyAlignment="1">
      <alignment vertical="center"/>
    </xf>
    <xf numFmtId="0" fontId="2" fillId="0" borderId="0" xfId="0" applyFont="1" applyAlignment="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3" fillId="0" borderId="6" xfId="0" applyFont="1" applyBorder="1" applyAlignment="1">
      <alignment horizontal="center" vertical="center"/>
    </xf>
    <xf numFmtId="0" fontId="3" fillId="0" borderId="14"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13" xfId="0" applyFont="1" applyBorder="1" applyAlignment="1">
      <alignment horizontal="center" vertical="center"/>
    </xf>
    <xf numFmtId="0" fontId="3" fillId="0" borderId="10" xfId="0" applyFont="1" applyBorder="1" applyAlignment="1">
      <alignment horizontal="center"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1" xfId="0" applyBorder="1"/>
    <xf numFmtId="0" fontId="0" fillId="0" borderId="5" xfId="0" applyBorder="1"/>
    <xf numFmtId="0" fontId="0" fillId="0" borderId="6" xfId="0" applyBorder="1"/>
    <xf numFmtId="0" fontId="0" fillId="0" borderId="2" xfId="0" applyBorder="1"/>
    <xf numFmtId="0" fontId="2" fillId="0" borderId="6" xfId="0" applyFont="1" applyBorder="1" applyAlignment="1">
      <alignment vertical="center"/>
    </xf>
    <xf numFmtId="0" fontId="2" fillId="0" borderId="2" xfId="0" applyFont="1" applyBorder="1" applyAlignment="1">
      <alignment vertical="center"/>
    </xf>
    <xf numFmtId="0" fontId="0" fillId="0" borderId="9" xfId="0" applyBorder="1"/>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0" borderId="11" xfId="0" applyBorder="1" applyAlignment="1">
      <alignment vertical="center" wrapText="1"/>
    </xf>
    <xf numFmtId="0" fontId="0" fillId="0" borderId="0" xfId="0"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17" fillId="4" borderId="1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7" xfId="0" applyFont="1" applyBorder="1" applyAlignment="1">
      <alignment horizontal="center" wrapText="1"/>
    </xf>
    <xf numFmtId="0" fontId="4" fillId="0" borderId="11" xfId="0" applyFont="1" applyBorder="1" applyAlignment="1">
      <alignment horizont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8" xfId="0" applyFont="1" applyBorder="1" applyAlignment="1">
      <alignment horizontal="center" wrapText="1"/>
    </xf>
    <xf numFmtId="0" fontId="4" fillId="0" borderId="10" xfId="0" applyFont="1" applyBorder="1" applyAlignment="1">
      <alignment horizontal="center" wrapText="1"/>
    </xf>
    <xf numFmtId="0" fontId="4" fillId="0" borderId="4" xfId="0" applyFont="1" applyBorder="1" applyAlignment="1">
      <alignment horizontal="center" wrapText="1"/>
    </xf>
    <xf numFmtId="0" fontId="4" fillId="4" borderId="17" xfId="0" applyFont="1" applyFill="1" applyBorder="1" applyAlignment="1">
      <alignment horizontal="center" wrapText="1"/>
    </xf>
    <xf numFmtId="0" fontId="4" fillId="4" borderId="18" xfId="0" applyFont="1" applyFill="1" applyBorder="1" applyAlignment="1">
      <alignment horizontal="center" wrapText="1"/>
    </xf>
    <xf numFmtId="0" fontId="4" fillId="4" borderId="19" xfId="0" applyFont="1" applyFill="1" applyBorder="1" applyAlignment="1">
      <alignment horizontal="center" wrapText="1"/>
    </xf>
    <xf numFmtId="0" fontId="4" fillId="4" borderId="20" xfId="0" applyFont="1" applyFill="1" applyBorder="1" applyAlignment="1">
      <alignment horizontal="center" wrapText="1"/>
    </xf>
    <xf numFmtId="0" fontId="4" fillId="4" borderId="21" xfId="0" applyFont="1" applyFill="1" applyBorder="1" applyAlignment="1">
      <alignment horizontal="center" wrapText="1"/>
    </xf>
    <xf numFmtId="0" fontId="4" fillId="4" borderId="22" xfId="0" applyFont="1" applyFill="1" applyBorder="1" applyAlignment="1">
      <alignment horizontal="center" wrapText="1"/>
    </xf>
    <xf numFmtId="0" fontId="1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4" fillId="5" borderId="23" xfId="0" applyFont="1" applyFill="1" applyBorder="1" applyAlignment="1">
      <alignment horizontal="center" wrapText="1"/>
    </xf>
    <xf numFmtId="0" fontId="4" fillId="5" borderId="24" xfId="0" applyFont="1" applyFill="1" applyBorder="1" applyAlignment="1">
      <alignment horizontal="center" wrapText="1"/>
    </xf>
    <xf numFmtId="0" fontId="17" fillId="2" borderId="14" xfId="0" applyFont="1" applyFill="1" applyBorder="1" applyAlignment="1">
      <alignment horizontal="center" vertical="center" wrapText="1"/>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32"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15" xfId="0" applyFont="1" applyFill="1" applyBorder="1" applyAlignment="1">
      <alignment horizontal="center"/>
    </xf>
    <xf numFmtId="0" fontId="4" fillId="15" borderId="15" xfId="0" applyFont="1" applyFill="1" applyBorder="1" applyAlignment="1">
      <alignment horizontal="center"/>
    </xf>
    <xf numFmtId="0" fontId="0" fillId="11" borderId="23" xfId="0" applyFill="1" applyBorder="1" applyAlignment="1">
      <alignment horizontal="center"/>
    </xf>
    <xf numFmtId="0" fontId="0" fillId="11" borderId="24"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10" borderId="15" xfId="0" applyFill="1" applyBorder="1" applyAlignment="1">
      <alignment horizontal="center" wrapText="1"/>
    </xf>
    <xf numFmtId="0" fontId="15" fillId="6" borderId="23" xfId="0" applyFont="1" applyFill="1" applyBorder="1" applyAlignment="1">
      <alignment horizontal="center"/>
    </xf>
    <xf numFmtId="0" fontId="15" fillId="6" borderId="29" xfId="0" applyFont="1" applyFill="1" applyBorder="1" applyAlignment="1">
      <alignment horizontal="center"/>
    </xf>
    <xf numFmtId="0" fontId="15" fillId="6" borderId="24" xfId="0" applyFont="1" applyFill="1" applyBorder="1" applyAlignment="1">
      <alignment horizontal="center"/>
    </xf>
    <xf numFmtId="0" fontId="19" fillId="0" borderId="6" xfId="0" applyFont="1" applyBorder="1" applyAlignment="1">
      <alignment horizontal="center" vertical="center"/>
    </xf>
    <xf numFmtId="0" fontId="19" fillId="0" borderId="2" xfId="0" applyFont="1" applyBorder="1" applyAlignment="1">
      <alignment horizontal="center" vertical="center"/>
    </xf>
    <xf numFmtId="0" fontId="32" fillId="0" borderId="0" xfId="0" applyFont="1" applyAlignment="1">
      <alignment horizontal="center"/>
    </xf>
    <xf numFmtId="0" fontId="31" fillId="16" borderId="15" xfId="0" applyFont="1" applyFill="1" applyBorder="1" applyAlignment="1">
      <alignment horizontal="center" wrapText="1"/>
    </xf>
    <xf numFmtId="0" fontId="34" fillId="17"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0" fillId="11" borderId="15" xfId="0" applyFill="1" applyBorder="1" applyAlignment="1">
      <alignment horizontal="center" vertical="center" wrapText="1"/>
    </xf>
    <xf numFmtId="0" fontId="0" fillId="17" borderId="23" xfId="0" applyFill="1" applyBorder="1" applyAlignment="1">
      <alignment horizontal="center" wrapText="1"/>
    </xf>
    <xf numFmtId="0" fontId="0" fillId="17" borderId="24" xfId="0" applyFill="1" applyBorder="1" applyAlignment="1">
      <alignment horizontal="center" wrapText="1"/>
    </xf>
    <xf numFmtId="0" fontId="0" fillId="11" borderId="15" xfId="0" applyFill="1" applyBorder="1" applyAlignment="1">
      <alignment horizontal="center"/>
    </xf>
    <xf numFmtId="0" fontId="42" fillId="0" borderId="0" xfId="0" applyFont="1" applyAlignment="1">
      <alignment horizontal="center"/>
    </xf>
    <xf numFmtId="0" fontId="51" fillId="16" borderId="1" xfId="0" applyFont="1" applyFill="1" applyBorder="1" applyAlignment="1">
      <alignment horizontal="center" vertical="center"/>
    </xf>
    <xf numFmtId="0" fontId="51" fillId="16" borderId="5" xfId="0" applyFont="1" applyFill="1" applyBorder="1" applyAlignment="1">
      <alignment horizontal="center" vertical="center"/>
    </xf>
    <xf numFmtId="0" fontId="51" fillId="17" borderId="15" xfId="0" applyFont="1" applyFill="1" applyBorder="1" applyAlignment="1">
      <alignment horizontal="center" vertical="center"/>
    </xf>
    <xf numFmtId="0" fontId="33" fillId="12" borderId="15" xfId="0" applyFont="1" applyFill="1" applyBorder="1" applyAlignment="1">
      <alignment horizontal="center"/>
    </xf>
    <xf numFmtId="0" fontId="53" fillId="6" borderId="15" xfId="0" applyFont="1" applyFill="1" applyBorder="1" applyAlignment="1">
      <alignment horizontal="center"/>
    </xf>
    <xf numFmtId="0" fontId="54" fillId="16" borderId="15" xfId="0" applyFont="1" applyFill="1" applyBorder="1" applyAlignment="1">
      <alignment horizontal="center" vertical="center"/>
    </xf>
    <xf numFmtId="0" fontId="53" fillId="12" borderId="15" xfId="0" applyFont="1" applyFill="1" applyBorder="1" applyAlignment="1">
      <alignment horizontal="center"/>
    </xf>
    <xf numFmtId="0" fontId="53" fillId="17" borderId="23" xfId="0" applyFont="1" applyFill="1" applyBorder="1" applyAlignment="1">
      <alignment horizontal="center"/>
    </xf>
    <xf numFmtId="0" fontId="53" fillId="17" borderId="29" xfId="0" applyFont="1" applyFill="1" applyBorder="1" applyAlignment="1">
      <alignment horizontal="center"/>
    </xf>
    <xf numFmtId="0" fontId="53" fillId="17" borderId="24" xfId="0" applyFont="1" applyFill="1" applyBorder="1" applyAlignment="1">
      <alignment horizontal="center"/>
    </xf>
    <xf numFmtId="0" fontId="0" fillId="17" borderId="26" xfId="0" applyFill="1" applyBorder="1" applyAlignment="1">
      <alignment horizontal="center"/>
    </xf>
    <xf numFmtId="3" fontId="41" fillId="0" borderId="14" xfId="0" applyNumberFormat="1" applyFont="1" applyBorder="1" applyAlignment="1">
      <alignment horizontal="center" vertical="center"/>
    </xf>
    <xf numFmtId="0" fontId="15" fillId="26" borderId="0" xfId="0" applyFont="1" applyFill="1" applyAlignment="1">
      <alignment horizontal="center"/>
    </xf>
    <xf numFmtId="0" fontId="40" fillId="0" borderId="14" xfId="0" applyFont="1" applyBorder="1" applyAlignment="1">
      <alignment horizontal="center" vertical="center"/>
    </xf>
    <xf numFmtId="0" fontId="7" fillId="0" borderId="0" xfId="0" applyFont="1" applyAlignment="1">
      <alignment vertical="center"/>
    </xf>
    <xf numFmtId="0" fontId="63" fillId="6" borderId="15" xfId="0" applyFont="1" applyFill="1" applyBorder="1" applyAlignment="1">
      <alignment horizontal="center" vertical="center"/>
    </xf>
    <xf numFmtId="0" fontId="4" fillId="17" borderId="15" xfId="0" applyFont="1" applyFill="1" applyBorder="1" applyAlignment="1">
      <alignment horizontal="center"/>
    </xf>
    <xf numFmtId="0" fontId="0" fillId="8" borderId="15" xfId="0" applyFill="1" applyBorder="1" applyAlignment="1">
      <alignment horizontal="center"/>
    </xf>
    <xf numFmtId="0" fontId="0" fillId="8" borderId="29" xfId="0" applyFill="1" applyBorder="1" applyAlignment="1">
      <alignment horizontal="center"/>
    </xf>
    <xf numFmtId="0" fontId="59" fillId="12" borderId="15" xfId="0" applyFont="1" applyFill="1" applyBorder="1" applyAlignment="1">
      <alignment horizontal="center"/>
    </xf>
    <xf numFmtId="0" fontId="60" fillId="17" borderId="15" xfId="0" applyFont="1" applyFill="1" applyBorder="1" applyAlignment="1">
      <alignment horizontal="center"/>
    </xf>
    <xf numFmtId="0" fontId="43" fillId="17" borderId="15" xfId="0" applyFont="1" applyFill="1" applyBorder="1" applyAlignment="1">
      <alignment horizontal="center" wrapText="1"/>
    </xf>
    <xf numFmtId="0" fontId="43" fillId="17" borderId="15" xfId="0" applyFont="1" applyFill="1" applyBorder="1" applyAlignment="1">
      <alignment horizontal="center" vertical="center" wrapText="1"/>
    </xf>
    <xf numFmtId="0" fontId="0" fillId="17" borderId="15" xfId="0" applyFill="1" applyBorder="1" applyAlignment="1">
      <alignment horizontal="center" vertical="center" wrapText="1"/>
    </xf>
  </cellXfs>
  <cellStyles count="2">
    <cellStyle name="Normal" xfId="0" builtinId="0"/>
    <cellStyle name="Normal 2" xfId="1" xr:uid="{64DC1C91-8D7D-4FD7-ADD9-14C026451C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Tasas de Variacion del PIB (Precios corrientes)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Hoja1!$C$3:$D$3</c:f>
              <c:strCache>
                <c:ptCount val="2"/>
                <c:pt idx="0">
                  <c:v>PRODUCTO INTERIOR BRUTO A PRECIOS DE MERCADO</c:v>
                </c:pt>
                <c:pt idx="1">
                  <c:v>-</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Hoja1!$E$2:$J$2</c:f>
              <c:numCache>
                <c:formatCode>General</c:formatCode>
                <c:ptCount val="6"/>
                <c:pt idx="0">
                  <c:v>2000</c:v>
                </c:pt>
                <c:pt idx="1">
                  <c:v>2005</c:v>
                </c:pt>
                <c:pt idx="2">
                  <c:v>2010</c:v>
                </c:pt>
                <c:pt idx="3">
                  <c:v>2015</c:v>
                </c:pt>
                <c:pt idx="4">
                  <c:v>2020</c:v>
                </c:pt>
                <c:pt idx="5">
                  <c:v>2021</c:v>
                </c:pt>
              </c:numCache>
            </c:numRef>
          </c:cat>
          <c:val>
            <c:numRef>
              <c:f>Hoja1!$E$3:$J$3</c:f>
              <c:numCache>
                <c:formatCode>General</c:formatCode>
                <c:ptCount val="6"/>
                <c:pt idx="0">
                  <c:v>40.659999999999997</c:v>
                </c:pt>
                <c:pt idx="1">
                  <c:v>43.14</c:v>
                </c:pt>
                <c:pt idx="2">
                  <c:v>15.67</c:v>
                </c:pt>
                <c:pt idx="3">
                  <c:v>0.5</c:v>
                </c:pt>
                <c:pt idx="4">
                  <c:v>3.7</c:v>
                </c:pt>
                <c:pt idx="5">
                  <c:v>7.95</c:v>
                </c:pt>
              </c:numCache>
            </c:numRef>
          </c:val>
          <c:extLst>
            <c:ext xmlns:c16="http://schemas.microsoft.com/office/drawing/2014/chart" uri="{C3380CC4-5D6E-409C-BE32-E72D297353CC}">
              <c16:uniqueId val="{00000000-2391-453E-AA9F-31A173209309}"/>
            </c:ext>
          </c:extLst>
        </c:ser>
        <c:ser>
          <c:idx val="1"/>
          <c:order val="1"/>
          <c:tx>
            <c:strRef>
              <c:f>Hoja1!$C$4:$D$4</c:f>
              <c:strCache>
                <c:ptCount val="2"/>
                <c:pt idx="0">
                  <c:v>PIB per cápita (Euros)</c:v>
                </c:pt>
                <c:pt idx="1">
                  <c:v>-</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Hoja1!$E$2:$J$2</c:f>
              <c:numCache>
                <c:formatCode>General</c:formatCode>
                <c:ptCount val="6"/>
                <c:pt idx="0">
                  <c:v>2000</c:v>
                </c:pt>
                <c:pt idx="1">
                  <c:v>2005</c:v>
                </c:pt>
                <c:pt idx="2">
                  <c:v>2010</c:v>
                </c:pt>
                <c:pt idx="3">
                  <c:v>2015</c:v>
                </c:pt>
                <c:pt idx="4">
                  <c:v>2020</c:v>
                </c:pt>
                <c:pt idx="5">
                  <c:v>2021</c:v>
                </c:pt>
              </c:numCache>
            </c:numRef>
          </c:cat>
          <c:val>
            <c:numRef>
              <c:f>Hoja1!$E$4:$J$4</c:f>
              <c:numCache>
                <c:formatCode>General</c:formatCode>
                <c:ptCount val="6"/>
                <c:pt idx="0">
                  <c:v>37.76</c:v>
                </c:pt>
                <c:pt idx="1">
                  <c:v>32.950000000000003</c:v>
                </c:pt>
                <c:pt idx="2">
                  <c:v>8.4700000000000006</c:v>
                </c:pt>
                <c:pt idx="3">
                  <c:v>0.83</c:v>
                </c:pt>
                <c:pt idx="4">
                  <c:v>1.63</c:v>
                </c:pt>
                <c:pt idx="5">
                  <c:v>8.01</c:v>
                </c:pt>
              </c:numCache>
            </c:numRef>
          </c:val>
          <c:extLst>
            <c:ext xmlns:c16="http://schemas.microsoft.com/office/drawing/2014/chart" uri="{C3380CC4-5D6E-409C-BE32-E72D297353CC}">
              <c16:uniqueId val="{00000001-2391-453E-AA9F-31A173209309}"/>
            </c:ext>
          </c:extLst>
        </c:ser>
        <c:dLbls>
          <c:dLblPos val="inEnd"/>
          <c:showLegendKey val="0"/>
          <c:showVal val="1"/>
          <c:showCatName val="0"/>
          <c:showSerName val="0"/>
          <c:showPercent val="0"/>
          <c:showBubbleSize val="0"/>
        </c:dLbls>
        <c:gapWidth val="355"/>
        <c:overlap val="-70"/>
        <c:axId val="1782474543"/>
        <c:axId val="1728142447"/>
      </c:barChart>
      <c:catAx>
        <c:axId val="17824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8142447"/>
        <c:crosses val="autoZero"/>
        <c:auto val="1"/>
        <c:lblAlgn val="ctr"/>
        <c:lblOffset val="100"/>
        <c:noMultiLvlLbl val="0"/>
      </c:catAx>
      <c:valAx>
        <c:axId val="172814244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247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Estrcutura Porcentual (Rentas): </a:t>
            </a:r>
            <a:r>
              <a:rPr lang="en-US"/>
              <a:t>2021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Hoja1!$J$129</c:f>
              <c:strCache>
                <c:ptCount val="1"/>
                <c:pt idx="0">
                  <c:v>2021</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D65-46A6-AC3B-98AFCFB462D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D65-46A6-AC3B-98AFCFB462D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Hoja1!$C$130:$I$131</c:f>
              <c:strCache>
                <c:ptCount val="2"/>
                <c:pt idx="0">
                  <c:v>Remuneración de los asalariados</c:v>
                </c:pt>
                <c:pt idx="1">
                  <c:v>Excedente de explotación bruto / Renta mixta bruta</c:v>
                </c:pt>
              </c:strCache>
            </c:strRef>
          </c:cat>
          <c:val>
            <c:numRef>
              <c:f>Hoja1!$J$130:$J$131</c:f>
              <c:numCache>
                <c:formatCode>General</c:formatCode>
                <c:ptCount val="2"/>
                <c:pt idx="0">
                  <c:v>54.1</c:v>
                </c:pt>
                <c:pt idx="1">
                  <c:v>45.9</c:v>
                </c:pt>
              </c:numCache>
            </c:numRef>
          </c:val>
          <c:extLst>
            <c:ext xmlns:c16="http://schemas.microsoft.com/office/drawing/2014/chart" uri="{C3380CC4-5D6E-409C-BE32-E72D297353CC}">
              <c16:uniqueId val="{00000000-AE8E-4473-A8E8-63DEB5B7C9D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TVMA estructura [oferta]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lotArea>
      <c:layout/>
      <c:barChart>
        <c:barDir val="col"/>
        <c:grouping val="clustered"/>
        <c:varyColors val="0"/>
        <c:ser>
          <c:idx val="0"/>
          <c:order val="0"/>
          <c:tx>
            <c:strRef>
              <c:f>Hoja1!$C$147:$D$147</c:f>
              <c:strCache>
                <c:ptCount val="2"/>
                <c:pt idx="0">
                  <c:v>Agricultura, ganadería, silvicultura y pesca</c:v>
                </c:pt>
                <c:pt idx="1">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Hoja1!$E$146:$H$146</c:f>
              <c:numCache>
                <c:formatCode>General</c:formatCode>
                <c:ptCount val="4"/>
                <c:pt idx="0">
                  <c:v>2007</c:v>
                </c:pt>
                <c:pt idx="1">
                  <c:v>2013</c:v>
                </c:pt>
                <c:pt idx="2">
                  <c:v>2019</c:v>
                </c:pt>
                <c:pt idx="3">
                  <c:v>2021</c:v>
                </c:pt>
              </c:numCache>
            </c:numRef>
          </c:cat>
          <c:val>
            <c:numRef>
              <c:f>Hoja1!$E$147:$H$147</c:f>
              <c:numCache>
                <c:formatCode>General</c:formatCode>
                <c:ptCount val="4"/>
                <c:pt idx="0">
                  <c:v>-0.4</c:v>
                </c:pt>
                <c:pt idx="1">
                  <c:v>2.2400000000000002</c:v>
                </c:pt>
                <c:pt idx="2">
                  <c:v>-1.64</c:v>
                </c:pt>
                <c:pt idx="3">
                  <c:v>6.75</c:v>
                </c:pt>
              </c:numCache>
            </c:numRef>
          </c:val>
          <c:extLst>
            <c:ext xmlns:c16="http://schemas.microsoft.com/office/drawing/2014/chart" uri="{C3380CC4-5D6E-409C-BE32-E72D297353CC}">
              <c16:uniqueId val="{00000000-C08E-4F5C-809C-EF239B08D09D}"/>
            </c:ext>
          </c:extLst>
        </c:ser>
        <c:ser>
          <c:idx val="1"/>
          <c:order val="1"/>
          <c:tx>
            <c:strRef>
              <c:f>Hoja1!$C$148:$D$148</c:f>
              <c:strCache>
                <c:ptCount val="2"/>
                <c:pt idx="0">
                  <c:v>Industria</c:v>
                </c:pt>
                <c:pt idx="1">
                  <c: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Hoja1!$E$146:$H$146</c:f>
              <c:numCache>
                <c:formatCode>General</c:formatCode>
                <c:ptCount val="4"/>
                <c:pt idx="0">
                  <c:v>2007</c:v>
                </c:pt>
                <c:pt idx="1">
                  <c:v>2013</c:v>
                </c:pt>
                <c:pt idx="2">
                  <c:v>2019</c:v>
                </c:pt>
                <c:pt idx="3">
                  <c:v>2021</c:v>
                </c:pt>
              </c:numCache>
            </c:numRef>
          </c:cat>
          <c:val>
            <c:numRef>
              <c:f>Hoja1!$E$148:$H$148</c:f>
              <c:numCache>
                <c:formatCode>General</c:formatCode>
                <c:ptCount val="4"/>
                <c:pt idx="0">
                  <c:v>-0.68</c:v>
                </c:pt>
                <c:pt idx="1">
                  <c:v>-1.79</c:v>
                </c:pt>
                <c:pt idx="2">
                  <c:v>-0.27</c:v>
                </c:pt>
                <c:pt idx="3">
                  <c:v>-0.53</c:v>
                </c:pt>
              </c:numCache>
            </c:numRef>
          </c:val>
          <c:extLst>
            <c:ext xmlns:c16="http://schemas.microsoft.com/office/drawing/2014/chart" uri="{C3380CC4-5D6E-409C-BE32-E72D297353CC}">
              <c16:uniqueId val="{00000001-C08E-4F5C-809C-EF239B08D09D}"/>
            </c:ext>
          </c:extLst>
        </c:ser>
        <c:ser>
          <c:idx val="3"/>
          <c:order val="3"/>
          <c:tx>
            <c:strRef>
              <c:f>Hoja1!$C$150:$D$150</c:f>
              <c:strCache>
                <c:ptCount val="2"/>
                <c:pt idx="0">
                  <c:v>Construcción</c:v>
                </c:pt>
                <c:pt idx="1">
                  <c: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Hoja1!$E$146:$H$146</c:f>
              <c:numCache>
                <c:formatCode>General</c:formatCode>
                <c:ptCount val="4"/>
                <c:pt idx="0">
                  <c:v>2007</c:v>
                </c:pt>
                <c:pt idx="1">
                  <c:v>2013</c:v>
                </c:pt>
                <c:pt idx="2">
                  <c:v>2019</c:v>
                </c:pt>
                <c:pt idx="3">
                  <c:v>2021</c:v>
                </c:pt>
              </c:numCache>
            </c:numRef>
          </c:cat>
          <c:val>
            <c:numRef>
              <c:f>Hoja1!$E$150:$H$150</c:f>
              <c:numCache>
                <c:formatCode>General</c:formatCode>
                <c:ptCount val="4"/>
                <c:pt idx="0">
                  <c:v>-0.5</c:v>
                </c:pt>
                <c:pt idx="1">
                  <c:v>-8.5399999999999991</c:v>
                </c:pt>
                <c:pt idx="2">
                  <c:v>0.17</c:v>
                </c:pt>
                <c:pt idx="3">
                  <c:v>-5.1100000000000003</c:v>
                </c:pt>
              </c:numCache>
            </c:numRef>
          </c:val>
          <c:extLst>
            <c:ext xmlns:c16="http://schemas.microsoft.com/office/drawing/2014/chart" uri="{C3380CC4-5D6E-409C-BE32-E72D297353CC}">
              <c16:uniqueId val="{00000003-C08E-4F5C-809C-EF239B08D09D}"/>
            </c:ext>
          </c:extLst>
        </c:ser>
        <c:ser>
          <c:idx val="4"/>
          <c:order val="4"/>
          <c:tx>
            <c:strRef>
              <c:f>Hoja1!$C$151:$D$151</c:f>
              <c:strCache>
                <c:ptCount val="2"/>
                <c:pt idx="0">
                  <c:v>Servicios</c:v>
                </c:pt>
                <c:pt idx="1">
                  <c: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Hoja1!$E$146:$H$146</c:f>
              <c:numCache>
                <c:formatCode>General</c:formatCode>
                <c:ptCount val="4"/>
                <c:pt idx="0">
                  <c:v>2007</c:v>
                </c:pt>
                <c:pt idx="1">
                  <c:v>2013</c:v>
                </c:pt>
                <c:pt idx="2">
                  <c:v>2019</c:v>
                </c:pt>
                <c:pt idx="3">
                  <c:v>2021</c:v>
                </c:pt>
              </c:numCache>
            </c:numRef>
          </c:cat>
          <c:val>
            <c:numRef>
              <c:f>Hoja1!$E$151:$H$151</c:f>
              <c:numCache>
                <c:formatCode>General</c:formatCode>
                <c:ptCount val="4"/>
                <c:pt idx="0">
                  <c:v>0.15</c:v>
                </c:pt>
                <c:pt idx="1">
                  <c:v>1.72</c:v>
                </c:pt>
                <c:pt idx="2">
                  <c:v>-0.11</c:v>
                </c:pt>
                <c:pt idx="3">
                  <c:v>0.15</c:v>
                </c:pt>
              </c:numCache>
            </c:numRef>
          </c:val>
          <c:extLst>
            <c:ext xmlns:c16="http://schemas.microsoft.com/office/drawing/2014/chart" uri="{C3380CC4-5D6E-409C-BE32-E72D297353CC}">
              <c16:uniqueId val="{00000004-C08E-4F5C-809C-EF239B08D09D}"/>
            </c:ext>
          </c:extLst>
        </c:ser>
        <c:ser>
          <c:idx val="12"/>
          <c:order val="12"/>
          <c:tx>
            <c:strRef>
              <c:f>Hoja1!$C$159:$D$159</c:f>
              <c:strCache>
                <c:ptCount val="2"/>
                <c:pt idx="0">
                  <c:v>Impuestos menos subvenciones sobre los productos</c:v>
                </c:pt>
                <c:pt idx="1">
                  <c:v>-</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numRef>
              <c:f>Hoja1!$E$146:$H$146</c:f>
              <c:numCache>
                <c:formatCode>General</c:formatCode>
                <c:ptCount val="4"/>
                <c:pt idx="0">
                  <c:v>2007</c:v>
                </c:pt>
                <c:pt idx="1">
                  <c:v>2013</c:v>
                </c:pt>
                <c:pt idx="2">
                  <c:v>2019</c:v>
                </c:pt>
                <c:pt idx="3">
                  <c:v>2021</c:v>
                </c:pt>
              </c:numCache>
            </c:numRef>
          </c:cat>
          <c:val>
            <c:numRef>
              <c:f>Hoja1!$E$159:$H$159</c:f>
              <c:numCache>
                <c:formatCode>General</c:formatCode>
                <c:ptCount val="4"/>
                <c:pt idx="0">
                  <c:v>0.94</c:v>
                </c:pt>
                <c:pt idx="1">
                  <c:v>-2.1800000000000002</c:v>
                </c:pt>
                <c:pt idx="2">
                  <c:v>1.63</c:v>
                </c:pt>
                <c:pt idx="3">
                  <c:v>0.85</c:v>
                </c:pt>
              </c:numCache>
            </c:numRef>
          </c:val>
          <c:extLst>
            <c:ext xmlns:c16="http://schemas.microsoft.com/office/drawing/2014/chart" uri="{C3380CC4-5D6E-409C-BE32-E72D297353CC}">
              <c16:uniqueId val="{0000000C-C08E-4F5C-809C-EF239B08D09D}"/>
            </c:ext>
          </c:extLst>
        </c:ser>
        <c:dLbls>
          <c:showLegendKey val="0"/>
          <c:showVal val="0"/>
          <c:showCatName val="0"/>
          <c:showSerName val="0"/>
          <c:showPercent val="0"/>
          <c:showBubbleSize val="0"/>
        </c:dLbls>
        <c:gapWidth val="100"/>
        <c:overlap val="-24"/>
        <c:axId val="201726160"/>
        <c:axId val="201730960"/>
        <c:extLst>
          <c:ext xmlns:c15="http://schemas.microsoft.com/office/drawing/2012/chart" uri="{02D57815-91ED-43cb-92C2-25804820EDAC}">
            <c15:filteredBarSeries>
              <c15:ser>
                <c:idx val="2"/>
                <c:order val="2"/>
                <c:tx>
                  <c:strRef>
                    <c:extLst>
                      <c:ext uri="{02D57815-91ED-43cb-92C2-25804820EDAC}">
                        <c15:formulaRef>
                          <c15:sqref>Hoja1!$C$149:$D$149</c15:sqref>
                        </c15:formulaRef>
                      </c:ext>
                    </c:extLst>
                    <c:strCache>
                      <c:ptCount val="2"/>
                      <c:pt idx="0">
                        <c:v>Industria</c:v>
                      </c:pt>
                      <c:pt idx="1">
                        <c: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extLst>
                      <c:ex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c:ext uri="{02D57815-91ED-43cb-92C2-25804820EDAC}">
                        <c15:formulaRef>
                          <c15:sqref>Hoja1!$E$149:$H$149</c15:sqref>
                        </c15:formulaRef>
                      </c:ext>
                    </c:extLst>
                    <c:numCache>
                      <c:formatCode>General</c:formatCode>
                      <c:ptCount val="4"/>
                    </c:numCache>
                  </c:numRef>
                </c:val>
                <c:extLst>
                  <c:ext xmlns:c16="http://schemas.microsoft.com/office/drawing/2014/chart" uri="{C3380CC4-5D6E-409C-BE32-E72D297353CC}">
                    <c16:uniqueId val="{00000002-C08E-4F5C-809C-EF239B08D09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Hoja1!$C$152:$D$152</c15:sqref>
                        </c15:formulaRef>
                      </c:ext>
                    </c:extLst>
                    <c:strCache>
                      <c:ptCount val="2"/>
                      <c:pt idx="0">
                        <c:v>Servicios</c:v>
                      </c:pt>
                      <c:pt idx="1">
                        <c:v>-</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Hoja1!$E$152:$H$152</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C08E-4F5C-809C-EF239B08D09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Hoja1!$C$153:$D$153</c15:sqref>
                        </c15:formulaRef>
                      </c:ext>
                    </c:extLst>
                    <c:strCache>
                      <c:ptCount val="2"/>
                      <c:pt idx="0">
                        <c:v>Servicios</c:v>
                      </c:pt>
                      <c:pt idx="1">
                        <c:v>-</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Hoja1!$E$153:$H$153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C08E-4F5C-809C-EF239B08D09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Hoja1!$C$154:$D$154</c15:sqref>
                        </c15:formulaRef>
                      </c:ext>
                    </c:extLst>
                    <c:strCache>
                      <c:ptCount val="2"/>
                      <c:pt idx="0">
                        <c:v>Servicios</c:v>
                      </c:pt>
                      <c:pt idx="1">
                        <c:v>-</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Hoja1!$E$154:$H$154</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C08E-4F5C-809C-EF239B08D09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Hoja1!$C$155:$D$155</c15:sqref>
                        </c15:formulaRef>
                      </c:ext>
                    </c:extLst>
                    <c:strCache>
                      <c:ptCount val="2"/>
                      <c:pt idx="0">
                        <c:v>Servicios</c:v>
                      </c:pt>
                      <c:pt idx="1">
                        <c:v>-</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Hoja1!$E$155:$H$155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C08E-4F5C-809C-EF239B08D09D}"/>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Hoja1!$C$156:$D$156</c15:sqref>
                        </c15:formulaRef>
                      </c:ext>
                    </c:extLst>
                    <c:strCache>
                      <c:ptCount val="2"/>
                      <c:pt idx="0">
                        <c:v>Servicios</c:v>
                      </c:pt>
                      <c:pt idx="1">
                        <c:v>-</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Hoja1!$E$156:$H$156</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C08E-4F5C-809C-EF239B08D09D}"/>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Hoja1!$C$157:$D$157</c15:sqref>
                        </c15:formulaRef>
                      </c:ext>
                    </c:extLst>
                    <c:strCache>
                      <c:ptCount val="2"/>
                      <c:pt idx="0">
                        <c:v>Servicios</c:v>
                      </c:pt>
                      <c:pt idx="1">
                        <c:v>-</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Hoja1!$E$157:$H$157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C08E-4F5C-809C-EF239B08D09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Hoja1!$C$158:$D$158</c15:sqref>
                        </c15:formulaRef>
                      </c:ext>
                    </c:extLst>
                    <c:strCache>
                      <c:ptCount val="2"/>
                      <c:pt idx="0">
                        <c:v>Servicios</c:v>
                      </c:pt>
                      <c:pt idx="1">
                        <c:v>-</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Hoja1!$E$146:$H$146</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Hoja1!$E$158:$H$158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B-C08E-4F5C-809C-EF239B08D09D}"/>
                  </c:ext>
                </c:extLst>
              </c15:ser>
            </c15:filteredBarSeries>
          </c:ext>
        </c:extLst>
      </c:barChart>
      <c:catAx>
        <c:axId val="2017261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01730960"/>
        <c:crosses val="autoZero"/>
        <c:auto val="1"/>
        <c:lblAlgn val="ctr"/>
        <c:lblOffset val="100"/>
        <c:noMultiLvlLbl val="0"/>
      </c:catAx>
      <c:valAx>
        <c:axId val="201730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0172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TVMA Crecimiento Oferta Precios ctes.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lotArea>
      <c:layout/>
      <c:barChart>
        <c:barDir val="col"/>
        <c:grouping val="clustered"/>
        <c:varyColors val="0"/>
        <c:ser>
          <c:idx val="0"/>
          <c:order val="0"/>
          <c:tx>
            <c:strRef>
              <c:f>Hoja1!$C$173:$D$173</c:f>
              <c:strCache>
                <c:ptCount val="2"/>
                <c:pt idx="0">
                  <c:v>Agricultura, ganadería, silvicultura y pesca</c:v>
                </c:pt>
                <c:pt idx="1">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Hoja1!$E$173:$H$173</c:f>
              <c:numCache>
                <c:formatCode>General</c:formatCode>
                <c:ptCount val="4"/>
                <c:pt idx="0">
                  <c:v>3.3</c:v>
                </c:pt>
                <c:pt idx="1">
                  <c:v>0.88</c:v>
                </c:pt>
                <c:pt idx="2">
                  <c:v>0.9</c:v>
                </c:pt>
                <c:pt idx="3">
                  <c:v>3.26</c:v>
                </c:pt>
              </c:numCache>
            </c:numRef>
          </c:val>
          <c:extLst>
            <c:ext xmlns:c16="http://schemas.microsoft.com/office/drawing/2014/chart" uri="{C3380CC4-5D6E-409C-BE32-E72D297353CC}">
              <c16:uniqueId val="{00000000-76BF-400D-87A1-3BD7CFD674B0}"/>
            </c:ext>
          </c:extLst>
        </c:ser>
        <c:ser>
          <c:idx val="1"/>
          <c:order val="1"/>
          <c:tx>
            <c:strRef>
              <c:f>Hoja1!$C$174:$D$174</c:f>
              <c:strCache>
                <c:ptCount val="2"/>
                <c:pt idx="0">
                  <c:v>Industria</c:v>
                </c:pt>
                <c:pt idx="1">
                  <c: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Hoja1!$E$174:$H$174</c:f>
              <c:numCache>
                <c:formatCode>General</c:formatCode>
                <c:ptCount val="4"/>
                <c:pt idx="0">
                  <c:v>3.01</c:v>
                </c:pt>
                <c:pt idx="1">
                  <c:v>-3.1</c:v>
                </c:pt>
                <c:pt idx="2">
                  <c:v>2.2999999999999998</c:v>
                </c:pt>
                <c:pt idx="3">
                  <c:v>-3.78</c:v>
                </c:pt>
              </c:numCache>
            </c:numRef>
          </c:val>
          <c:extLst>
            <c:ext xmlns:c16="http://schemas.microsoft.com/office/drawing/2014/chart" uri="{C3380CC4-5D6E-409C-BE32-E72D297353CC}">
              <c16:uniqueId val="{00000001-76BF-400D-87A1-3BD7CFD674B0}"/>
            </c:ext>
          </c:extLst>
        </c:ser>
        <c:ser>
          <c:idx val="3"/>
          <c:order val="3"/>
          <c:tx>
            <c:strRef>
              <c:f>Hoja1!$C$176:$D$176</c:f>
              <c:strCache>
                <c:ptCount val="2"/>
                <c:pt idx="0">
                  <c:v>Construcción</c:v>
                </c:pt>
                <c:pt idx="1">
                  <c: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Hoja1!$E$176:$H$176</c:f>
              <c:numCache>
                <c:formatCode>General</c:formatCode>
                <c:ptCount val="4"/>
                <c:pt idx="0">
                  <c:v>3.2</c:v>
                </c:pt>
                <c:pt idx="1">
                  <c:v>-9.75</c:v>
                </c:pt>
                <c:pt idx="2">
                  <c:v>2.76</c:v>
                </c:pt>
                <c:pt idx="3">
                  <c:v>-8.2100000000000009</c:v>
                </c:pt>
              </c:numCache>
            </c:numRef>
          </c:val>
          <c:extLst>
            <c:ext xmlns:c16="http://schemas.microsoft.com/office/drawing/2014/chart" uri="{C3380CC4-5D6E-409C-BE32-E72D297353CC}">
              <c16:uniqueId val="{00000003-76BF-400D-87A1-3BD7CFD674B0}"/>
            </c:ext>
          </c:extLst>
        </c:ser>
        <c:ser>
          <c:idx val="4"/>
          <c:order val="4"/>
          <c:tx>
            <c:strRef>
              <c:f>Hoja1!$C$177:$D$177</c:f>
              <c:strCache>
                <c:ptCount val="2"/>
                <c:pt idx="0">
                  <c:v>Servicios</c:v>
                </c:pt>
                <c:pt idx="1">
                  <c: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Hoja1!$E$177:$H$177</c:f>
              <c:numCache>
                <c:formatCode>General</c:formatCode>
                <c:ptCount val="4"/>
                <c:pt idx="0">
                  <c:v>3.87</c:v>
                </c:pt>
                <c:pt idx="1">
                  <c:v>0.37</c:v>
                </c:pt>
                <c:pt idx="2">
                  <c:v>2.4700000000000002</c:v>
                </c:pt>
                <c:pt idx="3">
                  <c:v>-3.12</c:v>
                </c:pt>
              </c:numCache>
            </c:numRef>
          </c:val>
          <c:extLst>
            <c:ext xmlns:c16="http://schemas.microsoft.com/office/drawing/2014/chart" uri="{C3380CC4-5D6E-409C-BE32-E72D297353CC}">
              <c16:uniqueId val="{00000004-76BF-400D-87A1-3BD7CFD674B0}"/>
            </c:ext>
          </c:extLst>
        </c:ser>
        <c:ser>
          <c:idx val="12"/>
          <c:order val="12"/>
          <c:tx>
            <c:strRef>
              <c:f>Hoja1!$C$185:$D$185</c:f>
              <c:strCache>
                <c:ptCount val="2"/>
                <c:pt idx="0">
                  <c:v>Impuestos menos subvenciones sobre los productos</c:v>
                </c:pt>
                <c:pt idx="1">
                  <c:v>-</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Hoja1!$E$185:$H$185</c:f>
              <c:numCache>
                <c:formatCode>General</c:formatCode>
                <c:ptCount val="4"/>
                <c:pt idx="0">
                  <c:v>4.6900000000000004</c:v>
                </c:pt>
                <c:pt idx="1">
                  <c:v>-3.48</c:v>
                </c:pt>
                <c:pt idx="2">
                  <c:v>4.26</c:v>
                </c:pt>
                <c:pt idx="3">
                  <c:v>-2.4500000000000002</c:v>
                </c:pt>
              </c:numCache>
            </c:numRef>
          </c:val>
          <c:extLst>
            <c:ext xmlns:c16="http://schemas.microsoft.com/office/drawing/2014/chart" uri="{C3380CC4-5D6E-409C-BE32-E72D297353CC}">
              <c16:uniqueId val="{0000000C-76BF-400D-87A1-3BD7CFD674B0}"/>
            </c:ext>
          </c:extLst>
        </c:ser>
        <c:ser>
          <c:idx val="13"/>
          <c:order val="13"/>
          <c:tx>
            <c:strRef>
              <c:f>Hoja1!$C$186:$D$186</c:f>
              <c:strCache>
                <c:ptCount val="2"/>
                <c:pt idx="0">
                  <c:v>PRODUCTO INTERIOR BRUTO A PRECIOS DE MERCADO</c:v>
                </c:pt>
                <c:pt idx="1">
                  <c:v>-</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numRef>
              <c:f>Hoja1!$E$172:$H$172</c:f>
              <c:numCache>
                <c:formatCode>General</c:formatCode>
                <c:ptCount val="4"/>
                <c:pt idx="0">
                  <c:v>2007</c:v>
                </c:pt>
                <c:pt idx="1">
                  <c:v>2013</c:v>
                </c:pt>
                <c:pt idx="2">
                  <c:v>2019</c:v>
                </c:pt>
                <c:pt idx="3">
                  <c:v>2021</c:v>
                </c:pt>
              </c:numCache>
            </c:numRef>
          </c:cat>
          <c:val>
            <c:numRef>
              <c:f>Hoja1!$E$186:$H$186</c:f>
              <c:numCache>
                <c:formatCode>General</c:formatCode>
                <c:ptCount val="4"/>
                <c:pt idx="0">
                  <c:v>3.72</c:v>
                </c:pt>
                <c:pt idx="1">
                  <c:v>-1.33</c:v>
                </c:pt>
                <c:pt idx="2">
                  <c:v>2.58</c:v>
                </c:pt>
                <c:pt idx="3">
                  <c:v>-3.27</c:v>
                </c:pt>
              </c:numCache>
            </c:numRef>
          </c:val>
          <c:extLst>
            <c:ext xmlns:c16="http://schemas.microsoft.com/office/drawing/2014/chart" uri="{C3380CC4-5D6E-409C-BE32-E72D297353CC}">
              <c16:uniqueId val="{0000000D-76BF-400D-87A1-3BD7CFD674B0}"/>
            </c:ext>
          </c:extLst>
        </c:ser>
        <c:dLbls>
          <c:showLegendKey val="0"/>
          <c:showVal val="0"/>
          <c:showCatName val="0"/>
          <c:showSerName val="0"/>
          <c:showPercent val="0"/>
          <c:showBubbleSize val="0"/>
        </c:dLbls>
        <c:gapWidth val="100"/>
        <c:overlap val="-24"/>
        <c:axId val="2105557616"/>
        <c:axId val="2105560976"/>
        <c:extLst>
          <c:ext xmlns:c15="http://schemas.microsoft.com/office/drawing/2012/chart" uri="{02D57815-91ED-43cb-92C2-25804820EDAC}">
            <c15:filteredBarSeries>
              <c15:ser>
                <c:idx val="2"/>
                <c:order val="2"/>
                <c:tx>
                  <c:strRef>
                    <c:extLst>
                      <c:ext uri="{02D57815-91ED-43cb-92C2-25804820EDAC}">
                        <c15:formulaRef>
                          <c15:sqref>Hoja1!$C$175:$D$175</c15:sqref>
                        </c15:formulaRef>
                      </c:ext>
                    </c:extLst>
                    <c:strCache>
                      <c:ptCount val="2"/>
                      <c:pt idx="0">
                        <c:v>Industria</c:v>
                      </c:pt>
                      <c:pt idx="1">
                        <c: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extLst>
                      <c:ex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c:ext uri="{02D57815-91ED-43cb-92C2-25804820EDAC}">
                        <c15:formulaRef>
                          <c15:sqref>Hoja1!$E$175:$H$175</c15:sqref>
                        </c15:formulaRef>
                      </c:ext>
                    </c:extLst>
                    <c:numCache>
                      <c:formatCode>General</c:formatCode>
                      <c:ptCount val="4"/>
                    </c:numCache>
                  </c:numRef>
                </c:val>
                <c:extLst>
                  <c:ext xmlns:c16="http://schemas.microsoft.com/office/drawing/2014/chart" uri="{C3380CC4-5D6E-409C-BE32-E72D297353CC}">
                    <c16:uniqueId val="{00000002-76BF-400D-87A1-3BD7CFD674B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Hoja1!$C$178:$D$178</c15:sqref>
                        </c15:formulaRef>
                      </c:ext>
                    </c:extLst>
                    <c:strCache>
                      <c:ptCount val="2"/>
                      <c:pt idx="0">
                        <c:v>Servicios</c:v>
                      </c:pt>
                      <c:pt idx="1">
                        <c:v>-</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Hoja1!$E$178:$H$178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76BF-400D-87A1-3BD7CFD674B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Hoja1!$C$179:$D$179</c15:sqref>
                        </c15:formulaRef>
                      </c:ext>
                    </c:extLst>
                    <c:strCache>
                      <c:ptCount val="2"/>
                      <c:pt idx="0">
                        <c:v>Servicios</c:v>
                      </c:pt>
                      <c:pt idx="1">
                        <c:v>-</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Hoja1!$E$179:$H$179</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76BF-400D-87A1-3BD7CFD674B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Hoja1!$C$180:$D$180</c15:sqref>
                        </c15:formulaRef>
                      </c:ext>
                    </c:extLst>
                    <c:strCache>
                      <c:ptCount val="2"/>
                      <c:pt idx="0">
                        <c:v>Servicios</c:v>
                      </c:pt>
                      <c:pt idx="1">
                        <c:v>-</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Hoja1!$E$180:$H$180</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76BF-400D-87A1-3BD7CFD674B0}"/>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Hoja1!$C$181:$D$181</c15:sqref>
                        </c15:formulaRef>
                      </c:ext>
                    </c:extLst>
                    <c:strCache>
                      <c:ptCount val="2"/>
                      <c:pt idx="0">
                        <c:v>Servicios</c:v>
                      </c:pt>
                      <c:pt idx="1">
                        <c:v>-</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Hoja1!$E$181:$H$181</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76BF-400D-87A1-3BD7CFD674B0}"/>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Hoja1!$C$182:$D$182</c15:sqref>
                        </c15:formulaRef>
                      </c:ext>
                    </c:extLst>
                    <c:strCache>
                      <c:ptCount val="2"/>
                      <c:pt idx="0">
                        <c:v>Servicios</c:v>
                      </c:pt>
                      <c:pt idx="1">
                        <c:v>-</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Hoja1!$E$182:$H$182</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76BF-400D-87A1-3BD7CFD674B0}"/>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Hoja1!$C$183:$D$183</c15:sqref>
                        </c15:formulaRef>
                      </c:ext>
                    </c:extLst>
                    <c:strCache>
                      <c:ptCount val="2"/>
                      <c:pt idx="0">
                        <c:v>Servicios</c:v>
                      </c:pt>
                      <c:pt idx="1">
                        <c:v>-</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Hoja1!$E$183:$H$183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76BF-400D-87A1-3BD7CFD674B0}"/>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Hoja1!$C$184:$D$184</c15:sqref>
                        </c15:formulaRef>
                      </c:ext>
                    </c:extLst>
                    <c:strCache>
                      <c:ptCount val="2"/>
                      <c:pt idx="0">
                        <c:v>Servicios</c:v>
                      </c:pt>
                      <c:pt idx="1">
                        <c:v>-</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numRef>
                    <c:extLst xmlns:c15="http://schemas.microsoft.com/office/drawing/2012/chart">
                      <c:ext xmlns:c15="http://schemas.microsoft.com/office/drawing/2012/chart" uri="{02D57815-91ED-43cb-92C2-25804820EDAC}">
                        <c15:formulaRef>
                          <c15:sqref>Hoja1!$E$172:$H$172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Hoja1!$E$184:$H$184</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B-76BF-400D-87A1-3BD7CFD674B0}"/>
                  </c:ext>
                </c:extLst>
              </c15:ser>
            </c15:filteredBarSeries>
          </c:ext>
        </c:extLst>
      </c:barChart>
      <c:catAx>
        <c:axId val="2105557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105560976"/>
        <c:crosses val="autoZero"/>
        <c:auto val="1"/>
        <c:lblAlgn val="ctr"/>
        <c:lblOffset val="100"/>
        <c:noMultiLvlLbl val="0"/>
      </c:catAx>
      <c:valAx>
        <c:axId val="2105560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10555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Tasas de Variacion del PIB (precios ctes)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Hoja1!$C$14</c:f>
              <c:strCache>
                <c:ptCount val="1"/>
                <c:pt idx="0">
                  <c:v>PRODUCTO INTERIOR BRUTO A PRECIOS DE MERCADO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extLst>
                <c:ext xmlns:c15="http://schemas.microsoft.com/office/drawing/2012/chart" uri="{02D57815-91ED-43cb-92C2-25804820EDAC}">
                  <c15:fullRef>
                    <c15:sqref>Hoja1!$D$13:$J$13</c15:sqref>
                  </c15:fullRef>
                </c:ext>
              </c:extLst>
              <c:f>Hoja1!$E$13:$J$13</c:f>
              <c:numCache>
                <c:formatCode>General</c:formatCode>
                <c:ptCount val="6"/>
                <c:pt idx="0">
                  <c:v>2000</c:v>
                </c:pt>
                <c:pt idx="1">
                  <c:v>2005</c:v>
                </c:pt>
                <c:pt idx="2">
                  <c:v>2010</c:v>
                </c:pt>
                <c:pt idx="3">
                  <c:v>2015</c:v>
                </c:pt>
                <c:pt idx="4">
                  <c:v>2020</c:v>
                </c:pt>
                <c:pt idx="5">
                  <c:v>2021</c:v>
                </c:pt>
              </c:numCache>
            </c:numRef>
          </c:cat>
          <c:val>
            <c:numRef>
              <c:extLst>
                <c:ext xmlns:c15="http://schemas.microsoft.com/office/drawing/2012/chart" uri="{02D57815-91ED-43cb-92C2-25804820EDAC}">
                  <c15:fullRef>
                    <c15:sqref>Hoja1!$D$14:$J$14</c15:sqref>
                  </c15:fullRef>
                </c:ext>
              </c:extLst>
              <c:f>Hoja1!$E$14:$J$14</c:f>
              <c:numCache>
                <c:formatCode>General</c:formatCode>
                <c:ptCount val="6"/>
                <c:pt idx="0">
                  <c:v>22.22</c:v>
                </c:pt>
                <c:pt idx="1">
                  <c:v>17.53</c:v>
                </c:pt>
                <c:pt idx="2">
                  <c:v>4.8899999999999997</c:v>
                </c:pt>
                <c:pt idx="3">
                  <c:v>-0.08</c:v>
                </c:pt>
                <c:pt idx="4">
                  <c:v>-1.85</c:v>
                </c:pt>
                <c:pt idx="5">
                  <c:v>5.52</c:v>
                </c:pt>
              </c:numCache>
            </c:numRef>
          </c:val>
          <c:extLst>
            <c:ext xmlns:c16="http://schemas.microsoft.com/office/drawing/2014/chart" uri="{C3380CC4-5D6E-409C-BE32-E72D297353CC}">
              <c16:uniqueId val="{00000000-1890-4213-9858-7F8C12109BA3}"/>
            </c:ext>
          </c:extLst>
        </c:ser>
        <c:dLbls>
          <c:showLegendKey val="0"/>
          <c:showVal val="0"/>
          <c:showCatName val="0"/>
          <c:showSerName val="0"/>
          <c:showPercent val="0"/>
          <c:showBubbleSize val="0"/>
        </c:dLbls>
        <c:gapWidth val="355"/>
        <c:overlap val="-70"/>
        <c:axId val="1782465903"/>
        <c:axId val="1782466863"/>
      </c:barChart>
      <c:catAx>
        <c:axId val="178246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2466863"/>
        <c:crosses val="autoZero"/>
        <c:auto val="1"/>
        <c:lblAlgn val="ctr"/>
        <c:lblOffset val="100"/>
        <c:noMultiLvlLbl val="0"/>
      </c:catAx>
      <c:valAx>
        <c:axId val="178246686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2465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DPIB (año base: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Hoja1!$C$29</c:f>
              <c:strCache>
                <c:ptCount val="1"/>
                <c:pt idx="0">
                  <c:v>DPIB</c:v>
                </c:pt>
              </c:strCache>
            </c:strRef>
          </c:tx>
          <c:spPr>
            <a:solidFill>
              <a:schemeClr val="accent1"/>
            </a:solidFill>
            <a:ln>
              <a:noFill/>
            </a:ln>
            <a:effectLst/>
          </c:spPr>
          <c:invertIfNegative val="0"/>
          <c:cat>
            <c:numRef>
              <c:f>Hoja1!$D$28:$J$28</c:f>
              <c:numCache>
                <c:formatCode>General</c:formatCode>
                <c:ptCount val="7"/>
                <c:pt idx="0">
                  <c:v>1995</c:v>
                </c:pt>
                <c:pt idx="1">
                  <c:v>2000</c:v>
                </c:pt>
                <c:pt idx="2">
                  <c:v>2005</c:v>
                </c:pt>
                <c:pt idx="3">
                  <c:v>2010</c:v>
                </c:pt>
                <c:pt idx="4">
                  <c:v>2015</c:v>
                </c:pt>
                <c:pt idx="5">
                  <c:v>2020</c:v>
                </c:pt>
                <c:pt idx="6">
                  <c:v>2021</c:v>
                </c:pt>
              </c:numCache>
            </c:numRef>
          </c:cat>
          <c:val>
            <c:numRef>
              <c:f>Hoja1!$D$29:$J$29</c:f>
              <c:numCache>
                <c:formatCode>0.00</c:formatCode>
                <c:ptCount val="7"/>
                <c:pt idx="0">
                  <c:v>64.31650947</c:v>
                </c:pt>
                <c:pt idx="1">
                  <c:v>74.018147409999997</c:v>
                </c:pt>
                <c:pt idx="2">
                  <c:v>90.149158459999995</c:v>
                </c:pt>
                <c:pt idx="3">
                  <c:v>99.41931683</c:v>
                </c:pt>
                <c:pt idx="4">
                  <c:v>100</c:v>
                </c:pt>
                <c:pt idx="5">
                  <c:v>105.6597112</c:v>
                </c:pt>
                <c:pt idx="6">
                  <c:v>108.0909565</c:v>
                </c:pt>
              </c:numCache>
            </c:numRef>
          </c:val>
          <c:extLst>
            <c:ext xmlns:c16="http://schemas.microsoft.com/office/drawing/2014/chart" uri="{C3380CC4-5D6E-409C-BE32-E72D297353CC}">
              <c16:uniqueId val="{00000000-EF63-4920-AB5D-9A444C6654F3}"/>
            </c:ext>
          </c:extLst>
        </c:ser>
        <c:dLbls>
          <c:showLegendKey val="0"/>
          <c:showVal val="0"/>
          <c:showCatName val="0"/>
          <c:showSerName val="0"/>
          <c:showPercent val="0"/>
          <c:showBubbleSize val="0"/>
        </c:dLbls>
        <c:gapWidth val="219"/>
        <c:overlap val="-27"/>
        <c:axId val="1782479823"/>
        <c:axId val="1812109855"/>
      </c:barChart>
      <c:catAx>
        <c:axId val="178247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12109855"/>
        <c:crosses val="autoZero"/>
        <c:auto val="1"/>
        <c:lblAlgn val="ctr"/>
        <c:lblOffset val="100"/>
        <c:noMultiLvlLbl val="0"/>
      </c:catAx>
      <c:valAx>
        <c:axId val="1812109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2479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DPIB y TV DPIB(año base: 2015)</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Hoja1!$C$29</c:f>
              <c:strCache>
                <c:ptCount val="1"/>
                <c:pt idx="0">
                  <c:v>DPIB</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Hoja1!$D$28:$J$28</c:f>
              <c:numCache>
                <c:formatCode>General</c:formatCode>
                <c:ptCount val="7"/>
                <c:pt idx="0">
                  <c:v>1995</c:v>
                </c:pt>
                <c:pt idx="1">
                  <c:v>2000</c:v>
                </c:pt>
                <c:pt idx="2">
                  <c:v>2005</c:v>
                </c:pt>
                <c:pt idx="3">
                  <c:v>2010</c:v>
                </c:pt>
                <c:pt idx="4">
                  <c:v>2015</c:v>
                </c:pt>
                <c:pt idx="5">
                  <c:v>2020</c:v>
                </c:pt>
                <c:pt idx="6">
                  <c:v>2021</c:v>
                </c:pt>
              </c:numCache>
            </c:numRef>
          </c:cat>
          <c:val>
            <c:numRef>
              <c:f>Hoja1!$D$29:$J$29</c:f>
              <c:numCache>
                <c:formatCode>0.00</c:formatCode>
                <c:ptCount val="7"/>
                <c:pt idx="0">
                  <c:v>64.31650947</c:v>
                </c:pt>
                <c:pt idx="1">
                  <c:v>74.018147409999997</c:v>
                </c:pt>
                <c:pt idx="2">
                  <c:v>90.149158459999995</c:v>
                </c:pt>
                <c:pt idx="3">
                  <c:v>99.41931683</c:v>
                </c:pt>
                <c:pt idx="4">
                  <c:v>100</c:v>
                </c:pt>
                <c:pt idx="5">
                  <c:v>105.6597112</c:v>
                </c:pt>
                <c:pt idx="6">
                  <c:v>108.0909565</c:v>
                </c:pt>
              </c:numCache>
            </c:numRef>
          </c:val>
          <c:extLst>
            <c:ext xmlns:c16="http://schemas.microsoft.com/office/drawing/2014/chart" uri="{C3380CC4-5D6E-409C-BE32-E72D297353CC}">
              <c16:uniqueId val="{00000000-6A8A-475F-B6CC-845A8974A76F}"/>
            </c:ext>
          </c:extLst>
        </c:ser>
        <c:ser>
          <c:idx val="1"/>
          <c:order val="1"/>
          <c:tx>
            <c:strRef>
              <c:f>Hoja1!$C$30</c:f>
              <c:strCache>
                <c:ptCount val="1"/>
                <c:pt idx="0">
                  <c:v>TV DPIB</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Hoja1!$D$28:$J$28</c:f>
              <c:numCache>
                <c:formatCode>General</c:formatCode>
                <c:ptCount val="7"/>
                <c:pt idx="0">
                  <c:v>1995</c:v>
                </c:pt>
                <c:pt idx="1">
                  <c:v>2000</c:v>
                </c:pt>
                <c:pt idx="2">
                  <c:v>2005</c:v>
                </c:pt>
                <c:pt idx="3">
                  <c:v>2010</c:v>
                </c:pt>
                <c:pt idx="4">
                  <c:v>2015</c:v>
                </c:pt>
                <c:pt idx="5">
                  <c:v>2020</c:v>
                </c:pt>
                <c:pt idx="6">
                  <c:v>2021</c:v>
                </c:pt>
              </c:numCache>
            </c:numRef>
          </c:cat>
          <c:val>
            <c:numRef>
              <c:f>Hoja1!$D$30:$J$30</c:f>
              <c:numCache>
                <c:formatCode>0.00</c:formatCode>
                <c:ptCount val="7"/>
                <c:pt idx="0">
                  <c:v>0</c:v>
                </c:pt>
                <c:pt idx="1">
                  <c:v>15.084210909999999</c:v>
                </c:pt>
                <c:pt idx="2">
                  <c:v>21.793319090000001</c:v>
                </c:pt>
                <c:pt idx="3">
                  <c:v>10.28313356</c:v>
                </c:pt>
                <c:pt idx="4">
                  <c:v>0.58407479399999995</c:v>
                </c:pt>
                <c:pt idx="5">
                  <c:v>5.6597112000000003</c:v>
                </c:pt>
                <c:pt idx="6">
                  <c:v>2.3010145230000001</c:v>
                </c:pt>
              </c:numCache>
            </c:numRef>
          </c:val>
          <c:extLst>
            <c:ext xmlns:c16="http://schemas.microsoft.com/office/drawing/2014/chart" uri="{C3380CC4-5D6E-409C-BE32-E72D297353CC}">
              <c16:uniqueId val="{00000001-6A8A-475F-B6CC-845A8974A76F}"/>
            </c:ext>
          </c:extLst>
        </c:ser>
        <c:dLbls>
          <c:dLblPos val="inEnd"/>
          <c:showLegendKey val="0"/>
          <c:showVal val="1"/>
          <c:showCatName val="0"/>
          <c:showSerName val="0"/>
          <c:showPercent val="0"/>
          <c:showBubbleSize val="0"/>
        </c:dLbls>
        <c:gapWidth val="355"/>
        <c:overlap val="-70"/>
        <c:axId val="1812108415"/>
        <c:axId val="1812109375"/>
      </c:barChart>
      <c:catAx>
        <c:axId val="181210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12109375"/>
        <c:crosses val="autoZero"/>
        <c:auto val="1"/>
        <c:lblAlgn val="ctr"/>
        <c:lblOffset val="100"/>
        <c:noMultiLvlLbl val="0"/>
      </c:catAx>
      <c:valAx>
        <c:axId val="181210937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12108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ES"/>
              <a:t>Estructura porcentual componentes del</a:t>
            </a:r>
            <a:r>
              <a:rPr lang="es-ES" baseline="0"/>
              <a:t> PIB lado de la demanda</a:t>
            </a:r>
            <a:endParaRPr lang="es-E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Hoja1!$B$46</c:f>
              <c:strCache>
                <c:ptCount val="1"/>
                <c:pt idx="0">
                  <c:v>Gasto en consumo final</c:v>
                </c:pt>
              </c:strCache>
            </c:strRef>
          </c:tx>
          <c:spPr>
            <a:solidFill>
              <a:schemeClr val="accent1">
                <a:alpha val="70000"/>
              </a:schemeClr>
            </a:solidFill>
            <a:ln>
              <a:noFill/>
            </a:ln>
            <a:effectLst/>
          </c:spPr>
          <c:invertIfNegative val="0"/>
          <c:cat>
            <c:numRef>
              <c:f>Hoja1!$C$45:$I$45</c:f>
              <c:numCache>
                <c:formatCode>General</c:formatCode>
                <c:ptCount val="7"/>
                <c:pt idx="0">
                  <c:v>1995</c:v>
                </c:pt>
                <c:pt idx="1">
                  <c:v>2000</c:v>
                </c:pt>
                <c:pt idx="2">
                  <c:v>2005</c:v>
                </c:pt>
                <c:pt idx="3">
                  <c:v>2010</c:v>
                </c:pt>
                <c:pt idx="4">
                  <c:v>2015</c:v>
                </c:pt>
                <c:pt idx="5">
                  <c:v>2020</c:v>
                </c:pt>
                <c:pt idx="6">
                  <c:v>2021</c:v>
                </c:pt>
              </c:numCache>
            </c:numRef>
          </c:cat>
          <c:val>
            <c:numRef>
              <c:f>Hoja1!$C$46:$I$46</c:f>
              <c:numCache>
                <c:formatCode>General</c:formatCode>
                <c:ptCount val="7"/>
                <c:pt idx="0">
                  <c:v>78.599999999999994</c:v>
                </c:pt>
                <c:pt idx="1">
                  <c:v>76.319999999999993</c:v>
                </c:pt>
                <c:pt idx="2">
                  <c:v>75.42</c:v>
                </c:pt>
                <c:pt idx="3">
                  <c:v>78.72</c:v>
                </c:pt>
                <c:pt idx="4">
                  <c:v>77.97</c:v>
                </c:pt>
                <c:pt idx="5">
                  <c:v>78.14</c:v>
                </c:pt>
                <c:pt idx="6">
                  <c:v>77.67</c:v>
                </c:pt>
              </c:numCache>
            </c:numRef>
          </c:val>
          <c:extLst>
            <c:ext xmlns:c16="http://schemas.microsoft.com/office/drawing/2014/chart" uri="{C3380CC4-5D6E-409C-BE32-E72D297353CC}">
              <c16:uniqueId val="{00000000-83AA-4C69-803A-DF128578CC17}"/>
            </c:ext>
          </c:extLst>
        </c:ser>
        <c:ser>
          <c:idx val="4"/>
          <c:order val="4"/>
          <c:tx>
            <c:strRef>
              <c:f>Hoja1!$B$50</c:f>
              <c:strCache>
                <c:ptCount val="1"/>
                <c:pt idx="0">
                  <c:v>Formación bruta de capital</c:v>
                </c:pt>
              </c:strCache>
            </c:strRef>
          </c:tx>
          <c:spPr>
            <a:solidFill>
              <a:schemeClr val="accent5">
                <a:alpha val="70000"/>
              </a:schemeClr>
            </a:solidFill>
            <a:ln>
              <a:noFill/>
            </a:ln>
            <a:effectLst/>
          </c:spPr>
          <c:invertIfNegative val="0"/>
          <c:cat>
            <c:numRef>
              <c:f>Hoja1!$C$45:$I$45</c:f>
              <c:numCache>
                <c:formatCode>General</c:formatCode>
                <c:ptCount val="7"/>
                <c:pt idx="0">
                  <c:v>1995</c:v>
                </c:pt>
                <c:pt idx="1">
                  <c:v>2000</c:v>
                </c:pt>
                <c:pt idx="2">
                  <c:v>2005</c:v>
                </c:pt>
                <c:pt idx="3">
                  <c:v>2010</c:v>
                </c:pt>
                <c:pt idx="4">
                  <c:v>2015</c:v>
                </c:pt>
                <c:pt idx="5">
                  <c:v>2020</c:v>
                </c:pt>
                <c:pt idx="6">
                  <c:v>2021</c:v>
                </c:pt>
              </c:numCache>
            </c:numRef>
          </c:cat>
          <c:val>
            <c:numRef>
              <c:f>Hoja1!$C$50:$I$50</c:f>
              <c:numCache>
                <c:formatCode>General</c:formatCode>
                <c:ptCount val="7"/>
                <c:pt idx="0">
                  <c:v>22.52</c:v>
                </c:pt>
                <c:pt idx="1">
                  <c:v>26.64</c:v>
                </c:pt>
                <c:pt idx="2">
                  <c:v>29.39</c:v>
                </c:pt>
                <c:pt idx="3">
                  <c:v>22.3</c:v>
                </c:pt>
                <c:pt idx="4">
                  <c:v>18.989999999999998</c:v>
                </c:pt>
                <c:pt idx="5">
                  <c:v>20.399999999999999</c:v>
                </c:pt>
                <c:pt idx="6">
                  <c:v>20.84</c:v>
                </c:pt>
              </c:numCache>
            </c:numRef>
          </c:val>
          <c:extLst>
            <c:ext xmlns:c16="http://schemas.microsoft.com/office/drawing/2014/chart" uri="{C3380CC4-5D6E-409C-BE32-E72D297353CC}">
              <c16:uniqueId val="{00000004-83AA-4C69-803A-DF128578CC17}"/>
            </c:ext>
          </c:extLst>
        </c:ser>
        <c:ser>
          <c:idx val="13"/>
          <c:order val="13"/>
          <c:tx>
            <c:strRef>
              <c:f>Hoja1!$B$59</c:f>
              <c:strCache>
                <c:ptCount val="1"/>
                <c:pt idx="0">
                  <c:v>Exportaciones de bienes y servicios</c:v>
                </c:pt>
              </c:strCache>
            </c:strRef>
          </c:tx>
          <c:spPr>
            <a:solidFill>
              <a:schemeClr val="accent2">
                <a:lumMod val="80000"/>
                <a:lumOff val="20000"/>
                <a:alpha val="70000"/>
              </a:schemeClr>
            </a:solidFill>
            <a:ln>
              <a:noFill/>
            </a:ln>
            <a:effectLst/>
          </c:spPr>
          <c:invertIfNegative val="0"/>
          <c:cat>
            <c:numRef>
              <c:f>Hoja1!$C$45:$I$45</c:f>
              <c:numCache>
                <c:formatCode>General</c:formatCode>
                <c:ptCount val="7"/>
                <c:pt idx="0">
                  <c:v>1995</c:v>
                </c:pt>
                <c:pt idx="1">
                  <c:v>2000</c:v>
                </c:pt>
                <c:pt idx="2">
                  <c:v>2005</c:v>
                </c:pt>
                <c:pt idx="3">
                  <c:v>2010</c:v>
                </c:pt>
                <c:pt idx="4">
                  <c:v>2015</c:v>
                </c:pt>
                <c:pt idx="5">
                  <c:v>2020</c:v>
                </c:pt>
                <c:pt idx="6">
                  <c:v>2021</c:v>
                </c:pt>
              </c:numCache>
            </c:numRef>
          </c:cat>
          <c:val>
            <c:numRef>
              <c:f>Hoja1!$C$59:$I$59</c:f>
              <c:numCache>
                <c:formatCode>General</c:formatCode>
                <c:ptCount val="7"/>
                <c:pt idx="0">
                  <c:v>21.83</c:v>
                </c:pt>
                <c:pt idx="1">
                  <c:v>28.56</c:v>
                </c:pt>
                <c:pt idx="2">
                  <c:v>24.98</c:v>
                </c:pt>
                <c:pt idx="3">
                  <c:v>25.95</c:v>
                </c:pt>
                <c:pt idx="4">
                  <c:v>33.61</c:v>
                </c:pt>
                <c:pt idx="5">
                  <c:v>30.8</c:v>
                </c:pt>
                <c:pt idx="6">
                  <c:v>34.93</c:v>
                </c:pt>
              </c:numCache>
            </c:numRef>
          </c:val>
          <c:extLst>
            <c:ext xmlns:c16="http://schemas.microsoft.com/office/drawing/2014/chart" uri="{C3380CC4-5D6E-409C-BE32-E72D297353CC}">
              <c16:uniqueId val="{0000000D-83AA-4C69-803A-DF128578CC17}"/>
            </c:ext>
          </c:extLst>
        </c:ser>
        <c:ser>
          <c:idx val="17"/>
          <c:order val="17"/>
          <c:tx>
            <c:strRef>
              <c:f>Hoja1!$B$63</c:f>
              <c:strCache>
                <c:ptCount val="1"/>
                <c:pt idx="0">
                  <c:v>Importaciones de bienes y servicios</c:v>
                </c:pt>
              </c:strCache>
            </c:strRef>
          </c:tx>
          <c:spPr>
            <a:solidFill>
              <a:schemeClr val="accent6">
                <a:lumMod val="80000"/>
                <a:lumOff val="20000"/>
                <a:alpha val="70000"/>
              </a:schemeClr>
            </a:solidFill>
            <a:ln>
              <a:noFill/>
            </a:ln>
            <a:effectLst/>
          </c:spPr>
          <c:invertIfNegative val="0"/>
          <c:cat>
            <c:numRef>
              <c:f>Hoja1!$C$45:$I$45</c:f>
              <c:numCache>
                <c:formatCode>General</c:formatCode>
                <c:ptCount val="7"/>
                <c:pt idx="0">
                  <c:v>1995</c:v>
                </c:pt>
                <c:pt idx="1">
                  <c:v>2000</c:v>
                </c:pt>
                <c:pt idx="2">
                  <c:v>2005</c:v>
                </c:pt>
                <c:pt idx="3">
                  <c:v>2010</c:v>
                </c:pt>
                <c:pt idx="4">
                  <c:v>2015</c:v>
                </c:pt>
                <c:pt idx="5">
                  <c:v>2020</c:v>
                </c:pt>
                <c:pt idx="6">
                  <c:v>2021</c:v>
                </c:pt>
              </c:numCache>
            </c:numRef>
          </c:cat>
          <c:val>
            <c:numRef>
              <c:f>Hoja1!$C$63:$I$63</c:f>
              <c:numCache>
                <c:formatCode>General</c:formatCode>
                <c:ptCount val="7"/>
                <c:pt idx="0">
                  <c:v>-22.95</c:v>
                </c:pt>
                <c:pt idx="1">
                  <c:v>-31.52</c:v>
                </c:pt>
                <c:pt idx="2">
                  <c:v>-29.78</c:v>
                </c:pt>
                <c:pt idx="3">
                  <c:v>-26.98</c:v>
                </c:pt>
                <c:pt idx="4">
                  <c:v>-30.57</c:v>
                </c:pt>
                <c:pt idx="5">
                  <c:v>-29.34</c:v>
                </c:pt>
                <c:pt idx="6">
                  <c:v>-33.450000000000003</c:v>
                </c:pt>
              </c:numCache>
            </c:numRef>
          </c:val>
          <c:extLst>
            <c:ext xmlns:c16="http://schemas.microsoft.com/office/drawing/2014/chart" uri="{C3380CC4-5D6E-409C-BE32-E72D297353CC}">
              <c16:uniqueId val="{00000011-83AA-4C69-803A-DF128578CC17}"/>
            </c:ext>
          </c:extLst>
        </c:ser>
        <c:dLbls>
          <c:showLegendKey val="0"/>
          <c:showVal val="0"/>
          <c:showCatName val="0"/>
          <c:showSerName val="0"/>
          <c:showPercent val="0"/>
          <c:showBubbleSize val="0"/>
        </c:dLbls>
        <c:gapWidth val="80"/>
        <c:overlap val="25"/>
        <c:axId val="2009849199"/>
        <c:axId val="2009838159"/>
        <c:extLst>
          <c:ext xmlns:c15="http://schemas.microsoft.com/office/drawing/2012/chart" uri="{02D57815-91ED-43cb-92C2-25804820EDAC}">
            <c15:filteredBarSeries>
              <c15:ser>
                <c:idx val="1"/>
                <c:order val="1"/>
                <c:tx>
                  <c:strRef>
                    <c:extLst>
                      <c:ext uri="{02D57815-91ED-43cb-92C2-25804820EDAC}">
                        <c15:formulaRef>
                          <c15:sqref>Hoja1!$B$47</c15:sqref>
                        </c15:formulaRef>
                      </c:ext>
                    </c:extLst>
                    <c:strCache>
                      <c:ptCount val="1"/>
                    </c:strCache>
                  </c:strRef>
                </c:tx>
                <c:spPr>
                  <a:solidFill>
                    <a:schemeClr val="accent2">
                      <a:alpha val="70000"/>
                    </a:schemeClr>
                  </a:solidFill>
                  <a:ln>
                    <a:noFill/>
                  </a:ln>
                  <a:effectLst/>
                </c:spPr>
                <c:invertIfNegative val="0"/>
                <c:cat>
                  <c:numRef>
                    <c:extLst>
                      <c:ex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c:ext uri="{02D57815-91ED-43cb-92C2-25804820EDAC}">
                        <c15:formulaRef>
                          <c15:sqref>Hoja1!$C$47:$I$47</c15:sqref>
                        </c15:formulaRef>
                      </c:ext>
                    </c:extLst>
                    <c:numCache>
                      <c:formatCode>General</c:formatCode>
                      <c:ptCount val="7"/>
                    </c:numCache>
                  </c:numRef>
                </c:val>
                <c:extLst>
                  <c:ext xmlns:c16="http://schemas.microsoft.com/office/drawing/2014/chart" uri="{C3380CC4-5D6E-409C-BE32-E72D297353CC}">
                    <c16:uniqueId val="{00000001-83AA-4C69-803A-DF128578CC1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Hoja1!$B$48</c15:sqref>
                        </c15:formulaRef>
                      </c:ext>
                    </c:extLst>
                    <c:strCache>
                      <c:ptCount val="1"/>
                    </c:strCache>
                  </c:strRef>
                </c:tx>
                <c:spPr>
                  <a:solidFill>
                    <a:schemeClr val="accent3">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Hoja1!$C$48:$I$48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2-83AA-4C69-803A-DF128578CC1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Hoja1!$B$49</c15:sqref>
                        </c15:formulaRef>
                      </c:ext>
                    </c:extLst>
                    <c:strCache>
                      <c:ptCount val="1"/>
                    </c:strCache>
                  </c:strRef>
                </c:tx>
                <c:spPr>
                  <a:solidFill>
                    <a:schemeClr val="accent4">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Hoja1!$C$49:$I$49</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3-83AA-4C69-803A-DF128578CC1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Hoja1!$B$51</c15:sqref>
                        </c15:formulaRef>
                      </c:ext>
                    </c:extLst>
                    <c:strCache>
                      <c:ptCount val="1"/>
                    </c:strCache>
                  </c:strRef>
                </c:tx>
                <c:spPr>
                  <a:solidFill>
                    <a:schemeClr val="accent6">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Hoja1!$C$51:$I$51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5-83AA-4C69-803A-DF128578CC1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Hoja1!$B$52</c15:sqref>
                        </c15:formulaRef>
                      </c:ext>
                    </c:extLst>
                    <c:strCache>
                      <c:ptCount val="1"/>
                    </c:strCache>
                  </c:strRef>
                </c:tx>
                <c:spPr>
                  <a:solidFill>
                    <a:schemeClr val="accent1">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Hoja1!$C$52:$I$52</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6-83AA-4C69-803A-DF128578CC1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Hoja1!$B$53</c15:sqref>
                        </c15:formulaRef>
                      </c:ext>
                    </c:extLst>
                    <c:strCache>
                      <c:ptCount val="1"/>
                    </c:strCache>
                  </c:strRef>
                </c:tx>
                <c:spPr>
                  <a:solidFill>
                    <a:schemeClr val="accent2">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Hoja1!$C$53:$I$53</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7-83AA-4C69-803A-DF128578CC1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Hoja1!$B$54</c15:sqref>
                        </c15:formulaRef>
                      </c:ext>
                    </c:extLst>
                    <c:strCache>
                      <c:ptCount val="1"/>
                    </c:strCache>
                  </c:strRef>
                </c:tx>
                <c:spPr>
                  <a:solidFill>
                    <a:schemeClr val="accent3">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Hoja1!$C$54:$I$54</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8-83AA-4C69-803A-DF128578CC1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Hoja1!$B$55</c15:sqref>
                        </c15:formulaRef>
                      </c:ext>
                    </c:extLst>
                    <c:strCache>
                      <c:ptCount val="1"/>
                    </c:strCache>
                  </c:strRef>
                </c:tx>
                <c:spPr>
                  <a:solidFill>
                    <a:schemeClr val="accent4">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Hoja1!$C$55:$I$55</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9-83AA-4C69-803A-DF128578CC17}"/>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Hoja1!$B$56</c15:sqref>
                        </c15:formulaRef>
                      </c:ext>
                    </c:extLst>
                    <c:strCache>
                      <c:ptCount val="1"/>
                    </c:strCache>
                  </c:strRef>
                </c:tx>
                <c:spPr>
                  <a:solidFill>
                    <a:schemeClr val="accent5">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Hoja1!$C$56:$I$56</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A-83AA-4C69-803A-DF128578CC17}"/>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Hoja1!$B$57</c15:sqref>
                        </c15:formulaRef>
                      </c:ext>
                    </c:extLst>
                    <c:strCache>
                      <c:ptCount val="1"/>
                    </c:strCache>
                  </c:strRef>
                </c:tx>
                <c:spPr>
                  <a:solidFill>
                    <a:schemeClr val="accent6">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Hoja1!$C$57:$I$57</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B-83AA-4C69-803A-DF128578CC17}"/>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Hoja1!$B$58</c15:sqref>
                        </c15:formulaRef>
                      </c:ext>
                    </c:extLst>
                    <c:strCache>
                      <c:ptCount val="1"/>
                    </c:strCache>
                  </c:strRef>
                </c:tx>
                <c:spPr>
                  <a:solidFill>
                    <a:schemeClr val="accent1">
                      <a:lumMod val="80000"/>
                      <a:lumOff val="2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Hoja1!$C$58:$I$58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C-83AA-4C69-803A-DF128578CC17}"/>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Hoja1!$B$60</c15:sqref>
                        </c15:formulaRef>
                      </c:ext>
                    </c:extLst>
                    <c:strCache>
                      <c:ptCount val="1"/>
                    </c:strCache>
                  </c:strRef>
                </c:tx>
                <c:spPr>
                  <a:solidFill>
                    <a:schemeClr val="accent3">
                      <a:lumMod val="80000"/>
                      <a:lumOff val="2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Hoja1!$C$60:$I$60</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E-83AA-4C69-803A-DF128578CC17}"/>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Hoja1!$B$61</c15:sqref>
                        </c15:formulaRef>
                      </c:ext>
                    </c:extLst>
                    <c:strCache>
                      <c:ptCount val="1"/>
                    </c:strCache>
                  </c:strRef>
                </c:tx>
                <c:spPr>
                  <a:solidFill>
                    <a:schemeClr val="accent4">
                      <a:lumMod val="80000"/>
                      <a:lumOff val="2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Hoja1!$C$61:$I$61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F-83AA-4C69-803A-DF128578CC17}"/>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Hoja1!$B$62</c15:sqref>
                        </c15:formulaRef>
                      </c:ext>
                    </c:extLst>
                    <c:strCache>
                      <c:ptCount val="1"/>
                    </c:strCache>
                  </c:strRef>
                </c:tx>
                <c:spPr>
                  <a:solidFill>
                    <a:schemeClr val="accent5">
                      <a:lumMod val="80000"/>
                      <a:lumOff val="2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Hoja1!$C$45:$I$45</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Hoja1!$C$62:$I$62</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0-83AA-4C69-803A-DF128578CC17}"/>
                  </c:ext>
                </c:extLst>
              </c15:ser>
            </c15:filteredBarSeries>
          </c:ext>
        </c:extLst>
      </c:barChart>
      <c:catAx>
        <c:axId val="200984919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009838159"/>
        <c:crosses val="autoZero"/>
        <c:auto val="1"/>
        <c:lblAlgn val="ctr"/>
        <c:lblOffset val="100"/>
        <c:noMultiLvlLbl val="0"/>
      </c:catAx>
      <c:valAx>
        <c:axId val="20098381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200984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ES" sz="1400" b="0" i="0" u="none" strike="noStrike" kern="1200" cap="none" spc="50" normalizeH="0" baseline="0">
                <a:solidFill>
                  <a:sysClr val="windowText" lastClr="000000">
                    <a:lumMod val="65000"/>
                    <a:lumOff val="35000"/>
                  </a:sysClr>
                </a:solidFill>
              </a:rPr>
              <a:t>Estructura porcentual componentes del PIB lado de la oferta</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manualLayout>
          <c:layoutTarget val="inner"/>
          <c:xMode val="edge"/>
          <c:yMode val="edge"/>
          <c:x val="8.0914260717410327E-2"/>
          <c:y val="0.25083333333333335"/>
          <c:w val="0.88853018372703407"/>
          <c:h val="0.27197287839020118"/>
        </c:manualLayout>
      </c:layout>
      <c:barChart>
        <c:barDir val="col"/>
        <c:grouping val="clustered"/>
        <c:varyColors val="0"/>
        <c:ser>
          <c:idx val="0"/>
          <c:order val="0"/>
          <c:tx>
            <c:strRef>
              <c:f>Hoja1!$B$73</c:f>
              <c:strCache>
                <c:ptCount val="1"/>
                <c:pt idx="0">
                  <c:v>Agricultura, ganadería, silvicultura y pesca</c:v>
                </c:pt>
              </c:strCache>
            </c:strRef>
          </c:tx>
          <c:spPr>
            <a:solidFill>
              <a:schemeClr val="accent1">
                <a:alpha val="70000"/>
              </a:schemeClr>
            </a:solidFill>
            <a:ln>
              <a:noFill/>
            </a:ln>
            <a:effectLst/>
          </c:spPr>
          <c:invertIfNegative val="0"/>
          <c:cat>
            <c:numRef>
              <c:f>Hoja1!$C$72:$I$72</c:f>
              <c:numCache>
                <c:formatCode>General</c:formatCode>
                <c:ptCount val="7"/>
                <c:pt idx="0">
                  <c:v>1995</c:v>
                </c:pt>
                <c:pt idx="1">
                  <c:v>2000</c:v>
                </c:pt>
                <c:pt idx="2">
                  <c:v>2005</c:v>
                </c:pt>
                <c:pt idx="3">
                  <c:v>2010</c:v>
                </c:pt>
                <c:pt idx="4">
                  <c:v>2015</c:v>
                </c:pt>
                <c:pt idx="5">
                  <c:v>2020</c:v>
                </c:pt>
                <c:pt idx="6">
                  <c:v>2021</c:v>
                </c:pt>
              </c:numCache>
            </c:numRef>
          </c:cat>
          <c:val>
            <c:numRef>
              <c:f>Hoja1!$C$73:$I$73</c:f>
              <c:numCache>
                <c:formatCode>General</c:formatCode>
                <c:ptCount val="7"/>
                <c:pt idx="0">
                  <c:v>3.88</c:v>
                </c:pt>
                <c:pt idx="1">
                  <c:v>3.75</c:v>
                </c:pt>
                <c:pt idx="2">
                  <c:v>2.77</c:v>
                </c:pt>
                <c:pt idx="3">
                  <c:v>2.4300000000000002</c:v>
                </c:pt>
                <c:pt idx="4">
                  <c:v>2.73</c:v>
                </c:pt>
                <c:pt idx="5">
                  <c:v>2.87</c:v>
                </c:pt>
                <c:pt idx="6">
                  <c:v>2.61</c:v>
                </c:pt>
              </c:numCache>
            </c:numRef>
          </c:val>
          <c:extLst>
            <c:ext xmlns:c16="http://schemas.microsoft.com/office/drawing/2014/chart" uri="{C3380CC4-5D6E-409C-BE32-E72D297353CC}">
              <c16:uniqueId val="{00000000-07FA-45AF-8137-1056770FE120}"/>
            </c:ext>
          </c:extLst>
        </c:ser>
        <c:ser>
          <c:idx val="1"/>
          <c:order val="1"/>
          <c:tx>
            <c:strRef>
              <c:f>Hoja1!$B$74</c:f>
              <c:strCache>
                <c:ptCount val="1"/>
                <c:pt idx="0">
                  <c:v>Industria</c:v>
                </c:pt>
              </c:strCache>
            </c:strRef>
          </c:tx>
          <c:spPr>
            <a:solidFill>
              <a:schemeClr val="accent2">
                <a:alpha val="70000"/>
              </a:schemeClr>
            </a:solidFill>
            <a:ln>
              <a:noFill/>
            </a:ln>
            <a:effectLst/>
          </c:spPr>
          <c:invertIfNegative val="0"/>
          <c:cat>
            <c:numRef>
              <c:f>Hoja1!$C$72:$I$72</c:f>
              <c:numCache>
                <c:formatCode>General</c:formatCode>
                <c:ptCount val="7"/>
                <c:pt idx="0">
                  <c:v>1995</c:v>
                </c:pt>
                <c:pt idx="1">
                  <c:v>2000</c:v>
                </c:pt>
                <c:pt idx="2">
                  <c:v>2005</c:v>
                </c:pt>
                <c:pt idx="3">
                  <c:v>2010</c:v>
                </c:pt>
                <c:pt idx="4">
                  <c:v>2015</c:v>
                </c:pt>
                <c:pt idx="5">
                  <c:v>2020</c:v>
                </c:pt>
                <c:pt idx="6">
                  <c:v>2021</c:v>
                </c:pt>
              </c:numCache>
            </c:numRef>
          </c:cat>
          <c:val>
            <c:numRef>
              <c:f>Hoja1!$C$74:$I$74</c:f>
              <c:numCache>
                <c:formatCode>General</c:formatCode>
                <c:ptCount val="7"/>
                <c:pt idx="0">
                  <c:v>19.760000000000002</c:v>
                </c:pt>
                <c:pt idx="1">
                  <c:v>18.78</c:v>
                </c:pt>
                <c:pt idx="2">
                  <c:v>16.489999999999998</c:v>
                </c:pt>
                <c:pt idx="3">
                  <c:v>15</c:v>
                </c:pt>
                <c:pt idx="4">
                  <c:v>14.84</c:v>
                </c:pt>
                <c:pt idx="5">
                  <c:v>14.6</c:v>
                </c:pt>
                <c:pt idx="6">
                  <c:v>15.31</c:v>
                </c:pt>
              </c:numCache>
            </c:numRef>
          </c:val>
          <c:extLst>
            <c:ext xmlns:c16="http://schemas.microsoft.com/office/drawing/2014/chart" uri="{C3380CC4-5D6E-409C-BE32-E72D297353CC}">
              <c16:uniqueId val="{00000001-07FA-45AF-8137-1056770FE120}"/>
            </c:ext>
          </c:extLst>
        </c:ser>
        <c:ser>
          <c:idx val="3"/>
          <c:order val="3"/>
          <c:tx>
            <c:strRef>
              <c:f>Hoja1!$B$76</c:f>
              <c:strCache>
                <c:ptCount val="1"/>
                <c:pt idx="0">
                  <c:v>Construcción</c:v>
                </c:pt>
              </c:strCache>
            </c:strRef>
          </c:tx>
          <c:spPr>
            <a:solidFill>
              <a:schemeClr val="accent4">
                <a:alpha val="70000"/>
              </a:schemeClr>
            </a:solidFill>
            <a:ln>
              <a:noFill/>
            </a:ln>
            <a:effectLst/>
          </c:spPr>
          <c:invertIfNegative val="0"/>
          <c:cat>
            <c:numRef>
              <c:f>Hoja1!$C$72:$I$72</c:f>
              <c:numCache>
                <c:formatCode>General</c:formatCode>
                <c:ptCount val="7"/>
                <c:pt idx="0">
                  <c:v>1995</c:v>
                </c:pt>
                <c:pt idx="1">
                  <c:v>2000</c:v>
                </c:pt>
                <c:pt idx="2">
                  <c:v>2005</c:v>
                </c:pt>
                <c:pt idx="3">
                  <c:v>2010</c:v>
                </c:pt>
                <c:pt idx="4">
                  <c:v>2015</c:v>
                </c:pt>
                <c:pt idx="5">
                  <c:v>2020</c:v>
                </c:pt>
                <c:pt idx="6">
                  <c:v>2021</c:v>
                </c:pt>
              </c:numCache>
            </c:numRef>
          </c:cat>
          <c:val>
            <c:numRef>
              <c:f>Hoja1!$C$76:$I$76</c:f>
              <c:numCache>
                <c:formatCode>General</c:formatCode>
                <c:ptCount val="7"/>
                <c:pt idx="0">
                  <c:v>8.58</c:v>
                </c:pt>
                <c:pt idx="1">
                  <c:v>9.19</c:v>
                </c:pt>
                <c:pt idx="2">
                  <c:v>10.68</c:v>
                </c:pt>
                <c:pt idx="3">
                  <c:v>8.16</c:v>
                </c:pt>
                <c:pt idx="4">
                  <c:v>5.23</c:v>
                </c:pt>
                <c:pt idx="5">
                  <c:v>5.53</c:v>
                </c:pt>
                <c:pt idx="6">
                  <c:v>5.04</c:v>
                </c:pt>
              </c:numCache>
            </c:numRef>
          </c:val>
          <c:extLst>
            <c:ext xmlns:c16="http://schemas.microsoft.com/office/drawing/2014/chart" uri="{C3380CC4-5D6E-409C-BE32-E72D297353CC}">
              <c16:uniqueId val="{00000003-07FA-45AF-8137-1056770FE120}"/>
            </c:ext>
          </c:extLst>
        </c:ser>
        <c:ser>
          <c:idx val="4"/>
          <c:order val="4"/>
          <c:tx>
            <c:strRef>
              <c:f>Hoja1!$B$77</c:f>
              <c:strCache>
                <c:ptCount val="1"/>
                <c:pt idx="0">
                  <c:v>Servicios</c:v>
                </c:pt>
              </c:strCache>
            </c:strRef>
          </c:tx>
          <c:spPr>
            <a:solidFill>
              <a:schemeClr val="accent5">
                <a:alpha val="70000"/>
              </a:schemeClr>
            </a:solidFill>
            <a:ln>
              <a:noFill/>
            </a:ln>
            <a:effectLst/>
          </c:spPr>
          <c:invertIfNegative val="0"/>
          <c:cat>
            <c:numRef>
              <c:f>Hoja1!$C$72:$I$72</c:f>
              <c:numCache>
                <c:formatCode>General</c:formatCode>
                <c:ptCount val="7"/>
                <c:pt idx="0">
                  <c:v>1995</c:v>
                </c:pt>
                <c:pt idx="1">
                  <c:v>2000</c:v>
                </c:pt>
                <c:pt idx="2">
                  <c:v>2005</c:v>
                </c:pt>
                <c:pt idx="3">
                  <c:v>2010</c:v>
                </c:pt>
                <c:pt idx="4">
                  <c:v>2015</c:v>
                </c:pt>
                <c:pt idx="5">
                  <c:v>2020</c:v>
                </c:pt>
                <c:pt idx="6">
                  <c:v>2021</c:v>
                </c:pt>
              </c:numCache>
            </c:numRef>
          </c:cat>
          <c:val>
            <c:numRef>
              <c:f>Hoja1!$C$77:$I$77</c:f>
              <c:numCache>
                <c:formatCode>General</c:formatCode>
                <c:ptCount val="7"/>
                <c:pt idx="0">
                  <c:v>60.37</c:v>
                </c:pt>
                <c:pt idx="1">
                  <c:v>59.2</c:v>
                </c:pt>
                <c:pt idx="2">
                  <c:v>59.82</c:v>
                </c:pt>
                <c:pt idx="3">
                  <c:v>66.28</c:v>
                </c:pt>
                <c:pt idx="4">
                  <c:v>68</c:v>
                </c:pt>
                <c:pt idx="5">
                  <c:v>68.239999999999995</c:v>
                </c:pt>
                <c:pt idx="6">
                  <c:v>67.430000000000007</c:v>
                </c:pt>
              </c:numCache>
            </c:numRef>
          </c:val>
          <c:extLst>
            <c:ext xmlns:c16="http://schemas.microsoft.com/office/drawing/2014/chart" uri="{C3380CC4-5D6E-409C-BE32-E72D297353CC}">
              <c16:uniqueId val="{00000004-07FA-45AF-8137-1056770FE120}"/>
            </c:ext>
          </c:extLst>
        </c:ser>
        <c:ser>
          <c:idx val="12"/>
          <c:order val="12"/>
          <c:tx>
            <c:strRef>
              <c:f>Hoja1!$B$85</c:f>
              <c:strCache>
                <c:ptCount val="1"/>
                <c:pt idx="0">
                  <c:v>Impuestos menos subvenciones sobre los productos</c:v>
                </c:pt>
              </c:strCache>
            </c:strRef>
          </c:tx>
          <c:spPr>
            <a:solidFill>
              <a:schemeClr val="accent1">
                <a:lumMod val="80000"/>
                <a:lumOff val="20000"/>
                <a:alpha val="70000"/>
              </a:schemeClr>
            </a:solidFill>
            <a:ln>
              <a:noFill/>
            </a:ln>
            <a:effectLst/>
          </c:spPr>
          <c:invertIfNegative val="0"/>
          <c:cat>
            <c:numRef>
              <c:f>Hoja1!$C$72:$I$72</c:f>
              <c:numCache>
                <c:formatCode>General</c:formatCode>
                <c:ptCount val="7"/>
                <c:pt idx="0">
                  <c:v>1995</c:v>
                </c:pt>
                <c:pt idx="1">
                  <c:v>2000</c:v>
                </c:pt>
                <c:pt idx="2">
                  <c:v>2005</c:v>
                </c:pt>
                <c:pt idx="3">
                  <c:v>2010</c:v>
                </c:pt>
                <c:pt idx="4">
                  <c:v>2015</c:v>
                </c:pt>
                <c:pt idx="5">
                  <c:v>2020</c:v>
                </c:pt>
                <c:pt idx="6">
                  <c:v>2021</c:v>
                </c:pt>
              </c:numCache>
            </c:numRef>
          </c:cat>
          <c:val>
            <c:numRef>
              <c:f>Hoja1!$C$85:$I$85</c:f>
              <c:numCache>
                <c:formatCode>General</c:formatCode>
                <c:ptCount val="7"/>
                <c:pt idx="0">
                  <c:v>7.41</c:v>
                </c:pt>
                <c:pt idx="1">
                  <c:v>9.09</c:v>
                </c:pt>
                <c:pt idx="2">
                  <c:v>10.24</c:v>
                </c:pt>
                <c:pt idx="3">
                  <c:v>8.1300000000000008</c:v>
                </c:pt>
                <c:pt idx="4">
                  <c:v>9.19</c:v>
                </c:pt>
                <c:pt idx="5">
                  <c:v>8.76</c:v>
                </c:pt>
                <c:pt idx="6">
                  <c:v>9.61</c:v>
                </c:pt>
              </c:numCache>
            </c:numRef>
          </c:val>
          <c:extLst>
            <c:ext xmlns:c16="http://schemas.microsoft.com/office/drawing/2014/chart" uri="{C3380CC4-5D6E-409C-BE32-E72D297353CC}">
              <c16:uniqueId val="{0000000C-07FA-45AF-8137-1056770FE120}"/>
            </c:ext>
          </c:extLst>
        </c:ser>
        <c:dLbls>
          <c:showLegendKey val="0"/>
          <c:showVal val="0"/>
          <c:showCatName val="0"/>
          <c:showSerName val="0"/>
          <c:showPercent val="0"/>
          <c:showBubbleSize val="0"/>
        </c:dLbls>
        <c:gapWidth val="80"/>
        <c:overlap val="25"/>
        <c:axId val="2009842479"/>
        <c:axId val="2009847759"/>
        <c:extLst>
          <c:ext xmlns:c15="http://schemas.microsoft.com/office/drawing/2012/chart" uri="{02D57815-91ED-43cb-92C2-25804820EDAC}">
            <c15:filteredBarSeries>
              <c15:ser>
                <c:idx val="2"/>
                <c:order val="2"/>
                <c:tx>
                  <c:strRef>
                    <c:extLst>
                      <c:ext uri="{02D57815-91ED-43cb-92C2-25804820EDAC}">
                        <c15:formulaRef>
                          <c15:sqref>Hoja1!$B$75</c15:sqref>
                        </c15:formulaRef>
                      </c:ext>
                    </c:extLst>
                    <c:strCache>
                      <c:ptCount val="1"/>
                    </c:strCache>
                  </c:strRef>
                </c:tx>
                <c:spPr>
                  <a:solidFill>
                    <a:schemeClr val="accent3">
                      <a:alpha val="70000"/>
                    </a:schemeClr>
                  </a:solidFill>
                  <a:ln>
                    <a:noFill/>
                  </a:ln>
                  <a:effectLst/>
                </c:spPr>
                <c:invertIfNegative val="0"/>
                <c:cat>
                  <c:numRef>
                    <c:extLst>
                      <c:ex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c:ext uri="{02D57815-91ED-43cb-92C2-25804820EDAC}">
                        <c15:formulaRef>
                          <c15:sqref>Hoja1!$C$75:$I$75</c15:sqref>
                        </c15:formulaRef>
                      </c:ext>
                    </c:extLst>
                    <c:numCache>
                      <c:formatCode>General</c:formatCode>
                      <c:ptCount val="7"/>
                    </c:numCache>
                  </c:numRef>
                </c:val>
                <c:extLst>
                  <c:ext xmlns:c16="http://schemas.microsoft.com/office/drawing/2014/chart" uri="{C3380CC4-5D6E-409C-BE32-E72D297353CC}">
                    <c16:uniqueId val="{00000002-07FA-45AF-8137-1056770FE12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Hoja1!$B$78</c15:sqref>
                        </c15:formulaRef>
                      </c:ext>
                    </c:extLst>
                    <c:strCache>
                      <c:ptCount val="1"/>
                    </c:strCache>
                  </c:strRef>
                </c:tx>
                <c:spPr>
                  <a:solidFill>
                    <a:schemeClr val="accent6">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Hoja1!$C$78:$I$78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5-07FA-45AF-8137-1056770FE12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Hoja1!$B$79</c15:sqref>
                        </c15:formulaRef>
                      </c:ext>
                    </c:extLst>
                    <c:strCache>
                      <c:ptCount val="1"/>
                    </c:strCache>
                  </c:strRef>
                </c:tx>
                <c:spPr>
                  <a:solidFill>
                    <a:schemeClr val="accent1">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Hoja1!$C$79:$I$79</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6-07FA-45AF-8137-1056770FE12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Hoja1!$B$80</c15:sqref>
                        </c15:formulaRef>
                      </c:ext>
                    </c:extLst>
                    <c:strCache>
                      <c:ptCount val="1"/>
                    </c:strCache>
                  </c:strRef>
                </c:tx>
                <c:spPr>
                  <a:solidFill>
                    <a:schemeClr val="accent2">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Hoja1!$C$80:$I$80</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7-07FA-45AF-8137-1056770FE120}"/>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Hoja1!$B$81</c15:sqref>
                        </c15:formulaRef>
                      </c:ext>
                    </c:extLst>
                    <c:strCache>
                      <c:ptCount val="1"/>
                    </c:strCache>
                  </c:strRef>
                </c:tx>
                <c:spPr>
                  <a:solidFill>
                    <a:schemeClr val="accent3">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Hoja1!$C$81:$I$81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8-07FA-45AF-8137-1056770FE120}"/>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Hoja1!$B$82</c15:sqref>
                        </c15:formulaRef>
                      </c:ext>
                    </c:extLst>
                    <c:strCache>
                      <c:ptCount val="1"/>
                    </c:strCache>
                  </c:strRef>
                </c:tx>
                <c:spPr>
                  <a:solidFill>
                    <a:schemeClr val="accent4">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Hoja1!$C$82:$I$82</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9-07FA-45AF-8137-1056770FE120}"/>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Hoja1!$B$83</c15:sqref>
                        </c15:formulaRef>
                      </c:ext>
                    </c:extLst>
                    <c:strCache>
                      <c:ptCount val="1"/>
                    </c:strCache>
                  </c:strRef>
                </c:tx>
                <c:spPr>
                  <a:solidFill>
                    <a:schemeClr val="accent5">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Hoja1!$C$83:$I$83</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A-07FA-45AF-8137-1056770FE120}"/>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Hoja1!$B$84</c15:sqref>
                        </c15:formulaRef>
                      </c:ext>
                    </c:extLst>
                    <c:strCache>
                      <c:ptCount val="1"/>
                    </c:strCache>
                  </c:strRef>
                </c:tx>
                <c:spPr>
                  <a:solidFill>
                    <a:schemeClr val="accent6">
                      <a:lumMod val="60000"/>
                      <a:alpha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Hoja1!$C$72:$I$72</c15:sqref>
                        </c15:formulaRef>
                      </c:ext>
                    </c:extLst>
                    <c:numCache>
                      <c:formatCode>General</c:formatCode>
                      <c:ptCount val="7"/>
                      <c:pt idx="0">
                        <c:v>1995</c:v>
                      </c:pt>
                      <c:pt idx="1">
                        <c:v>2000</c:v>
                      </c:pt>
                      <c:pt idx="2">
                        <c:v>2005</c:v>
                      </c:pt>
                      <c:pt idx="3">
                        <c:v>2010</c:v>
                      </c:pt>
                      <c:pt idx="4">
                        <c:v>2015</c:v>
                      </c:pt>
                      <c:pt idx="5">
                        <c:v>2020</c:v>
                      </c:pt>
                      <c:pt idx="6">
                        <c:v>2021</c:v>
                      </c:pt>
                    </c:numCache>
                  </c:numRef>
                </c:cat>
                <c:val>
                  <c:numRef>
                    <c:extLst xmlns:c15="http://schemas.microsoft.com/office/drawing/2012/chart">
                      <c:ext xmlns:c15="http://schemas.microsoft.com/office/drawing/2012/chart" uri="{02D57815-91ED-43cb-92C2-25804820EDAC}">
                        <c15:formulaRef>
                          <c15:sqref>Hoja1!$C$84:$I$84</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B-07FA-45AF-8137-1056770FE120}"/>
                  </c:ext>
                </c:extLst>
              </c15:ser>
            </c15:filteredBarSeries>
          </c:ext>
        </c:extLst>
      </c:barChart>
      <c:catAx>
        <c:axId val="20098424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009847759"/>
        <c:crosses val="autoZero"/>
        <c:auto val="1"/>
        <c:lblAlgn val="ctr"/>
        <c:lblOffset val="100"/>
        <c:noMultiLvlLbl val="0"/>
      </c:catAx>
      <c:valAx>
        <c:axId val="20098477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2009842479"/>
        <c:crosses val="autoZero"/>
        <c:crossBetween val="between"/>
      </c:valAx>
      <c:spPr>
        <a:noFill/>
        <a:ln>
          <a:noFill/>
        </a:ln>
        <a:effectLst/>
      </c:spPr>
    </c:plotArea>
    <c:legend>
      <c:legendPos val="b"/>
      <c:layout>
        <c:manualLayout>
          <c:xMode val="edge"/>
          <c:yMode val="edge"/>
          <c:x val="0.1491218285214348"/>
          <c:y val="0.68113152522601328"/>
          <c:w val="0.7295341207349082"/>
          <c:h val="0.29109069699620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TVMA Estructura de factores oferta precios const: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Hoja1!$B$93:$C$93</c:f>
              <c:strCache>
                <c:ptCount val="2"/>
                <c:pt idx="0">
                  <c:v>Agricultura, ganadería, silvicultura y pesca</c:v>
                </c:pt>
                <c:pt idx="1">
                  <c:v>-</c:v>
                </c:pt>
              </c:strCache>
            </c:strRef>
          </c:tx>
          <c:spPr>
            <a:solidFill>
              <a:schemeClr val="accent1"/>
            </a:solidFill>
            <a:ln>
              <a:noFill/>
            </a:ln>
            <a:effectLst/>
          </c:spPr>
          <c:invertIfNegative val="0"/>
          <c:cat>
            <c:numRef>
              <c:f>Hoja1!$D$92:$G$92</c:f>
              <c:numCache>
                <c:formatCode>General</c:formatCode>
                <c:ptCount val="4"/>
                <c:pt idx="0">
                  <c:v>2007</c:v>
                </c:pt>
                <c:pt idx="1">
                  <c:v>2013</c:v>
                </c:pt>
                <c:pt idx="2">
                  <c:v>2019</c:v>
                </c:pt>
                <c:pt idx="3">
                  <c:v>2021</c:v>
                </c:pt>
              </c:numCache>
            </c:numRef>
          </c:cat>
          <c:val>
            <c:numRef>
              <c:f>Hoja1!$D$93:$G$93</c:f>
              <c:numCache>
                <c:formatCode>General</c:formatCode>
                <c:ptCount val="4"/>
                <c:pt idx="0">
                  <c:v>-0.4</c:v>
                </c:pt>
                <c:pt idx="1">
                  <c:v>1.1100000000000001</c:v>
                </c:pt>
                <c:pt idx="2">
                  <c:v>-0.82</c:v>
                </c:pt>
                <c:pt idx="3">
                  <c:v>1.0900000000000001</c:v>
                </c:pt>
              </c:numCache>
            </c:numRef>
          </c:val>
          <c:extLst>
            <c:ext xmlns:c16="http://schemas.microsoft.com/office/drawing/2014/chart" uri="{C3380CC4-5D6E-409C-BE32-E72D297353CC}">
              <c16:uniqueId val="{00000000-48BD-4CD4-A7B1-DF934C8E7620}"/>
            </c:ext>
          </c:extLst>
        </c:ser>
        <c:ser>
          <c:idx val="1"/>
          <c:order val="1"/>
          <c:tx>
            <c:strRef>
              <c:f>Hoja1!$B$94:$C$94</c:f>
              <c:strCache>
                <c:ptCount val="2"/>
                <c:pt idx="0">
                  <c:v>Industria</c:v>
                </c:pt>
                <c:pt idx="1">
                  <c:v>-</c:v>
                </c:pt>
              </c:strCache>
            </c:strRef>
          </c:tx>
          <c:spPr>
            <a:solidFill>
              <a:schemeClr val="accent2"/>
            </a:solidFill>
            <a:ln>
              <a:noFill/>
            </a:ln>
            <a:effectLst/>
          </c:spPr>
          <c:invertIfNegative val="0"/>
          <c:cat>
            <c:numRef>
              <c:f>Hoja1!$D$92:$G$92</c:f>
              <c:numCache>
                <c:formatCode>General</c:formatCode>
                <c:ptCount val="4"/>
                <c:pt idx="0">
                  <c:v>2007</c:v>
                </c:pt>
                <c:pt idx="1">
                  <c:v>2013</c:v>
                </c:pt>
                <c:pt idx="2">
                  <c:v>2019</c:v>
                </c:pt>
                <c:pt idx="3">
                  <c:v>2021</c:v>
                </c:pt>
              </c:numCache>
            </c:numRef>
          </c:cat>
          <c:val>
            <c:numRef>
              <c:f>Hoja1!$D$94:$G$94</c:f>
              <c:numCache>
                <c:formatCode>General</c:formatCode>
                <c:ptCount val="4"/>
                <c:pt idx="0">
                  <c:v>-0.68</c:v>
                </c:pt>
                <c:pt idx="1">
                  <c:v>-0.9</c:v>
                </c:pt>
                <c:pt idx="2">
                  <c:v>-0.14000000000000001</c:v>
                </c:pt>
                <c:pt idx="3">
                  <c:v>-0.09</c:v>
                </c:pt>
              </c:numCache>
            </c:numRef>
          </c:val>
          <c:extLst>
            <c:ext xmlns:c16="http://schemas.microsoft.com/office/drawing/2014/chart" uri="{C3380CC4-5D6E-409C-BE32-E72D297353CC}">
              <c16:uniqueId val="{00000001-48BD-4CD4-A7B1-DF934C8E7620}"/>
            </c:ext>
          </c:extLst>
        </c:ser>
        <c:ser>
          <c:idx val="3"/>
          <c:order val="3"/>
          <c:tx>
            <c:strRef>
              <c:f>Hoja1!$B$96:$C$96</c:f>
              <c:strCache>
                <c:ptCount val="2"/>
                <c:pt idx="0">
                  <c:v>Construcción</c:v>
                </c:pt>
                <c:pt idx="1">
                  <c:v>-</c:v>
                </c:pt>
              </c:strCache>
            </c:strRef>
          </c:tx>
          <c:spPr>
            <a:solidFill>
              <a:schemeClr val="accent4"/>
            </a:solidFill>
            <a:ln>
              <a:noFill/>
            </a:ln>
            <a:effectLst/>
          </c:spPr>
          <c:invertIfNegative val="0"/>
          <c:cat>
            <c:numRef>
              <c:f>Hoja1!$D$92:$G$92</c:f>
              <c:numCache>
                <c:formatCode>General</c:formatCode>
                <c:ptCount val="4"/>
                <c:pt idx="0">
                  <c:v>2007</c:v>
                </c:pt>
                <c:pt idx="1">
                  <c:v>2013</c:v>
                </c:pt>
                <c:pt idx="2">
                  <c:v>2019</c:v>
                </c:pt>
                <c:pt idx="3">
                  <c:v>2021</c:v>
                </c:pt>
              </c:numCache>
            </c:numRef>
          </c:cat>
          <c:val>
            <c:numRef>
              <c:f>Hoja1!$D$96:$G$96</c:f>
              <c:numCache>
                <c:formatCode>General</c:formatCode>
                <c:ptCount val="4"/>
                <c:pt idx="0">
                  <c:v>-0.5</c:v>
                </c:pt>
                <c:pt idx="1">
                  <c:v>-4.3600000000000003</c:v>
                </c:pt>
                <c:pt idx="2">
                  <c:v>0.09</c:v>
                </c:pt>
                <c:pt idx="3">
                  <c:v>-0.87</c:v>
                </c:pt>
              </c:numCache>
            </c:numRef>
          </c:val>
          <c:extLst>
            <c:ext xmlns:c16="http://schemas.microsoft.com/office/drawing/2014/chart" uri="{C3380CC4-5D6E-409C-BE32-E72D297353CC}">
              <c16:uniqueId val="{00000003-48BD-4CD4-A7B1-DF934C8E7620}"/>
            </c:ext>
          </c:extLst>
        </c:ser>
        <c:ser>
          <c:idx val="4"/>
          <c:order val="4"/>
          <c:tx>
            <c:strRef>
              <c:f>Hoja1!$B$97:$C$97</c:f>
              <c:strCache>
                <c:ptCount val="2"/>
                <c:pt idx="0">
                  <c:v>Servicios</c:v>
                </c:pt>
                <c:pt idx="1">
                  <c:v>-</c:v>
                </c:pt>
              </c:strCache>
            </c:strRef>
          </c:tx>
          <c:spPr>
            <a:solidFill>
              <a:schemeClr val="accent5"/>
            </a:solidFill>
            <a:ln>
              <a:noFill/>
            </a:ln>
            <a:effectLst/>
          </c:spPr>
          <c:invertIfNegative val="0"/>
          <c:cat>
            <c:numRef>
              <c:f>Hoja1!$D$92:$G$92</c:f>
              <c:numCache>
                <c:formatCode>General</c:formatCode>
                <c:ptCount val="4"/>
                <c:pt idx="0">
                  <c:v>2007</c:v>
                </c:pt>
                <c:pt idx="1">
                  <c:v>2013</c:v>
                </c:pt>
                <c:pt idx="2">
                  <c:v>2019</c:v>
                </c:pt>
                <c:pt idx="3">
                  <c:v>2021</c:v>
                </c:pt>
              </c:numCache>
            </c:numRef>
          </c:cat>
          <c:val>
            <c:numRef>
              <c:f>Hoja1!$D$97:$G$97</c:f>
              <c:numCache>
                <c:formatCode>General</c:formatCode>
                <c:ptCount val="4"/>
                <c:pt idx="0">
                  <c:v>0.15</c:v>
                </c:pt>
                <c:pt idx="1">
                  <c:v>0.86</c:v>
                </c:pt>
                <c:pt idx="2">
                  <c:v>-0.05</c:v>
                </c:pt>
                <c:pt idx="3">
                  <c:v>0.03</c:v>
                </c:pt>
              </c:numCache>
            </c:numRef>
          </c:val>
          <c:extLst>
            <c:ext xmlns:c16="http://schemas.microsoft.com/office/drawing/2014/chart" uri="{C3380CC4-5D6E-409C-BE32-E72D297353CC}">
              <c16:uniqueId val="{00000004-48BD-4CD4-A7B1-DF934C8E7620}"/>
            </c:ext>
          </c:extLst>
        </c:ser>
        <c:ser>
          <c:idx val="12"/>
          <c:order val="12"/>
          <c:tx>
            <c:strRef>
              <c:f>Hoja1!$B$105:$C$105</c:f>
              <c:strCache>
                <c:ptCount val="2"/>
                <c:pt idx="0">
                  <c:v>Impuestos menos subvenciones sobre los productos</c:v>
                </c:pt>
                <c:pt idx="1">
                  <c:v>-</c:v>
                </c:pt>
              </c:strCache>
            </c:strRef>
          </c:tx>
          <c:spPr>
            <a:solidFill>
              <a:schemeClr val="accent1">
                <a:lumMod val="80000"/>
                <a:lumOff val="20000"/>
              </a:schemeClr>
            </a:solidFill>
            <a:ln>
              <a:noFill/>
            </a:ln>
            <a:effectLst/>
          </c:spPr>
          <c:invertIfNegative val="0"/>
          <c:cat>
            <c:numRef>
              <c:f>Hoja1!$D$92:$G$92</c:f>
              <c:numCache>
                <c:formatCode>General</c:formatCode>
                <c:ptCount val="4"/>
                <c:pt idx="0">
                  <c:v>2007</c:v>
                </c:pt>
                <c:pt idx="1">
                  <c:v>2013</c:v>
                </c:pt>
                <c:pt idx="2">
                  <c:v>2019</c:v>
                </c:pt>
                <c:pt idx="3">
                  <c:v>2021</c:v>
                </c:pt>
              </c:numCache>
            </c:numRef>
          </c:cat>
          <c:val>
            <c:numRef>
              <c:f>Hoja1!$D$105:$G$105</c:f>
              <c:numCache>
                <c:formatCode>General</c:formatCode>
                <c:ptCount val="4"/>
                <c:pt idx="0">
                  <c:v>0.94</c:v>
                </c:pt>
                <c:pt idx="1">
                  <c:v>-1.1000000000000001</c:v>
                </c:pt>
                <c:pt idx="2">
                  <c:v>0.81</c:v>
                </c:pt>
                <c:pt idx="3">
                  <c:v>0.14000000000000001</c:v>
                </c:pt>
              </c:numCache>
            </c:numRef>
          </c:val>
          <c:extLst>
            <c:ext xmlns:c16="http://schemas.microsoft.com/office/drawing/2014/chart" uri="{C3380CC4-5D6E-409C-BE32-E72D297353CC}">
              <c16:uniqueId val="{0000000C-48BD-4CD4-A7B1-DF934C8E7620}"/>
            </c:ext>
          </c:extLst>
        </c:ser>
        <c:dLbls>
          <c:showLegendKey val="0"/>
          <c:showVal val="0"/>
          <c:showCatName val="0"/>
          <c:showSerName val="0"/>
          <c:showPercent val="0"/>
          <c:showBubbleSize val="0"/>
        </c:dLbls>
        <c:gapWidth val="219"/>
        <c:overlap val="-27"/>
        <c:axId val="1789362847"/>
        <c:axId val="1789355167"/>
        <c:extLst>
          <c:ext xmlns:c15="http://schemas.microsoft.com/office/drawing/2012/chart" uri="{02D57815-91ED-43cb-92C2-25804820EDAC}">
            <c15:filteredBarSeries>
              <c15:ser>
                <c:idx val="2"/>
                <c:order val="2"/>
                <c:tx>
                  <c:strRef>
                    <c:extLst>
                      <c:ext uri="{02D57815-91ED-43cb-92C2-25804820EDAC}">
                        <c15:formulaRef>
                          <c15:sqref>Hoja1!$B$95:$C$95</c15:sqref>
                        </c15:formulaRef>
                      </c:ext>
                    </c:extLst>
                    <c:strCache>
                      <c:ptCount val="2"/>
                      <c:pt idx="0">
                        <c:v>Industria</c:v>
                      </c:pt>
                      <c:pt idx="1">
                        <c:v>-</c:v>
                      </c:pt>
                    </c:strCache>
                  </c:strRef>
                </c:tx>
                <c:spPr>
                  <a:solidFill>
                    <a:schemeClr val="accent3"/>
                  </a:solidFill>
                  <a:ln>
                    <a:noFill/>
                  </a:ln>
                  <a:effectLst/>
                </c:spPr>
                <c:invertIfNegative val="0"/>
                <c:cat>
                  <c:numRef>
                    <c:extLst>
                      <c:ex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c:ext uri="{02D57815-91ED-43cb-92C2-25804820EDAC}">
                        <c15:formulaRef>
                          <c15:sqref>Hoja1!$D$95:$G$95</c15:sqref>
                        </c15:formulaRef>
                      </c:ext>
                    </c:extLst>
                    <c:numCache>
                      <c:formatCode>General</c:formatCode>
                      <c:ptCount val="4"/>
                    </c:numCache>
                  </c:numRef>
                </c:val>
                <c:extLst>
                  <c:ext xmlns:c16="http://schemas.microsoft.com/office/drawing/2014/chart" uri="{C3380CC4-5D6E-409C-BE32-E72D297353CC}">
                    <c16:uniqueId val="{00000002-48BD-4CD4-A7B1-DF934C8E762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Hoja1!$B$98:$C$98</c15:sqref>
                        </c15:formulaRef>
                      </c:ext>
                    </c:extLst>
                    <c:strCache>
                      <c:ptCount val="2"/>
                      <c:pt idx="0">
                        <c:v>Servicios</c:v>
                      </c:pt>
                      <c:pt idx="1">
                        <c:v>-</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Hoja1!$D$98:$G$98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48BD-4CD4-A7B1-DF934C8E762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Hoja1!$B$99:$C$99</c15:sqref>
                        </c15:formulaRef>
                      </c:ext>
                    </c:extLst>
                    <c:strCache>
                      <c:ptCount val="2"/>
                      <c:pt idx="0">
                        <c:v>Servicios</c:v>
                      </c:pt>
                      <c:pt idx="1">
                        <c:v>-</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Hoja1!$D$99:$G$99</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48BD-4CD4-A7B1-DF934C8E762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Hoja1!$B$100:$C$100</c15:sqref>
                        </c15:formulaRef>
                      </c:ext>
                    </c:extLst>
                    <c:strCache>
                      <c:ptCount val="2"/>
                      <c:pt idx="0">
                        <c:v>Servicios</c:v>
                      </c:pt>
                      <c:pt idx="1">
                        <c:v>-</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Hoja1!$D$100:$G$100</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48BD-4CD4-A7B1-DF934C8E7620}"/>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Hoja1!$B$101:$C$101</c15:sqref>
                        </c15:formulaRef>
                      </c:ext>
                    </c:extLst>
                    <c:strCache>
                      <c:ptCount val="2"/>
                      <c:pt idx="0">
                        <c:v>Servicios</c:v>
                      </c:pt>
                      <c:pt idx="1">
                        <c:v>-</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Hoja1!$D$101:$G$101</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48BD-4CD4-A7B1-DF934C8E7620}"/>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Hoja1!$B$102:$C$102</c15:sqref>
                        </c15:formulaRef>
                      </c:ext>
                    </c:extLst>
                    <c:strCache>
                      <c:ptCount val="2"/>
                      <c:pt idx="0">
                        <c:v>Servicios</c:v>
                      </c:pt>
                      <c:pt idx="1">
                        <c:v>-</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Hoja1!$D$102:$G$102</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48BD-4CD4-A7B1-DF934C8E7620}"/>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Hoja1!$B$103:$C$103</c15:sqref>
                        </c15:formulaRef>
                      </c:ext>
                    </c:extLst>
                    <c:strCache>
                      <c:ptCount val="2"/>
                      <c:pt idx="0">
                        <c:v>Servicios</c:v>
                      </c:pt>
                      <c:pt idx="1">
                        <c:v>-</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Hoja1!$D$103:$G$103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48BD-4CD4-A7B1-DF934C8E7620}"/>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Hoja1!$B$104:$C$104</c15:sqref>
                        </c15:formulaRef>
                      </c:ext>
                    </c:extLst>
                    <c:strCache>
                      <c:ptCount val="2"/>
                      <c:pt idx="0">
                        <c:v>Servicios</c:v>
                      </c:pt>
                      <c:pt idx="1">
                        <c:v>-</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Hoja1!$D$92:$G$92</c15:sqref>
                        </c15:formulaRef>
                      </c:ext>
                    </c:extLst>
                    <c:numCache>
                      <c:formatCode>General</c:formatCode>
                      <c:ptCount val="4"/>
                      <c:pt idx="0">
                        <c:v>2007</c:v>
                      </c:pt>
                      <c:pt idx="1">
                        <c:v>2013</c:v>
                      </c:pt>
                      <c:pt idx="2">
                        <c:v>2019</c:v>
                      </c:pt>
                      <c:pt idx="3">
                        <c:v>2021</c:v>
                      </c:pt>
                    </c:numCache>
                  </c:numRef>
                </c:cat>
                <c:val>
                  <c:numRef>
                    <c:extLst xmlns:c15="http://schemas.microsoft.com/office/drawing/2012/chart">
                      <c:ext xmlns:c15="http://schemas.microsoft.com/office/drawing/2012/chart" uri="{02D57815-91ED-43cb-92C2-25804820EDAC}">
                        <c15:formulaRef>
                          <c15:sqref>Hoja1!$D$104:$G$104</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B-48BD-4CD4-A7B1-DF934C8E7620}"/>
                  </c:ext>
                </c:extLst>
              </c15:ser>
            </c15:filteredBarSeries>
          </c:ext>
        </c:extLst>
      </c:barChart>
      <c:catAx>
        <c:axId val="178936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9355167"/>
        <c:crosses val="autoZero"/>
        <c:auto val="1"/>
        <c:lblAlgn val="ctr"/>
        <c:lblOffset val="100"/>
        <c:noMultiLvlLbl val="0"/>
      </c:catAx>
      <c:valAx>
        <c:axId val="17893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936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Tasas de variación a precios corrientes (Rentas)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Hoja1!$C$117</c:f>
              <c:strCache>
                <c:ptCount val="1"/>
                <c:pt idx="0">
                  <c:v>Remuneración de los asalariados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Hoja1!$D$117:$I$117</c:f>
              <c:numCache>
                <c:formatCode>General</c:formatCode>
                <c:ptCount val="6"/>
                <c:pt idx="0">
                  <c:v>43.86</c:v>
                </c:pt>
                <c:pt idx="1">
                  <c:v>37.57</c:v>
                </c:pt>
                <c:pt idx="2">
                  <c:v>21.1</c:v>
                </c:pt>
                <c:pt idx="3">
                  <c:v>-6.44</c:v>
                </c:pt>
                <c:pt idx="4">
                  <c:v>12.74</c:v>
                </c:pt>
                <c:pt idx="5">
                  <c:v>5.27</c:v>
                </c:pt>
              </c:numCache>
            </c:numRef>
          </c:val>
          <c:extLst>
            <c:ext xmlns:c16="http://schemas.microsoft.com/office/drawing/2014/chart" uri="{C3380CC4-5D6E-409C-BE32-E72D297353CC}">
              <c16:uniqueId val="{00000000-B20F-43A7-9024-52DBB6BA3338}"/>
            </c:ext>
          </c:extLst>
        </c:ser>
        <c:ser>
          <c:idx val="1"/>
          <c:order val="1"/>
          <c:tx>
            <c:strRef>
              <c:f>Hoja1!$C$118</c:f>
              <c:strCache>
                <c:ptCount val="1"/>
                <c:pt idx="0">
                  <c:v>Excedente de explotación bruto / Renta mixta bruta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Hoja1!$D$118:$I$118</c:f>
              <c:numCache>
                <c:formatCode>General</c:formatCode>
                <c:ptCount val="6"/>
                <c:pt idx="0">
                  <c:v>32.9</c:v>
                </c:pt>
                <c:pt idx="1">
                  <c:v>45.65</c:v>
                </c:pt>
                <c:pt idx="2">
                  <c:v>15.87</c:v>
                </c:pt>
                <c:pt idx="3">
                  <c:v>3.62</c:v>
                </c:pt>
                <c:pt idx="4">
                  <c:v>-2.69</c:v>
                </c:pt>
                <c:pt idx="5">
                  <c:v>7.79</c:v>
                </c:pt>
              </c:numCache>
            </c:numRef>
          </c:val>
          <c:extLst>
            <c:ext xmlns:c16="http://schemas.microsoft.com/office/drawing/2014/chart" uri="{C3380CC4-5D6E-409C-BE32-E72D297353CC}">
              <c16:uniqueId val="{00000001-B20F-43A7-9024-52DBB6BA3338}"/>
            </c:ext>
          </c:extLst>
        </c:ser>
        <c:ser>
          <c:idx val="2"/>
          <c:order val="2"/>
          <c:tx>
            <c:strRef>
              <c:f>Hoja1!$C$119</c:f>
              <c:strCache>
                <c:ptCount val="1"/>
                <c:pt idx="0">
                  <c:v>PRODUCTO INTERIOR BRUTO A PRECIOS DE MERCADO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Hoja1!$D$119:$I$119</c:f>
              <c:numCache>
                <c:formatCode>General</c:formatCode>
                <c:ptCount val="6"/>
                <c:pt idx="0">
                  <c:v>40.659999999999997</c:v>
                </c:pt>
                <c:pt idx="1">
                  <c:v>43.14</c:v>
                </c:pt>
                <c:pt idx="2">
                  <c:v>15.67</c:v>
                </c:pt>
                <c:pt idx="3">
                  <c:v>0.5</c:v>
                </c:pt>
                <c:pt idx="4">
                  <c:v>3.7</c:v>
                </c:pt>
                <c:pt idx="5">
                  <c:v>7.95</c:v>
                </c:pt>
              </c:numCache>
            </c:numRef>
          </c:val>
          <c:extLst>
            <c:ext xmlns:c16="http://schemas.microsoft.com/office/drawing/2014/chart" uri="{C3380CC4-5D6E-409C-BE32-E72D297353CC}">
              <c16:uniqueId val="{00000002-B20F-43A7-9024-52DBB6BA3338}"/>
            </c:ext>
          </c:extLst>
        </c:ser>
        <c:dLbls>
          <c:showLegendKey val="0"/>
          <c:showVal val="0"/>
          <c:showCatName val="0"/>
          <c:showSerName val="0"/>
          <c:showPercent val="0"/>
          <c:showBubbleSize val="0"/>
        </c:dLbls>
        <c:gapWidth val="355"/>
        <c:overlap val="-70"/>
        <c:axId val="1963062703"/>
        <c:axId val="1963059823"/>
      </c:barChart>
      <c:catAx>
        <c:axId val="19630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3059823"/>
        <c:crosses val="autoZero"/>
        <c:auto val="1"/>
        <c:lblAlgn val="ctr"/>
        <c:lblOffset val="100"/>
        <c:noMultiLvlLbl val="0"/>
      </c:catAx>
      <c:valAx>
        <c:axId val="19630598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306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Tasas de variación a precios corrientes (Rentas)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Hoja1!$C$117</c:f>
              <c:strCache>
                <c:ptCount val="1"/>
                <c:pt idx="0">
                  <c:v>Remuneración de los asalariados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Hoja1!$D$117:$I$117</c:f>
              <c:numCache>
                <c:formatCode>General</c:formatCode>
                <c:ptCount val="6"/>
                <c:pt idx="0">
                  <c:v>43.86</c:v>
                </c:pt>
                <c:pt idx="1">
                  <c:v>37.57</c:v>
                </c:pt>
                <c:pt idx="2">
                  <c:v>21.1</c:v>
                </c:pt>
                <c:pt idx="3">
                  <c:v>-6.44</c:v>
                </c:pt>
                <c:pt idx="4">
                  <c:v>12.74</c:v>
                </c:pt>
                <c:pt idx="5">
                  <c:v>5.27</c:v>
                </c:pt>
              </c:numCache>
            </c:numRef>
          </c:val>
          <c:extLst>
            <c:ext xmlns:c16="http://schemas.microsoft.com/office/drawing/2014/chart" uri="{C3380CC4-5D6E-409C-BE32-E72D297353CC}">
              <c16:uniqueId val="{00000000-43D8-4279-92AE-9C6798EF6CF4}"/>
            </c:ext>
          </c:extLst>
        </c:ser>
        <c:ser>
          <c:idx val="1"/>
          <c:order val="1"/>
          <c:tx>
            <c:strRef>
              <c:f>Hoja1!$C$118</c:f>
              <c:strCache>
                <c:ptCount val="1"/>
                <c:pt idx="0">
                  <c:v>Excedente de explotación bruto / Renta mixta bruta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Hoja1!$D$118:$I$118</c:f>
              <c:numCache>
                <c:formatCode>General</c:formatCode>
                <c:ptCount val="6"/>
                <c:pt idx="0">
                  <c:v>32.9</c:v>
                </c:pt>
                <c:pt idx="1">
                  <c:v>45.65</c:v>
                </c:pt>
                <c:pt idx="2">
                  <c:v>15.87</c:v>
                </c:pt>
                <c:pt idx="3">
                  <c:v>3.62</c:v>
                </c:pt>
                <c:pt idx="4">
                  <c:v>-2.69</c:v>
                </c:pt>
                <c:pt idx="5">
                  <c:v>7.79</c:v>
                </c:pt>
              </c:numCache>
            </c:numRef>
          </c:val>
          <c:extLst>
            <c:ext xmlns:c16="http://schemas.microsoft.com/office/drawing/2014/chart" uri="{C3380CC4-5D6E-409C-BE32-E72D297353CC}">
              <c16:uniqueId val="{00000001-43D8-4279-92AE-9C6798EF6CF4}"/>
            </c:ext>
          </c:extLst>
        </c:ser>
        <c:ser>
          <c:idx val="2"/>
          <c:order val="2"/>
          <c:tx>
            <c:strRef>
              <c:f>Hoja1!$C$119</c:f>
              <c:strCache>
                <c:ptCount val="1"/>
                <c:pt idx="0">
                  <c:v>PRODUCTO INTERIOR BRUTO A PRECIOS DE MERCADO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Hoja1!$D$119:$I$119</c:f>
              <c:numCache>
                <c:formatCode>General</c:formatCode>
                <c:ptCount val="6"/>
                <c:pt idx="0">
                  <c:v>40.659999999999997</c:v>
                </c:pt>
                <c:pt idx="1">
                  <c:v>43.14</c:v>
                </c:pt>
                <c:pt idx="2">
                  <c:v>15.67</c:v>
                </c:pt>
                <c:pt idx="3">
                  <c:v>0.5</c:v>
                </c:pt>
                <c:pt idx="4">
                  <c:v>3.7</c:v>
                </c:pt>
                <c:pt idx="5">
                  <c:v>7.95</c:v>
                </c:pt>
              </c:numCache>
            </c:numRef>
          </c:val>
          <c:extLst>
            <c:ext xmlns:c16="http://schemas.microsoft.com/office/drawing/2014/chart" uri="{C3380CC4-5D6E-409C-BE32-E72D297353CC}">
              <c16:uniqueId val="{00000002-43D8-4279-92AE-9C6798EF6CF4}"/>
            </c:ext>
          </c:extLst>
        </c:ser>
        <c:ser>
          <c:idx val="3"/>
          <c:order val="3"/>
          <c:tx>
            <c:strRef>
              <c:f>Hoja1!$C$120</c:f>
              <c:strCache>
                <c:ptCount val="1"/>
                <c:pt idx="0">
                  <c:v>PIB per cápita (Euros)</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numRef>
              <c:f>Hoja1!$D$116:$I$116</c:f>
              <c:numCache>
                <c:formatCode>General</c:formatCode>
                <c:ptCount val="6"/>
                <c:pt idx="0">
                  <c:v>2000</c:v>
                </c:pt>
                <c:pt idx="1">
                  <c:v>2005</c:v>
                </c:pt>
                <c:pt idx="2">
                  <c:v>2010</c:v>
                </c:pt>
                <c:pt idx="3">
                  <c:v>2015</c:v>
                </c:pt>
                <c:pt idx="4">
                  <c:v>2020</c:v>
                </c:pt>
                <c:pt idx="5">
                  <c:v>2021</c:v>
                </c:pt>
              </c:numCache>
            </c:numRef>
          </c:cat>
          <c:val>
            <c:numRef>
              <c:f>Hoja1!$D$120:$I$120</c:f>
              <c:numCache>
                <c:formatCode>General</c:formatCode>
                <c:ptCount val="6"/>
                <c:pt idx="0">
                  <c:v>37.76</c:v>
                </c:pt>
                <c:pt idx="1">
                  <c:v>32.950000000000003</c:v>
                </c:pt>
                <c:pt idx="2">
                  <c:v>8.4700000000000006</c:v>
                </c:pt>
                <c:pt idx="3">
                  <c:v>0.83</c:v>
                </c:pt>
                <c:pt idx="4">
                  <c:v>1.63</c:v>
                </c:pt>
                <c:pt idx="5">
                  <c:v>8.01</c:v>
                </c:pt>
              </c:numCache>
            </c:numRef>
          </c:val>
          <c:extLst>
            <c:ext xmlns:c16="http://schemas.microsoft.com/office/drawing/2014/chart" uri="{C3380CC4-5D6E-409C-BE32-E72D297353CC}">
              <c16:uniqueId val="{00000003-43D8-4279-92AE-9C6798EF6CF4}"/>
            </c:ext>
          </c:extLst>
        </c:ser>
        <c:dLbls>
          <c:showLegendKey val="0"/>
          <c:showVal val="0"/>
          <c:showCatName val="0"/>
          <c:showSerName val="0"/>
          <c:showPercent val="0"/>
          <c:showBubbleSize val="0"/>
        </c:dLbls>
        <c:gapWidth val="355"/>
        <c:overlap val="-70"/>
        <c:axId val="1963055023"/>
        <c:axId val="1963050223"/>
      </c:barChart>
      <c:catAx>
        <c:axId val="19630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3050223"/>
        <c:crosses val="autoZero"/>
        <c:auto val="1"/>
        <c:lblAlgn val="ctr"/>
        <c:lblOffset val="100"/>
        <c:noMultiLvlLbl val="0"/>
      </c:catAx>
      <c:valAx>
        <c:axId val="19630502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3055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_rels/drawing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12" Type="http://schemas.openxmlformats.org/officeDocument/2006/relationships/image" Target="../media/image45.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11" Type="http://schemas.openxmlformats.org/officeDocument/2006/relationships/image" Target="../media/image44.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6" Type="http://schemas.openxmlformats.org/officeDocument/2006/relationships/image" Target="../media/image51.png"/><Relationship Id="rId5" Type="http://schemas.openxmlformats.org/officeDocument/2006/relationships/image" Target="../media/image50.png"/><Relationship Id="rId4" Type="http://schemas.openxmlformats.org/officeDocument/2006/relationships/image" Target="../media/image49.pn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96058</xdr:colOff>
      <xdr:row>0</xdr:row>
      <xdr:rowOff>0</xdr:rowOff>
    </xdr:from>
    <xdr:to>
      <xdr:col>7</xdr:col>
      <xdr:colOff>468173</xdr:colOff>
      <xdr:row>12</xdr:row>
      <xdr:rowOff>44304</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6058" y="0"/>
          <a:ext cx="7593925" cy="2261031"/>
        </a:xfrm>
        <a:prstGeom prst="rect">
          <a:avLst/>
        </a:prstGeom>
      </xdr:spPr>
    </xdr:pic>
    <xdr:clientData/>
  </xdr:twoCellAnchor>
  <xdr:twoCellAnchor editAs="oneCell">
    <xdr:from>
      <xdr:col>0</xdr:col>
      <xdr:colOff>205101</xdr:colOff>
      <xdr:row>12</xdr:row>
      <xdr:rowOff>71312</xdr:rowOff>
    </xdr:from>
    <xdr:to>
      <xdr:col>6</xdr:col>
      <xdr:colOff>660234</xdr:colOff>
      <xdr:row>37</xdr:row>
      <xdr:rowOff>133789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05101" y="2222841"/>
          <a:ext cx="6774725" cy="4544830"/>
        </a:xfrm>
        <a:prstGeom prst="rect">
          <a:avLst/>
        </a:prstGeom>
      </xdr:spPr>
    </xdr:pic>
    <xdr:clientData/>
  </xdr:twoCellAnchor>
  <xdr:twoCellAnchor editAs="oneCell">
    <xdr:from>
      <xdr:col>0</xdr:col>
      <xdr:colOff>0</xdr:colOff>
      <xdr:row>37</xdr:row>
      <xdr:rowOff>44824</xdr:rowOff>
    </xdr:from>
    <xdr:to>
      <xdr:col>7</xdr:col>
      <xdr:colOff>147357</xdr:colOff>
      <xdr:row>56</xdr:row>
      <xdr:rowOff>115345</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6678706"/>
          <a:ext cx="7335274" cy="3477110"/>
        </a:xfrm>
        <a:prstGeom prst="rect">
          <a:avLst/>
        </a:prstGeom>
      </xdr:spPr>
    </xdr:pic>
    <xdr:clientData/>
  </xdr:twoCellAnchor>
  <xdr:twoCellAnchor editAs="oneCell">
    <xdr:from>
      <xdr:col>0</xdr:col>
      <xdr:colOff>0</xdr:colOff>
      <xdr:row>55</xdr:row>
      <xdr:rowOff>112059</xdr:rowOff>
    </xdr:from>
    <xdr:to>
      <xdr:col>7</xdr:col>
      <xdr:colOff>137830</xdr:colOff>
      <xdr:row>76</xdr:row>
      <xdr:rowOff>176466</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0" y="9973235"/>
          <a:ext cx="7325747" cy="3829584"/>
        </a:xfrm>
        <a:prstGeom prst="rect">
          <a:avLst/>
        </a:prstGeom>
      </xdr:spPr>
    </xdr:pic>
    <xdr:clientData/>
  </xdr:twoCellAnchor>
  <xdr:twoCellAnchor editAs="oneCell">
    <xdr:from>
      <xdr:col>0</xdr:col>
      <xdr:colOff>64169</xdr:colOff>
      <xdr:row>93</xdr:row>
      <xdr:rowOff>156984</xdr:rowOff>
    </xdr:from>
    <xdr:to>
      <xdr:col>7</xdr:col>
      <xdr:colOff>371395</xdr:colOff>
      <xdr:row>97</xdr:row>
      <xdr:rowOff>68622</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4169" y="19215005"/>
          <a:ext cx="7512836" cy="649575"/>
        </a:xfrm>
        <a:prstGeom prst="rect">
          <a:avLst/>
        </a:prstGeom>
      </xdr:spPr>
    </xdr:pic>
    <xdr:clientData/>
  </xdr:twoCellAnchor>
  <xdr:twoCellAnchor editAs="oneCell">
    <xdr:from>
      <xdr:col>0</xdr:col>
      <xdr:colOff>0</xdr:colOff>
      <xdr:row>108</xdr:row>
      <xdr:rowOff>57151</xdr:rowOff>
    </xdr:from>
    <xdr:to>
      <xdr:col>4</xdr:col>
      <xdr:colOff>753582</xdr:colOff>
      <xdr:row>115</xdr:row>
      <xdr:rowOff>45883</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0" y="23602951"/>
          <a:ext cx="5219700" cy="1322232"/>
        </a:xfrm>
        <a:prstGeom prst="rect">
          <a:avLst/>
        </a:prstGeom>
      </xdr:spPr>
    </xdr:pic>
    <xdr:clientData/>
  </xdr:twoCellAnchor>
  <xdr:twoCellAnchor editAs="oneCell">
    <xdr:from>
      <xdr:col>0</xdr:col>
      <xdr:colOff>19051</xdr:colOff>
      <xdr:row>115</xdr:row>
      <xdr:rowOff>57151</xdr:rowOff>
    </xdr:from>
    <xdr:to>
      <xdr:col>3</xdr:col>
      <xdr:colOff>1092778</xdr:colOff>
      <xdr:row>125</xdr:row>
      <xdr:rowOff>76201</xdr:rowOff>
    </xdr:to>
    <xdr:pic>
      <xdr:nvPicPr>
        <xdr:cNvPr id="8" name="Imagen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9051" y="24936451"/>
          <a:ext cx="4197927" cy="1924050"/>
        </a:xfrm>
        <a:prstGeom prst="rect">
          <a:avLst/>
        </a:prstGeom>
      </xdr:spPr>
    </xdr:pic>
    <xdr:clientData/>
  </xdr:twoCellAnchor>
  <xdr:twoCellAnchor editAs="oneCell">
    <xdr:from>
      <xdr:col>0</xdr:col>
      <xdr:colOff>0</xdr:colOff>
      <xdr:row>166</xdr:row>
      <xdr:rowOff>35442</xdr:rowOff>
    </xdr:from>
    <xdr:to>
      <xdr:col>6</xdr:col>
      <xdr:colOff>723777</xdr:colOff>
      <xdr:row>203</xdr:row>
      <xdr:rowOff>38397</xdr:rowOff>
    </xdr:to>
    <xdr:pic>
      <xdr:nvPicPr>
        <xdr:cNvPr id="9" name="Imagen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0" y="34449489"/>
          <a:ext cx="7059010" cy="6887536"/>
        </a:xfrm>
        <a:prstGeom prst="rect">
          <a:avLst/>
        </a:prstGeom>
      </xdr:spPr>
    </xdr:pic>
    <xdr:clientData/>
  </xdr:twoCellAnchor>
  <xdr:twoCellAnchor editAs="oneCell">
    <xdr:from>
      <xdr:col>1</xdr:col>
      <xdr:colOff>0</xdr:colOff>
      <xdr:row>235</xdr:row>
      <xdr:rowOff>0</xdr:rowOff>
    </xdr:from>
    <xdr:to>
      <xdr:col>9</xdr:col>
      <xdr:colOff>474565</xdr:colOff>
      <xdr:row>271</xdr:row>
      <xdr:rowOff>141393</xdr:rowOff>
    </xdr:to>
    <xdr:pic>
      <xdr:nvPicPr>
        <xdr:cNvPr id="10" name="Imagen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11372" y="48395860"/>
          <a:ext cx="8564170" cy="6839905"/>
        </a:xfrm>
        <a:prstGeom prst="rect">
          <a:avLst/>
        </a:prstGeom>
      </xdr:spPr>
    </xdr:pic>
    <xdr:clientData/>
  </xdr:twoCellAnchor>
  <xdr:twoCellAnchor editAs="oneCell">
    <xdr:from>
      <xdr:col>1</xdr:col>
      <xdr:colOff>0</xdr:colOff>
      <xdr:row>315</xdr:row>
      <xdr:rowOff>0</xdr:rowOff>
    </xdr:from>
    <xdr:to>
      <xdr:col>9</xdr:col>
      <xdr:colOff>198302</xdr:colOff>
      <xdr:row>323</xdr:row>
      <xdr:rowOff>111865</xdr:rowOff>
    </xdr:to>
    <xdr:pic>
      <xdr:nvPicPr>
        <xdr:cNvPr id="11" name="Imagen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11372" y="64601651"/>
          <a:ext cx="8287907" cy="1600423"/>
        </a:xfrm>
        <a:prstGeom prst="rect">
          <a:avLst/>
        </a:prstGeom>
      </xdr:spPr>
    </xdr:pic>
    <xdr:clientData/>
  </xdr:twoCellAnchor>
  <xdr:twoCellAnchor editAs="oneCell">
    <xdr:from>
      <xdr:col>1</xdr:col>
      <xdr:colOff>0</xdr:colOff>
      <xdr:row>338</xdr:row>
      <xdr:rowOff>0</xdr:rowOff>
    </xdr:from>
    <xdr:to>
      <xdr:col>9</xdr:col>
      <xdr:colOff>407881</xdr:colOff>
      <xdr:row>364</xdr:row>
      <xdr:rowOff>49193</xdr:rowOff>
    </xdr:to>
    <xdr:pic>
      <xdr:nvPicPr>
        <xdr:cNvPr id="12" name="Imagen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11372" y="70573605"/>
          <a:ext cx="8497486" cy="4887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129540</xdr:rowOff>
    </xdr:from>
    <xdr:to>
      <xdr:col>8</xdr:col>
      <xdr:colOff>200436</xdr:colOff>
      <xdr:row>29</xdr:row>
      <xdr:rowOff>49953</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92480" y="2324100"/>
          <a:ext cx="7611537" cy="3029373"/>
        </a:xfrm>
        <a:prstGeom prst="rect">
          <a:avLst/>
        </a:prstGeom>
      </xdr:spPr>
    </xdr:pic>
    <xdr:clientData/>
  </xdr:twoCellAnchor>
  <xdr:twoCellAnchor editAs="oneCell">
    <xdr:from>
      <xdr:col>0</xdr:col>
      <xdr:colOff>58615</xdr:colOff>
      <xdr:row>91</xdr:row>
      <xdr:rowOff>8373</xdr:rowOff>
    </xdr:from>
    <xdr:to>
      <xdr:col>9</xdr:col>
      <xdr:colOff>71486</xdr:colOff>
      <xdr:row>113</xdr:row>
      <xdr:rowOff>89965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58615" y="17567868"/>
          <a:ext cx="9030960" cy="4134427"/>
        </a:xfrm>
        <a:prstGeom prst="rect">
          <a:avLst/>
        </a:prstGeom>
      </xdr:spPr>
    </xdr:pic>
    <xdr:clientData/>
  </xdr:twoCellAnchor>
  <xdr:twoCellAnchor editAs="oneCell">
    <xdr:from>
      <xdr:col>0</xdr:col>
      <xdr:colOff>787121</xdr:colOff>
      <xdr:row>177</xdr:row>
      <xdr:rowOff>92110</xdr:rowOff>
    </xdr:from>
    <xdr:to>
      <xdr:col>9</xdr:col>
      <xdr:colOff>285571</xdr:colOff>
      <xdr:row>189</xdr:row>
      <xdr:rowOff>15371</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787121" y="38862000"/>
          <a:ext cx="8516539" cy="2133898"/>
        </a:xfrm>
        <a:prstGeom prst="rect">
          <a:avLst/>
        </a:prstGeom>
      </xdr:spPr>
    </xdr:pic>
    <xdr:clientData/>
  </xdr:twoCellAnchor>
  <xdr:twoCellAnchor editAs="oneCell">
    <xdr:from>
      <xdr:col>0</xdr:col>
      <xdr:colOff>25122</xdr:colOff>
      <xdr:row>225</xdr:row>
      <xdr:rowOff>133979</xdr:rowOff>
    </xdr:from>
    <xdr:to>
      <xdr:col>8</xdr:col>
      <xdr:colOff>570660</xdr:colOff>
      <xdr:row>241</xdr:row>
      <xdr:rowOff>44361</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25122" y="48340946"/>
          <a:ext cx="8773749" cy="2857899"/>
        </a:xfrm>
        <a:prstGeom prst="rect">
          <a:avLst/>
        </a:prstGeom>
      </xdr:spPr>
    </xdr:pic>
    <xdr:clientData/>
  </xdr:twoCellAnchor>
  <xdr:twoCellAnchor editAs="oneCell">
    <xdr:from>
      <xdr:col>0</xdr:col>
      <xdr:colOff>653143</xdr:colOff>
      <xdr:row>278</xdr:row>
      <xdr:rowOff>41868</xdr:rowOff>
    </xdr:from>
    <xdr:to>
      <xdr:col>8</xdr:col>
      <xdr:colOff>211954</xdr:colOff>
      <xdr:row>286</xdr:row>
      <xdr:rowOff>149481</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653143" y="59318769"/>
          <a:ext cx="7792537" cy="1581371"/>
        </a:xfrm>
        <a:prstGeom prst="rect">
          <a:avLst/>
        </a:prstGeom>
      </xdr:spPr>
    </xdr:pic>
    <xdr:clientData/>
  </xdr:twoCellAnchor>
  <xdr:twoCellAnchor editAs="oneCell">
    <xdr:from>
      <xdr:col>0</xdr:col>
      <xdr:colOff>0</xdr:colOff>
      <xdr:row>314</xdr:row>
      <xdr:rowOff>12700</xdr:rowOff>
    </xdr:from>
    <xdr:to>
      <xdr:col>8</xdr:col>
      <xdr:colOff>163705</xdr:colOff>
      <xdr:row>337</xdr:row>
      <xdr:rowOff>105359</xdr:rowOff>
    </xdr:to>
    <xdr:pic>
      <xdr:nvPicPr>
        <xdr:cNvPr id="7" name="Imagen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65493900"/>
          <a:ext cx="8316486" cy="4182059"/>
        </a:xfrm>
        <a:prstGeom prst="rect">
          <a:avLst/>
        </a:prstGeom>
      </xdr:spPr>
    </xdr:pic>
    <xdr:clientData/>
  </xdr:twoCellAnchor>
  <xdr:twoCellAnchor editAs="oneCell">
    <xdr:from>
      <xdr:col>0</xdr:col>
      <xdr:colOff>0</xdr:colOff>
      <xdr:row>419</xdr:row>
      <xdr:rowOff>9293</xdr:rowOff>
    </xdr:from>
    <xdr:to>
      <xdr:col>7</xdr:col>
      <xdr:colOff>376275</xdr:colOff>
      <xdr:row>433</xdr:row>
      <xdr:rowOff>74714</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87750805"/>
          <a:ext cx="7763958" cy="2667372"/>
        </a:xfrm>
        <a:prstGeom prst="rect">
          <a:avLst/>
        </a:prstGeom>
      </xdr:spPr>
    </xdr:pic>
    <xdr:clientData/>
  </xdr:twoCellAnchor>
  <xdr:twoCellAnchor editAs="oneCell">
    <xdr:from>
      <xdr:col>0</xdr:col>
      <xdr:colOff>74342</xdr:colOff>
      <xdr:row>495</xdr:row>
      <xdr:rowOff>55757</xdr:rowOff>
    </xdr:from>
    <xdr:to>
      <xdr:col>7</xdr:col>
      <xdr:colOff>326775</xdr:colOff>
      <xdr:row>500</xdr:row>
      <xdr:rowOff>155332</xdr:rowOff>
    </xdr:to>
    <xdr:pic>
      <xdr:nvPicPr>
        <xdr:cNvPr id="9" name="Imagen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74342" y="102507586"/>
          <a:ext cx="7640116" cy="1028844"/>
        </a:xfrm>
        <a:prstGeom prst="rect">
          <a:avLst/>
        </a:prstGeom>
      </xdr:spPr>
    </xdr:pic>
    <xdr:clientData/>
  </xdr:twoCellAnchor>
  <xdr:twoCellAnchor editAs="oneCell">
    <xdr:from>
      <xdr:col>0</xdr:col>
      <xdr:colOff>0</xdr:colOff>
      <xdr:row>521</xdr:row>
      <xdr:rowOff>111513</xdr:rowOff>
    </xdr:from>
    <xdr:to>
      <xdr:col>7</xdr:col>
      <xdr:colOff>261960</xdr:colOff>
      <xdr:row>528</xdr:row>
      <xdr:rowOff>77539</xdr:rowOff>
    </xdr:to>
    <xdr:pic>
      <xdr:nvPicPr>
        <xdr:cNvPr id="10" name="Imagen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0" y="107832293"/>
          <a:ext cx="7649643" cy="12670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1297655</xdr:colOff>
      <xdr:row>19</xdr:row>
      <xdr:rowOff>59548</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8459381" cy="3534268"/>
        </a:xfrm>
        <a:prstGeom prst="rect">
          <a:avLst/>
        </a:prstGeom>
      </xdr:spPr>
    </xdr:pic>
    <xdr:clientData/>
  </xdr:twoCellAnchor>
  <xdr:twoCellAnchor editAs="oneCell">
    <xdr:from>
      <xdr:col>0</xdr:col>
      <xdr:colOff>0</xdr:colOff>
      <xdr:row>37</xdr:row>
      <xdr:rowOff>121920</xdr:rowOff>
    </xdr:from>
    <xdr:to>
      <xdr:col>3</xdr:col>
      <xdr:colOff>1192865</xdr:colOff>
      <xdr:row>45</xdr:row>
      <xdr:rowOff>135461</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7802880"/>
          <a:ext cx="8354591" cy="1476581"/>
        </a:xfrm>
        <a:prstGeom prst="rect">
          <a:avLst/>
        </a:prstGeom>
      </xdr:spPr>
    </xdr:pic>
    <xdr:clientData/>
  </xdr:twoCellAnchor>
  <xdr:twoCellAnchor editAs="oneCell">
    <xdr:from>
      <xdr:col>0</xdr:col>
      <xdr:colOff>0</xdr:colOff>
      <xdr:row>56</xdr:row>
      <xdr:rowOff>0</xdr:rowOff>
    </xdr:from>
    <xdr:to>
      <xdr:col>3</xdr:col>
      <xdr:colOff>964233</xdr:colOff>
      <xdr:row>67</xdr:row>
      <xdr:rowOff>55533</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11155680"/>
          <a:ext cx="8125959" cy="2067213"/>
        </a:xfrm>
        <a:prstGeom prst="rect">
          <a:avLst/>
        </a:prstGeom>
      </xdr:spPr>
    </xdr:pic>
    <xdr:clientData/>
  </xdr:twoCellAnchor>
  <xdr:twoCellAnchor editAs="oneCell">
    <xdr:from>
      <xdr:col>0</xdr:col>
      <xdr:colOff>0</xdr:colOff>
      <xdr:row>103</xdr:row>
      <xdr:rowOff>30480</xdr:rowOff>
    </xdr:from>
    <xdr:to>
      <xdr:col>3</xdr:col>
      <xdr:colOff>1078549</xdr:colOff>
      <xdr:row>120</xdr:row>
      <xdr:rowOff>141419</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0" y="21145500"/>
          <a:ext cx="8240275" cy="3219899"/>
        </a:xfrm>
        <a:prstGeom prst="rect">
          <a:avLst/>
        </a:prstGeom>
      </xdr:spPr>
    </xdr:pic>
    <xdr:clientData/>
  </xdr:twoCellAnchor>
  <xdr:twoCellAnchor editAs="oneCell">
    <xdr:from>
      <xdr:col>0</xdr:col>
      <xdr:colOff>0</xdr:colOff>
      <xdr:row>142</xdr:row>
      <xdr:rowOff>175260</xdr:rowOff>
    </xdr:from>
    <xdr:to>
      <xdr:col>3</xdr:col>
      <xdr:colOff>891921</xdr:colOff>
      <xdr:row>153</xdr:row>
      <xdr:rowOff>59320</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0" y="29184600"/>
          <a:ext cx="8049748" cy="1895740"/>
        </a:xfrm>
        <a:prstGeom prst="rect">
          <a:avLst/>
        </a:prstGeom>
      </xdr:spPr>
    </xdr:pic>
    <xdr:clientData/>
  </xdr:twoCellAnchor>
  <xdr:twoCellAnchor editAs="oneCell">
    <xdr:from>
      <xdr:col>0</xdr:col>
      <xdr:colOff>0</xdr:colOff>
      <xdr:row>160</xdr:row>
      <xdr:rowOff>0</xdr:rowOff>
    </xdr:from>
    <xdr:to>
      <xdr:col>3</xdr:col>
      <xdr:colOff>56563</xdr:colOff>
      <xdr:row>166</xdr:row>
      <xdr:rowOff>63031</xdr:rowOff>
    </xdr:to>
    <xdr:pic>
      <xdr:nvPicPr>
        <xdr:cNvPr id="7" name="Imagen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0" y="32438340"/>
          <a:ext cx="7211431" cy="1190791"/>
        </a:xfrm>
        <a:prstGeom prst="rect">
          <a:avLst/>
        </a:prstGeom>
      </xdr:spPr>
    </xdr:pic>
    <xdr:clientData/>
  </xdr:twoCellAnchor>
  <xdr:twoCellAnchor editAs="oneCell">
    <xdr:from>
      <xdr:col>0</xdr:col>
      <xdr:colOff>234422</xdr:colOff>
      <xdr:row>197</xdr:row>
      <xdr:rowOff>7341</xdr:rowOff>
    </xdr:from>
    <xdr:to>
      <xdr:col>4</xdr:col>
      <xdr:colOff>789091</xdr:colOff>
      <xdr:row>213</xdr:row>
      <xdr:rowOff>104380</xdr:rowOff>
    </xdr:to>
    <xdr:pic>
      <xdr:nvPicPr>
        <xdr:cNvPr id="8" name="Imagen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234422" y="41252806"/>
          <a:ext cx="9205923" cy="3074154"/>
        </a:xfrm>
        <a:prstGeom prst="rect">
          <a:avLst/>
        </a:prstGeom>
      </xdr:spPr>
    </xdr:pic>
    <xdr:clientData/>
  </xdr:twoCellAnchor>
  <xdr:twoCellAnchor editAs="oneCell">
    <xdr:from>
      <xdr:col>0</xdr:col>
      <xdr:colOff>0</xdr:colOff>
      <xdr:row>234</xdr:row>
      <xdr:rowOff>8860</xdr:rowOff>
    </xdr:from>
    <xdr:to>
      <xdr:col>3</xdr:col>
      <xdr:colOff>1407226</xdr:colOff>
      <xdr:row>245</xdr:row>
      <xdr:rowOff>19235</xdr:rowOff>
    </xdr:to>
    <xdr:pic>
      <xdr:nvPicPr>
        <xdr:cNvPr id="9" name="Imagen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0" y="49911000"/>
          <a:ext cx="8533333" cy="2057143"/>
        </a:xfrm>
        <a:prstGeom prst="rect">
          <a:avLst/>
        </a:prstGeom>
      </xdr:spPr>
    </xdr:pic>
    <xdr:clientData/>
  </xdr:twoCellAnchor>
  <xdr:twoCellAnchor editAs="oneCell">
    <xdr:from>
      <xdr:col>0</xdr:col>
      <xdr:colOff>97465</xdr:colOff>
      <xdr:row>265</xdr:row>
      <xdr:rowOff>115186</xdr:rowOff>
    </xdr:from>
    <xdr:to>
      <xdr:col>4</xdr:col>
      <xdr:colOff>323548</xdr:colOff>
      <xdr:row>277</xdr:row>
      <xdr:rowOff>15682</xdr:rowOff>
    </xdr:to>
    <xdr:pic>
      <xdr:nvPicPr>
        <xdr:cNvPr id="10" name="Imagen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97465" y="56831023"/>
          <a:ext cx="8876190" cy="2133333"/>
        </a:xfrm>
        <a:prstGeom prst="rect">
          <a:avLst/>
        </a:prstGeom>
      </xdr:spPr>
    </xdr:pic>
    <xdr:clientData/>
  </xdr:twoCellAnchor>
  <xdr:twoCellAnchor editAs="oneCell">
    <xdr:from>
      <xdr:col>0</xdr:col>
      <xdr:colOff>11906</xdr:colOff>
      <xdr:row>302</xdr:row>
      <xdr:rowOff>561</xdr:rowOff>
    </xdr:from>
    <xdr:to>
      <xdr:col>4</xdr:col>
      <xdr:colOff>599060</xdr:colOff>
      <xdr:row>310</xdr:row>
      <xdr:rowOff>155983</xdr:rowOff>
    </xdr:to>
    <xdr:pic>
      <xdr:nvPicPr>
        <xdr:cNvPr id="11" name="Imagen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11906" y="62151186"/>
          <a:ext cx="9229270" cy="1584172"/>
        </a:xfrm>
        <a:prstGeom prst="rect">
          <a:avLst/>
        </a:prstGeom>
      </xdr:spPr>
    </xdr:pic>
    <xdr:clientData/>
  </xdr:twoCellAnchor>
  <xdr:twoCellAnchor editAs="oneCell">
    <xdr:from>
      <xdr:col>1</xdr:col>
      <xdr:colOff>35719</xdr:colOff>
      <xdr:row>335</xdr:row>
      <xdr:rowOff>59531</xdr:rowOff>
    </xdr:from>
    <xdr:to>
      <xdr:col>2</xdr:col>
      <xdr:colOff>1041193</xdr:colOff>
      <xdr:row>342</xdr:row>
      <xdr:rowOff>114482</xdr:rowOff>
    </xdr:to>
    <xdr:pic>
      <xdr:nvPicPr>
        <xdr:cNvPr id="12" name="Imagen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833438" y="68437125"/>
          <a:ext cx="6211167" cy="1305107"/>
        </a:xfrm>
        <a:prstGeom prst="rect">
          <a:avLst/>
        </a:prstGeom>
      </xdr:spPr>
    </xdr:pic>
    <xdr:clientData/>
  </xdr:twoCellAnchor>
  <xdr:twoCellAnchor editAs="oneCell">
    <xdr:from>
      <xdr:col>1</xdr:col>
      <xdr:colOff>11907</xdr:colOff>
      <xdr:row>331</xdr:row>
      <xdr:rowOff>11906</xdr:rowOff>
    </xdr:from>
    <xdr:to>
      <xdr:col>1</xdr:col>
      <xdr:colOff>3822439</xdr:colOff>
      <xdr:row>335</xdr:row>
      <xdr:rowOff>88216</xdr:rowOff>
    </xdr:to>
    <xdr:pic>
      <xdr:nvPicPr>
        <xdr:cNvPr id="13" name="Imagen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809626" y="67675125"/>
          <a:ext cx="3810532" cy="790685"/>
        </a:xfrm>
        <a:prstGeom prst="rect">
          <a:avLst/>
        </a:prstGeom>
      </xdr:spPr>
    </xdr:pic>
    <xdr:clientData/>
  </xdr:twoCellAnchor>
  <xdr:twoCellAnchor editAs="oneCell">
    <xdr:from>
      <xdr:col>1</xdr:col>
      <xdr:colOff>17930</xdr:colOff>
      <xdr:row>364</xdr:row>
      <xdr:rowOff>26895</xdr:rowOff>
    </xdr:from>
    <xdr:to>
      <xdr:col>3</xdr:col>
      <xdr:colOff>862735</xdr:colOff>
      <xdr:row>372</xdr:row>
      <xdr:rowOff>21491</xdr:rowOff>
    </xdr:to>
    <xdr:pic>
      <xdr:nvPicPr>
        <xdr:cNvPr id="14" name="Imagen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806824" y="75025624"/>
          <a:ext cx="7182852" cy="14289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260451</xdr:colOff>
      <xdr:row>11</xdr:row>
      <xdr:rowOff>26955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878274" cy="2038635"/>
        </a:xfrm>
        <a:prstGeom prst="rect">
          <a:avLst/>
        </a:prstGeom>
      </xdr:spPr>
    </xdr:pic>
    <xdr:clientData/>
  </xdr:twoCellAnchor>
  <xdr:oneCellAnchor>
    <xdr:from>
      <xdr:col>11</xdr:col>
      <xdr:colOff>289560</xdr:colOff>
      <xdr:row>21</xdr:row>
      <xdr:rowOff>72390</xdr:rowOff>
    </xdr:from>
    <xdr:ext cx="2654958" cy="3214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9296400" y="4575810"/>
              <a:ext cx="26549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𝐸𝑚𝑝𝑙𝑒𝑜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𝑂𝑐𝑢𝑝𝑎𝑑𝑜𝑠</m:t>
                        </m:r>
                      </m:num>
                      <m:den>
                        <m:r>
                          <a:rPr lang="es-ES" sz="1100" b="0" i="1">
                            <a:latin typeface="Cambria Math" panose="02040503050406030204" pitchFamily="18" charset="0"/>
                          </a:rPr>
                          <m:t>𝑃𝑜𝑏</m:t>
                        </m:r>
                        <m:r>
                          <a:rPr lang="es-ES" sz="1100" b="0" i="1">
                            <a:latin typeface="Cambria Math" panose="02040503050406030204" pitchFamily="18" charset="0"/>
                          </a:rPr>
                          <m:t> 16 </m:t>
                        </m:r>
                        <m:r>
                          <a:rPr lang="es-ES" sz="1100" b="0" i="1">
                            <a:latin typeface="Cambria Math" panose="02040503050406030204" pitchFamily="18" charset="0"/>
                          </a:rPr>
                          <m:t>𝑎</m:t>
                        </m:r>
                        <m:r>
                          <a:rPr lang="es-ES" sz="1100" b="0" i="1">
                            <a:latin typeface="Cambria Math" panose="02040503050406030204" pitchFamily="18" charset="0"/>
                          </a:rPr>
                          <m:t>ñ</m:t>
                        </m:r>
                        <m:r>
                          <a:rPr lang="es-ES" sz="1100" b="0" i="1">
                            <a:latin typeface="Cambria Math" panose="02040503050406030204" pitchFamily="18" charset="0"/>
                          </a:rPr>
                          <m:t>𝑜𝑠</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𝑚𝑎𝑠</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3" name="CuadroTexto 2">
              <a:extLst>
                <a:ext uri="{FF2B5EF4-FFF2-40B4-BE49-F238E27FC236}">
                  <a16:creationId xmlns:a16="http://schemas.microsoft.com/office/drawing/2014/main" id="{C4565B20-2F73-5FC8-C8EF-022C559C2651}"/>
                </a:ext>
              </a:extLst>
            </xdr:cNvPr>
            <xdr:cNvSpPr txBox="1"/>
          </xdr:nvSpPr>
          <xdr:spPr>
            <a:xfrm>
              <a:off x="9296400" y="4575810"/>
              <a:ext cx="26549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𝑇𝑎𝑠𝑎 𝐸𝑚𝑝𝑙𝑒𝑜=⇒𝑂𝑐𝑢𝑝𝑎𝑑𝑜𝑠/(𝑃𝑜𝑏 16 𝑎ñ𝑜𝑠 𝑜 𝑚𝑎𝑠) 𝑥100</a:t>
              </a:r>
              <a:endParaRPr lang="es-ES" sz="1100"/>
            </a:p>
          </xdr:txBody>
        </xdr:sp>
      </mc:Fallback>
    </mc:AlternateContent>
    <xdr:clientData/>
  </xdr:oneCellAnchor>
  <xdr:oneCellAnchor>
    <xdr:from>
      <xdr:col>11</xdr:col>
      <xdr:colOff>289560</xdr:colOff>
      <xdr:row>24</xdr:row>
      <xdr:rowOff>140970</xdr:rowOff>
    </xdr:from>
    <xdr:ext cx="2385653" cy="32143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9296400" y="5193030"/>
              <a:ext cx="238565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𝑂𝑐𝑢𝑝𝑎𝑐𝑖𝑜𝑛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𝑂𝑐𝑢𝑝𝑎𝑑𝑜𝑠</m:t>
                        </m:r>
                      </m:num>
                      <m:den>
                        <m:r>
                          <a:rPr lang="es-ES" sz="1100" b="0" i="1">
                            <a:latin typeface="Cambria Math" panose="02040503050406030204" pitchFamily="18" charset="0"/>
                          </a:rPr>
                          <m:t>𝑃𝑜𝑏</m:t>
                        </m:r>
                        <m:r>
                          <a:rPr lang="es-ES" sz="1100" b="0" i="1">
                            <a:latin typeface="Cambria Math" panose="02040503050406030204" pitchFamily="18" charset="0"/>
                          </a:rPr>
                          <m:t>. </m:t>
                        </m:r>
                        <m:r>
                          <a:rPr lang="es-ES" sz="1100" b="0" i="1">
                            <a:latin typeface="Cambria Math" panose="02040503050406030204" pitchFamily="18" charset="0"/>
                          </a:rPr>
                          <m:t>𝐴𝑐𝑡𝑖𝑣𝑎</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4" name="CuadroTexto 3">
              <a:extLst>
                <a:ext uri="{FF2B5EF4-FFF2-40B4-BE49-F238E27FC236}">
                  <a16:creationId xmlns:a16="http://schemas.microsoft.com/office/drawing/2014/main" id="{4F94C026-B088-6D4E-454D-19D1DE5354D2}"/>
                </a:ext>
              </a:extLst>
            </xdr:cNvPr>
            <xdr:cNvSpPr txBox="1"/>
          </xdr:nvSpPr>
          <xdr:spPr>
            <a:xfrm>
              <a:off x="9296400" y="5193030"/>
              <a:ext cx="238565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𝑇𝑎𝑠𝑎 𝑂𝑐𝑢𝑝𝑎𝑐𝑖𝑜𝑛=⇒𝑂𝑐𝑢𝑝𝑎𝑑𝑜𝑠/(𝑃𝑜𝑏. 𝐴𝑐𝑡𝑖𝑣𝑎) 𝑥100</a:t>
              </a:r>
              <a:endParaRPr lang="es-ES" sz="1100"/>
            </a:p>
          </xdr:txBody>
        </xdr:sp>
      </mc:Fallback>
    </mc:AlternateContent>
    <xdr:clientData/>
  </xdr:oneCellAnchor>
  <xdr:twoCellAnchor editAs="oneCell">
    <xdr:from>
      <xdr:col>7</xdr:col>
      <xdr:colOff>236220</xdr:colOff>
      <xdr:row>19</xdr:row>
      <xdr:rowOff>137659</xdr:rowOff>
    </xdr:from>
    <xdr:to>
      <xdr:col>9</xdr:col>
      <xdr:colOff>273445</xdr:colOff>
      <xdr:row>30</xdr:row>
      <xdr:rowOff>21702</xdr:rowOff>
    </xdr:to>
    <xdr:pic>
      <xdr:nvPicPr>
        <xdr:cNvPr id="5" name="Imagen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6073140" y="4275319"/>
          <a:ext cx="2926080" cy="1895723"/>
        </a:xfrm>
        <a:prstGeom prst="rect">
          <a:avLst/>
        </a:prstGeom>
      </xdr:spPr>
    </xdr:pic>
    <xdr:clientData/>
  </xdr:twoCellAnchor>
  <xdr:twoCellAnchor editAs="oneCell">
    <xdr:from>
      <xdr:col>3</xdr:col>
      <xdr:colOff>784860</xdr:colOff>
      <xdr:row>43</xdr:row>
      <xdr:rowOff>126216</xdr:rowOff>
    </xdr:from>
    <xdr:to>
      <xdr:col>7</xdr:col>
      <xdr:colOff>334041</xdr:colOff>
      <xdr:row>47</xdr:row>
      <xdr:rowOff>28707</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3451860" y="8752056"/>
          <a:ext cx="4655820" cy="634011"/>
        </a:xfrm>
        <a:prstGeom prst="rect">
          <a:avLst/>
        </a:prstGeom>
      </xdr:spPr>
    </xdr:pic>
    <xdr:clientData/>
  </xdr:twoCellAnchor>
  <xdr:twoCellAnchor editAs="oneCell">
    <xdr:from>
      <xdr:col>9</xdr:col>
      <xdr:colOff>670560</xdr:colOff>
      <xdr:row>43</xdr:row>
      <xdr:rowOff>53340</xdr:rowOff>
    </xdr:from>
    <xdr:to>
      <xdr:col>14</xdr:col>
      <xdr:colOff>662032</xdr:colOff>
      <xdr:row>47</xdr:row>
      <xdr:rowOff>167784</xdr:rowOff>
    </xdr:to>
    <xdr:pic>
      <xdr:nvPicPr>
        <xdr:cNvPr id="7" name="Imagen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8092440" y="8679180"/>
          <a:ext cx="4652800" cy="845964"/>
        </a:xfrm>
        <a:prstGeom prst="rect">
          <a:avLst/>
        </a:prstGeom>
      </xdr:spPr>
    </xdr:pic>
    <xdr:clientData/>
  </xdr:twoCellAnchor>
  <xdr:twoCellAnchor editAs="oneCell">
    <xdr:from>
      <xdr:col>0</xdr:col>
      <xdr:colOff>15240</xdr:colOff>
      <xdr:row>57</xdr:row>
      <xdr:rowOff>30480</xdr:rowOff>
    </xdr:from>
    <xdr:to>
      <xdr:col>6</xdr:col>
      <xdr:colOff>141683</xdr:colOff>
      <xdr:row>73</xdr:row>
      <xdr:rowOff>76615</xdr:rowOff>
    </xdr:to>
    <xdr:pic>
      <xdr:nvPicPr>
        <xdr:cNvPr id="8" name="Imagen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5240" y="11216640"/>
          <a:ext cx="8783276" cy="2972215"/>
        </a:xfrm>
        <a:prstGeom prst="rect">
          <a:avLst/>
        </a:prstGeom>
      </xdr:spPr>
    </xdr:pic>
    <xdr:clientData/>
  </xdr:twoCellAnchor>
  <xdr:twoCellAnchor editAs="oneCell">
    <xdr:from>
      <xdr:col>0</xdr:col>
      <xdr:colOff>0</xdr:colOff>
      <xdr:row>83</xdr:row>
      <xdr:rowOff>21772</xdr:rowOff>
    </xdr:from>
    <xdr:to>
      <xdr:col>5</xdr:col>
      <xdr:colOff>237862</xdr:colOff>
      <xdr:row>88</xdr:row>
      <xdr:rowOff>64104</xdr:rowOff>
    </xdr:to>
    <xdr:pic>
      <xdr:nvPicPr>
        <xdr:cNvPr id="9" name="Imagen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0" y="16589829"/>
          <a:ext cx="7868748" cy="1076475"/>
        </a:xfrm>
        <a:prstGeom prst="rect">
          <a:avLst/>
        </a:prstGeom>
      </xdr:spPr>
    </xdr:pic>
    <xdr:clientData/>
  </xdr:twoCellAnchor>
  <xdr:twoCellAnchor editAs="oneCell">
    <xdr:from>
      <xdr:col>0</xdr:col>
      <xdr:colOff>0</xdr:colOff>
      <xdr:row>88</xdr:row>
      <xdr:rowOff>97971</xdr:rowOff>
    </xdr:from>
    <xdr:to>
      <xdr:col>5</xdr:col>
      <xdr:colOff>239485</xdr:colOff>
      <xdr:row>99</xdr:row>
      <xdr:rowOff>83238</xdr:rowOff>
    </xdr:to>
    <xdr:pic>
      <xdr:nvPicPr>
        <xdr:cNvPr id="10" name="Imagen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0" y="17700171"/>
          <a:ext cx="7870371" cy="2020896"/>
        </a:xfrm>
        <a:prstGeom prst="rect">
          <a:avLst/>
        </a:prstGeom>
      </xdr:spPr>
    </xdr:pic>
    <xdr:clientData/>
  </xdr:twoCellAnchor>
  <xdr:twoCellAnchor editAs="oneCell">
    <xdr:from>
      <xdr:col>15</xdr:col>
      <xdr:colOff>749508</xdr:colOff>
      <xdr:row>101</xdr:row>
      <xdr:rowOff>174885</xdr:rowOff>
    </xdr:from>
    <xdr:to>
      <xdr:col>22</xdr:col>
      <xdr:colOff>527840</xdr:colOff>
      <xdr:row>110</xdr:row>
      <xdr:rowOff>224853</xdr:rowOff>
    </xdr:to>
    <xdr:pic>
      <xdr:nvPicPr>
        <xdr:cNvPr id="11" name="Imagen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2"/>
        <a:stretch>
          <a:fillRect/>
        </a:stretch>
      </xdr:blipFill>
      <xdr:spPr>
        <a:xfrm>
          <a:off x="16114426" y="20374131"/>
          <a:ext cx="5287218" cy="3510197"/>
        </a:xfrm>
        <a:prstGeom prst="rect">
          <a:avLst/>
        </a:prstGeom>
      </xdr:spPr>
    </xdr:pic>
    <xdr:clientData/>
  </xdr:twoCellAnchor>
  <xdr:twoCellAnchor editAs="oneCell">
    <xdr:from>
      <xdr:col>0</xdr:col>
      <xdr:colOff>0</xdr:colOff>
      <xdr:row>120</xdr:row>
      <xdr:rowOff>24984</xdr:rowOff>
    </xdr:from>
    <xdr:to>
      <xdr:col>5</xdr:col>
      <xdr:colOff>785188</xdr:colOff>
      <xdr:row>134</xdr:row>
      <xdr:rowOff>97656</xdr:rowOff>
    </xdr:to>
    <xdr:pic>
      <xdr:nvPicPr>
        <xdr:cNvPr id="12" name="Imagen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8"/>
        <a:stretch>
          <a:fillRect/>
        </a:stretch>
      </xdr:blipFill>
      <xdr:spPr>
        <a:xfrm>
          <a:off x="0" y="25932984"/>
          <a:ext cx="8392696" cy="2695951"/>
        </a:xfrm>
        <a:prstGeom prst="rect">
          <a:avLst/>
        </a:prstGeom>
      </xdr:spPr>
    </xdr:pic>
    <xdr:clientData/>
  </xdr:twoCellAnchor>
  <xdr:twoCellAnchor editAs="oneCell">
    <xdr:from>
      <xdr:col>0</xdr:col>
      <xdr:colOff>0</xdr:colOff>
      <xdr:row>148</xdr:row>
      <xdr:rowOff>177800</xdr:rowOff>
    </xdr:from>
    <xdr:to>
      <xdr:col>5</xdr:col>
      <xdr:colOff>612868</xdr:colOff>
      <xdr:row>156</xdr:row>
      <xdr:rowOff>88037</xdr:rowOff>
    </xdr:to>
    <xdr:pic>
      <xdr:nvPicPr>
        <xdr:cNvPr id="13" name="Imagen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9"/>
        <a:stretch>
          <a:fillRect/>
        </a:stretch>
      </xdr:blipFill>
      <xdr:spPr>
        <a:xfrm>
          <a:off x="0" y="32495067"/>
          <a:ext cx="8249801" cy="1400370"/>
        </a:xfrm>
        <a:prstGeom prst="rect">
          <a:avLst/>
        </a:prstGeom>
      </xdr:spPr>
    </xdr:pic>
    <xdr:clientData/>
  </xdr:twoCellAnchor>
  <xdr:twoCellAnchor editAs="oneCell">
    <xdr:from>
      <xdr:col>8</xdr:col>
      <xdr:colOff>897465</xdr:colOff>
      <xdr:row>149</xdr:row>
      <xdr:rowOff>33867</xdr:rowOff>
    </xdr:from>
    <xdr:to>
      <xdr:col>14</xdr:col>
      <xdr:colOff>23864</xdr:colOff>
      <xdr:row>167</xdr:row>
      <xdr:rowOff>7635</xdr:rowOff>
    </xdr:to>
    <xdr:pic>
      <xdr:nvPicPr>
        <xdr:cNvPr id="14" name="Imagen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stretch>
          <a:fillRect/>
        </a:stretch>
      </xdr:blipFill>
      <xdr:spPr>
        <a:xfrm>
          <a:off x="10041465" y="32537400"/>
          <a:ext cx="5349399" cy="3504368"/>
        </a:xfrm>
        <a:prstGeom prst="rect">
          <a:avLst/>
        </a:prstGeom>
      </xdr:spPr>
    </xdr:pic>
    <xdr:clientData/>
  </xdr:twoCellAnchor>
  <xdr:twoCellAnchor editAs="oneCell">
    <xdr:from>
      <xdr:col>0</xdr:col>
      <xdr:colOff>0</xdr:colOff>
      <xdr:row>162</xdr:row>
      <xdr:rowOff>160867</xdr:rowOff>
    </xdr:from>
    <xdr:to>
      <xdr:col>5</xdr:col>
      <xdr:colOff>250868</xdr:colOff>
      <xdr:row>168</xdr:row>
      <xdr:rowOff>43532</xdr:rowOff>
    </xdr:to>
    <xdr:pic>
      <xdr:nvPicPr>
        <xdr:cNvPr id="15" name="Imagen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0"/>
        <a:stretch>
          <a:fillRect/>
        </a:stretch>
      </xdr:blipFill>
      <xdr:spPr>
        <a:xfrm>
          <a:off x="0" y="35263667"/>
          <a:ext cx="7887801" cy="1000265"/>
        </a:xfrm>
        <a:prstGeom prst="rect">
          <a:avLst/>
        </a:prstGeom>
      </xdr:spPr>
    </xdr:pic>
    <xdr:clientData/>
  </xdr:twoCellAnchor>
  <xdr:twoCellAnchor editAs="oneCell">
    <xdr:from>
      <xdr:col>0</xdr:col>
      <xdr:colOff>0</xdr:colOff>
      <xdr:row>186</xdr:row>
      <xdr:rowOff>8466</xdr:rowOff>
    </xdr:from>
    <xdr:to>
      <xdr:col>5</xdr:col>
      <xdr:colOff>793869</xdr:colOff>
      <xdr:row>201</xdr:row>
      <xdr:rowOff>110470</xdr:rowOff>
    </xdr:to>
    <xdr:pic>
      <xdr:nvPicPr>
        <xdr:cNvPr id="16" name="Imagen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1"/>
        <a:stretch>
          <a:fillRect/>
        </a:stretch>
      </xdr:blipFill>
      <xdr:spPr>
        <a:xfrm>
          <a:off x="0" y="39759466"/>
          <a:ext cx="8430802" cy="2896004"/>
        </a:xfrm>
        <a:prstGeom prst="rect">
          <a:avLst/>
        </a:prstGeom>
      </xdr:spPr>
    </xdr:pic>
    <xdr:clientData/>
  </xdr:twoCellAnchor>
  <xdr:twoCellAnchor editAs="oneCell">
    <xdr:from>
      <xdr:col>0</xdr:col>
      <xdr:colOff>0</xdr:colOff>
      <xdr:row>232</xdr:row>
      <xdr:rowOff>135467</xdr:rowOff>
    </xdr:from>
    <xdr:to>
      <xdr:col>5</xdr:col>
      <xdr:colOff>565237</xdr:colOff>
      <xdr:row>239</xdr:row>
      <xdr:rowOff>70024</xdr:rowOff>
    </xdr:to>
    <xdr:pic>
      <xdr:nvPicPr>
        <xdr:cNvPr id="17" name="Imagen 16">
          <a:extLst>
            <a:ext uri="{FF2B5EF4-FFF2-40B4-BE49-F238E27FC236}">
              <a16:creationId xmlns:a16="http://schemas.microsoft.com/office/drawing/2014/main" id="{226BC955-E590-5AF6-0379-4D3B656FD9E2}"/>
            </a:ext>
          </a:extLst>
        </xdr:cNvPr>
        <xdr:cNvPicPr>
          <a:picLocks noChangeAspect="1"/>
        </xdr:cNvPicPr>
      </xdr:nvPicPr>
      <xdr:blipFill>
        <a:blip xmlns:r="http://schemas.openxmlformats.org/officeDocument/2006/relationships" r:embed="rId12"/>
        <a:stretch>
          <a:fillRect/>
        </a:stretch>
      </xdr:blipFill>
      <xdr:spPr>
        <a:xfrm>
          <a:off x="0" y="48200734"/>
          <a:ext cx="8202170" cy="1238423"/>
        </a:xfrm>
        <a:prstGeom prst="rect">
          <a:avLst/>
        </a:prstGeom>
      </xdr:spPr>
    </xdr:pic>
    <xdr:clientData/>
  </xdr:twoCellAnchor>
  <xdr:oneCellAnchor>
    <xdr:from>
      <xdr:col>7</xdr:col>
      <xdr:colOff>59267</xdr:colOff>
      <xdr:row>222</xdr:row>
      <xdr:rowOff>118534</xdr:rowOff>
    </xdr:from>
    <xdr:ext cx="2559932" cy="246093"/>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87D5C556-CCD0-BE2E-C50D-F6526BC8F4FC}"/>
                </a:ext>
              </a:extLst>
            </xdr:cNvPr>
            <xdr:cNvSpPr txBox="1"/>
          </xdr:nvSpPr>
          <xdr:spPr>
            <a:xfrm>
              <a:off x="10600267" y="46211067"/>
              <a:ext cx="2559932"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𝑅𝑎𝑡𝑖𝑜</m:t>
                  </m:r>
                  <m:r>
                    <a:rPr lang="es-ES" sz="1100" b="0" i="1">
                      <a:latin typeface="Cambria Math" panose="02040503050406030204" pitchFamily="18" charset="0"/>
                    </a:rPr>
                    <m:t> </m:t>
                  </m:r>
                  <m:r>
                    <a:rPr lang="es-ES" sz="1100" b="0" i="1">
                      <a:latin typeface="Cambria Math" panose="02040503050406030204" pitchFamily="18" charset="0"/>
                    </a:rPr>
                    <m:t>𝐷𝑒𝑓𝑖𝑐𝑖𝑡</m:t>
                  </m:r>
                  <m:r>
                    <a:rPr lang="es-ES" sz="1100" b="0" i="1">
                      <a:latin typeface="Cambria Math" panose="02040503050406030204" pitchFamily="18" charset="0"/>
                    </a:rPr>
                    <m:t> </m:t>
                  </m:r>
                  <m:r>
                    <a:rPr lang="es-ES" sz="1100" b="0" i="1">
                      <a:latin typeface="Cambria Math" panose="02040503050406030204" pitchFamily="18" charset="0"/>
                    </a:rPr>
                    <m:t>𝑃𝑢𝑏𝑙𝑖𝑐𝑜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𝑆𝑎𝑙𝑑𝑜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𝐴𝐴𝑃𝑃</m:t>
                      </m:r>
                      <m:r>
                        <a:rPr lang="es-ES" sz="1100" b="0" i="1">
                          <a:latin typeface="Cambria Math" panose="02040503050406030204" pitchFamily="18" charset="0"/>
                        </a:rPr>
                        <m:t> </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oMath>
              </a14:m>
              <a:r>
                <a:rPr lang="es-ES" sz="1100"/>
                <a:t>100</a:t>
              </a:r>
            </a:p>
          </xdr:txBody>
        </xdr:sp>
      </mc:Choice>
      <mc:Fallback xmlns="">
        <xdr:sp macro="" textlink="">
          <xdr:nvSpPr>
            <xdr:cNvPr id="18" name="CuadroTexto 17">
              <a:extLst>
                <a:ext uri="{FF2B5EF4-FFF2-40B4-BE49-F238E27FC236}">
                  <a16:creationId xmlns:a16="http://schemas.microsoft.com/office/drawing/2014/main" id="{87D5C556-CCD0-BE2E-C50D-F6526BC8F4FC}"/>
                </a:ext>
              </a:extLst>
            </xdr:cNvPr>
            <xdr:cNvSpPr txBox="1"/>
          </xdr:nvSpPr>
          <xdr:spPr>
            <a:xfrm>
              <a:off x="10600267" y="46211067"/>
              <a:ext cx="2559932"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𝑅𝑎𝑡𝑖𝑜 𝐷𝑒𝑓𝑖𝑐𝑖𝑡 𝑃𝑢𝑏𝑙𝑖𝑐𝑜=(</a:t>
              </a:r>
              <a:r>
                <a:rPr lang="es-ES" sz="1100" b="0" i="0">
                  <a:solidFill>
                    <a:schemeClr val="tx1"/>
                  </a:solidFill>
                  <a:effectLst/>
                  <a:latin typeface="+mn-lt"/>
                  <a:ea typeface="+mn-ea"/>
                  <a:cs typeface="+mn-cs"/>
                </a:rPr>
                <a:t>𝑆𝑎𝑙𝑑𝑜 𝑑𝑒</a:t>
              </a:r>
              <a:r>
                <a:rPr lang="es-ES" sz="1100" b="0" i="0">
                  <a:solidFill>
                    <a:schemeClr val="tx1"/>
                  </a:solidFill>
                  <a:effectLst/>
                  <a:latin typeface="Cambria Math" panose="02040503050406030204" pitchFamily="18" charset="0"/>
                  <a:ea typeface="+mn-ea"/>
                  <a:cs typeface="+mn-cs"/>
                </a:rPr>
                <a:t> </a:t>
              </a:r>
              <a:r>
                <a:rPr lang="es-ES" sz="1100" b="0" i="0">
                  <a:latin typeface="Cambria Math" panose="02040503050406030204" pitchFamily="18" charset="0"/>
                </a:rPr>
                <a:t>𝐴𝐴𝑃𝑃 )/𝑃𝐼𝐵 𝑥</a:t>
              </a:r>
              <a:r>
                <a:rPr lang="es-ES" sz="1100"/>
                <a:t>100</a:t>
              </a:r>
            </a:p>
          </xdr:txBody>
        </xdr:sp>
      </mc:Fallback>
    </mc:AlternateContent>
    <xdr:clientData/>
  </xdr:oneCellAnchor>
  <xdr:oneCellAnchor>
    <xdr:from>
      <xdr:col>5</xdr:col>
      <xdr:colOff>84667</xdr:colOff>
      <xdr:row>213</xdr:row>
      <xdr:rowOff>135466</xdr:rowOff>
    </xdr:from>
    <xdr:ext cx="2581541" cy="246093"/>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B0451614-CBD9-4EAE-9325-72C5AD6F65C9}"/>
                </a:ext>
              </a:extLst>
            </xdr:cNvPr>
            <xdr:cNvSpPr txBox="1"/>
          </xdr:nvSpPr>
          <xdr:spPr>
            <a:xfrm>
              <a:off x="7721600" y="44441533"/>
              <a:ext cx="2581541"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𝑅𝑎𝑡𝑖𝑜</m:t>
                  </m:r>
                  <m:r>
                    <a:rPr lang="es-ES" sz="1100" b="0" i="1">
                      <a:latin typeface="Cambria Math" panose="02040503050406030204" pitchFamily="18" charset="0"/>
                    </a:rPr>
                    <m:t> </m:t>
                  </m:r>
                  <m:r>
                    <a:rPr lang="es-ES" sz="1100" b="0" i="1">
                      <a:latin typeface="Cambria Math" panose="02040503050406030204" pitchFamily="18" charset="0"/>
                    </a:rPr>
                    <m:t>𝐷𝑒𝑢𝑑𝑎</m:t>
                  </m:r>
                  <m:r>
                    <a:rPr lang="es-ES" sz="1100" b="0" i="1">
                      <a:latin typeface="Cambria Math" panose="02040503050406030204" pitchFamily="18" charset="0"/>
                    </a:rPr>
                    <m:t> </m:t>
                  </m:r>
                  <m:r>
                    <a:rPr lang="es-ES" sz="1100" b="0" i="1">
                      <a:latin typeface="Cambria Math" panose="02040503050406030204" pitchFamily="18" charset="0"/>
                    </a:rPr>
                    <m:t>𝑃𝑢𝑏𝑙𝑖𝑐𝑜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𝐷𝑒𝑢𝑑𝑎</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𝐴𝐴𝑃𝑃</m:t>
                      </m:r>
                      <m:r>
                        <a:rPr lang="es-ES" sz="1100" b="0" i="1">
                          <a:latin typeface="Cambria Math" panose="02040503050406030204" pitchFamily="18" charset="0"/>
                        </a:rPr>
                        <m:t> </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oMath>
              </a14:m>
              <a:r>
                <a:rPr lang="es-ES" sz="1100"/>
                <a:t>100</a:t>
              </a:r>
            </a:p>
          </xdr:txBody>
        </xdr:sp>
      </mc:Choice>
      <mc:Fallback xmlns="">
        <xdr:sp macro="" textlink="">
          <xdr:nvSpPr>
            <xdr:cNvPr id="19" name="CuadroTexto 18">
              <a:extLst>
                <a:ext uri="{FF2B5EF4-FFF2-40B4-BE49-F238E27FC236}">
                  <a16:creationId xmlns:a16="http://schemas.microsoft.com/office/drawing/2014/main" id="{B0451614-CBD9-4EAE-9325-72C5AD6F65C9}"/>
                </a:ext>
              </a:extLst>
            </xdr:cNvPr>
            <xdr:cNvSpPr txBox="1"/>
          </xdr:nvSpPr>
          <xdr:spPr>
            <a:xfrm>
              <a:off x="7721600" y="44441533"/>
              <a:ext cx="2581541"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𝑅𝑎𝑡𝑖𝑜 𝐷𝑒𝑢𝑑𝑎 𝑃𝑢𝑏𝑙𝑖𝑐𝑜=(</a:t>
              </a:r>
              <a:r>
                <a:rPr lang="es-ES" sz="1100" b="0" i="0">
                  <a:solidFill>
                    <a:schemeClr val="tx1"/>
                  </a:solidFill>
                  <a:effectLst/>
                  <a:latin typeface="Cambria Math" panose="02040503050406030204" pitchFamily="18" charset="0"/>
                  <a:ea typeface="+mn-ea"/>
                  <a:cs typeface="+mn-cs"/>
                </a:rPr>
                <a:t>𝐷𝑒𝑢𝑑𝑎</a:t>
              </a:r>
              <a:r>
                <a:rPr lang="es-ES" sz="1100" b="0" i="0">
                  <a:solidFill>
                    <a:schemeClr val="tx1"/>
                  </a:solidFill>
                  <a:effectLst/>
                  <a:latin typeface="+mn-lt"/>
                  <a:ea typeface="+mn-ea"/>
                  <a:cs typeface="+mn-cs"/>
                </a:rPr>
                <a:t> 𝑑𝑒</a:t>
              </a:r>
              <a:r>
                <a:rPr lang="es-ES" sz="1100" b="0" i="0">
                  <a:solidFill>
                    <a:schemeClr val="tx1"/>
                  </a:solidFill>
                  <a:effectLst/>
                  <a:latin typeface="Cambria Math" panose="02040503050406030204" pitchFamily="18" charset="0"/>
                  <a:ea typeface="+mn-ea"/>
                  <a:cs typeface="+mn-cs"/>
                </a:rPr>
                <a:t> </a:t>
              </a:r>
              <a:r>
                <a:rPr lang="es-ES" sz="1100" b="0" i="0">
                  <a:latin typeface="Cambria Math" panose="02040503050406030204" pitchFamily="18" charset="0"/>
                </a:rPr>
                <a:t>𝐴𝐴𝑃𝑃 )/𝑃𝐼𝐵 𝑥</a:t>
              </a:r>
              <a:r>
                <a:rPr lang="es-ES" sz="1100"/>
                <a:t>100</a:t>
              </a:r>
            </a:p>
          </xdr:txBody>
        </xdr:sp>
      </mc:Fallback>
    </mc:AlternateContent>
    <xdr:clientData/>
  </xdr:oneCellAnchor>
  <xdr:oneCellAnchor>
    <xdr:from>
      <xdr:col>8</xdr:col>
      <xdr:colOff>169334</xdr:colOff>
      <xdr:row>239</xdr:row>
      <xdr:rowOff>76199</xdr:rowOff>
    </xdr:from>
    <xdr:ext cx="2595134" cy="320280"/>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FAFA2E84-BA85-F3B8-F56B-4791D4BDB1CA}"/>
                </a:ext>
              </a:extLst>
            </xdr:cNvPr>
            <xdr:cNvSpPr txBox="1"/>
          </xdr:nvSpPr>
          <xdr:spPr>
            <a:xfrm>
              <a:off x="12056534" y="49445332"/>
              <a:ext cx="2595134"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𝑃𝑟𝑒𝑠𝑖𝑜𝑛</m:t>
                    </m:r>
                    <m:r>
                      <a:rPr lang="es-ES" sz="1100" b="0" i="1">
                        <a:latin typeface="Cambria Math" panose="02040503050406030204" pitchFamily="18" charset="0"/>
                      </a:rPr>
                      <m:t> </m:t>
                    </m:r>
                    <m:r>
                      <a:rPr lang="es-ES" sz="1100" b="0" i="1">
                        <a:latin typeface="Cambria Math" panose="02040503050406030204" pitchFamily="18" charset="0"/>
                      </a:rPr>
                      <m:t>𝐹𝑖𝑠𝑐𝑎𝑙</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𝑅𝑒𝑐𝑢𝑟𝑠𝑜𝑠</m:t>
                        </m:r>
                        <m:r>
                          <a:rPr lang="es-ES" sz="1100" b="0" i="1">
                            <a:latin typeface="Cambria Math" panose="02040503050406030204" pitchFamily="18" charset="0"/>
                          </a:rPr>
                          <m:t> </m:t>
                        </m:r>
                        <m:r>
                          <a:rPr lang="es-ES" sz="1100" b="0" i="1">
                            <a:latin typeface="Cambria Math" panose="02040503050406030204" pitchFamily="18" charset="0"/>
                          </a:rPr>
                          <m:t>𝐹𝑖𝑠𝑐𝑎𝑙𝑒𝑠</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20" name="CuadroTexto 19">
              <a:extLst>
                <a:ext uri="{FF2B5EF4-FFF2-40B4-BE49-F238E27FC236}">
                  <a16:creationId xmlns:a16="http://schemas.microsoft.com/office/drawing/2014/main" id="{FAFA2E84-BA85-F3B8-F56B-4791D4BDB1CA}"/>
                </a:ext>
              </a:extLst>
            </xdr:cNvPr>
            <xdr:cNvSpPr txBox="1"/>
          </xdr:nvSpPr>
          <xdr:spPr>
            <a:xfrm>
              <a:off x="12056534" y="49445332"/>
              <a:ext cx="2595134"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𝑃𝑟𝑒𝑠𝑖𝑜𝑛 𝐹𝑖𝑠𝑐𝑎𝑙=(𝑅𝑒𝑐𝑢𝑟𝑠𝑜𝑠 𝐹𝑖𝑠𝑐𝑎𝑙𝑒𝑠)/𝑃𝐼𝐵 𝑥100</a:t>
              </a:r>
              <a:endParaRPr lang="es-E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121920</xdr:rowOff>
    </xdr:from>
    <xdr:to>
      <xdr:col>4</xdr:col>
      <xdr:colOff>705725</xdr:colOff>
      <xdr:row>10</xdr:row>
      <xdr:rowOff>84086</xdr:rowOff>
    </xdr:to>
    <xdr:pic>
      <xdr:nvPicPr>
        <xdr:cNvPr id="2" name="Imagen 1">
          <a:extLst>
            <a:ext uri="{FF2B5EF4-FFF2-40B4-BE49-F238E27FC236}">
              <a16:creationId xmlns:a16="http://schemas.microsoft.com/office/drawing/2014/main" id="{F73A9236-E1B9-68FB-E910-522E2843CFB7}"/>
            </a:ext>
          </a:extLst>
        </xdr:cNvPr>
        <xdr:cNvPicPr>
          <a:picLocks noChangeAspect="1"/>
        </xdr:cNvPicPr>
      </xdr:nvPicPr>
      <xdr:blipFill>
        <a:blip xmlns:r="http://schemas.openxmlformats.org/officeDocument/2006/relationships" r:embed="rId1"/>
        <a:stretch>
          <a:fillRect/>
        </a:stretch>
      </xdr:blipFill>
      <xdr:spPr>
        <a:xfrm>
          <a:off x="0" y="121920"/>
          <a:ext cx="6268325" cy="1905266"/>
        </a:xfrm>
        <a:prstGeom prst="rect">
          <a:avLst/>
        </a:prstGeom>
      </xdr:spPr>
    </xdr:pic>
    <xdr:clientData/>
  </xdr:twoCellAnchor>
  <xdr:oneCellAnchor>
    <xdr:from>
      <xdr:col>10</xdr:col>
      <xdr:colOff>129540</xdr:colOff>
      <xdr:row>4</xdr:row>
      <xdr:rowOff>87630</xdr:rowOff>
    </xdr:from>
    <xdr:ext cx="2472728"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AFB5D0A-B7E4-FAF4-FE70-7A1EC14325F4}"/>
                </a:ext>
              </a:extLst>
            </xdr:cNvPr>
            <xdr:cNvSpPr txBox="1"/>
          </xdr:nvSpPr>
          <xdr:spPr>
            <a:xfrm>
              <a:off x="8054340" y="933450"/>
              <a:ext cx="247272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𝑃𝑟𝑜𝑝𝑒𝑛𝑠𝑖𝑜𝑛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𝐸𝑥𝑝𝑜𝑟𝑡𝑎𝑐𝑖𝑜𝑛𝑒𝑠</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3" name="CuadroTexto 2">
              <a:extLst>
                <a:ext uri="{FF2B5EF4-FFF2-40B4-BE49-F238E27FC236}">
                  <a16:creationId xmlns:a16="http://schemas.microsoft.com/office/drawing/2014/main" id="{0AFB5D0A-B7E4-FAF4-FE70-7A1EC14325F4}"/>
                </a:ext>
              </a:extLst>
            </xdr:cNvPr>
            <xdr:cNvSpPr txBox="1"/>
          </xdr:nvSpPr>
          <xdr:spPr>
            <a:xfrm>
              <a:off x="8054340" y="933450"/>
              <a:ext cx="247272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𝑃𝑟𝑜𝑝𝑒𝑛𝑠𝑖𝑜𝑛 𝐸𝑥𝑝=𝐸𝑥𝑝𝑜𝑟𝑡𝑎𝑐𝑖𝑜𝑛𝑒𝑠/𝑃𝐼𝐵 𝑥100</a:t>
              </a:r>
              <a:endParaRPr lang="es-ES" sz="1100"/>
            </a:p>
          </xdr:txBody>
        </xdr:sp>
      </mc:Fallback>
    </mc:AlternateContent>
    <xdr:clientData/>
  </xdr:oneCellAnchor>
  <xdr:oneCellAnchor>
    <xdr:from>
      <xdr:col>10</xdr:col>
      <xdr:colOff>114300</xdr:colOff>
      <xdr:row>7</xdr:row>
      <xdr:rowOff>38100</xdr:rowOff>
    </xdr:from>
    <xdr:ext cx="2489784" cy="315792"/>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48C86322-27E1-47C9-A918-DD7A70AB3200}"/>
                </a:ext>
              </a:extLst>
            </xdr:cNvPr>
            <xdr:cNvSpPr txBox="1"/>
          </xdr:nvSpPr>
          <xdr:spPr>
            <a:xfrm>
              <a:off x="8039100" y="1432560"/>
              <a:ext cx="2489784"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𝑃𝑟𝑜𝑝𝑒𝑛𝑠𝑖𝑜𝑛</m:t>
                    </m:r>
                    <m:r>
                      <a:rPr lang="es-ES" sz="1100" b="0" i="1">
                        <a:latin typeface="Cambria Math" panose="02040503050406030204" pitchFamily="18" charset="0"/>
                      </a:rPr>
                      <m:t> </m:t>
                    </m:r>
                    <m:r>
                      <a:rPr lang="es-ES" sz="1100" b="0" i="1">
                        <a:latin typeface="Cambria Math" panose="02040503050406030204" pitchFamily="18" charset="0"/>
                      </a:rPr>
                      <m:t>𝐼𝑚𝑝</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𝐼𝑚𝑝𝑜𝑟𝑡𝑎𝑐𝑖𝑜𝑛𝑒𝑠</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4" name="CuadroTexto 3">
              <a:extLst>
                <a:ext uri="{FF2B5EF4-FFF2-40B4-BE49-F238E27FC236}">
                  <a16:creationId xmlns:a16="http://schemas.microsoft.com/office/drawing/2014/main" id="{48C86322-27E1-47C9-A918-DD7A70AB3200}"/>
                </a:ext>
              </a:extLst>
            </xdr:cNvPr>
            <xdr:cNvSpPr txBox="1"/>
          </xdr:nvSpPr>
          <xdr:spPr>
            <a:xfrm>
              <a:off x="8039100" y="1432560"/>
              <a:ext cx="2489784"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𝑃𝑟𝑜𝑝𝑒𝑛𝑠𝑖𝑜𝑛 𝐼𝑚𝑝=𝐼𝑚𝑝𝑜𝑟𝑡𝑎𝑐𝑖𝑜𝑛𝑒𝑠/𝑃𝐼𝐵 𝑥100</a:t>
              </a:r>
              <a:endParaRPr lang="es-ES" sz="1100"/>
            </a:p>
          </xdr:txBody>
        </xdr:sp>
      </mc:Fallback>
    </mc:AlternateContent>
    <xdr:clientData/>
  </xdr:oneCellAnchor>
  <xdr:oneCellAnchor>
    <xdr:from>
      <xdr:col>10</xdr:col>
      <xdr:colOff>99060</xdr:colOff>
      <xdr:row>10</xdr:row>
      <xdr:rowOff>11430</xdr:rowOff>
    </xdr:from>
    <xdr:ext cx="4162358" cy="315792"/>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FB64D91E-0EB4-2CB5-B6A8-7DFBF6C55694}"/>
                </a:ext>
              </a:extLst>
            </xdr:cNvPr>
            <xdr:cNvSpPr txBox="1"/>
          </xdr:nvSpPr>
          <xdr:spPr>
            <a:xfrm>
              <a:off x="8023860" y="1954530"/>
              <a:ext cx="416235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𝐺𝑟𝑎𝑑𝑜</m:t>
                    </m:r>
                    <m:r>
                      <a:rPr lang="es-ES" sz="1100" b="0" i="1">
                        <a:latin typeface="Cambria Math" panose="02040503050406030204" pitchFamily="18" charset="0"/>
                      </a:rPr>
                      <m:t> </m:t>
                    </m:r>
                    <m:r>
                      <a:rPr lang="es-ES" sz="1100" b="0" i="1">
                        <a:latin typeface="Cambria Math" panose="02040503050406030204" pitchFamily="18" charset="0"/>
                      </a:rPr>
                      <m:t>𝐴𝑝𝑒𝑟𝑡𝑢𝑟𝑎</m:t>
                    </m:r>
                    <m:r>
                      <a:rPr lang="es-ES" sz="1100" b="0" i="1">
                        <a:latin typeface="Cambria Math" panose="02040503050406030204" pitchFamily="18" charset="0"/>
                      </a:rPr>
                      <m:t> </m:t>
                    </m:r>
                    <m:r>
                      <a:rPr lang="es-ES" sz="1100" b="0" i="1">
                        <a:latin typeface="Cambria Math" panose="02040503050406030204" pitchFamily="18" charset="0"/>
                      </a:rPr>
                      <m:t>𝐸𝑥𝑡𝑒𝑟𝑖𝑜𝑟</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𝐼𝑚𝑝𝑜𝑟𝑡𝑎𝑐𝑖𝑜𝑛𝑒𝑠</m:t>
                        </m:r>
                        <m:r>
                          <a:rPr lang="es-ES" sz="1100" b="0" i="1">
                            <a:latin typeface="Cambria Math" panose="02040503050406030204" pitchFamily="18" charset="0"/>
                          </a:rPr>
                          <m:t>+</m:t>
                        </m:r>
                        <m:r>
                          <a:rPr lang="es-ES" sz="1100" b="0" i="1">
                            <a:latin typeface="Cambria Math" panose="02040503050406030204" pitchFamily="18" charset="0"/>
                          </a:rPr>
                          <m:t>𝐸𝑥𝑝𝑜𝑟𝑡𝑎𝑐𝑖𝑜𝑛𝑒𝑠</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5" name="CuadroTexto 4">
              <a:extLst>
                <a:ext uri="{FF2B5EF4-FFF2-40B4-BE49-F238E27FC236}">
                  <a16:creationId xmlns:a16="http://schemas.microsoft.com/office/drawing/2014/main" id="{FB64D91E-0EB4-2CB5-B6A8-7DFBF6C55694}"/>
                </a:ext>
              </a:extLst>
            </xdr:cNvPr>
            <xdr:cNvSpPr txBox="1"/>
          </xdr:nvSpPr>
          <xdr:spPr>
            <a:xfrm>
              <a:off x="8023860" y="1954530"/>
              <a:ext cx="416235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𝐺𝑟𝑎𝑑𝑜 𝐴𝑝𝑒𝑟𝑡𝑢𝑟𝑎 𝐸𝑥𝑡𝑒𝑟𝑖𝑜𝑟=(𝐼𝑚𝑝𝑜𝑟𝑡𝑎𝑐𝑖𝑜𝑛𝑒𝑠+𝐸𝑥𝑝𝑜𝑟𝑡𝑎𝑐𝑖𝑜𝑛𝑒𝑠)/𝑃𝐼𝐵 𝑥100</a:t>
              </a:r>
              <a:endParaRPr lang="es-ES" sz="1100"/>
            </a:p>
          </xdr:txBody>
        </xdr:sp>
      </mc:Fallback>
    </mc:AlternateContent>
    <xdr:clientData/>
  </xdr:oneCellAnchor>
  <xdr:oneCellAnchor>
    <xdr:from>
      <xdr:col>10</xdr:col>
      <xdr:colOff>83820</xdr:colOff>
      <xdr:row>13</xdr:row>
      <xdr:rowOff>26670</xdr:rowOff>
    </xdr:from>
    <xdr:ext cx="2477986" cy="34541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380DEA6F-921D-7BAA-D30C-FCBDAD5CC8FC}"/>
                </a:ext>
              </a:extLst>
            </xdr:cNvPr>
            <xdr:cNvSpPr txBox="1"/>
          </xdr:nvSpPr>
          <xdr:spPr>
            <a:xfrm>
              <a:off x="8008620" y="2518410"/>
              <a:ext cx="2477986"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𝐶𝑜𝑏𝑒𝑟𝑡𝑢𝑟𝑎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𝐸𝑥𝑝𝑜𝑟𝑡𝑎𝑐𝑖𝑜𝑛𝑒𝑠</m:t>
                        </m:r>
                      </m:num>
                      <m:den>
                        <m:r>
                          <a:rPr lang="es-ES" sz="1100" b="0" i="1">
                            <a:latin typeface="Cambria Math" panose="02040503050406030204" pitchFamily="18" charset="0"/>
                          </a:rPr>
                          <m:t>𝐼𝑚𝑝𝑜𝑟𝑡𝑎𝑐𝑖𝑜𝑛𝑒𝑠</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6" name="CuadroTexto 5">
              <a:extLst>
                <a:ext uri="{FF2B5EF4-FFF2-40B4-BE49-F238E27FC236}">
                  <a16:creationId xmlns:a16="http://schemas.microsoft.com/office/drawing/2014/main" id="{380DEA6F-921D-7BAA-D30C-FCBDAD5CC8FC}"/>
                </a:ext>
              </a:extLst>
            </xdr:cNvPr>
            <xdr:cNvSpPr txBox="1"/>
          </xdr:nvSpPr>
          <xdr:spPr>
            <a:xfrm>
              <a:off x="8008620" y="2518410"/>
              <a:ext cx="2477986"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𝑇𝑎𝑠𝑎 𝐶𝑜𝑏𝑒𝑟𝑡𝑢𝑟𝑎=𝐸𝑥𝑝𝑜𝑟𝑡𝑎𝑐𝑖𝑜𝑛𝑒𝑠/𝐼𝑚𝑝𝑜𝑟𝑡𝑎𝑐𝑖𝑜𝑛𝑒𝑠 𝑥100</a:t>
              </a:r>
              <a:endParaRPr lang="es-ES" sz="1100"/>
            </a:p>
          </xdr:txBody>
        </xdr:sp>
      </mc:Fallback>
    </mc:AlternateContent>
    <xdr:clientData/>
  </xdr:oneCellAnchor>
  <xdr:oneCellAnchor>
    <xdr:from>
      <xdr:col>10</xdr:col>
      <xdr:colOff>99060</xdr:colOff>
      <xdr:row>16</xdr:row>
      <xdr:rowOff>34290</xdr:rowOff>
    </xdr:from>
    <xdr:ext cx="3307957"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2165736F-33F1-70D4-AA34-0F907AFF0FB9}"/>
                </a:ext>
              </a:extLst>
            </xdr:cNvPr>
            <xdr:cNvSpPr txBox="1"/>
          </xdr:nvSpPr>
          <xdr:spPr>
            <a:xfrm>
              <a:off x="8023860" y="3074670"/>
              <a:ext cx="33079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𝑆𝑎𝑙𝑑𝑜</m:t>
                    </m:r>
                    <m:r>
                      <a:rPr lang="es-ES" sz="1100" b="0" i="1">
                        <a:latin typeface="Cambria Math" panose="02040503050406030204" pitchFamily="18" charset="0"/>
                      </a:rPr>
                      <m:t> </m:t>
                    </m:r>
                    <m:r>
                      <a:rPr lang="es-ES" sz="1100" b="0" i="1">
                        <a:latin typeface="Cambria Math" panose="02040503050406030204" pitchFamily="18" charset="0"/>
                      </a:rPr>
                      <m:t>𝐶𝑜𝑚𝑒𝑟𝑐𝑖𝑎𝑙</m:t>
                    </m:r>
                    <m:r>
                      <a:rPr lang="es-ES" sz="1100" b="0" i="1">
                        <a:latin typeface="Cambria Math" panose="02040503050406030204" pitchFamily="18" charset="0"/>
                      </a:rPr>
                      <m:t>=</m:t>
                    </m:r>
                    <m:r>
                      <a:rPr lang="es-ES" sz="1100" b="0" i="1">
                        <a:latin typeface="Cambria Math" panose="02040503050406030204" pitchFamily="18" charset="0"/>
                      </a:rPr>
                      <m:t>𝐸𝑥𝑝𝑜𝑟𝑡𝑎𝑐𝑖𝑜𝑛𝑒𝑠</m:t>
                    </m:r>
                    <m:r>
                      <a:rPr lang="es-ES" sz="1100" b="0" i="1">
                        <a:latin typeface="Cambria Math" panose="02040503050406030204" pitchFamily="18" charset="0"/>
                      </a:rPr>
                      <m:t> −</m:t>
                    </m:r>
                    <m:r>
                      <a:rPr lang="es-ES" sz="1100" b="0" i="1">
                        <a:latin typeface="Cambria Math" panose="02040503050406030204" pitchFamily="18" charset="0"/>
                      </a:rPr>
                      <m:t>𝐼𝑚𝑝𝑜𝑟𝑡𝑎𝑐𝑖𝑜𝑛𝑒𝑠</m:t>
                    </m:r>
                  </m:oMath>
                </m:oMathPara>
              </a14:m>
              <a:endParaRPr lang="es-ES" sz="1100"/>
            </a:p>
          </xdr:txBody>
        </xdr:sp>
      </mc:Choice>
      <mc:Fallback xmlns="">
        <xdr:sp macro="" textlink="">
          <xdr:nvSpPr>
            <xdr:cNvPr id="7" name="CuadroTexto 6">
              <a:extLst>
                <a:ext uri="{FF2B5EF4-FFF2-40B4-BE49-F238E27FC236}">
                  <a16:creationId xmlns:a16="http://schemas.microsoft.com/office/drawing/2014/main" id="{2165736F-33F1-70D4-AA34-0F907AFF0FB9}"/>
                </a:ext>
              </a:extLst>
            </xdr:cNvPr>
            <xdr:cNvSpPr txBox="1"/>
          </xdr:nvSpPr>
          <xdr:spPr>
            <a:xfrm>
              <a:off x="8023860" y="3074670"/>
              <a:ext cx="33079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𝑆𝑎𝑙𝑑𝑜 𝐶𝑜𝑚𝑒𝑟𝑐𝑖𝑎𝑙=𝐸𝑥𝑝𝑜𝑟𝑡𝑎𝑐𝑖𝑜𝑛𝑒𝑠 −𝐼𝑚𝑝𝑜𝑟𝑡𝑎𝑐𝑖𝑜𝑛𝑒𝑠</a:t>
              </a:r>
              <a:endParaRPr lang="es-ES" sz="1100"/>
            </a:p>
          </xdr:txBody>
        </xdr:sp>
      </mc:Fallback>
    </mc:AlternateContent>
    <xdr:clientData/>
  </xdr:oneCellAnchor>
  <xdr:oneCellAnchor>
    <xdr:from>
      <xdr:col>10</xdr:col>
      <xdr:colOff>167640</xdr:colOff>
      <xdr:row>19</xdr:row>
      <xdr:rowOff>26670</xdr:rowOff>
    </xdr:from>
    <xdr:ext cx="4210255" cy="34541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4E9FA029-66C2-08E3-CE1E-227ADA986682}"/>
                </a:ext>
              </a:extLst>
            </xdr:cNvPr>
            <xdr:cNvSpPr txBox="1"/>
          </xdr:nvSpPr>
          <xdr:spPr>
            <a:xfrm>
              <a:off x="8092440" y="3615690"/>
              <a:ext cx="4210255"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𝑆𝑎𝑙𝑑𝑜</m:t>
                    </m:r>
                    <m:r>
                      <a:rPr lang="es-ES" sz="1100" b="0" i="1">
                        <a:latin typeface="Cambria Math" panose="02040503050406030204" pitchFamily="18" charset="0"/>
                      </a:rPr>
                      <m:t> </m:t>
                    </m:r>
                    <m:r>
                      <a:rPr lang="es-ES" sz="1100" b="0" i="1">
                        <a:latin typeface="Cambria Math" panose="02040503050406030204" pitchFamily="18" charset="0"/>
                      </a:rPr>
                      <m:t>𝐶𝑜𝑚𝑒𝑟𝑐𝑖𝑎𝑙</m:t>
                    </m:r>
                    <m:r>
                      <a:rPr lang="es-ES" sz="1100" b="0" i="1">
                        <a:latin typeface="Cambria Math" panose="02040503050406030204" pitchFamily="18" charset="0"/>
                      </a:rPr>
                      <m:t> </m:t>
                    </m:r>
                    <m:r>
                      <a:rPr lang="es-ES" sz="1100" b="0" i="1">
                        <a:latin typeface="Cambria Math" panose="02040503050406030204" pitchFamily="18" charset="0"/>
                      </a:rPr>
                      <m:t>𝑅𝑒𝑙𝑎𝑡𝑖𝑣𝑜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𝐸𝑥𝑝𝑜𝑟𝑡𝑎𝑐𝑖𝑜𝑛𝑒𝑠</m:t>
                        </m:r>
                        <m:r>
                          <a:rPr lang="es-ES" sz="1100" b="0" i="1">
                            <a:latin typeface="Cambria Math" panose="02040503050406030204" pitchFamily="18" charset="0"/>
                          </a:rPr>
                          <m:t> −</m:t>
                        </m:r>
                        <m:r>
                          <a:rPr lang="es-ES" sz="1100" b="0" i="1">
                            <a:latin typeface="Cambria Math" panose="02040503050406030204" pitchFamily="18" charset="0"/>
                          </a:rPr>
                          <m:t>𝐼𝑚𝑝𝑜𝑟𝑡𝑎𝑐𝑖𝑜𝑛𝑒𝑠</m:t>
                        </m:r>
                      </m:num>
                      <m:den>
                        <m:r>
                          <a:rPr lang="es-ES" sz="1100" b="0" i="1">
                            <a:latin typeface="Cambria Math" panose="02040503050406030204" pitchFamily="18" charset="0"/>
                          </a:rPr>
                          <m:t>𝐸𝑥𝑝𝑜𝑟𝑡𝑎𝑐𝑖𝑜𝑛𝑒𝑠</m:t>
                        </m:r>
                        <m:r>
                          <a:rPr lang="es-ES" sz="1100" b="0" i="1">
                            <a:latin typeface="Cambria Math" panose="02040503050406030204" pitchFamily="18" charset="0"/>
                          </a:rPr>
                          <m:t>+</m:t>
                        </m:r>
                        <m:r>
                          <a:rPr lang="es-ES" sz="1100" b="0" i="1">
                            <a:latin typeface="Cambria Math" panose="02040503050406030204" pitchFamily="18" charset="0"/>
                          </a:rPr>
                          <m:t>𝐼𝑚𝑝𝑜𝑟𝑡𝑎𝑐𝑖𝑜𝑛𝑒𝑠</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8" name="CuadroTexto 7">
              <a:extLst>
                <a:ext uri="{FF2B5EF4-FFF2-40B4-BE49-F238E27FC236}">
                  <a16:creationId xmlns:a16="http://schemas.microsoft.com/office/drawing/2014/main" id="{4E9FA029-66C2-08E3-CE1E-227ADA986682}"/>
                </a:ext>
              </a:extLst>
            </xdr:cNvPr>
            <xdr:cNvSpPr txBox="1"/>
          </xdr:nvSpPr>
          <xdr:spPr>
            <a:xfrm>
              <a:off x="8092440" y="3615690"/>
              <a:ext cx="4210255"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𝑆𝑎𝑙𝑑𝑜 𝐶𝑜𝑚𝑒𝑟𝑐𝑖𝑎𝑙 𝑅𝑒𝑙𝑎𝑡𝑖𝑣𝑜=(𝐸𝑥𝑝𝑜𝑟𝑡𝑎𝑐𝑖𝑜𝑛𝑒𝑠 −𝐼𝑚𝑝𝑜𝑟𝑡𝑎𝑐𝑖𝑜𝑛𝑒𝑠)/(𝐸𝑥𝑝𝑜𝑟𝑡𝑎𝑐𝑖𝑜𝑛𝑒𝑠+𝐼𝑚𝑝𝑜𝑟𝑡𝑎𝑐𝑖𝑜𝑛𝑒𝑠) 𝑥100</a:t>
              </a:r>
              <a:endParaRPr lang="es-ES" sz="1100"/>
            </a:p>
          </xdr:txBody>
        </xdr:sp>
      </mc:Fallback>
    </mc:AlternateContent>
    <xdr:clientData/>
  </xdr:oneCellAnchor>
  <xdr:twoCellAnchor editAs="oneCell">
    <xdr:from>
      <xdr:col>0</xdr:col>
      <xdr:colOff>0</xdr:colOff>
      <xdr:row>43</xdr:row>
      <xdr:rowOff>129540</xdr:rowOff>
    </xdr:from>
    <xdr:to>
      <xdr:col>5</xdr:col>
      <xdr:colOff>652560</xdr:colOff>
      <xdr:row>52</xdr:row>
      <xdr:rowOff>64991</xdr:rowOff>
    </xdr:to>
    <xdr:pic>
      <xdr:nvPicPr>
        <xdr:cNvPr id="9" name="Imagen 8">
          <a:extLst>
            <a:ext uri="{FF2B5EF4-FFF2-40B4-BE49-F238E27FC236}">
              <a16:creationId xmlns:a16="http://schemas.microsoft.com/office/drawing/2014/main" id="{1224A5EE-B6E9-AC9F-36ED-6333E3109C1E}"/>
            </a:ext>
          </a:extLst>
        </xdr:cNvPr>
        <xdr:cNvPicPr>
          <a:picLocks noChangeAspect="1"/>
        </xdr:cNvPicPr>
      </xdr:nvPicPr>
      <xdr:blipFill>
        <a:blip xmlns:r="http://schemas.openxmlformats.org/officeDocument/2006/relationships" r:embed="rId2"/>
        <a:stretch>
          <a:fillRect/>
        </a:stretch>
      </xdr:blipFill>
      <xdr:spPr>
        <a:xfrm>
          <a:off x="0" y="8953500"/>
          <a:ext cx="7525800" cy="1581371"/>
        </a:xfrm>
        <a:prstGeom prst="rect">
          <a:avLst/>
        </a:prstGeom>
      </xdr:spPr>
    </xdr:pic>
    <xdr:clientData/>
  </xdr:twoCellAnchor>
  <xdr:twoCellAnchor editAs="oneCell">
    <xdr:from>
      <xdr:col>0</xdr:col>
      <xdr:colOff>22860</xdr:colOff>
      <xdr:row>60</xdr:row>
      <xdr:rowOff>60960</xdr:rowOff>
    </xdr:from>
    <xdr:to>
      <xdr:col>5</xdr:col>
      <xdr:colOff>608736</xdr:colOff>
      <xdr:row>74</xdr:row>
      <xdr:rowOff>148960</xdr:rowOff>
    </xdr:to>
    <xdr:pic>
      <xdr:nvPicPr>
        <xdr:cNvPr id="10" name="Imagen 9">
          <a:extLst>
            <a:ext uri="{FF2B5EF4-FFF2-40B4-BE49-F238E27FC236}">
              <a16:creationId xmlns:a16="http://schemas.microsoft.com/office/drawing/2014/main" id="{A04B2194-A6DA-C6A5-2567-F9C8504F585F}"/>
            </a:ext>
          </a:extLst>
        </xdr:cNvPr>
        <xdr:cNvPicPr>
          <a:picLocks noChangeAspect="1"/>
        </xdr:cNvPicPr>
      </xdr:nvPicPr>
      <xdr:blipFill>
        <a:blip xmlns:r="http://schemas.openxmlformats.org/officeDocument/2006/relationships" r:embed="rId3"/>
        <a:stretch>
          <a:fillRect/>
        </a:stretch>
      </xdr:blipFill>
      <xdr:spPr>
        <a:xfrm>
          <a:off x="22860" y="11993880"/>
          <a:ext cx="7459116" cy="2648320"/>
        </a:xfrm>
        <a:prstGeom prst="rect">
          <a:avLst/>
        </a:prstGeom>
      </xdr:spPr>
    </xdr:pic>
    <xdr:clientData/>
  </xdr:twoCellAnchor>
  <xdr:oneCellAnchor>
    <xdr:from>
      <xdr:col>5</xdr:col>
      <xdr:colOff>129540</xdr:colOff>
      <xdr:row>83</xdr:row>
      <xdr:rowOff>49530</xdr:rowOff>
    </xdr:from>
    <xdr:ext cx="65" cy="172227"/>
    <xdr:sp macro="" textlink="">
      <xdr:nvSpPr>
        <xdr:cNvPr id="11" name="CuadroTexto 10">
          <a:extLst>
            <a:ext uri="{FF2B5EF4-FFF2-40B4-BE49-F238E27FC236}">
              <a16:creationId xmlns:a16="http://schemas.microsoft.com/office/drawing/2014/main" id="{67B0D2F1-1AB6-B09F-D624-64FB70D3A9A9}"/>
            </a:ext>
          </a:extLst>
        </xdr:cNvPr>
        <xdr:cNvSpPr txBox="1"/>
      </xdr:nvSpPr>
      <xdr:spPr>
        <a:xfrm>
          <a:off x="6629400" y="164172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S" sz="1100"/>
        </a:p>
      </xdr:txBody>
    </xdr:sp>
    <xdr:clientData/>
  </xdr:oneCellAnchor>
  <xdr:oneCellAnchor>
    <xdr:from>
      <xdr:col>6</xdr:col>
      <xdr:colOff>297180</xdr:colOff>
      <xdr:row>83</xdr:row>
      <xdr:rowOff>140970</xdr:rowOff>
    </xdr:from>
    <xdr:ext cx="2299347" cy="34657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F68EBA3-CCA7-2ECC-5B6B-A9E164C8BC40}"/>
                </a:ext>
              </a:extLst>
            </xdr:cNvPr>
            <xdr:cNvSpPr txBox="1"/>
          </xdr:nvSpPr>
          <xdr:spPr>
            <a:xfrm>
              <a:off x="8046720" y="16508730"/>
              <a:ext cx="2299347"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𝐶𝑜𝑏𝑒𝑟𝑡𝑢𝑟𝑎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𝐼𝑛𝑔𝑟𝑒𝑠𝑜𝑠</m:t>
                        </m:r>
                      </m:num>
                      <m:den>
                        <m:r>
                          <a:rPr lang="es-ES" sz="1100" b="0" i="1">
                            <a:latin typeface="Cambria Math" panose="02040503050406030204" pitchFamily="18" charset="0"/>
                          </a:rPr>
                          <m:t>𝑃𝑎𝑔𝑜𝑠</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a:p>
          </xdr:txBody>
        </xdr:sp>
      </mc:Choice>
      <mc:Fallback xmlns="">
        <xdr:sp macro="" textlink="">
          <xdr:nvSpPr>
            <xdr:cNvPr id="12" name="CuadroTexto 11">
              <a:extLst>
                <a:ext uri="{FF2B5EF4-FFF2-40B4-BE49-F238E27FC236}">
                  <a16:creationId xmlns:a16="http://schemas.microsoft.com/office/drawing/2014/main" id="{6F68EBA3-CCA7-2ECC-5B6B-A9E164C8BC40}"/>
                </a:ext>
              </a:extLst>
            </xdr:cNvPr>
            <xdr:cNvSpPr txBox="1"/>
          </xdr:nvSpPr>
          <xdr:spPr>
            <a:xfrm>
              <a:off x="8046720" y="16508730"/>
              <a:ext cx="2299347"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𝑇𝑎𝑠𝑎 𝑑𝑒 𝐶𝑜𝑏𝑒𝑟𝑡𝑢𝑟𝑎=𝐼𝑛𝑔𝑟𝑒𝑠𝑜𝑠/𝑃𝑎𝑔𝑜𝑠 𝑥100</a:t>
              </a:r>
              <a:endParaRPr lang="es-ES" sz="1100"/>
            </a:p>
          </xdr:txBody>
        </xdr:sp>
      </mc:Fallback>
    </mc:AlternateContent>
    <xdr:clientData/>
  </xdr:oneCellAnchor>
  <xdr:oneCellAnchor>
    <xdr:from>
      <xdr:col>6</xdr:col>
      <xdr:colOff>198120</xdr:colOff>
      <xdr:row>86</xdr:row>
      <xdr:rowOff>140970</xdr:rowOff>
    </xdr:from>
    <xdr:ext cx="5323317" cy="49250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65C666A4-BC4E-21DA-13F6-022C30F823DB}"/>
                </a:ext>
              </a:extLst>
            </xdr:cNvPr>
            <xdr:cNvSpPr txBox="1"/>
          </xdr:nvSpPr>
          <xdr:spPr>
            <a:xfrm>
              <a:off x="7947660" y="17194530"/>
              <a:ext cx="5323317" cy="492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𝑁𝑒𝑐𝑒𝑠𝑖𝑑𝑎𝑑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𝐹𝑖𝑛𝑎𝑛𝑐𝑖𝑎𝑐𝑖𝑜𝑛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𝑆𝑎𝑙𝑑𝑜</m:t>
                        </m:r>
                        <m:r>
                          <a:rPr lang="es-ES" sz="1100" b="0" i="1">
                            <a:latin typeface="Cambria Math" panose="02040503050406030204" pitchFamily="18" charset="0"/>
                          </a:rPr>
                          <m:t> </m:t>
                        </m:r>
                        <m:r>
                          <a:rPr lang="es-ES" sz="1100" b="0" i="1">
                            <a:latin typeface="Cambria Math" panose="02040503050406030204" pitchFamily="18" charset="0"/>
                          </a:rPr>
                          <m:t>𝐶𝑢𝑒𝑛𝑡𝑎</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m:t>
                        </m:r>
                        <m:r>
                          <a:rPr lang="es-ES" sz="1100" b="0" i="1">
                            <a:latin typeface="Cambria Math" panose="02040503050406030204" pitchFamily="18" charset="0"/>
                          </a:rPr>
                          <m:t>𝑆𝑎𝑙𝑑𝑜</m:t>
                        </m:r>
                        <m:r>
                          <a:rPr lang="es-ES" sz="1100" b="0" i="1">
                            <a:latin typeface="Cambria Math" panose="02040503050406030204" pitchFamily="18" charset="0"/>
                          </a:rPr>
                          <m:t> </m:t>
                        </m:r>
                        <m:r>
                          <a:rPr lang="es-ES" sz="1100" b="0" i="1">
                            <a:latin typeface="Cambria Math" panose="02040503050406030204" pitchFamily="18" charset="0"/>
                          </a:rPr>
                          <m:t>𝐶𝑢𝑒𝑛𝑡𝑎</m:t>
                        </m:r>
                        <m:r>
                          <a:rPr lang="es-ES" sz="1100" b="0" i="1">
                            <a:latin typeface="Cambria Math" panose="02040503050406030204" pitchFamily="18" charset="0"/>
                          </a:rPr>
                          <m:t> </m:t>
                        </m:r>
                        <m:r>
                          <a:rPr lang="es-ES" sz="1100" b="0" i="1">
                            <a:latin typeface="Cambria Math" panose="02040503050406030204" pitchFamily="18" charset="0"/>
                          </a:rPr>
                          <m:t>𝐶𝑎𝑝𝑖𝑡𝑎𝑙</m:t>
                        </m:r>
                      </m:num>
                      <m:den>
                        <m:r>
                          <a:rPr lang="es-ES" sz="1100" b="0" i="1">
                            <a:latin typeface="Cambria Math" panose="02040503050406030204" pitchFamily="18" charset="0"/>
                          </a:rPr>
                          <m:t>𝑃𝐼𝐵</m:t>
                        </m:r>
                      </m:den>
                    </m:f>
                    <m:r>
                      <a:rPr lang="es-ES" sz="1100" b="0" i="1">
                        <a:latin typeface="Cambria Math" panose="02040503050406030204" pitchFamily="18" charset="0"/>
                      </a:rPr>
                      <m:t>𝑥</m:t>
                    </m:r>
                    <m:r>
                      <a:rPr lang="es-ES" sz="1100" b="0" i="1">
                        <a:latin typeface="Cambria Math" panose="02040503050406030204" pitchFamily="18" charset="0"/>
                      </a:rPr>
                      <m:t>100</m:t>
                    </m:r>
                  </m:oMath>
                </m:oMathPara>
              </a14:m>
              <a:endParaRPr lang="es-ES" sz="1100" b="0"/>
            </a:p>
            <a:p>
              <a:endParaRPr lang="es-ES" sz="1100"/>
            </a:p>
          </xdr:txBody>
        </xdr:sp>
      </mc:Choice>
      <mc:Fallback xmlns="">
        <xdr:sp macro="" textlink="">
          <xdr:nvSpPr>
            <xdr:cNvPr id="13" name="CuadroTexto 12">
              <a:extLst>
                <a:ext uri="{FF2B5EF4-FFF2-40B4-BE49-F238E27FC236}">
                  <a16:creationId xmlns:a16="http://schemas.microsoft.com/office/drawing/2014/main" id="{65C666A4-BC4E-21DA-13F6-022C30F823DB}"/>
                </a:ext>
              </a:extLst>
            </xdr:cNvPr>
            <xdr:cNvSpPr txBox="1"/>
          </xdr:nvSpPr>
          <xdr:spPr>
            <a:xfrm>
              <a:off x="7947660" y="17194530"/>
              <a:ext cx="5323317" cy="492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𝑁𝑒𝑐𝑒𝑠𝑖𝑑𝑎𝑑 𝑑𝑒 𝐹𝑖𝑛𝑎𝑛𝑐𝑖𝑎𝑐𝑖𝑜𝑛=(𝑆𝑎𝑙𝑑𝑜 𝐶𝑢𝑒𝑛𝑡𝑎 𝐶𝑜𝑟𝑟𝑖𝑒𝑛𝑡𝑒+𝑆𝑎𝑙𝑑𝑜 𝐶𝑢𝑒𝑛𝑡𝑎 𝐶𝑎𝑝𝑖𝑡𝑎𝑙)/𝑃𝐼𝐵 𝑥100</a:t>
              </a:r>
              <a:endParaRPr lang="es-ES" sz="1100" b="0"/>
            </a:p>
            <a:p>
              <a:endParaRPr lang="es-ES" sz="1100"/>
            </a:p>
          </xdr:txBody>
        </xdr:sp>
      </mc:Fallback>
    </mc:AlternateContent>
    <xdr:clientData/>
  </xdr:oneCellAnchor>
  <xdr:twoCellAnchor editAs="oneCell">
    <xdr:from>
      <xdr:col>0</xdr:col>
      <xdr:colOff>0</xdr:colOff>
      <xdr:row>97</xdr:row>
      <xdr:rowOff>175260</xdr:rowOff>
    </xdr:from>
    <xdr:to>
      <xdr:col>6</xdr:col>
      <xdr:colOff>50671</xdr:colOff>
      <xdr:row>106</xdr:row>
      <xdr:rowOff>110711</xdr:rowOff>
    </xdr:to>
    <xdr:pic>
      <xdr:nvPicPr>
        <xdr:cNvPr id="14" name="Imagen 13">
          <a:extLst>
            <a:ext uri="{FF2B5EF4-FFF2-40B4-BE49-F238E27FC236}">
              <a16:creationId xmlns:a16="http://schemas.microsoft.com/office/drawing/2014/main" id="{FCEBCECE-7A9A-1BDB-A683-31705F44E11A}"/>
            </a:ext>
          </a:extLst>
        </xdr:cNvPr>
        <xdr:cNvPicPr>
          <a:picLocks noChangeAspect="1"/>
        </xdr:cNvPicPr>
      </xdr:nvPicPr>
      <xdr:blipFill>
        <a:blip xmlns:r="http://schemas.openxmlformats.org/officeDocument/2006/relationships" r:embed="rId4"/>
        <a:stretch>
          <a:fillRect/>
        </a:stretch>
      </xdr:blipFill>
      <xdr:spPr>
        <a:xfrm>
          <a:off x="0" y="19651980"/>
          <a:ext cx="8173591" cy="1581371"/>
        </a:xfrm>
        <a:prstGeom prst="rect">
          <a:avLst/>
        </a:prstGeom>
      </xdr:spPr>
    </xdr:pic>
    <xdr:clientData/>
  </xdr:twoCellAnchor>
  <xdr:twoCellAnchor editAs="oneCell">
    <xdr:from>
      <xdr:col>0</xdr:col>
      <xdr:colOff>0</xdr:colOff>
      <xdr:row>125</xdr:row>
      <xdr:rowOff>114300</xdr:rowOff>
    </xdr:from>
    <xdr:to>
      <xdr:col>5</xdr:col>
      <xdr:colOff>1195561</xdr:colOff>
      <xdr:row>139</xdr:row>
      <xdr:rowOff>145142</xdr:rowOff>
    </xdr:to>
    <xdr:pic>
      <xdr:nvPicPr>
        <xdr:cNvPr id="15" name="Imagen 14">
          <a:extLst>
            <a:ext uri="{FF2B5EF4-FFF2-40B4-BE49-F238E27FC236}">
              <a16:creationId xmlns:a16="http://schemas.microsoft.com/office/drawing/2014/main" id="{DBB9CABF-69E0-B44C-48AA-07ED32482D0C}"/>
            </a:ext>
          </a:extLst>
        </xdr:cNvPr>
        <xdr:cNvPicPr>
          <a:picLocks noChangeAspect="1"/>
        </xdr:cNvPicPr>
      </xdr:nvPicPr>
      <xdr:blipFill>
        <a:blip xmlns:r="http://schemas.openxmlformats.org/officeDocument/2006/relationships" r:embed="rId5"/>
        <a:stretch>
          <a:fillRect/>
        </a:stretch>
      </xdr:blipFill>
      <xdr:spPr>
        <a:xfrm>
          <a:off x="0" y="24841200"/>
          <a:ext cx="8068801" cy="2591162"/>
        </a:xfrm>
        <a:prstGeom prst="rect">
          <a:avLst/>
        </a:prstGeom>
      </xdr:spPr>
    </xdr:pic>
    <xdr:clientData/>
  </xdr:twoCellAnchor>
  <xdr:twoCellAnchor editAs="oneCell">
    <xdr:from>
      <xdr:col>0</xdr:col>
      <xdr:colOff>0</xdr:colOff>
      <xdr:row>152</xdr:row>
      <xdr:rowOff>91440</xdr:rowOff>
    </xdr:from>
    <xdr:to>
      <xdr:col>6</xdr:col>
      <xdr:colOff>12565</xdr:colOff>
      <xdr:row>160</xdr:row>
      <xdr:rowOff>143086</xdr:rowOff>
    </xdr:to>
    <xdr:pic>
      <xdr:nvPicPr>
        <xdr:cNvPr id="16" name="Imagen 15">
          <a:extLst>
            <a:ext uri="{FF2B5EF4-FFF2-40B4-BE49-F238E27FC236}">
              <a16:creationId xmlns:a16="http://schemas.microsoft.com/office/drawing/2014/main" id="{DCE7772D-4AB0-7377-FD96-FB7691BC6ED8}"/>
            </a:ext>
          </a:extLst>
        </xdr:cNvPr>
        <xdr:cNvPicPr>
          <a:picLocks noChangeAspect="1"/>
        </xdr:cNvPicPr>
      </xdr:nvPicPr>
      <xdr:blipFill>
        <a:blip xmlns:r="http://schemas.openxmlformats.org/officeDocument/2006/relationships" r:embed="rId6"/>
        <a:stretch>
          <a:fillRect/>
        </a:stretch>
      </xdr:blipFill>
      <xdr:spPr>
        <a:xfrm>
          <a:off x="0" y="29809440"/>
          <a:ext cx="8135485" cy="15146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434340</xdr:colOff>
      <xdr:row>0</xdr:row>
      <xdr:rowOff>80010</xdr:rowOff>
    </xdr:from>
    <xdr:to>
      <xdr:col>16</xdr:col>
      <xdr:colOff>251460</xdr:colOff>
      <xdr:row>9</xdr:row>
      <xdr:rowOff>171450</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7</xdr:row>
      <xdr:rowOff>87630</xdr:rowOff>
    </xdr:from>
    <xdr:to>
      <xdr:col>10</xdr:col>
      <xdr:colOff>91440</xdr:colOff>
      <xdr:row>18</xdr:row>
      <xdr:rowOff>118110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20</xdr:row>
      <xdr:rowOff>179070</xdr:rowOff>
    </xdr:from>
    <xdr:to>
      <xdr:col>15</xdr:col>
      <xdr:colOff>220980</xdr:colOff>
      <xdr:row>35</xdr:row>
      <xdr:rowOff>125730</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266700</xdr:colOff>
      <xdr:row>25</xdr:row>
      <xdr:rowOff>57150</xdr:rowOff>
    </xdr:from>
    <xdr:to>
      <xdr:col>16</xdr:col>
      <xdr:colOff>83820</xdr:colOff>
      <xdr:row>40</xdr:row>
      <xdr:rowOff>3810</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586740</xdr:colOff>
      <xdr:row>48</xdr:row>
      <xdr:rowOff>11430</xdr:rowOff>
    </xdr:from>
    <xdr:to>
      <xdr:col>11</xdr:col>
      <xdr:colOff>403860</xdr:colOff>
      <xdr:row>63</xdr:row>
      <xdr:rowOff>11430</xdr:rowOff>
    </xdr:to>
    <xdr:graphicFrame macro="">
      <xdr:nvGraphicFramePr>
        <xdr:cNvPr id="9" name="Gráfico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274320</xdr:colOff>
      <xdr:row>70</xdr:row>
      <xdr:rowOff>3810</xdr:rowOff>
    </xdr:from>
    <xdr:to>
      <xdr:col>10</xdr:col>
      <xdr:colOff>91440</xdr:colOff>
      <xdr:row>85</xdr:row>
      <xdr:rowOff>3810</xdr:rowOff>
    </xdr:to>
    <xdr:graphicFrame macro="">
      <xdr:nvGraphicFramePr>
        <xdr:cNvPr id="10" name="Gráfico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213360</xdr:colOff>
      <xdr:row>92</xdr:row>
      <xdr:rowOff>34290</xdr:rowOff>
    </xdr:from>
    <xdr:to>
      <xdr:col>14</xdr:col>
      <xdr:colOff>30480</xdr:colOff>
      <xdr:row>104</xdr:row>
      <xdr:rowOff>156210</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426720</xdr:colOff>
      <xdr:row>114</xdr:row>
      <xdr:rowOff>102870</xdr:rowOff>
    </xdr:from>
    <xdr:to>
      <xdr:col>15</xdr:col>
      <xdr:colOff>243840</xdr:colOff>
      <xdr:row>121</xdr:row>
      <xdr:rowOff>64770</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274320</xdr:colOff>
      <xdr:row>116</xdr:row>
      <xdr:rowOff>3810</xdr:rowOff>
    </xdr:from>
    <xdr:to>
      <xdr:col>10</xdr:col>
      <xdr:colOff>91440</xdr:colOff>
      <xdr:row>122</xdr:row>
      <xdr:rowOff>41910</xdr:rowOff>
    </xdr:to>
    <xdr:graphicFrame macro="">
      <xdr:nvGraphicFramePr>
        <xdr:cNvPr id="8" name="Gráfico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274320</xdr:colOff>
      <xdr:row>129</xdr:row>
      <xdr:rowOff>369570</xdr:rowOff>
    </xdr:from>
    <xdr:to>
      <xdr:col>10</xdr:col>
      <xdr:colOff>91440</xdr:colOff>
      <xdr:row>138</xdr:row>
      <xdr:rowOff>34290</xdr:rowOff>
    </xdr:to>
    <xdr:graphicFrame macro="">
      <xdr:nvGraphicFramePr>
        <xdr:cNvPr id="17" name="Gráfico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304800</xdr:colOff>
      <xdr:row>148</xdr:row>
      <xdr:rowOff>85725</xdr:rowOff>
    </xdr:from>
    <xdr:to>
      <xdr:col>14</xdr:col>
      <xdr:colOff>133350</xdr:colOff>
      <xdr:row>163</xdr:row>
      <xdr:rowOff>114300</xdr:rowOff>
    </xdr:to>
    <xdr:graphicFrame macro="">
      <xdr:nvGraphicFramePr>
        <xdr:cNvPr id="11" name="Gráfico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774382</xdr:colOff>
      <xdr:row>163</xdr:row>
      <xdr:rowOff>106680</xdr:rowOff>
    </xdr:from>
    <xdr:to>
      <xdr:col>13</xdr:col>
      <xdr:colOff>608647</xdr:colOff>
      <xdr:row>178</xdr:row>
      <xdr:rowOff>133350</xdr:rowOff>
    </xdr:to>
    <xdr:graphicFrame macro="">
      <xdr:nvGraphicFramePr>
        <xdr:cNvPr id="12" name="Gráfico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1:O380"/>
  <sheetViews>
    <sheetView topLeftCell="A181" zoomScale="71" zoomScaleNormal="100" workbookViewId="0">
      <selection activeCell="G366" sqref="G366"/>
    </sheetView>
  </sheetViews>
  <sheetFormatPr baseColWidth="10" defaultColWidth="8.88671875" defaultRowHeight="14.4" x14ac:dyDescent="0.3"/>
  <cols>
    <col min="2" max="2" width="16" customWidth="1"/>
    <col min="3" max="3" width="20.6640625" customWidth="1"/>
    <col min="4" max="4" width="19.6640625" customWidth="1"/>
    <col min="5" max="5" width="14.88671875" customWidth="1"/>
    <col min="6" max="6" width="12.33203125" bestFit="1" customWidth="1"/>
    <col min="7" max="7" width="12.6640625" bestFit="1" customWidth="1"/>
    <col min="8" max="8" width="12.88671875" bestFit="1" customWidth="1"/>
  </cols>
  <sheetData>
    <row r="81" spans="2:9" x14ac:dyDescent="0.3">
      <c r="G81" t="s">
        <v>11</v>
      </c>
    </row>
    <row r="82" spans="2:9" ht="15" thickBot="1" x14ac:dyDescent="0.35">
      <c r="B82" s="2"/>
      <c r="C82" s="3"/>
      <c r="D82" s="2"/>
      <c r="E82" s="2"/>
      <c r="F82" s="2"/>
      <c r="G82" s="2"/>
    </row>
    <row r="83" spans="2:9" ht="29.4" thickBot="1" x14ac:dyDescent="0.35">
      <c r="B83" s="2"/>
      <c r="C83" s="2"/>
      <c r="D83" s="4" t="s">
        <v>0</v>
      </c>
      <c r="E83" s="5" t="s">
        <v>1</v>
      </c>
      <c r="F83" s="5" t="s">
        <v>2</v>
      </c>
      <c r="G83" s="5" t="s">
        <v>3</v>
      </c>
    </row>
    <row r="84" spans="2:9" ht="29.4" thickBot="1" x14ac:dyDescent="0.35">
      <c r="B84" s="2"/>
      <c r="C84" s="6" t="s">
        <v>4</v>
      </c>
      <c r="D84" s="7">
        <v>54.82</v>
      </c>
      <c r="E84" s="8">
        <v>2.5</v>
      </c>
      <c r="F84" s="9">
        <f t="shared" ref="F84:F90" si="0">D84/$D$90</f>
        <v>0.52971301575031404</v>
      </c>
      <c r="G84" s="8">
        <f>E84*F84</f>
        <v>1.3242825393757851</v>
      </c>
    </row>
    <row r="85" spans="2:9" ht="29.4" thickBot="1" x14ac:dyDescent="0.35">
      <c r="B85" s="2"/>
      <c r="C85" s="10" t="s">
        <v>5</v>
      </c>
      <c r="D85" s="8">
        <v>9.25</v>
      </c>
      <c r="E85" s="8">
        <v>3</v>
      </c>
      <c r="F85" s="9">
        <f t="shared" si="0"/>
        <v>8.9380616484684511E-2</v>
      </c>
      <c r="G85" s="8">
        <f t="shared" ref="G85:G89" si="1">E85*F85</f>
        <v>0.2681418494540535</v>
      </c>
    </row>
    <row r="86" spans="2:9" ht="15" thickBot="1" x14ac:dyDescent="0.35">
      <c r="B86" s="2"/>
      <c r="C86" s="10" t="s">
        <v>6</v>
      </c>
      <c r="D86" s="8">
        <v>17.95</v>
      </c>
      <c r="E86" s="8">
        <v>2.2999999999999998</v>
      </c>
      <c r="F86" s="9">
        <f t="shared" si="0"/>
        <v>0.17344670982703644</v>
      </c>
      <c r="G86" s="8">
        <f t="shared" si="1"/>
        <v>0.39892743260218377</v>
      </c>
    </row>
    <row r="87" spans="2:9" ht="58.2" thickBot="1" x14ac:dyDescent="0.35">
      <c r="B87" s="2"/>
      <c r="C87" s="10" t="s">
        <v>7</v>
      </c>
      <c r="D87" s="8">
        <v>4.51</v>
      </c>
      <c r="E87" s="8">
        <v>1.2</v>
      </c>
      <c r="F87" s="9">
        <f t="shared" si="0"/>
        <v>4.3579089767127259E-2</v>
      </c>
      <c r="G87" s="8">
        <f t="shared" si="1"/>
        <v>5.2294907720552709E-2</v>
      </c>
    </row>
    <row r="88" spans="2:9" ht="29.4" thickBot="1" x14ac:dyDescent="0.35">
      <c r="B88" s="2"/>
      <c r="C88" s="10" t="s">
        <v>8</v>
      </c>
      <c r="D88" s="8">
        <v>4.32</v>
      </c>
      <c r="E88" s="8">
        <v>2.6</v>
      </c>
      <c r="F88" s="9">
        <f t="shared" si="0"/>
        <v>4.1743163590685098E-2</v>
      </c>
      <c r="G88" s="8">
        <f t="shared" si="1"/>
        <v>0.10853222533578126</v>
      </c>
    </row>
    <row r="89" spans="2:9" ht="29.4" thickBot="1" x14ac:dyDescent="0.35">
      <c r="B89" s="2"/>
      <c r="C89" s="10" t="s">
        <v>9</v>
      </c>
      <c r="D89" s="8">
        <v>12.64</v>
      </c>
      <c r="E89" s="8">
        <v>1.9</v>
      </c>
      <c r="F89" s="9">
        <f t="shared" si="0"/>
        <v>0.12213740458015268</v>
      </c>
      <c r="G89" s="8">
        <f t="shared" si="1"/>
        <v>0.2320610687022901</v>
      </c>
    </row>
    <row r="90" spans="2:9" ht="15" thickBot="1" x14ac:dyDescent="0.35">
      <c r="B90" s="2"/>
      <c r="C90" s="10" t="s">
        <v>10</v>
      </c>
      <c r="D90" s="8">
        <v>103.49</v>
      </c>
      <c r="E90" s="9"/>
      <c r="F90" s="9">
        <f t="shared" si="0"/>
        <v>1</v>
      </c>
      <c r="G90" s="8">
        <f>SUM(G84:G89)</f>
        <v>2.3842400231906464</v>
      </c>
      <c r="H90" t="s">
        <v>20</v>
      </c>
      <c r="I90">
        <f>G90/100+1</f>
        <v>1.0238424002319064</v>
      </c>
    </row>
    <row r="93" spans="2:9" x14ac:dyDescent="0.3">
      <c r="C93" s="16" t="s">
        <v>21</v>
      </c>
    </row>
    <row r="98" spans="2:4" ht="15" thickBot="1" x14ac:dyDescent="0.35"/>
    <row r="99" spans="2:4" ht="15" thickBot="1" x14ac:dyDescent="0.35">
      <c r="B99" s="483"/>
      <c r="C99" s="474" t="s">
        <v>12</v>
      </c>
      <c r="D99" s="476"/>
    </row>
    <row r="100" spans="2:4" ht="15" thickBot="1" x14ac:dyDescent="0.35">
      <c r="B100" s="484"/>
      <c r="C100" s="11">
        <v>2019</v>
      </c>
      <c r="D100" s="12" t="s">
        <v>13</v>
      </c>
    </row>
    <row r="101" spans="2:4" ht="43.8" thickBot="1" x14ac:dyDescent="0.35">
      <c r="B101" s="10" t="s">
        <v>14</v>
      </c>
      <c r="C101" s="13">
        <v>26269</v>
      </c>
      <c r="D101" s="1">
        <f>(C101/$C$107)*100</f>
        <v>6.3868377992652547</v>
      </c>
    </row>
    <row r="102" spans="2:4" ht="58.2" thickBot="1" x14ac:dyDescent="0.35">
      <c r="B102" s="10" t="s">
        <v>15</v>
      </c>
      <c r="C102" s="13">
        <v>67614</v>
      </c>
      <c r="D102" s="1">
        <f t="shared" ref="D102:D106" si="2">(C102/$C$107)*100</f>
        <v>16.439135519415316</v>
      </c>
    </row>
    <row r="103" spans="2:4" ht="15" thickBot="1" x14ac:dyDescent="0.35">
      <c r="B103" s="10" t="s">
        <v>16</v>
      </c>
      <c r="C103" s="13">
        <v>4625</v>
      </c>
      <c r="D103" s="1">
        <f t="shared" si="2"/>
        <v>1.1244860794701665</v>
      </c>
    </row>
    <row r="104" spans="2:4" ht="15" thickBot="1" x14ac:dyDescent="0.35">
      <c r="B104" s="10" t="s">
        <v>17</v>
      </c>
      <c r="C104" s="13">
        <v>12983</v>
      </c>
      <c r="D104" s="1">
        <f t="shared" si="2"/>
        <v>3.1565843826510642</v>
      </c>
    </row>
    <row r="105" spans="2:4" ht="29.4" thickBot="1" x14ac:dyDescent="0.35">
      <c r="B105" s="10" t="s">
        <v>18</v>
      </c>
      <c r="C105" s="13">
        <v>253344</v>
      </c>
      <c r="D105" s="1">
        <f t="shared" si="2"/>
        <v>61.5960651496843</v>
      </c>
    </row>
    <row r="106" spans="2:4" ht="29.4" thickBot="1" x14ac:dyDescent="0.35">
      <c r="B106" s="10" t="s">
        <v>19</v>
      </c>
      <c r="C106" s="13">
        <v>46464</v>
      </c>
      <c r="D106" s="1">
        <f t="shared" si="2"/>
        <v>11.296891069513906</v>
      </c>
    </row>
    <row r="107" spans="2:4" ht="15" thickBot="1" x14ac:dyDescent="0.35">
      <c r="B107" s="14" t="s">
        <v>10</v>
      </c>
      <c r="C107" s="13">
        <v>411299</v>
      </c>
      <c r="D107" s="1"/>
    </row>
    <row r="127" spans="2:5" ht="15" thickBot="1" x14ac:dyDescent="0.35"/>
    <row r="128" spans="2:5" ht="15" thickBot="1" x14ac:dyDescent="0.35">
      <c r="B128" s="17"/>
      <c r="C128" s="15" t="s">
        <v>22</v>
      </c>
      <c r="D128" s="15" t="s">
        <v>23</v>
      </c>
      <c r="E128" s="15" t="s">
        <v>24</v>
      </c>
    </row>
    <row r="129" spans="2:6" ht="15" thickBot="1" x14ac:dyDescent="0.35">
      <c r="B129" s="18" t="s">
        <v>25</v>
      </c>
      <c r="C129" s="19">
        <v>17892</v>
      </c>
      <c r="D129" s="19">
        <v>18495</v>
      </c>
      <c r="E129" s="1">
        <f>(D129-C129)/C129*100</f>
        <v>3.3702213279678066</v>
      </c>
    </row>
    <row r="130" spans="2:6" ht="15" thickBot="1" x14ac:dyDescent="0.35">
      <c r="B130" s="18" t="s">
        <v>26</v>
      </c>
      <c r="C130" s="19">
        <v>90993</v>
      </c>
      <c r="D130" s="19">
        <v>96756</v>
      </c>
      <c r="E130" s="1">
        <f t="shared" ref="E130:E133" si="3">(D130-C130)/C130*100</f>
        <v>6.3334542217533221</v>
      </c>
    </row>
    <row r="131" spans="2:6" ht="15" thickBot="1" x14ac:dyDescent="0.35">
      <c r="B131" s="18" t="s">
        <v>27</v>
      </c>
      <c r="C131" s="19">
        <v>39512</v>
      </c>
      <c r="D131" s="19">
        <v>40608</v>
      </c>
      <c r="E131" s="1">
        <f t="shared" si="3"/>
        <v>2.7738408584733749</v>
      </c>
    </row>
    <row r="132" spans="2:6" ht="15" thickBot="1" x14ac:dyDescent="0.35">
      <c r="B132" s="18" t="s">
        <v>28</v>
      </c>
      <c r="C132" s="19">
        <v>278041</v>
      </c>
      <c r="D132" s="19">
        <v>293062</v>
      </c>
      <c r="E132" s="1">
        <f t="shared" si="3"/>
        <v>5.4024406472426723</v>
      </c>
    </row>
    <row r="133" spans="2:6" ht="15" thickBot="1" x14ac:dyDescent="0.35">
      <c r="B133" s="20" t="s">
        <v>10</v>
      </c>
      <c r="C133" s="21">
        <v>426438</v>
      </c>
      <c r="D133" s="21">
        <v>448921</v>
      </c>
      <c r="E133" s="1">
        <f t="shared" si="3"/>
        <v>5.2722787368855499</v>
      </c>
    </row>
    <row r="134" spans="2:6" ht="15" thickBot="1" x14ac:dyDescent="0.35">
      <c r="B134" s="22"/>
    </row>
    <row r="135" spans="2:6" x14ac:dyDescent="0.3">
      <c r="B135" s="483"/>
      <c r="C135" s="24" t="s">
        <v>29</v>
      </c>
      <c r="D135" s="485"/>
      <c r="E135" s="485"/>
      <c r="F135" s="24" t="s">
        <v>29</v>
      </c>
    </row>
    <row r="136" spans="2:6" ht="29.4" thickBot="1" x14ac:dyDescent="0.35">
      <c r="B136" s="484"/>
      <c r="C136" s="11" t="s">
        <v>30</v>
      </c>
      <c r="D136" s="486"/>
      <c r="E136" s="486"/>
      <c r="F136" s="11" t="s">
        <v>30</v>
      </c>
    </row>
    <row r="137" spans="2:6" ht="15" thickBot="1" x14ac:dyDescent="0.35">
      <c r="B137" s="26" t="s">
        <v>31</v>
      </c>
      <c r="C137" s="8">
        <v>96.24</v>
      </c>
      <c r="D137" s="25"/>
      <c r="E137" s="11" t="s">
        <v>32</v>
      </c>
      <c r="F137" s="8">
        <v>92.97</v>
      </c>
    </row>
    <row r="138" spans="2:6" ht="15" thickBot="1" x14ac:dyDescent="0.35">
      <c r="B138" s="26" t="s">
        <v>33</v>
      </c>
      <c r="C138" s="8">
        <v>95.94</v>
      </c>
      <c r="D138" s="25"/>
      <c r="E138" s="11" t="s">
        <v>34</v>
      </c>
      <c r="F138" s="8">
        <v>96.23</v>
      </c>
    </row>
    <row r="139" spans="2:6" ht="15" thickBot="1" x14ac:dyDescent="0.35">
      <c r="B139" s="26" t="s">
        <v>35</v>
      </c>
      <c r="C139" s="8">
        <v>96.04</v>
      </c>
      <c r="D139" s="25"/>
      <c r="E139" s="11" t="s">
        <v>36</v>
      </c>
      <c r="F139" s="8">
        <v>100.45</v>
      </c>
    </row>
    <row r="140" spans="2:6" ht="15" thickBot="1" x14ac:dyDescent="0.35">
      <c r="B140" s="26" t="s">
        <v>37</v>
      </c>
      <c r="C140" s="8">
        <v>104.33</v>
      </c>
      <c r="D140" s="25"/>
      <c r="E140" s="11" t="s">
        <v>38</v>
      </c>
      <c r="F140" s="8">
        <v>97.27</v>
      </c>
    </row>
    <row r="141" spans="2:6" ht="15" thickBot="1" x14ac:dyDescent="0.35">
      <c r="B141" s="26" t="s">
        <v>39</v>
      </c>
      <c r="C141" s="8">
        <v>92.05</v>
      </c>
      <c r="D141" s="25"/>
      <c r="E141" s="11" t="s">
        <v>40</v>
      </c>
      <c r="F141" s="8">
        <v>97.79</v>
      </c>
    </row>
    <row r="142" spans="2:6" ht="15" thickBot="1" x14ac:dyDescent="0.35">
      <c r="B142" s="26" t="s">
        <v>41</v>
      </c>
      <c r="C142" s="8">
        <v>94.73</v>
      </c>
      <c r="D142" s="25"/>
      <c r="E142" s="11" t="s">
        <v>42</v>
      </c>
      <c r="F142" s="8">
        <v>98.66</v>
      </c>
    </row>
    <row r="143" spans="2:6" ht="15" thickBot="1" x14ac:dyDescent="0.35">
      <c r="B143" s="26" t="s">
        <v>43</v>
      </c>
      <c r="C143" s="8">
        <v>104.64</v>
      </c>
      <c r="D143" s="25"/>
      <c r="E143" s="12" t="s">
        <v>44</v>
      </c>
      <c r="F143" s="1">
        <v>105.38</v>
      </c>
    </row>
    <row r="144" spans="2:6" ht="15" thickBot="1" x14ac:dyDescent="0.35">
      <c r="B144" s="26" t="s">
        <v>45</v>
      </c>
      <c r="C144" s="8">
        <v>105.8</v>
      </c>
      <c r="D144" s="25"/>
      <c r="E144" s="12" t="s">
        <v>46</v>
      </c>
      <c r="F144" s="1">
        <v>105.21</v>
      </c>
    </row>
    <row r="145" spans="2:6" ht="15" thickBot="1" x14ac:dyDescent="0.35">
      <c r="B145" s="26" t="s">
        <v>47</v>
      </c>
      <c r="C145" s="8">
        <v>95.95</v>
      </c>
      <c r="D145" s="25"/>
      <c r="E145" s="12" t="s">
        <v>48</v>
      </c>
      <c r="F145" s="1">
        <v>98.35</v>
      </c>
    </row>
    <row r="146" spans="2:6" ht="15" thickBot="1" x14ac:dyDescent="0.35">
      <c r="B146" s="26" t="s">
        <v>49</v>
      </c>
      <c r="C146" s="8">
        <v>92.77</v>
      </c>
      <c r="D146" s="25"/>
      <c r="E146" s="25"/>
      <c r="F146" s="25"/>
    </row>
    <row r="147" spans="2:6" ht="15" thickBot="1" x14ac:dyDescent="0.35">
      <c r="B147" s="26" t="s">
        <v>50</v>
      </c>
      <c r="C147" s="8">
        <v>90.85</v>
      </c>
      <c r="D147" s="25"/>
      <c r="E147" s="25"/>
      <c r="F147" s="25"/>
    </row>
    <row r="148" spans="2:6" ht="15" thickBot="1" x14ac:dyDescent="0.35">
      <c r="B148" s="26" t="s">
        <v>51</v>
      </c>
      <c r="C148" s="8">
        <v>100.42</v>
      </c>
      <c r="D148" s="25"/>
      <c r="E148" s="25"/>
      <c r="F148" s="25"/>
    </row>
    <row r="149" spans="2:6" ht="15" thickBot="1" x14ac:dyDescent="0.35">
      <c r="B149" s="22"/>
    </row>
    <row r="150" spans="2:6" ht="15" thickBot="1" x14ac:dyDescent="0.35">
      <c r="B150" s="487"/>
      <c r="C150" s="488"/>
      <c r="D150" s="15" t="s">
        <v>52</v>
      </c>
    </row>
    <row r="151" spans="2:6" ht="15" thickBot="1" x14ac:dyDescent="0.35">
      <c r="B151" s="489" t="s">
        <v>53</v>
      </c>
      <c r="C151" s="490"/>
      <c r="D151" s="1">
        <f>(F144-C144)*100/C144</f>
        <v>-0.55765595463138318</v>
      </c>
    </row>
    <row r="152" spans="2:6" ht="15" thickBot="1" x14ac:dyDescent="0.35">
      <c r="B152" s="489" t="s">
        <v>54</v>
      </c>
      <c r="C152" s="490"/>
      <c r="D152" s="1">
        <f>(F144-C148)*100/C148</f>
        <v>4.7699661422027404</v>
      </c>
    </row>
    <row r="153" spans="2:6" ht="15" thickBot="1" x14ac:dyDescent="0.35">
      <c r="B153" s="489" t="s">
        <v>55</v>
      </c>
      <c r="C153" s="490"/>
      <c r="D153" s="27">
        <f>(D159-D154)*100/D154</f>
        <v>105.96333538373943</v>
      </c>
    </row>
    <row r="154" spans="2:6" ht="15" thickBot="1" x14ac:dyDescent="0.35">
      <c r="B154" s="485"/>
      <c r="C154" s="28">
        <v>43191</v>
      </c>
      <c r="D154" s="1">
        <f>(F140-F139)*100/F139</f>
        <v>-3.1657541065206636</v>
      </c>
    </row>
    <row r="155" spans="2:6" ht="15" thickBot="1" x14ac:dyDescent="0.35">
      <c r="B155" s="491"/>
      <c r="C155" s="28">
        <v>43221</v>
      </c>
      <c r="D155" s="1">
        <f t="shared" ref="D155:D159" si="4">(F141-F140)*100/F140</f>
        <v>0.53459442788116607</v>
      </c>
    </row>
    <row r="156" spans="2:6" ht="15" thickBot="1" x14ac:dyDescent="0.35">
      <c r="B156" s="491"/>
      <c r="C156" s="28">
        <v>43252</v>
      </c>
      <c r="D156" s="1">
        <f t="shared" si="4"/>
        <v>0.88966151958276951</v>
      </c>
    </row>
    <row r="157" spans="2:6" ht="15" thickBot="1" x14ac:dyDescent="0.35">
      <c r="B157" s="491"/>
      <c r="C157" s="28">
        <v>43282</v>
      </c>
      <c r="D157" s="1">
        <f t="shared" si="4"/>
        <v>6.8112710318264735</v>
      </c>
    </row>
    <row r="158" spans="2:6" ht="15" thickBot="1" x14ac:dyDescent="0.35">
      <c r="B158" s="491"/>
      <c r="C158" s="28">
        <v>43313</v>
      </c>
      <c r="D158" s="1">
        <f t="shared" si="4"/>
        <v>-0.1613209337635241</v>
      </c>
    </row>
    <row r="159" spans="2:6" ht="15" thickBot="1" x14ac:dyDescent="0.35">
      <c r="B159" s="486"/>
      <c r="C159" s="28">
        <v>43344</v>
      </c>
      <c r="D159" s="1">
        <f t="shared" si="4"/>
        <v>-6.520292747837658</v>
      </c>
    </row>
    <row r="160" spans="2:6" ht="15" thickBot="1" x14ac:dyDescent="0.35">
      <c r="B160" s="489" t="s">
        <v>56</v>
      </c>
      <c r="C160" s="490"/>
      <c r="D160" s="1">
        <f>(D162-D161)*100/D161</f>
        <v>5.1818058014435122</v>
      </c>
    </row>
    <row r="161" spans="2:4" ht="15" thickBot="1" x14ac:dyDescent="0.35">
      <c r="B161" s="485"/>
      <c r="C161" s="27" t="s">
        <v>57</v>
      </c>
      <c r="D161" s="1">
        <f>AVERAGE(F140:F142)</f>
        <v>97.90666666666668</v>
      </c>
    </row>
    <row r="162" spans="2:4" ht="15" thickBot="1" x14ac:dyDescent="0.35">
      <c r="B162" s="486"/>
      <c r="C162" s="27" t="s">
        <v>58</v>
      </c>
      <c r="D162" s="1">
        <f>AVERAGE(F143:F145)</f>
        <v>102.97999999999998</v>
      </c>
    </row>
    <row r="206" spans="2:4" ht="15" thickBot="1" x14ac:dyDescent="0.35"/>
    <row r="207" spans="2:4" x14ac:dyDescent="0.3">
      <c r="B207" s="483"/>
      <c r="C207" s="24" t="s">
        <v>59</v>
      </c>
      <c r="D207" s="492" t="s">
        <v>61</v>
      </c>
    </row>
    <row r="208" spans="2:4" ht="15" thickBot="1" x14ac:dyDescent="0.35">
      <c r="B208" s="484"/>
      <c r="C208" s="11" t="s">
        <v>60</v>
      </c>
      <c r="D208" s="493"/>
    </row>
    <row r="209" spans="2:6" ht="15" thickBot="1" x14ac:dyDescent="0.35">
      <c r="B209" s="26">
        <v>2010</v>
      </c>
      <c r="C209" s="13">
        <v>110584</v>
      </c>
      <c r="D209" s="35"/>
    </row>
    <row r="210" spans="2:6" ht="15" thickBot="1" x14ac:dyDescent="0.35">
      <c r="B210" s="26">
        <v>2011</v>
      </c>
      <c r="C210" s="13">
        <v>111906</v>
      </c>
      <c r="D210" s="1">
        <f>(C210-C209)*100/C209</f>
        <v>1.1954713159227375</v>
      </c>
    </row>
    <row r="211" spans="2:6" ht="15" thickBot="1" x14ac:dyDescent="0.35">
      <c r="B211" s="26">
        <v>2012</v>
      </c>
      <c r="C211" s="13">
        <v>111215</v>
      </c>
      <c r="D211" s="1">
        <f t="shared" ref="D211:D216" si="5">(C211-C210)*100/C210</f>
        <v>-0.61748252998051933</v>
      </c>
    </row>
    <row r="212" spans="2:6" ht="15" thickBot="1" x14ac:dyDescent="0.35">
      <c r="B212" s="26">
        <v>2013</v>
      </c>
      <c r="C212" s="13">
        <v>109821</v>
      </c>
      <c r="D212" s="1">
        <f t="shared" si="5"/>
        <v>-1.2534280447781325</v>
      </c>
    </row>
    <row r="213" spans="2:6" ht="15" thickBot="1" x14ac:dyDescent="0.35">
      <c r="B213" s="26">
        <v>2014</v>
      </c>
      <c r="C213" s="13">
        <v>113020</v>
      </c>
      <c r="D213" s="1">
        <f t="shared" si="5"/>
        <v>2.9129219366059314</v>
      </c>
    </row>
    <row r="214" spans="2:6" ht="15" thickBot="1" x14ac:dyDescent="0.35">
      <c r="B214" s="26">
        <v>2015</v>
      </c>
      <c r="C214" s="13">
        <v>118725</v>
      </c>
      <c r="D214" s="1">
        <f>(C214-C213)*100/C213</f>
        <v>5.0477791541320123</v>
      </c>
    </row>
    <row r="215" spans="2:6" ht="15" thickBot="1" x14ac:dyDescent="0.35">
      <c r="B215" s="26">
        <v>2016</v>
      </c>
      <c r="C215" s="13">
        <v>126471</v>
      </c>
      <c r="D215" s="1">
        <f t="shared" si="5"/>
        <v>6.5243209096651924</v>
      </c>
    </row>
    <row r="216" spans="2:6" ht="15" thickBot="1" x14ac:dyDescent="0.35">
      <c r="B216" s="26">
        <v>2017</v>
      </c>
      <c r="C216" s="13">
        <v>137020</v>
      </c>
      <c r="D216" s="1">
        <f t="shared" si="5"/>
        <v>8.3410426105589419</v>
      </c>
      <c r="F216" t="s">
        <v>69</v>
      </c>
    </row>
    <row r="217" spans="2:6" ht="15" thickBot="1" x14ac:dyDescent="0.35">
      <c r="B217" s="23"/>
      <c r="C217" s="29" t="s">
        <v>62</v>
      </c>
      <c r="D217" s="1">
        <f>AVERAGE(D210:D216)</f>
        <v>3.1643750503037373</v>
      </c>
    </row>
    <row r="218" spans="2:6" ht="16.2" thickBot="1" x14ac:dyDescent="0.35">
      <c r="B218" s="30"/>
      <c r="C218" s="29" t="s">
        <v>63</v>
      </c>
      <c r="D218" s="1">
        <f>(((C216/C209) - 1 )* 100)/7</f>
        <v>3.4151155940926623</v>
      </c>
    </row>
    <row r="219" spans="2:6" ht="15" thickBot="1" x14ac:dyDescent="0.35">
      <c r="B219" s="23"/>
      <c r="C219" s="29" t="s">
        <v>64</v>
      </c>
      <c r="D219" s="1">
        <f>(POWER(C216/C209, 1/7) - 1)*100</f>
        <v>3.1095305945665563</v>
      </c>
    </row>
    <row r="220" spans="2:6" ht="15" thickBot="1" x14ac:dyDescent="0.35">
      <c r="B220" s="22"/>
    </row>
    <row r="221" spans="2:6" ht="29.4" thickBot="1" x14ac:dyDescent="0.35">
      <c r="B221" s="17"/>
      <c r="C221" s="31" t="s">
        <v>65</v>
      </c>
      <c r="D221" s="15" t="s">
        <v>66</v>
      </c>
      <c r="E221" s="494"/>
      <c r="F221" s="495"/>
    </row>
    <row r="222" spans="2:6" ht="15" thickBot="1" x14ac:dyDescent="0.35">
      <c r="B222" s="30">
        <v>2007</v>
      </c>
      <c r="C222" s="8">
        <v>110.25</v>
      </c>
      <c r="D222" s="1">
        <f>(C222-$C$225)*100/$C$225</f>
        <v>10.25</v>
      </c>
      <c r="E222" s="494"/>
      <c r="F222" s="495"/>
    </row>
    <row r="223" spans="2:6" ht="15" thickBot="1" x14ac:dyDescent="0.35">
      <c r="B223" s="30">
        <v>2008</v>
      </c>
      <c r="C223" s="8">
        <v>107.41</v>
      </c>
      <c r="D223" s="1">
        <f>(C223-$C$225)*100/$C$225</f>
        <v>7.4099999999999966</v>
      </c>
      <c r="E223" s="494"/>
      <c r="F223" s="495"/>
    </row>
    <row r="224" spans="2:6" ht="15" thickBot="1" x14ac:dyDescent="0.35">
      <c r="B224" s="30">
        <v>2009</v>
      </c>
      <c r="C224" s="8">
        <v>98.28</v>
      </c>
      <c r="D224" s="1">
        <f t="shared" ref="D224:D231" si="6">(C224-$C$225)*100/$C$225</f>
        <v>-1.7199999999999989</v>
      </c>
      <c r="E224" s="494"/>
      <c r="F224" s="495"/>
    </row>
    <row r="225" spans="2:6" ht="15" thickBot="1" x14ac:dyDescent="0.35">
      <c r="B225" s="30">
        <v>2010</v>
      </c>
      <c r="C225" s="8">
        <v>100</v>
      </c>
      <c r="D225" s="1">
        <f t="shared" si="6"/>
        <v>0</v>
      </c>
      <c r="E225" s="494"/>
      <c r="F225" s="495"/>
    </row>
    <row r="226" spans="2:6" ht="15" thickBot="1" x14ac:dyDescent="0.35">
      <c r="B226" s="30">
        <v>2011</v>
      </c>
      <c r="C226" s="8">
        <v>101</v>
      </c>
      <c r="D226" s="1">
        <f t="shared" si="6"/>
        <v>1</v>
      </c>
      <c r="E226" s="494"/>
      <c r="F226" s="495"/>
    </row>
    <row r="227" spans="2:6" ht="15" thickBot="1" x14ac:dyDescent="0.35">
      <c r="B227" s="30">
        <v>2012</v>
      </c>
      <c r="C227" s="8">
        <v>99.5</v>
      </c>
      <c r="D227" s="1">
        <f t="shared" si="6"/>
        <v>-0.5</v>
      </c>
      <c r="E227" s="496"/>
      <c r="F227" s="497"/>
    </row>
    <row r="228" spans="2:6" ht="29.4" thickBot="1" x14ac:dyDescent="0.35">
      <c r="B228" s="30">
        <v>2013</v>
      </c>
      <c r="C228" s="8">
        <v>99.4</v>
      </c>
      <c r="D228" s="1">
        <f t="shared" si="6"/>
        <v>-0.59999999999999432</v>
      </c>
      <c r="E228" s="32" t="s">
        <v>67</v>
      </c>
      <c r="F228" s="33">
        <f>(POWER(C228/C222, 1/6) - 1)*100</f>
        <v>-1.7118190068274641</v>
      </c>
    </row>
    <row r="229" spans="2:6" ht="15" thickBot="1" x14ac:dyDescent="0.35">
      <c r="B229" s="30">
        <v>2014</v>
      </c>
      <c r="C229" s="8">
        <v>103.1</v>
      </c>
      <c r="D229" s="1">
        <f t="shared" si="6"/>
        <v>3.0999999999999943</v>
      </c>
      <c r="E229" s="498"/>
      <c r="F229" s="499"/>
    </row>
    <row r="230" spans="2:6" ht="15" thickBot="1" x14ac:dyDescent="0.35">
      <c r="B230" s="30">
        <v>2015</v>
      </c>
      <c r="C230" s="8">
        <v>107.3</v>
      </c>
      <c r="D230" s="1">
        <f t="shared" si="6"/>
        <v>7.299999999999998</v>
      </c>
      <c r="E230" s="494"/>
      <c r="F230" s="495"/>
    </row>
    <row r="231" spans="2:6" ht="15" thickBot="1" x14ac:dyDescent="0.35">
      <c r="B231" s="30">
        <v>2016</v>
      </c>
      <c r="C231" s="8">
        <v>114.2</v>
      </c>
      <c r="D231" s="1">
        <f t="shared" si="6"/>
        <v>14.200000000000003</v>
      </c>
      <c r="E231" s="496"/>
      <c r="F231" s="497"/>
    </row>
    <row r="232" spans="2:6" ht="29.4" thickBot="1" x14ac:dyDescent="0.35">
      <c r="B232" s="30">
        <v>2017</v>
      </c>
      <c r="C232" s="8">
        <v>120.6</v>
      </c>
      <c r="D232" s="1">
        <f>(C232-$C$225)*100/$C$225</f>
        <v>20.599999999999994</v>
      </c>
      <c r="E232" s="32" t="s">
        <v>68</v>
      </c>
      <c r="F232" s="33">
        <f>(POWER(C228/C232, 1/4) - 1)*100</f>
        <v>-4.7182403257078898</v>
      </c>
    </row>
    <row r="275" spans="2:10" ht="15" thickBot="1" x14ac:dyDescent="0.35"/>
    <row r="276" spans="2:10" ht="15" thickBot="1" x14ac:dyDescent="0.35">
      <c r="B276" s="36"/>
      <c r="C276" s="31">
        <v>2010</v>
      </c>
      <c r="D276" s="31">
        <v>2011</v>
      </c>
      <c r="E276" s="31">
        <v>2012</v>
      </c>
      <c r="F276" s="31">
        <v>2013</v>
      </c>
      <c r="G276" s="31">
        <v>2014</v>
      </c>
      <c r="H276" s="31">
        <v>2015</v>
      </c>
      <c r="I276" s="31">
        <v>2016</v>
      </c>
      <c r="J276" s="31">
        <v>2017</v>
      </c>
    </row>
    <row r="277" spans="2:10" ht="29.4" thickBot="1" x14ac:dyDescent="0.35">
      <c r="B277" s="26" t="s">
        <v>70</v>
      </c>
      <c r="C277" s="13">
        <v>110584</v>
      </c>
      <c r="D277" s="13">
        <v>111906</v>
      </c>
      <c r="E277" s="13">
        <v>111215</v>
      </c>
      <c r="F277" s="13">
        <v>109821</v>
      </c>
      <c r="G277" s="13">
        <v>113020</v>
      </c>
      <c r="H277" s="13">
        <v>118725</v>
      </c>
      <c r="I277" s="13">
        <v>126471</v>
      </c>
      <c r="J277" s="13">
        <v>137020</v>
      </c>
    </row>
    <row r="278" spans="2:10" ht="15" thickBot="1" x14ac:dyDescent="0.35">
      <c r="B278" s="37" t="s">
        <v>71</v>
      </c>
      <c r="C278" s="1">
        <f>(C277/$C$277)*100</f>
        <v>100</v>
      </c>
      <c r="D278" s="1">
        <f t="shared" ref="D278:J278" si="7">(D277/$C$277)*100</f>
        <v>101.19547131592275</v>
      </c>
      <c r="E278" s="1">
        <f t="shared" si="7"/>
        <v>100.57060695941547</v>
      </c>
      <c r="F278" s="1">
        <f t="shared" si="7"/>
        <v>99.31002676698256</v>
      </c>
      <c r="G278" s="1">
        <f t="shared" si="7"/>
        <v>102.20285032192722</v>
      </c>
      <c r="H278" s="1">
        <f t="shared" si="7"/>
        <v>107.36182449540621</v>
      </c>
      <c r="I278" s="1">
        <f t="shared" si="7"/>
        <v>114.36645445995804</v>
      </c>
      <c r="J278" s="1">
        <f t="shared" si="7"/>
        <v>123.90580915864864</v>
      </c>
    </row>
    <row r="279" spans="2:10" ht="29.4" thickBot="1" x14ac:dyDescent="0.35">
      <c r="B279" s="38" t="s">
        <v>72</v>
      </c>
    </row>
    <row r="280" spans="2:10" ht="28.2" thickBot="1" x14ac:dyDescent="0.35">
      <c r="B280" s="39" t="s">
        <v>73</v>
      </c>
      <c r="C280" s="472" t="s">
        <v>74</v>
      </c>
      <c r="D280" s="473"/>
      <c r="E280" s="474" t="s">
        <v>75</v>
      </c>
      <c r="F280" s="475"/>
      <c r="G280" s="476"/>
    </row>
    <row r="281" spans="2:10" ht="15" thickBot="1" x14ac:dyDescent="0.35">
      <c r="B281" s="40"/>
      <c r="C281" s="41">
        <v>2009</v>
      </c>
      <c r="D281" s="42">
        <v>2010</v>
      </c>
      <c r="E281" s="43">
        <v>2009</v>
      </c>
      <c r="F281" s="41">
        <v>2010</v>
      </c>
      <c r="G281" s="34"/>
    </row>
    <row r="282" spans="2:10" ht="15" thickBot="1" x14ac:dyDescent="0.35">
      <c r="B282" s="44" t="s">
        <v>76</v>
      </c>
      <c r="C282" s="45">
        <v>94.2</v>
      </c>
      <c r="D282" s="46">
        <v>103.5</v>
      </c>
      <c r="E282" s="30">
        <f>C282/$C$283*100</f>
        <v>177.06766917293234</v>
      </c>
      <c r="F282" s="1">
        <f>D282/$D$283*100</f>
        <v>197.14285714285717</v>
      </c>
      <c r="G282" s="34"/>
    </row>
    <row r="283" spans="2:10" ht="15" thickBot="1" x14ac:dyDescent="0.35">
      <c r="B283" s="44" t="s">
        <v>77</v>
      </c>
      <c r="C283" s="45">
        <v>53.2</v>
      </c>
      <c r="D283" s="46">
        <v>52.5</v>
      </c>
      <c r="E283" s="30">
        <f t="shared" ref="E283:E291" si="8">C283/$C$283*100</f>
        <v>100</v>
      </c>
      <c r="F283" s="1">
        <f t="shared" ref="F283:F291" si="9">D283/$D$283*100</f>
        <v>100</v>
      </c>
      <c r="G283" s="34"/>
    </row>
    <row r="284" spans="2:10" ht="15" thickBot="1" x14ac:dyDescent="0.35">
      <c r="B284" s="44" t="s">
        <v>78</v>
      </c>
      <c r="C284" s="45">
        <v>49.4</v>
      </c>
      <c r="D284" s="46">
        <v>46.3</v>
      </c>
      <c r="E284" s="30">
        <f t="shared" si="8"/>
        <v>92.857142857142847</v>
      </c>
      <c r="F284" s="1">
        <f t="shared" si="9"/>
        <v>88.19047619047619</v>
      </c>
      <c r="G284" s="34"/>
    </row>
    <row r="285" spans="2:10" ht="15" thickBot="1" x14ac:dyDescent="0.35">
      <c r="B285" s="44" t="s">
        <v>79</v>
      </c>
      <c r="C285" s="45">
        <v>39.700000000000003</v>
      </c>
      <c r="D285" s="46">
        <v>45.8</v>
      </c>
      <c r="E285" s="30">
        <f t="shared" si="8"/>
        <v>74.624060150375939</v>
      </c>
      <c r="F285" s="1">
        <f t="shared" si="9"/>
        <v>87.238095238095241</v>
      </c>
      <c r="G285" s="34"/>
    </row>
    <row r="286" spans="2:10" ht="15" thickBot="1" x14ac:dyDescent="0.35">
      <c r="B286" s="44" t="s">
        <v>80</v>
      </c>
      <c r="C286" s="45">
        <v>40.200000000000003</v>
      </c>
      <c r="D286" s="46">
        <v>38.799999999999997</v>
      </c>
      <c r="E286" s="30">
        <f t="shared" si="8"/>
        <v>75.563909774436084</v>
      </c>
      <c r="F286" s="1">
        <f t="shared" si="9"/>
        <v>73.904761904761898</v>
      </c>
      <c r="G286" s="34"/>
    </row>
    <row r="287" spans="2:10" ht="15" thickBot="1" x14ac:dyDescent="0.35">
      <c r="B287" s="44" t="s">
        <v>81</v>
      </c>
      <c r="C287" s="45">
        <v>34.6</v>
      </c>
      <c r="D287" s="46">
        <v>34.700000000000003</v>
      </c>
      <c r="E287" s="30">
        <f t="shared" si="8"/>
        <v>65.037593984962399</v>
      </c>
      <c r="F287" s="1">
        <f t="shared" si="9"/>
        <v>66.095238095238102</v>
      </c>
      <c r="G287" s="34"/>
    </row>
    <row r="288" spans="2:10" ht="15" thickBot="1" x14ac:dyDescent="0.35">
      <c r="B288" s="44" t="s">
        <v>82</v>
      </c>
      <c r="C288" s="45">
        <v>30.1</v>
      </c>
      <c r="D288" s="46">
        <v>30.4</v>
      </c>
      <c r="E288" s="30">
        <f t="shared" si="8"/>
        <v>56.578947368421048</v>
      </c>
      <c r="F288" s="1">
        <f t="shared" si="9"/>
        <v>57.904761904761905</v>
      </c>
      <c r="G288" s="34"/>
    </row>
    <row r="289" spans="2:10" ht="15" thickBot="1" x14ac:dyDescent="0.35">
      <c r="B289" s="44" t="s">
        <v>83</v>
      </c>
      <c r="C289" s="45">
        <v>25.4</v>
      </c>
      <c r="D289" s="46">
        <v>30.1</v>
      </c>
      <c r="E289" s="30">
        <f t="shared" si="8"/>
        <v>47.744360902255636</v>
      </c>
      <c r="F289" s="1">
        <f t="shared" si="9"/>
        <v>57.333333333333336</v>
      </c>
      <c r="G289" s="34"/>
    </row>
    <row r="290" spans="2:10" ht="28.2" thickBot="1" x14ac:dyDescent="0.35">
      <c r="B290" s="44" t="s">
        <v>84</v>
      </c>
      <c r="C290" s="45">
        <v>16.399999999999999</v>
      </c>
      <c r="D290" s="46">
        <v>23</v>
      </c>
      <c r="E290" s="30">
        <f t="shared" si="8"/>
        <v>30.82706766917293</v>
      </c>
      <c r="F290" s="1">
        <f t="shared" si="9"/>
        <v>43.80952380952381</v>
      </c>
      <c r="G290" s="34"/>
    </row>
    <row r="291" spans="2:10" ht="15" thickBot="1" x14ac:dyDescent="0.35">
      <c r="B291" s="44" t="s">
        <v>85</v>
      </c>
      <c r="C291" s="45">
        <v>21.3</v>
      </c>
      <c r="D291" s="46">
        <v>20.8</v>
      </c>
      <c r="E291" s="30">
        <f t="shared" si="8"/>
        <v>40.037593984962406</v>
      </c>
      <c r="F291" s="1">
        <f t="shared" si="9"/>
        <v>39.61904761904762</v>
      </c>
      <c r="G291" s="34"/>
    </row>
    <row r="294" spans="2:10" ht="43.2" x14ac:dyDescent="0.3">
      <c r="B294" s="47" t="s">
        <v>86</v>
      </c>
    </row>
    <row r="295" spans="2:10" ht="15" thickBot="1" x14ac:dyDescent="0.35">
      <c r="B295" s="48"/>
    </row>
    <row r="296" spans="2:10" x14ac:dyDescent="0.3">
      <c r="B296" s="477" t="s">
        <v>87</v>
      </c>
      <c r="C296" s="478"/>
      <c r="D296" s="477" t="s">
        <v>87</v>
      </c>
      <c r="E296" s="481"/>
      <c r="F296" s="478"/>
      <c r="G296" s="477" t="s">
        <v>90</v>
      </c>
      <c r="H296" s="478"/>
      <c r="I296" s="470"/>
      <c r="J296" s="471"/>
    </row>
    <row r="297" spans="2:10" ht="15" thickBot="1" x14ac:dyDescent="0.35">
      <c r="B297" s="479" t="s">
        <v>88</v>
      </c>
      <c r="C297" s="480"/>
      <c r="D297" s="479" t="s">
        <v>89</v>
      </c>
      <c r="E297" s="482"/>
      <c r="F297" s="480"/>
      <c r="G297" s="479"/>
      <c r="H297" s="480"/>
      <c r="I297" s="470"/>
      <c r="J297" s="471"/>
    </row>
    <row r="298" spans="2:10" ht="15" thickBot="1" x14ac:dyDescent="0.35">
      <c r="B298" s="49">
        <v>2000</v>
      </c>
      <c r="C298" s="1">
        <v>100</v>
      </c>
      <c r="D298" s="25"/>
      <c r="E298" s="25"/>
      <c r="F298" s="466">
        <f>C298/$C$306*100</f>
        <v>90.99181073703366</v>
      </c>
      <c r="G298" s="467"/>
      <c r="H298" s="468"/>
      <c r="I298" s="469"/>
      <c r="J298" s="34"/>
    </row>
    <row r="299" spans="2:10" ht="15" thickBot="1" x14ac:dyDescent="0.35">
      <c r="B299" s="49">
        <v>2001</v>
      </c>
      <c r="C299" s="1">
        <v>101.7</v>
      </c>
      <c r="D299" s="25"/>
      <c r="E299" s="25"/>
      <c r="F299" s="466">
        <f t="shared" ref="F299:F306" si="10">C299/$C$306*100</f>
        <v>92.538671519563238</v>
      </c>
      <c r="G299" s="467"/>
      <c r="H299" s="470"/>
      <c r="I299" s="471"/>
      <c r="J299" s="34"/>
    </row>
    <row r="300" spans="2:10" ht="15" thickBot="1" x14ac:dyDescent="0.35">
      <c r="B300" s="49">
        <v>2002</v>
      </c>
      <c r="C300" s="1">
        <v>100</v>
      </c>
      <c r="D300" s="25"/>
      <c r="E300" s="25"/>
      <c r="F300" s="466">
        <f t="shared" si="10"/>
        <v>90.99181073703366</v>
      </c>
      <c r="G300" s="467"/>
      <c r="H300" s="468"/>
      <c r="I300" s="469"/>
      <c r="J300" s="34"/>
    </row>
    <row r="301" spans="2:10" ht="15" thickBot="1" x14ac:dyDescent="0.35">
      <c r="B301" s="49">
        <v>2003</v>
      </c>
      <c r="C301" s="1">
        <v>102.2</v>
      </c>
      <c r="D301" s="25"/>
      <c r="E301" s="25"/>
      <c r="F301" s="466">
        <f t="shared" si="10"/>
        <v>92.99363057324841</v>
      </c>
      <c r="G301" s="467"/>
      <c r="H301" s="468"/>
      <c r="I301" s="469"/>
      <c r="J301" s="34"/>
    </row>
    <row r="302" spans="2:10" ht="15" thickBot="1" x14ac:dyDescent="0.35">
      <c r="B302" s="49">
        <v>2004</v>
      </c>
      <c r="C302" s="1">
        <v>103.7</v>
      </c>
      <c r="D302" s="25"/>
      <c r="E302" s="25"/>
      <c r="F302" s="466">
        <f t="shared" si="10"/>
        <v>94.358507734303913</v>
      </c>
      <c r="G302" s="467"/>
      <c r="H302" s="468"/>
      <c r="I302" s="469"/>
      <c r="J302" s="34"/>
    </row>
    <row r="303" spans="2:10" ht="15" thickBot="1" x14ac:dyDescent="0.35">
      <c r="B303" s="49">
        <v>2005</v>
      </c>
      <c r="C303" s="1">
        <v>106.8</v>
      </c>
      <c r="D303" s="25"/>
      <c r="E303" s="25"/>
      <c r="F303" s="466">
        <f t="shared" si="10"/>
        <v>97.179253867151942</v>
      </c>
      <c r="G303" s="467"/>
      <c r="H303" s="468"/>
      <c r="I303" s="469"/>
      <c r="J303" s="34"/>
    </row>
    <row r="304" spans="2:10" ht="15" thickBot="1" x14ac:dyDescent="0.35">
      <c r="B304" s="49">
        <v>2006</v>
      </c>
      <c r="C304" s="1">
        <v>110.5</v>
      </c>
      <c r="D304" s="25"/>
      <c r="E304" s="25"/>
      <c r="F304" s="466">
        <f t="shared" si="10"/>
        <v>100.5459508644222</v>
      </c>
      <c r="G304" s="467"/>
      <c r="H304" s="468"/>
      <c r="I304" s="469"/>
      <c r="J304" s="34"/>
    </row>
    <row r="305" spans="2:10" ht="15" thickBot="1" x14ac:dyDescent="0.35">
      <c r="B305" s="49">
        <v>2007</v>
      </c>
      <c r="C305" s="1">
        <v>112.8</v>
      </c>
      <c r="D305" s="25"/>
      <c r="E305" s="25"/>
      <c r="F305" s="466">
        <f t="shared" si="10"/>
        <v>102.63876251137395</v>
      </c>
      <c r="G305" s="467"/>
      <c r="H305" s="468"/>
      <c r="I305" s="469"/>
      <c r="J305" s="34"/>
    </row>
    <row r="306" spans="2:10" ht="15" thickBot="1" x14ac:dyDescent="0.35">
      <c r="B306" s="49">
        <v>2008</v>
      </c>
      <c r="C306" s="1">
        <v>109.9</v>
      </c>
      <c r="D306" s="50">
        <v>2008</v>
      </c>
      <c r="E306" s="1">
        <v>100</v>
      </c>
      <c r="F306" s="466">
        <f t="shared" si="10"/>
        <v>100</v>
      </c>
      <c r="G306" s="467"/>
      <c r="H306" s="468"/>
      <c r="I306" s="469"/>
      <c r="J306" s="34"/>
    </row>
    <row r="307" spans="2:10" ht="15" thickBot="1" x14ac:dyDescent="0.35">
      <c r="B307" s="49">
        <v>2009</v>
      </c>
      <c r="C307" s="25"/>
      <c r="D307" s="50">
        <v>2009</v>
      </c>
      <c r="E307" s="1">
        <v>91.5</v>
      </c>
      <c r="F307" s="466">
        <f>E307/$E$306*100</f>
        <v>91.5</v>
      </c>
      <c r="G307" s="467"/>
      <c r="H307" s="468"/>
      <c r="I307" s="469"/>
      <c r="J307" s="34"/>
    </row>
    <row r="308" spans="2:10" ht="15" thickBot="1" x14ac:dyDescent="0.35">
      <c r="B308" s="49">
        <v>2010</v>
      </c>
      <c r="C308" s="25"/>
      <c r="D308" s="50">
        <v>2010</v>
      </c>
      <c r="E308" s="1">
        <v>93.1</v>
      </c>
      <c r="F308" s="466">
        <f t="shared" ref="F308:F310" si="11">E308/$E$306*100</f>
        <v>93.1</v>
      </c>
      <c r="G308" s="467"/>
      <c r="H308" s="468"/>
      <c r="I308" s="469"/>
      <c r="J308" s="34"/>
    </row>
    <row r="309" spans="2:10" ht="15" thickBot="1" x14ac:dyDescent="0.35">
      <c r="B309" s="49">
        <v>2011</v>
      </c>
      <c r="C309" s="25"/>
      <c r="D309" s="50">
        <v>2011</v>
      </c>
      <c r="E309" s="1">
        <v>95.1</v>
      </c>
      <c r="F309" s="466">
        <f t="shared" si="11"/>
        <v>95.1</v>
      </c>
      <c r="G309" s="467"/>
      <c r="H309" s="468"/>
      <c r="I309" s="469"/>
      <c r="J309" s="34"/>
    </row>
    <row r="310" spans="2:10" ht="15" thickBot="1" x14ac:dyDescent="0.35">
      <c r="B310" s="49">
        <v>2012</v>
      </c>
      <c r="C310" s="25"/>
      <c r="D310" s="50">
        <v>2012</v>
      </c>
      <c r="E310" s="1">
        <v>92.8</v>
      </c>
      <c r="F310" s="466">
        <f t="shared" si="11"/>
        <v>92.8</v>
      </c>
      <c r="G310" s="467"/>
      <c r="H310" s="468"/>
      <c r="I310" s="469"/>
      <c r="J310" s="34"/>
    </row>
    <row r="329" spans="2:7" ht="15" thickBot="1" x14ac:dyDescent="0.35"/>
    <row r="330" spans="2:7" ht="43.8" thickBot="1" x14ac:dyDescent="0.35">
      <c r="B330" s="51" t="s">
        <v>91</v>
      </c>
      <c r="C330" s="31">
        <v>2014</v>
      </c>
      <c r="D330" s="31">
        <v>2015</v>
      </c>
      <c r="E330" s="31" t="s">
        <v>92</v>
      </c>
      <c r="F330" s="15" t="s">
        <v>61</v>
      </c>
      <c r="G330" s="31" t="s">
        <v>93</v>
      </c>
    </row>
    <row r="331" spans="2:7" ht="43.8" thickBot="1" x14ac:dyDescent="0.35">
      <c r="B331" s="14" t="s">
        <v>94</v>
      </c>
      <c r="C331" s="13">
        <v>47836</v>
      </c>
      <c r="D331" s="13">
        <v>50342</v>
      </c>
      <c r="E331" s="1">
        <f>C331/$C$336</f>
        <v>0.42325252167757921</v>
      </c>
      <c r="F331" s="1">
        <f>(D331-C331)*100/C331</f>
        <v>5.238732335479555</v>
      </c>
      <c r="G331" s="1">
        <f>E331*F331</f>
        <v>2.2173066713855953</v>
      </c>
    </row>
    <row r="332" spans="2:7" ht="43.8" thickBot="1" x14ac:dyDescent="0.35">
      <c r="B332" s="14" t="s">
        <v>95</v>
      </c>
      <c r="C332" s="13">
        <v>1982</v>
      </c>
      <c r="D332" s="13">
        <v>1977</v>
      </c>
      <c r="E332" s="1">
        <f t="shared" ref="E332:E335" si="12">C332/$C$336</f>
        <v>1.7536719164749602E-2</v>
      </c>
      <c r="F332" s="1">
        <f t="shared" ref="F332:F336" si="13">(D332-C332)*100/C332</f>
        <v>-0.25227043390514631</v>
      </c>
      <c r="G332" s="1">
        <f t="shared" ref="G332:G335" si="14">E332*F332</f>
        <v>-4.4239957529640774E-3</v>
      </c>
    </row>
    <row r="333" spans="2:7" ht="29.4" thickBot="1" x14ac:dyDescent="0.35">
      <c r="B333" s="14" t="s">
        <v>96</v>
      </c>
      <c r="C333" s="13">
        <v>12919</v>
      </c>
      <c r="D333" s="13">
        <v>13767</v>
      </c>
      <c r="E333" s="1">
        <f t="shared" si="12"/>
        <v>0.11430720226508582</v>
      </c>
      <c r="F333" s="1">
        <f t="shared" si="13"/>
        <v>6.5639755399024695</v>
      </c>
      <c r="G333" s="1">
        <f t="shared" si="14"/>
        <v>0.75030967970270757</v>
      </c>
    </row>
    <row r="334" spans="2:7" ht="29.4" thickBot="1" x14ac:dyDescent="0.35">
      <c r="B334" s="14" t="s">
        <v>97</v>
      </c>
      <c r="C334" s="13">
        <v>56200</v>
      </c>
      <c r="D334" s="13">
        <v>59213</v>
      </c>
      <c r="E334" s="1">
        <f t="shared" si="12"/>
        <v>0.4972571226331623</v>
      </c>
      <c r="F334" s="1">
        <f t="shared" si="13"/>
        <v>5.3612099644128115</v>
      </c>
      <c r="G334" s="1">
        <f t="shared" si="14"/>
        <v>2.6658998407361532</v>
      </c>
    </row>
    <row r="335" spans="2:7" ht="29.4" thickBot="1" x14ac:dyDescent="0.35">
      <c r="B335" s="14" t="s">
        <v>98</v>
      </c>
      <c r="C335" s="13">
        <v>5917</v>
      </c>
      <c r="D335" s="13">
        <v>6574</v>
      </c>
      <c r="E335" s="1">
        <f t="shared" si="12"/>
        <v>5.2353565740576889E-2</v>
      </c>
      <c r="F335" s="1">
        <f t="shared" si="13"/>
        <v>11.103599797194525</v>
      </c>
      <c r="G335" s="1">
        <f t="shared" si="14"/>
        <v>0.58131304193947975</v>
      </c>
    </row>
    <row r="336" spans="2:7" ht="15" thickBot="1" x14ac:dyDescent="0.35">
      <c r="B336" s="26" t="s">
        <v>99</v>
      </c>
      <c r="C336" s="52">
        <v>113020</v>
      </c>
      <c r="D336" s="52">
        <v>118725</v>
      </c>
      <c r="E336" s="50">
        <f>SUM(E331:E335)</f>
        <v>1.1047071314811538</v>
      </c>
      <c r="F336" s="1">
        <f t="shared" si="13"/>
        <v>5.0477791541320123</v>
      </c>
      <c r="G336" s="1">
        <f>E336*F336</f>
        <v>5.5763176297115402</v>
      </c>
    </row>
    <row r="368" ht="15" thickBot="1" x14ac:dyDescent="0.35"/>
    <row r="369" spans="2:15" ht="29.4" thickBot="1" x14ac:dyDescent="0.35">
      <c r="B369" s="36"/>
      <c r="C369" s="31" t="s">
        <v>100</v>
      </c>
      <c r="D369" s="31" t="s">
        <v>101</v>
      </c>
      <c r="E369" s="31" t="s">
        <v>102</v>
      </c>
      <c r="F369" s="31" t="s">
        <v>103</v>
      </c>
      <c r="G369" s="31" t="s">
        <v>104</v>
      </c>
      <c r="H369" s="31" t="s">
        <v>105</v>
      </c>
    </row>
    <row r="370" spans="2:15" ht="15" thickBot="1" x14ac:dyDescent="0.35">
      <c r="B370" s="26">
        <v>2010</v>
      </c>
      <c r="C370" s="54">
        <v>110583.8</v>
      </c>
      <c r="D370" s="8">
        <v>100</v>
      </c>
      <c r="E370" s="58">
        <v>110583.8</v>
      </c>
      <c r="F370" s="1">
        <v>100</v>
      </c>
      <c r="G370" s="1">
        <f>100</f>
        <v>100</v>
      </c>
      <c r="H370" s="1"/>
      <c r="J370" t="s">
        <v>111</v>
      </c>
    </row>
    <row r="371" spans="2:15" ht="15" thickBot="1" x14ac:dyDescent="0.35">
      <c r="B371" s="26">
        <v>2011</v>
      </c>
      <c r="C371" s="54">
        <v>111905.9</v>
      </c>
      <c r="D371" s="57">
        <v>101</v>
      </c>
      <c r="E371" s="59">
        <f>$C$370*D371/$D$370</f>
        <v>111689.63800000001</v>
      </c>
      <c r="F371" s="1">
        <f>C371/$C$370*100</f>
        <v>101.19556390719073</v>
      </c>
      <c r="G371" s="1">
        <f>C371/E371*100</f>
        <v>100.19362763088191</v>
      </c>
      <c r="H371" s="1">
        <f>G371-G370</f>
        <v>0.19362763088190604</v>
      </c>
    </row>
    <row r="372" spans="2:15" ht="15" thickBot="1" x14ac:dyDescent="0.35">
      <c r="B372" s="26">
        <v>2012</v>
      </c>
      <c r="C372" s="54">
        <v>111215.3</v>
      </c>
      <c r="D372" s="57">
        <v>99.5</v>
      </c>
      <c r="E372" s="59">
        <f t="shared" ref="E372:E377" si="15">$C$370*D372/$D$370</f>
        <v>110030.88099999999</v>
      </c>
      <c r="F372" s="1">
        <f t="shared" ref="F372:F377" si="16">C372/$C$370*100</f>
        <v>100.57106013719913</v>
      </c>
      <c r="G372" s="1">
        <f t="shared" ref="G372:G377" si="17">C372/E372*100</f>
        <v>101.07644234894384</v>
      </c>
      <c r="H372" s="1">
        <f t="shared" ref="H372:H377" si="18">G372-G371</f>
        <v>0.88281471806193679</v>
      </c>
      <c r="J372" t="s">
        <v>112</v>
      </c>
    </row>
    <row r="373" spans="2:15" ht="15" thickBot="1" x14ac:dyDescent="0.35">
      <c r="B373" s="26">
        <v>2013</v>
      </c>
      <c r="C373" s="54">
        <v>109820.5</v>
      </c>
      <c r="D373" s="57">
        <v>99.4</v>
      </c>
      <c r="E373" s="59">
        <f>$C$370*D373/$D$370</f>
        <v>109920.2972</v>
      </c>
      <c r="F373" s="1">
        <f t="shared" si="16"/>
        <v>99.309754231632468</v>
      </c>
      <c r="G373" s="1">
        <f t="shared" si="17"/>
        <v>99.90920948856386</v>
      </c>
      <c r="H373" s="1">
        <f>G373-G372</f>
        <v>-1.1672328603799826</v>
      </c>
    </row>
    <row r="374" spans="2:15" ht="15" thickBot="1" x14ac:dyDescent="0.35">
      <c r="B374" s="26">
        <v>2014</v>
      </c>
      <c r="C374" s="54">
        <v>113020.2</v>
      </c>
      <c r="D374" s="57">
        <v>103.1</v>
      </c>
      <c r="E374" s="59">
        <f t="shared" si="15"/>
        <v>114011.89779999999</v>
      </c>
      <c r="F374" s="1">
        <f t="shared" si="16"/>
        <v>102.20321602260005</v>
      </c>
      <c r="G374" s="1">
        <f t="shared" si="17"/>
        <v>99.130180429291997</v>
      </c>
      <c r="H374" s="1">
        <f t="shared" si="18"/>
        <v>-0.77902905927186339</v>
      </c>
    </row>
    <row r="375" spans="2:15" ht="15" thickBot="1" x14ac:dyDescent="0.35">
      <c r="B375" s="26">
        <v>2015</v>
      </c>
      <c r="C375" s="54">
        <v>118724.9</v>
      </c>
      <c r="D375" s="57">
        <v>107.3</v>
      </c>
      <c r="E375" s="59">
        <f t="shared" si="15"/>
        <v>118656.41740000001</v>
      </c>
      <c r="F375" s="1">
        <f t="shared" si="16"/>
        <v>107.36192823903681</v>
      </c>
      <c r="G375" s="1">
        <f t="shared" si="17"/>
        <v>100.05771504104084</v>
      </c>
      <c r="H375" s="1">
        <f t="shared" si="18"/>
        <v>0.92753461174883967</v>
      </c>
    </row>
    <row r="376" spans="2:15" ht="15" thickBot="1" x14ac:dyDescent="0.35">
      <c r="B376" s="26" t="s">
        <v>106</v>
      </c>
      <c r="C376" s="54">
        <v>126470.6</v>
      </c>
      <c r="D376" s="57">
        <v>114.2</v>
      </c>
      <c r="E376" s="59">
        <f t="shared" si="15"/>
        <v>126286.69960000001</v>
      </c>
      <c r="F376" s="1">
        <f t="shared" si="16"/>
        <v>114.36629958456845</v>
      </c>
      <c r="G376" s="1">
        <f t="shared" si="17"/>
        <v>100.14562135251177</v>
      </c>
      <c r="H376" s="1">
        <f t="shared" si="18"/>
        <v>8.7906311470931087E-2</v>
      </c>
    </row>
    <row r="377" spans="2:15" ht="15" thickBot="1" x14ac:dyDescent="0.35">
      <c r="B377" s="26" t="s">
        <v>107</v>
      </c>
      <c r="C377" s="54">
        <v>137019.5</v>
      </c>
      <c r="D377" s="57">
        <v>120.6</v>
      </c>
      <c r="E377" s="59">
        <f t="shared" si="15"/>
        <v>133364.06279999999</v>
      </c>
      <c r="F377" s="1">
        <f t="shared" si="16"/>
        <v>123.90558110681673</v>
      </c>
      <c r="G377" s="1">
        <f t="shared" si="17"/>
        <v>102.74094619139034</v>
      </c>
      <c r="H377" s="1">
        <f t="shared" si="18"/>
        <v>2.5953248388785681</v>
      </c>
      <c r="J377" t="s">
        <v>108</v>
      </c>
    </row>
    <row r="378" spans="2:15" x14ac:dyDescent="0.3">
      <c r="O378" s="55" t="s">
        <v>109</v>
      </c>
    </row>
    <row r="380" spans="2:15" x14ac:dyDescent="0.3">
      <c r="J380" s="56" t="s">
        <v>110</v>
      </c>
    </row>
  </sheetData>
  <mergeCells count="58">
    <mergeCell ref="E227:F227"/>
    <mergeCell ref="E229:F229"/>
    <mergeCell ref="E230:F230"/>
    <mergeCell ref="E231:F231"/>
    <mergeCell ref="E222:F222"/>
    <mergeCell ref="E223:F223"/>
    <mergeCell ref="E224:F224"/>
    <mergeCell ref="E225:F225"/>
    <mergeCell ref="E226:F226"/>
    <mergeCell ref="B160:C160"/>
    <mergeCell ref="B161:B162"/>
    <mergeCell ref="B207:B208"/>
    <mergeCell ref="D207:D208"/>
    <mergeCell ref="E221:F221"/>
    <mergeCell ref="B150:C150"/>
    <mergeCell ref="B151:C151"/>
    <mergeCell ref="B152:C152"/>
    <mergeCell ref="B153:C153"/>
    <mergeCell ref="B154:B159"/>
    <mergeCell ref="B99:B100"/>
    <mergeCell ref="C99:D99"/>
    <mergeCell ref="B135:B136"/>
    <mergeCell ref="D135:D136"/>
    <mergeCell ref="E135:E136"/>
    <mergeCell ref="C280:D280"/>
    <mergeCell ref="E280:G280"/>
    <mergeCell ref="B296:C296"/>
    <mergeCell ref="B297:C297"/>
    <mergeCell ref="D296:F296"/>
    <mergeCell ref="D297:F297"/>
    <mergeCell ref="G296:H297"/>
    <mergeCell ref="I296:J297"/>
    <mergeCell ref="F298:G298"/>
    <mergeCell ref="H298:I298"/>
    <mergeCell ref="F299:G299"/>
    <mergeCell ref="H299:I299"/>
    <mergeCell ref="F300:G300"/>
    <mergeCell ref="H300:I300"/>
    <mergeCell ref="F301:G301"/>
    <mergeCell ref="H301:I301"/>
    <mergeCell ref="F302:G302"/>
    <mergeCell ref="H302:I302"/>
    <mergeCell ref="F303:G303"/>
    <mergeCell ref="H303:I303"/>
    <mergeCell ref="F304:G304"/>
    <mergeCell ref="H304:I304"/>
    <mergeCell ref="F305:G305"/>
    <mergeCell ref="H305:I305"/>
    <mergeCell ref="F309:G309"/>
    <mergeCell ref="H309:I309"/>
    <mergeCell ref="F310:G310"/>
    <mergeCell ref="H310:I310"/>
    <mergeCell ref="F306:G306"/>
    <mergeCell ref="H306:I306"/>
    <mergeCell ref="F307:G307"/>
    <mergeCell ref="H307:I307"/>
    <mergeCell ref="F308:G308"/>
    <mergeCell ref="H308:I30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AB9BD-1712-469C-99F8-E89E96219D1E}">
  <dimension ref="B33:T542"/>
  <sheetViews>
    <sheetView topLeftCell="A238" zoomScale="75" zoomScaleNormal="100" workbookViewId="0">
      <selection activeCell="O253" sqref="O253"/>
    </sheetView>
  </sheetViews>
  <sheetFormatPr baseColWidth="10" defaultRowHeight="14.4" x14ac:dyDescent="0.3"/>
  <cols>
    <col min="2" max="2" width="38.5546875" customWidth="1"/>
    <col min="11" max="11" width="11.88671875" customWidth="1"/>
    <col min="12" max="12" width="15.21875" customWidth="1"/>
    <col min="13" max="13" width="12.5546875" customWidth="1"/>
    <col min="14" max="14" width="13.21875" bestFit="1" customWidth="1"/>
  </cols>
  <sheetData>
    <row r="33" spans="3:18" ht="15" thickBot="1" x14ac:dyDescent="0.35"/>
    <row r="34" spans="3:18" ht="21.6" thickBot="1" x14ac:dyDescent="0.45">
      <c r="C34" s="60"/>
      <c r="D34" s="61">
        <v>2015</v>
      </c>
      <c r="E34" s="61">
        <v>2016</v>
      </c>
      <c r="F34" s="61">
        <v>2017</v>
      </c>
      <c r="G34" s="62">
        <v>2018</v>
      </c>
      <c r="H34" s="62" t="s">
        <v>113</v>
      </c>
      <c r="I34" s="62" t="s">
        <v>114</v>
      </c>
      <c r="L34" s="80" t="s">
        <v>128</v>
      </c>
    </row>
    <row r="35" spans="3:18" ht="15" thickBot="1" x14ac:dyDescent="0.35">
      <c r="C35" s="63" t="s">
        <v>115</v>
      </c>
      <c r="D35" s="64"/>
      <c r="E35" s="64"/>
      <c r="F35" s="64"/>
      <c r="G35" s="65"/>
      <c r="H35" s="65"/>
      <c r="I35" s="65"/>
    </row>
    <row r="36" spans="3:18" ht="15" thickBot="1" x14ac:dyDescent="0.35">
      <c r="C36" s="66" t="s">
        <v>116</v>
      </c>
      <c r="D36" s="67">
        <v>840125</v>
      </c>
      <c r="E36" s="67">
        <v>860543</v>
      </c>
      <c r="F36" s="67">
        <v>894434</v>
      </c>
      <c r="G36" s="68">
        <v>924163</v>
      </c>
      <c r="H36" s="68">
        <v>947966</v>
      </c>
      <c r="I36" s="68">
        <v>873276</v>
      </c>
    </row>
    <row r="37" spans="3:18" ht="15" thickBot="1" x14ac:dyDescent="0.35">
      <c r="C37" s="66" t="s">
        <v>117</v>
      </c>
      <c r="D37" s="67">
        <v>204702</v>
      </c>
      <c r="E37" s="67">
        <v>208882</v>
      </c>
      <c r="F37" s="67">
        <v>225532</v>
      </c>
      <c r="G37" s="68">
        <v>246403</v>
      </c>
      <c r="H37" s="68">
        <v>259949</v>
      </c>
      <c r="I37" s="68">
        <v>232144</v>
      </c>
      <c r="L37" s="60"/>
      <c r="M37" s="61">
        <v>2015</v>
      </c>
      <c r="N37" s="61">
        <v>2016</v>
      </c>
      <c r="O37" s="61">
        <v>2017</v>
      </c>
      <c r="P37" s="62">
        <v>2018</v>
      </c>
      <c r="Q37" s="62" t="s">
        <v>113</v>
      </c>
      <c r="R37" s="62" t="s">
        <v>114</v>
      </c>
    </row>
    <row r="38" spans="3:18" ht="15" thickBot="1" x14ac:dyDescent="0.35">
      <c r="C38" s="66" t="s">
        <v>118</v>
      </c>
      <c r="D38" s="67">
        <v>194122</v>
      </c>
      <c r="E38" s="67">
        <v>200048</v>
      </c>
      <c r="F38" s="67">
        <v>216932</v>
      </c>
      <c r="G38" s="68">
        <v>233996</v>
      </c>
      <c r="H38" s="68">
        <v>249887</v>
      </c>
      <c r="I38" s="68">
        <v>227599</v>
      </c>
      <c r="L38" s="63" t="s">
        <v>115</v>
      </c>
      <c r="M38" s="64"/>
      <c r="N38" s="64"/>
      <c r="O38" s="64"/>
      <c r="P38" s="65"/>
      <c r="Q38" s="65"/>
      <c r="R38" s="65"/>
    </row>
    <row r="39" spans="3:18" ht="15" thickBot="1" x14ac:dyDescent="0.35">
      <c r="C39" s="66" t="s">
        <v>119</v>
      </c>
      <c r="D39" s="67">
        <v>10580</v>
      </c>
      <c r="E39" s="67">
        <v>8834</v>
      </c>
      <c r="F39" s="67">
        <v>8600</v>
      </c>
      <c r="G39" s="68">
        <v>12407</v>
      </c>
      <c r="H39" s="68">
        <v>10062</v>
      </c>
      <c r="I39" s="68">
        <v>4545</v>
      </c>
      <c r="L39" s="66" t="s">
        <v>116</v>
      </c>
      <c r="M39" s="81">
        <f>D36/$D$43*100</f>
        <v>77.963325569093996</v>
      </c>
      <c r="N39" s="81"/>
      <c r="O39" s="81">
        <f>F36/$F$43*100</f>
        <v>76.982477340349632</v>
      </c>
      <c r="P39" s="82"/>
      <c r="Q39" s="82"/>
      <c r="R39" s="82">
        <f>I36/$I$43*100</f>
        <v>77.835692919814477</v>
      </c>
    </row>
    <row r="40" spans="3:18" ht="15" thickBot="1" x14ac:dyDescent="0.35">
      <c r="C40" s="66" t="s">
        <v>97</v>
      </c>
      <c r="D40" s="67">
        <v>362356</v>
      </c>
      <c r="E40" s="67">
        <v>377370</v>
      </c>
      <c r="F40" s="67">
        <v>408390</v>
      </c>
      <c r="G40" s="68">
        <v>423097</v>
      </c>
      <c r="H40" s="68">
        <v>434967</v>
      </c>
      <c r="I40" s="68">
        <v>343551</v>
      </c>
      <c r="L40" s="66" t="s">
        <v>117</v>
      </c>
      <c r="M40" s="81">
        <f>D37/$D$43*100</f>
        <v>18.996278733098858</v>
      </c>
      <c r="N40" s="81"/>
      <c r="O40" s="81">
        <f>F37/$F$43*100</f>
        <v>19.411171846691573</v>
      </c>
      <c r="P40" s="82"/>
      <c r="Q40" s="82"/>
      <c r="R40" s="82">
        <f>I37/$I$43*100</f>
        <v>20.691155026792686</v>
      </c>
    </row>
    <row r="41" spans="3:18" ht="15" thickBot="1" x14ac:dyDescent="0.35">
      <c r="C41" s="66" t="s">
        <v>98</v>
      </c>
      <c r="D41" s="67">
        <v>329593</v>
      </c>
      <c r="E41" s="67">
        <v>332955</v>
      </c>
      <c r="F41" s="67">
        <v>366489</v>
      </c>
      <c r="G41" s="68">
        <v>390404</v>
      </c>
      <c r="H41" s="68">
        <v>398507</v>
      </c>
      <c r="I41" s="68">
        <v>327023</v>
      </c>
      <c r="L41" s="66" t="s">
        <v>118</v>
      </c>
      <c r="M41" s="81">
        <f>D38/$D$43*100</f>
        <v>18.014458189107174</v>
      </c>
      <c r="N41" s="81"/>
      <c r="O41" s="81">
        <f>F38/$F$43*100</f>
        <v>18.670983856155654</v>
      </c>
      <c r="P41" s="82"/>
      <c r="Q41" s="82"/>
      <c r="R41" s="82">
        <f>I38/$I$43*100</f>
        <v>20.286056038247764</v>
      </c>
    </row>
    <row r="42" spans="3:18" ht="15" thickBot="1" x14ac:dyDescent="0.35">
      <c r="C42" s="69"/>
      <c r="D42" s="70"/>
      <c r="E42" s="70"/>
      <c r="F42" s="70"/>
      <c r="G42" s="71"/>
      <c r="H42" s="71"/>
      <c r="I42" s="71"/>
      <c r="L42" s="66" t="s">
        <v>119</v>
      </c>
      <c r="M42" s="81">
        <f>D39/$D$43*100</f>
        <v>0.98182054399168517</v>
      </c>
      <c r="N42" s="81"/>
      <c r="O42" s="81">
        <f>F39/$F$43*100</f>
        <v>0.74018799053592188</v>
      </c>
      <c r="P42" s="82"/>
      <c r="Q42" s="82"/>
      <c r="R42" s="82">
        <f>I39/$I$43*100</f>
        <v>0.4050989885449236</v>
      </c>
    </row>
    <row r="43" spans="3:18" ht="15" thickBot="1" x14ac:dyDescent="0.35">
      <c r="C43" s="72" t="s">
        <v>120</v>
      </c>
      <c r="D43" s="73">
        <v>1077590</v>
      </c>
      <c r="E43" s="73">
        <v>1113840</v>
      </c>
      <c r="F43" s="73">
        <v>1161867</v>
      </c>
      <c r="G43" s="74">
        <v>1203259</v>
      </c>
      <c r="H43" s="74">
        <v>1244375</v>
      </c>
      <c r="I43" s="74">
        <v>1121948</v>
      </c>
      <c r="L43" s="66" t="s">
        <v>97</v>
      </c>
      <c r="M43" s="81">
        <f>D40/$D$43*100</f>
        <v>33.626518434655111</v>
      </c>
      <c r="N43" s="81"/>
      <c r="O43" s="81">
        <f>F40/$F$43*100</f>
        <v>35.149462029647111</v>
      </c>
      <c r="P43" s="82"/>
      <c r="Q43" s="82"/>
      <c r="R43" s="82">
        <f>I40/$I$43*100</f>
        <v>30.620937868778231</v>
      </c>
    </row>
    <row r="44" spans="3:18" ht="15" thickBot="1" x14ac:dyDescent="0.35">
      <c r="C44" s="63" t="s">
        <v>121</v>
      </c>
      <c r="D44" s="64"/>
      <c r="E44" s="64"/>
      <c r="F44" s="64"/>
      <c r="G44" s="75"/>
      <c r="H44" s="75"/>
      <c r="I44" s="75"/>
      <c r="L44" s="66" t="s">
        <v>98</v>
      </c>
      <c r="M44" s="81">
        <f>-D41/$D$43*100</f>
        <v>-30.586122736847965</v>
      </c>
      <c r="N44" s="81"/>
      <c r="O44" s="81">
        <f>-F41/$F$43*100</f>
        <v>-31.543111216688313</v>
      </c>
      <c r="P44" s="82"/>
      <c r="Q44" s="82"/>
      <c r="R44" s="82">
        <f>-I41/$I$43*100</f>
        <v>-29.147785815385387</v>
      </c>
    </row>
    <row r="45" spans="3:18" ht="15" thickBot="1" x14ac:dyDescent="0.35">
      <c r="C45" s="66" t="s">
        <v>122</v>
      </c>
      <c r="D45" s="76">
        <v>29476</v>
      </c>
      <c r="E45" s="76">
        <v>31474</v>
      </c>
      <c r="F45" s="76">
        <v>32399</v>
      </c>
      <c r="G45" s="68">
        <v>33181</v>
      </c>
      <c r="H45" s="68">
        <v>32287</v>
      </c>
      <c r="I45" s="68">
        <v>35319</v>
      </c>
      <c r="L45" s="69"/>
      <c r="M45" s="81">
        <f>D42/$D$43*100</f>
        <v>0</v>
      </c>
      <c r="N45" s="83"/>
      <c r="O45" s="81">
        <f>F42/$F$43*100</f>
        <v>0</v>
      </c>
      <c r="P45" s="82"/>
      <c r="Q45" s="82"/>
      <c r="R45" s="82">
        <f>I42/$I$43*100</f>
        <v>0</v>
      </c>
    </row>
    <row r="46" spans="3:18" ht="15" thickBot="1" x14ac:dyDescent="0.35">
      <c r="C46" s="66" t="s">
        <v>123</v>
      </c>
      <c r="D46" s="76">
        <v>160015</v>
      </c>
      <c r="E46" s="76">
        <v>163489</v>
      </c>
      <c r="F46" s="76">
        <v>171001</v>
      </c>
      <c r="G46" s="68">
        <v>174727</v>
      </c>
      <c r="H46" s="68">
        <v>179996</v>
      </c>
      <c r="I46" s="68">
        <v>164803</v>
      </c>
      <c r="L46" s="72" t="s">
        <v>120</v>
      </c>
      <c r="M46" s="73">
        <f>SUM(M39,M40,M43,M44)</f>
        <v>100.00000000000001</v>
      </c>
      <c r="N46" s="73">
        <f t="shared" ref="N46:R46" si="0">SUM(N39,N40,N43,N44)</f>
        <v>0</v>
      </c>
      <c r="O46" s="73">
        <f t="shared" si="0"/>
        <v>100</v>
      </c>
      <c r="P46" s="73">
        <f t="shared" si="0"/>
        <v>0</v>
      </c>
      <c r="Q46" s="73">
        <f t="shared" si="0"/>
        <v>0</v>
      </c>
      <c r="R46" s="73">
        <f t="shared" si="0"/>
        <v>100</v>
      </c>
    </row>
    <row r="47" spans="3:18" ht="15" thickBot="1" x14ac:dyDescent="0.35">
      <c r="C47" s="66" t="s">
        <v>124</v>
      </c>
      <c r="D47" s="76">
        <v>56440</v>
      </c>
      <c r="E47" s="76">
        <v>59374</v>
      </c>
      <c r="F47" s="76">
        <v>62070</v>
      </c>
      <c r="G47" s="68">
        <v>64467</v>
      </c>
      <c r="H47" s="68">
        <v>70715</v>
      </c>
      <c r="I47" s="68">
        <v>63742</v>
      </c>
    </row>
    <row r="48" spans="3:18" ht="15" thickBot="1" x14ac:dyDescent="0.35">
      <c r="C48" s="66" t="s">
        <v>125</v>
      </c>
      <c r="D48" s="76">
        <v>732538</v>
      </c>
      <c r="E48" s="76">
        <v>756351</v>
      </c>
      <c r="F48" s="76">
        <v>787710</v>
      </c>
      <c r="G48" s="68">
        <v>816445</v>
      </c>
      <c r="H48" s="68">
        <v>845483</v>
      </c>
      <c r="I48" s="68">
        <v>760257</v>
      </c>
    </row>
    <row r="49" spans="3:18" ht="21.6" thickBot="1" x14ac:dyDescent="0.45">
      <c r="C49" s="77" t="s">
        <v>126</v>
      </c>
      <c r="D49" s="78">
        <v>978469</v>
      </c>
      <c r="E49" s="78">
        <v>1010688</v>
      </c>
      <c r="F49" s="78">
        <v>1053180</v>
      </c>
      <c r="G49" s="79">
        <v>1088820</v>
      </c>
      <c r="H49" s="79">
        <v>1128481</v>
      </c>
      <c r="I49" s="79">
        <v>1024121</v>
      </c>
      <c r="L49" s="80" t="s">
        <v>129</v>
      </c>
    </row>
    <row r="50" spans="3:18" ht="15" thickBot="1" x14ac:dyDescent="0.35">
      <c r="C50" s="66" t="s">
        <v>127</v>
      </c>
      <c r="D50" s="76">
        <v>99121</v>
      </c>
      <c r="E50" s="76">
        <v>103152</v>
      </c>
      <c r="F50" s="76">
        <v>108687</v>
      </c>
      <c r="G50" s="68">
        <v>114439</v>
      </c>
      <c r="H50" s="68">
        <v>115894</v>
      </c>
      <c r="I50" s="68">
        <v>97827</v>
      </c>
    </row>
    <row r="51" spans="3:18" ht="15" thickBot="1" x14ac:dyDescent="0.35">
      <c r="C51" s="72" t="s">
        <v>120</v>
      </c>
      <c r="D51" s="73">
        <v>1077590</v>
      </c>
      <c r="E51" s="73">
        <v>1113840</v>
      </c>
      <c r="F51" s="73">
        <v>1161867</v>
      </c>
      <c r="G51" s="74">
        <v>1203259</v>
      </c>
      <c r="H51" s="74">
        <v>1244375</v>
      </c>
      <c r="I51" s="74">
        <v>1121948</v>
      </c>
    </row>
    <row r="52" spans="3:18" ht="15" thickBot="1" x14ac:dyDescent="0.35"/>
    <row r="53" spans="3:18" ht="15" thickBot="1" x14ac:dyDescent="0.35">
      <c r="L53" s="60"/>
      <c r="M53" s="61">
        <v>2015</v>
      </c>
      <c r="N53" s="61">
        <v>2016</v>
      </c>
      <c r="O53" s="61">
        <v>2017</v>
      </c>
      <c r="P53" s="62">
        <v>2018</v>
      </c>
      <c r="Q53" s="62" t="s">
        <v>113</v>
      </c>
      <c r="R53" s="62" t="s">
        <v>114</v>
      </c>
    </row>
    <row r="54" spans="3:18" ht="15" thickBot="1" x14ac:dyDescent="0.35">
      <c r="L54" s="63" t="s">
        <v>121</v>
      </c>
      <c r="M54" s="64"/>
      <c r="N54" s="64"/>
      <c r="O54" s="64"/>
      <c r="P54" s="75"/>
      <c r="Q54" s="75"/>
      <c r="R54" s="75"/>
    </row>
    <row r="55" spans="3:18" ht="15" thickBot="1" x14ac:dyDescent="0.35">
      <c r="L55" s="66" t="s">
        <v>122</v>
      </c>
      <c r="M55" s="84">
        <f>D45/$D$51*100</f>
        <v>2.735363171521636</v>
      </c>
      <c r="N55" s="84"/>
      <c r="O55" s="84">
        <f>F45/$F$51*100</f>
        <v>2.7885291517875972</v>
      </c>
      <c r="P55" s="82"/>
      <c r="Q55" s="82"/>
      <c r="R55" s="82">
        <f>I45/$I$51*100</f>
        <v>3.1480068594979449</v>
      </c>
    </row>
    <row r="56" spans="3:18" ht="15" thickBot="1" x14ac:dyDescent="0.35">
      <c r="L56" s="66" t="s">
        <v>123</v>
      </c>
      <c r="M56" s="84">
        <f t="shared" ref="M56:M59" si="1">D46/$D$51*100</f>
        <v>14.849339730324148</v>
      </c>
      <c r="N56" s="84"/>
      <c r="O56" s="84">
        <f t="shared" ref="O56:O60" si="2">F46/$F$51*100</f>
        <v>14.717777508096882</v>
      </c>
      <c r="P56" s="82"/>
      <c r="Q56" s="82"/>
      <c r="R56" s="82">
        <f t="shared" ref="R56:R60" si="3">I46/$I$51*100</f>
        <v>14.689005194536644</v>
      </c>
    </row>
    <row r="57" spans="3:18" ht="15" thickBot="1" x14ac:dyDescent="0.35">
      <c r="L57" s="66" t="s">
        <v>124</v>
      </c>
      <c r="M57" s="84">
        <f t="shared" si="1"/>
        <v>5.2376135636002559</v>
      </c>
      <c r="N57" s="84"/>
      <c r="O57" s="84">
        <f t="shared" si="2"/>
        <v>5.3422637875075205</v>
      </c>
      <c r="P57" s="82"/>
      <c r="Q57" s="82"/>
      <c r="R57" s="82">
        <f t="shared" si="3"/>
        <v>5.6813684769704125</v>
      </c>
    </row>
    <row r="58" spans="3:18" ht="15" thickBot="1" x14ac:dyDescent="0.35">
      <c r="L58" s="66" t="s">
        <v>125</v>
      </c>
      <c r="M58" s="84">
        <f t="shared" si="1"/>
        <v>67.979287112909361</v>
      </c>
      <c r="N58" s="84"/>
      <c r="O58" s="84">
        <f t="shared" si="2"/>
        <v>67.796916514540811</v>
      </c>
      <c r="P58" s="82"/>
      <c r="Q58" s="82"/>
      <c r="R58" s="82">
        <f t="shared" si="3"/>
        <v>67.762231404664035</v>
      </c>
    </row>
    <row r="59" spans="3:18" ht="15" thickBot="1" x14ac:dyDescent="0.35">
      <c r="L59" s="77" t="s">
        <v>126</v>
      </c>
      <c r="M59" s="84">
        <f t="shared" si="1"/>
        <v>90.801603578355412</v>
      </c>
      <c r="N59" s="85"/>
      <c r="O59" s="84">
        <f t="shared" si="2"/>
        <v>90.645486961932818</v>
      </c>
      <c r="P59" s="86"/>
      <c r="Q59" s="86"/>
      <c r="R59" s="82">
        <f t="shared" si="3"/>
        <v>91.280611935669029</v>
      </c>
    </row>
    <row r="60" spans="3:18" ht="15" thickBot="1" x14ac:dyDescent="0.35">
      <c r="L60" s="66" t="s">
        <v>127</v>
      </c>
      <c r="M60" s="84">
        <f>D50/$D$51*100</f>
        <v>9.1983964216445955</v>
      </c>
      <c r="N60" s="84"/>
      <c r="O60" s="84">
        <f t="shared" si="2"/>
        <v>9.3545130380671804</v>
      </c>
      <c r="P60" s="84"/>
      <c r="Q60" s="84"/>
      <c r="R60" s="82">
        <f t="shared" si="3"/>
        <v>8.7193880643309676</v>
      </c>
    </row>
    <row r="61" spans="3:18" ht="15" thickBot="1" x14ac:dyDescent="0.35">
      <c r="L61" s="72" t="s">
        <v>120</v>
      </c>
      <c r="M61" s="73">
        <f>SUM(M59:M60)</f>
        <v>100</v>
      </c>
      <c r="N61" s="73">
        <f t="shared" ref="N61:R61" si="4">SUM(N59:N60)</f>
        <v>0</v>
      </c>
      <c r="O61" s="73">
        <f t="shared" si="4"/>
        <v>100</v>
      </c>
      <c r="P61" s="73">
        <f t="shared" si="4"/>
        <v>0</v>
      </c>
      <c r="Q61" s="73">
        <f t="shared" si="4"/>
        <v>0</v>
      </c>
      <c r="R61" s="73">
        <f t="shared" si="4"/>
        <v>100</v>
      </c>
    </row>
    <row r="64" spans="3:18" ht="21" x14ac:dyDescent="0.4">
      <c r="L64" s="80" t="s">
        <v>130</v>
      </c>
    </row>
    <row r="66" spans="12:17" ht="15" thickBot="1" x14ac:dyDescent="0.35"/>
    <row r="67" spans="12:17" ht="15" thickBot="1" x14ac:dyDescent="0.35">
      <c r="L67" s="60"/>
      <c r="M67" s="61">
        <v>2016</v>
      </c>
      <c r="N67" s="61">
        <v>2017</v>
      </c>
      <c r="O67" s="62">
        <v>2018</v>
      </c>
      <c r="P67" s="62" t="s">
        <v>113</v>
      </c>
      <c r="Q67" s="62" t="s">
        <v>114</v>
      </c>
    </row>
    <row r="68" spans="12:17" ht="15" thickBot="1" x14ac:dyDescent="0.35">
      <c r="L68" s="63" t="s">
        <v>131</v>
      </c>
      <c r="M68" s="87">
        <f>(E43-D43)*100/D43</f>
        <v>3.3639881587616811</v>
      </c>
      <c r="N68" s="87">
        <f t="shared" ref="N68:Q68" si="5">(F43-E43)*100/E43</f>
        <v>4.3118401206636499</v>
      </c>
      <c r="O68" s="87">
        <f t="shared" si="5"/>
        <v>3.5625420121235907</v>
      </c>
      <c r="P68" s="87">
        <f t="shared" si="5"/>
        <v>3.4170531863879678</v>
      </c>
      <c r="Q68" s="87">
        <f t="shared" si="5"/>
        <v>-9.8384329482672026</v>
      </c>
    </row>
    <row r="71" spans="12:17" ht="21" x14ac:dyDescent="0.4">
      <c r="L71" s="80" t="s">
        <v>132</v>
      </c>
    </row>
    <row r="75" spans="12:17" x14ac:dyDescent="0.3">
      <c r="L75" t="s">
        <v>133</v>
      </c>
      <c r="M75" s="53">
        <f>AVERAGE(M68:Q68)</f>
        <v>0.96339810593393727</v>
      </c>
    </row>
    <row r="77" spans="12:17" x14ac:dyDescent="0.3">
      <c r="L77" t="s">
        <v>134</v>
      </c>
      <c r="M77">
        <f>((I43-D43)/D43)*100/5</f>
        <v>0.82328158204883128</v>
      </c>
    </row>
    <row r="80" spans="12:17" ht="21" x14ac:dyDescent="0.4">
      <c r="L80" s="80" t="s">
        <v>135</v>
      </c>
    </row>
    <row r="83" spans="12:18" x14ac:dyDescent="0.3">
      <c r="L83" t="s">
        <v>136</v>
      </c>
      <c r="N83">
        <f>(POWER(I43/D43, 1/5)-1)*100</f>
        <v>0.81005118401051845</v>
      </c>
    </row>
    <row r="85" spans="12:18" ht="21" x14ac:dyDescent="0.4">
      <c r="L85" s="80" t="s">
        <v>137</v>
      </c>
    </row>
    <row r="87" spans="12:18" ht="15" thickBot="1" x14ac:dyDescent="0.35"/>
    <row r="88" spans="12:18" ht="15" thickBot="1" x14ac:dyDescent="0.35">
      <c r="L88" s="60"/>
      <c r="M88" s="61">
        <v>2015</v>
      </c>
      <c r="N88" s="61">
        <v>2016</v>
      </c>
      <c r="O88" s="61">
        <v>2017</v>
      </c>
      <c r="P88" s="62">
        <v>2018</v>
      </c>
      <c r="Q88" s="62" t="s">
        <v>113</v>
      </c>
      <c r="R88" s="62" t="s">
        <v>114</v>
      </c>
    </row>
    <row r="89" spans="12:18" ht="15" thickBot="1" x14ac:dyDescent="0.35">
      <c r="L89" s="63" t="s">
        <v>121</v>
      </c>
      <c r="M89" s="64">
        <v>100</v>
      </c>
      <c r="N89" s="64">
        <f>E43/$D$43*100</f>
        <v>103.36398815876169</v>
      </c>
      <c r="O89" s="64">
        <f t="shared" ref="O89:R89" si="6">F43/$D$43*100</f>
        <v>107.8208780705092</v>
      </c>
      <c r="P89" s="64">
        <f t="shared" si="6"/>
        <v>111.66204214961164</v>
      </c>
      <c r="Q89" s="64">
        <f t="shared" si="6"/>
        <v>115.47759351887082</v>
      </c>
      <c r="R89" s="64">
        <f t="shared" si="6"/>
        <v>104.11640791024415</v>
      </c>
    </row>
    <row r="118" spans="3:14" ht="21.6" thickBot="1" x14ac:dyDescent="0.45">
      <c r="L118" s="80" t="s">
        <v>154</v>
      </c>
    </row>
    <row r="119" spans="3:14" ht="15" thickBot="1" x14ac:dyDescent="0.35">
      <c r="C119" s="88"/>
      <c r="D119" s="501">
        <v>2017</v>
      </c>
      <c r="E119" s="522"/>
      <c r="F119" s="522"/>
      <c r="G119" s="502"/>
      <c r="H119" s="501">
        <v>2018</v>
      </c>
      <c r="I119" s="502"/>
    </row>
    <row r="120" spans="3:14" ht="15" thickBot="1" x14ac:dyDescent="0.35">
      <c r="C120" s="94"/>
      <c r="D120" s="89" t="s">
        <v>138</v>
      </c>
      <c r="E120" s="90" t="s">
        <v>139</v>
      </c>
      <c r="F120" s="90" t="s">
        <v>140</v>
      </c>
      <c r="G120" s="90" t="s">
        <v>141</v>
      </c>
      <c r="H120" s="89" t="s">
        <v>138</v>
      </c>
      <c r="I120" s="89" t="s">
        <v>139</v>
      </c>
      <c r="L120" s="88"/>
      <c r="M120" s="501">
        <v>2018</v>
      </c>
      <c r="N120" s="502"/>
    </row>
    <row r="121" spans="3:14" ht="24.6" thickBot="1" x14ac:dyDescent="0.35">
      <c r="C121" s="91" t="s">
        <v>142</v>
      </c>
      <c r="D121" s="95">
        <v>104.2</v>
      </c>
      <c r="E121" s="95">
        <v>105.1</v>
      </c>
      <c r="F121" s="95">
        <v>105.8</v>
      </c>
      <c r="G121" s="95">
        <v>106.5</v>
      </c>
      <c r="H121" s="95">
        <v>107.3</v>
      </c>
      <c r="I121" s="95">
        <v>107.9</v>
      </c>
      <c r="L121" s="94"/>
      <c r="M121" s="518" t="s">
        <v>155</v>
      </c>
      <c r="N121" s="519"/>
    </row>
    <row r="122" spans="3:14" ht="24.6" thickBot="1" x14ac:dyDescent="0.35">
      <c r="C122" s="96" t="s">
        <v>143</v>
      </c>
      <c r="D122" s="97"/>
      <c r="E122" s="97"/>
      <c r="F122" s="97"/>
      <c r="G122" s="97"/>
      <c r="H122" s="97"/>
      <c r="I122" s="97"/>
      <c r="L122" s="91" t="s">
        <v>142</v>
      </c>
      <c r="M122" s="95"/>
      <c r="N122" s="95">
        <f>(I121-E121)*100/E121</f>
        <v>2.664129400570896</v>
      </c>
    </row>
    <row r="123" spans="3:14" ht="36.6" thickBot="1" x14ac:dyDescent="0.35">
      <c r="C123" s="91" t="s">
        <v>144</v>
      </c>
      <c r="D123" s="98">
        <v>98.8</v>
      </c>
      <c r="E123" s="98">
        <v>99.5</v>
      </c>
      <c r="F123" s="98">
        <v>100.1</v>
      </c>
      <c r="G123" s="98">
        <v>100.7</v>
      </c>
      <c r="H123" s="98">
        <v>101.3</v>
      </c>
      <c r="I123" s="98">
        <v>101.7</v>
      </c>
      <c r="L123" s="96" t="s">
        <v>143</v>
      </c>
      <c r="M123" s="97"/>
      <c r="N123" s="97"/>
    </row>
    <row r="124" spans="3:14" ht="34.799999999999997" thickBot="1" x14ac:dyDescent="0.35">
      <c r="C124" s="92" t="s">
        <v>145</v>
      </c>
      <c r="D124" s="98">
        <v>99.3</v>
      </c>
      <c r="E124" s="98">
        <v>100.1</v>
      </c>
      <c r="F124" s="98">
        <v>100.8</v>
      </c>
      <c r="G124" s="98">
        <v>101.3</v>
      </c>
      <c r="H124" s="98">
        <v>102.1</v>
      </c>
      <c r="I124" s="98">
        <v>102.3</v>
      </c>
      <c r="L124" s="91" t="s">
        <v>144</v>
      </c>
      <c r="M124" s="98"/>
      <c r="N124" s="98">
        <f>(I123-E123)*100/E123</f>
        <v>2.2110552763819125</v>
      </c>
    </row>
    <row r="125" spans="3:14" ht="34.799999999999997" thickBot="1" x14ac:dyDescent="0.35">
      <c r="C125" s="92" t="s">
        <v>146</v>
      </c>
      <c r="D125" s="98">
        <v>118.1</v>
      </c>
      <c r="E125" s="98">
        <v>119.2</v>
      </c>
      <c r="F125" s="98">
        <v>120.2</v>
      </c>
      <c r="G125" s="98">
        <v>120.8</v>
      </c>
      <c r="H125" s="98">
        <v>123.1</v>
      </c>
      <c r="I125" s="98">
        <v>123.9</v>
      </c>
      <c r="L125" s="92" t="s">
        <v>145</v>
      </c>
      <c r="M125" s="98"/>
      <c r="N125" s="98">
        <f t="shared" ref="N125:N132" si="7">(I124-E124)*100/E124</f>
        <v>2.1978021978022007</v>
      </c>
    </row>
    <row r="126" spans="3:14" ht="34.799999999999997" thickBot="1" x14ac:dyDescent="0.35">
      <c r="C126" s="92" t="s">
        <v>147</v>
      </c>
      <c r="D126" s="98">
        <v>96.3</v>
      </c>
      <c r="E126" s="98">
        <v>96.7</v>
      </c>
      <c r="F126" s="98">
        <v>97.1</v>
      </c>
      <c r="G126" s="98">
        <v>97.5</v>
      </c>
      <c r="H126" s="98">
        <v>98.1</v>
      </c>
      <c r="I126" s="98">
        <v>98.8</v>
      </c>
      <c r="L126" s="92" t="s">
        <v>146</v>
      </c>
      <c r="M126" s="98"/>
      <c r="N126" s="98">
        <f t="shared" si="7"/>
        <v>3.9429530201342304</v>
      </c>
    </row>
    <row r="127" spans="3:14" ht="36.6" thickBot="1" x14ac:dyDescent="0.35">
      <c r="C127" s="91" t="s">
        <v>148</v>
      </c>
      <c r="D127" s="98">
        <v>98.6</v>
      </c>
      <c r="E127" s="98">
        <v>99.1</v>
      </c>
      <c r="F127" s="98">
        <v>100.7</v>
      </c>
      <c r="G127" s="98">
        <v>101.6</v>
      </c>
      <c r="H127" s="98">
        <v>102.3</v>
      </c>
      <c r="I127" s="98">
        <v>105</v>
      </c>
      <c r="L127" s="92" t="s">
        <v>147</v>
      </c>
      <c r="M127" s="98"/>
      <c r="N127" s="98">
        <f t="shared" si="7"/>
        <v>2.171664943123055</v>
      </c>
    </row>
    <row r="128" spans="3:14" ht="34.799999999999997" thickBot="1" x14ac:dyDescent="0.35">
      <c r="C128" s="92" t="s">
        <v>149</v>
      </c>
      <c r="D128" s="98">
        <v>98</v>
      </c>
      <c r="E128" s="98">
        <v>98.6</v>
      </c>
      <c r="F128" s="98">
        <v>100</v>
      </c>
      <c r="G128" s="98">
        <v>100.7</v>
      </c>
      <c r="H128" s="98">
        <v>101.5</v>
      </c>
      <c r="I128" s="98">
        <v>104.2</v>
      </c>
      <c r="L128" s="91" t="s">
        <v>148</v>
      </c>
      <c r="M128" s="98"/>
      <c r="N128" s="98">
        <f t="shared" si="7"/>
        <v>5.9535822401614595</v>
      </c>
    </row>
    <row r="129" spans="3:14" ht="24.6" thickBot="1" x14ac:dyDescent="0.35">
      <c r="C129" s="91" t="s">
        <v>150</v>
      </c>
      <c r="D129" s="98">
        <v>98.6</v>
      </c>
      <c r="E129" s="98">
        <v>99.2</v>
      </c>
      <c r="F129" s="98">
        <v>100.1</v>
      </c>
      <c r="G129" s="98">
        <v>100.7</v>
      </c>
      <c r="H129" s="98">
        <v>101.4</v>
      </c>
      <c r="I129" s="98">
        <v>102.2</v>
      </c>
      <c r="L129" s="92" t="s">
        <v>149</v>
      </c>
      <c r="M129" s="98"/>
      <c r="N129" s="98">
        <f t="shared" si="7"/>
        <v>5.679513184584188</v>
      </c>
    </row>
    <row r="130" spans="3:14" ht="48.6" thickBot="1" x14ac:dyDescent="0.35">
      <c r="C130" s="91" t="s">
        <v>151</v>
      </c>
      <c r="D130" s="98">
        <v>133.80000000000001</v>
      </c>
      <c r="E130" s="98">
        <v>135.19999999999999</v>
      </c>
      <c r="F130" s="98">
        <v>136</v>
      </c>
      <c r="G130" s="98">
        <v>136.30000000000001</v>
      </c>
      <c r="H130" s="98">
        <v>138.1</v>
      </c>
      <c r="I130" s="98">
        <v>136.80000000000001</v>
      </c>
      <c r="L130" s="91" t="s">
        <v>150</v>
      </c>
      <c r="M130" s="98"/>
      <c r="N130" s="98">
        <f t="shared" si="7"/>
        <v>3.0241935483870965</v>
      </c>
    </row>
    <row r="131" spans="3:14" ht="48.6" thickBot="1" x14ac:dyDescent="0.35">
      <c r="C131" s="91" t="s">
        <v>152</v>
      </c>
      <c r="D131" s="98">
        <v>111.2</v>
      </c>
      <c r="E131" s="98">
        <v>111.7</v>
      </c>
      <c r="F131" s="98">
        <v>112.9</v>
      </c>
      <c r="G131" s="98">
        <v>112.9</v>
      </c>
      <c r="H131" s="98">
        <v>114.3</v>
      </c>
      <c r="I131" s="98">
        <v>114</v>
      </c>
      <c r="L131" s="91" t="s">
        <v>151</v>
      </c>
      <c r="M131" s="98"/>
      <c r="N131" s="98">
        <f t="shared" si="7"/>
        <v>1.1834319526627388</v>
      </c>
    </row>
    <row r="132" spans="3:14" ht="36.6" thickBot="1" x14ac:dyDescent="0.35">
      <c r="C132" s="99" t="s">
        <v>153</v>
      </c>
      <c r="D132" s="100"/>
      <c r="E132" s="100"/>
      <c r="F132" s="100"/>
      <c r="G132" s="100"/>
      <c r="H132" s="100"/>
      <c r="I132" s="100"/>
      <c r="L132" s="91" t="s">
        <v>152</v>
      </c>
      <c r="M132" s="98"/>
      <c r="N132" s="98">
        <f t="shared" si="7"/>
        <v>2.0590868397493258</v>
      </c>
    </row>
    <row r="133" spans="3:14" ht="48.6" thickBot="1" x14ac:dyDescent="0.35">
      <c r="C133" s="91" t="s">
        <v>122</v>
      </c>
      <c r="D133" s="98">
        <v>114.5</v>
      </c>
      <c r="E133" s="98">
        <v>114.1</v>
      </c>
      <c r="F133" s="98">
        <v>115.4</v>
      </c>
      <c r="G133" s="98">
        <v>114.1</v>
      </c>
      <c r="H133" s="98">
        <v>118.3</v>
      </c>
      <c r="I133" s="98">
        <v>120.6</v>
      </c>
    </row>
    <row r="134" spans="3:14" ht="21.6" thickBot="1" x14ac:dyDescent="0.45">
      <c r="C134" s="91" t="s">
        <v>123</v>
      </c>
      <c r="D134" s="98">
        <v>103.5</v>
      </c>
      <c r="E134" s="98">
        <v>104.8</v>
      </c>
      <c r="F134" s="98">
        <v>105.4</v>
      </c>
      <c r="G134" s="98">
        <v>107.4</v>
      </c>
      <c r="H134" s="98">
        <v>106.4</v>
      </c>
      <c r="I134" s="98">
        <v>107.9</v>
      </c>
      <c r="L134" s="80" t="s">
        <v>156</v>
      </c>
    </row>
    <row r="135" spans="3:14" ht="15" thickBot="1" x14ac:dyDescent="0.35">
      <c r="C135" s="91" t="s">
        <v>124</v>
      </c>
      <c r="D135" s="98">
        <v>75.099999999999994</v>
      </c>
      <c r="E135" s="98">
        <v>75.900000000000006</v>
      </c>
      <c r="F135" s="98">
        <v>76.8</v>
      </c>
      <c r="G135" s="98">
        <v>77.900000000000006</v>
      </c>
      <c r="H135" s="98">
        <v>79.599999999999994</v>
      </c>
      <c r="I135" s="98">
        <v>80.900000000000006</v>
      </c>
    </row>
    <row r="136" spans="3:14" ht="15" thickBot="1" x14ac:dyDescent="0.35">
      <c r="C136" s="91" t="s">
        <v>125</v>
      </c>
      <c r="D136" s="98">
        <v>107.1</v>
      </c>
      <c r="E136" s="98">
        <v>107.9</v>
      </c>
      <c r="F136" s="98">
        <v>108.6</v>
      </c>
      <c r="G136" s="98">
        <v>109</v>
      </c>
      <c r="H136" s="98">
        <v>109.9</v>
      </c>
      <c r="I136" s="98">
        <v>110.2</v>
      </c>
    </row>
    <row r="137" spans="3:14" ht="36.6" thickBot="1" x14ac:dyDescent="0.35">
      <c r="C137" s="91" t="s">
        <v>127</v>
      </c>
      <c r="D137" s="98">
        <v>104.8</v>
      </c>
      <c r="E137" s="98">
        <v>106.6</v>
      </c>
      <c r="F137" s="98">
        <v>107.2</v>
      </c>
      <c r="G137" s="98">
        <v>107.9</v>
      </c>
      <c r="H137" s="98">
        <v>109.5</v>
      </c>
      <c r="I137" s="98">
        <v>109.8</v>
      </c>
      <c r="L137" s="88"/>
      <c r="M137" s="501">
        <v>2018</v>
      </c>
      <c r="N137" s="502"/>
    </row>
    <row r="138" spans="3:14" ht="15" thickBot="1" x14ac:dyDescent="0.35">
      <c r="C138" s="93"/>
      <c r="L138" s="94"/>
      <c r="M138" s="518" t="s">
        <v>155</v>
      </c>
      <c r="N138" s="519"/>
    </row>
    <row r="139" spans="3:14" ht="24.6" thickBot="1" x14ac:dyDescent="0.35">
      <c r="L139" s="91" t="s">
        <v>142</v>
      </c>
      <c r="M139" s="95"/>
      <c r="N139" s="95">
        <f>(I121-E121)*100/E121</f>
        <v>2.664129400570896</v>
      </c>
    </row>
    <row r="140" spans="3:14" ht="15" thickBot="1" x14ac:dyDescent="0.35">
      <c r="L140" s="99" t="s">
        <v>153</v>
      </c>
      <c r="M140" s="100"/>
      <c r="N140" s="100"/>
    </row>
    <row r="141" spans="3:14" ht="48.6" thickBot="1" x14ac:dyDescent="0.35">
      <c r="L141" s="91" t="s">
        <v>122</v>
      </c>
      <c r="M141" s="98"/>
      <c r="N141" s="98">
        <f>(I133-E133)*100/E133</f>
        <v>5.6967572304995624</v>
      </c>
    </row>
    <row r="142" spans="3:14" ht="15" thickBot="1" x14ac:dyDescent="0.35">
      <c r="L142" s="91" t="s">
        <v>123</v>
      </c>
      <c r="M142" s="98"/>
      <c r="N142" s="98">
        <f t="shared" ref="N142:N145" si="8">(I134-E134)*100/E134</f>
        <v>2.9580152671755808</v>
      </c>
    </row>
    <row r="143" spans="3:14" ht="15" thickBot="1" x14ac:dyDescent="0.35">
      <c r="L143" s="91" t="s">
        <v>124</v>
      </c>
      <c r="M143" s="98"/>
      <c r="N143" s="98">
        <f t="shared" si="8"/>
        <v>6.587615283267457</v>
      </c>
    </row>
    <row r="144" spans="3:14" ht="15" thickBot="1" x14ac:dyDescent="0.35">
      <c r="L144" s="91" t="s">
        <v>125</v>
      </c>
      <c r="M144" s="98"/>
      <c r="N144" s="98">
        <f t="shared" si="8"/>
        <v>2.1316033364226108</v>
      </c>
    </row>
    <row r="145" spans="11:17" ht="36.6" thickBot="1" x14ac:dyDescent="0.35">
      <c r="L145" s="91" t="s">
        <v>127</v>
      </c>
      <c r="M145" s="98"/>
      <c r="N145" s="98">
        <f t="shared" si="8"/>
        <v>3.0018761726078829</v>
      </c>
    </row>
    <row r="149" spans="11:17" ht="21" x14ac:dyDescent="0.4">
      <c r="L149" s="80" t="s">
        <v>157</v>
      </c>
    </row>
    <row r="152" spans="11:17" x14ac:dyDescent="0.3">
      <c r="L152" t="s">
        <v>158</v>
      </c>
    </row>
    <row r="153" spans="11:17" ht="15" thickBot="1" x14ac:dyDescent="0.35"/>
    <row r="154" spans="11:17" ht="15" thickBot="1" x14ac:dyDescent="0.35">
      <c r="L154" s="501">
        <v>2017</v>
      </c>
      <c r="M154" s="522"/>
      <c r="N154" s="522"/>
      <c r="O154" s="502"/>
      <c r="P154" s="501">
        <v>2018</v>
      </c>
      <c r="Q154" s="502"/>
    </row>
    <row r="155" spans="11:17" ht="15" thickBot="1" x14ac:dyDescent="0.35">
      <c r="K155" s="94"/>
      <c r="L155" s="89" t="s">
        <v>138</v>
      </c>
      <c r="M155" s="90" t="s">
        <v>139</v>
      </c>
      <c r="N155" s="90" t="s">
        <v>140</v>
      </c>
      <c r="O155" s="90" t="s">
        <v>141</v>
      </c>
      <c r="P155" s="89" t="s">
        <v>138</v>
      </c>
      <c r="Q155" s="89" t="s">
        <v>139</v>
      </c>
    </row>
    <row r="156" spans="11:17" ht="24.6" thickBot="1" x14ac:dyDescent="0.35">
      <c r="K156" s="91" t="s">
        <v>142</v>
      </c>
      <c r="L156" s="95"/>
      <c r="M156" s="95">
        <f>(E121-D121)*100/D121</f>
        <v>0.86372360844528928</v>
      </c>
      <c r="N156" s="95">
        <f t="shared" ref="N156:Q156" si="9">(F121-E121)*100/E121</f>
        <v>0.66603235014272399</v>
      </c>
      <c r="O156" s="95">
        <f t="shared" si="9"/>
        <v>0.66162570888469074</v>
      </c>
      <c r="P156" s="95">
        <f t="shared" si="9"/>
        <v>0.75117370892018509</v>
      </c>
      <c r="Q156" s="95">
        <f t="shared" si="9"/>
        <v>0.55917986952470511</v>
      </c>
    </row>
    <row r="159" spans="11:17" ht="21" x14ac:dyDescent="0.4">
      <c r="L159" s="80" t="s">
        <v>159</v>
      </c>
    </row>
    <row r="162" spans="10:12" x14ac:dyDescent="0.3">
      <c r="K162" s="108" t="s">
        <v>185</v>
      </c>
      <c r="L162" s="59">
        <f>SUM(P156:Q156)</f>
        <v>1.3103535784448903</v>
      </c>
    </row>
    <row r="164" spans="10:12" ht="21" x14ac:dyDescent="0.4">
      <c r="L164" s="80" t="s">
        <v>160</v>
      </c>
    </row>
    <row r="167" spans="10:12" x14ac:dyDescent="0.3">
      <c r="J167" s="108" t="s">
        <v>161</v>
      </c>
      <c r="K167" s="59"/>
      <c r="L167" s="59">
        <f>AVERAGE(H121:I121)</f>
        <v>107.6</v>
      </c>
    </row>
    <row r="168" spans="10:12" x14ac:dyDescent="0.3">
      <c r="J168" s="59"/>
      <c r="K168" s="59"/>
      <c r="L168" s="59"/>
    </row>
    <row r="169" spans="10:12" x14ac:dyDescent="0.3">
      <c r="J169" s="108" t="s">
        <v>399</v>
      </c>
      <c r="K169" s="59"/>
      <c r="L169" s="59">
        <f>AVERAGE(D121:E121)</f>
        <v>104.65</v>
      </c>
    </row>
    <row r="170" spans="10:12" x14ac:dyDescent="0.3">
      <c r="J170" s="59"/>
      <c r="K170" s="59"/>
      <c r="L170" s="59"/>
    </row>
    <row r="171" spans="10:12" x14ac:dyDescent="0.3">
      <c r="J171" s="59"/>
      <c r="K171" s="59"/>
      <c r="L171" s="59"/>
    </row>
    <row r="172" spans="10:12" x14ac:dyDescent="0.3">
      <c r="J172" s="108" t="s">
        <v>162</v>
      </c>
      <c r="K172" s="59"/>
      <c r="L172" s="59">
        <f>(L167-L169)*100/L169</f>
        <v>2.818920210224547</v>
      </c>
    </row>
    <row r="177" spans="2:7" x14ac:dyDescent="0.3">
      <c r="B177" s="56" t="s">
        <v>163</v>
      </c>
    </row>
    <row r="192" spans="2:7" ht="21" x14ac:dyDescent="0.4">
      <c r="G192" s="80" t="s">
        <v>166</v>
      </c>
    </row>
    <row r="193" spans="3:17" ht="15" thickBot="1" x14ac:dyDescent="0.35"/>
    <row r="194" spans="3:17" ht="24.6" thickBot="1" x14ac:dyDescent="0.35">
      <c r="C194" s="104"/>
      <c r="D194" s="90" t="s">
        <v>164</v>
      </c>
      <c r="E194" s="90" t="s">
        <v>167</v>
      </c>
    </row>
    <row r="195" spans="3:17" ht="15" thickBot="1" x14ac:dyDescent="0.35">
      <c r="C195" s="102">
        <v>2005</v>
      </c>
      <c r="D195" s="103">
        <v>927357</v>
      </c>
      <c r="E195" s="103">
        <v>1028667</v>
      </c>
      <c r="I195" s="56" t="s">
        <v>177</v>
      </c>
    </row>
    <row r="196" spans="3:17" ht="15" thickBot="1" x14ac:dyDescent="0.35">
      <c r="C196" s="102">
        <v>2006</v>
      </c>
      <c r="D196" s="103">
        <v>1003823</v>
      </c>
      <c r="E196" s="103">
        <v>1070909</v>
      </c>
      <c r="I196" t="s">
        <v>175</v>
      </c>
    </row>
    <row r="197" spans="3:17" ht="15" thickBot="1" x14ac:dyDescent="0.35">
      <c r="C197" s="102">
        <v>2007</v>
      </c>
      <c r="D197" s="103">
        <v>1075539</v>
      </c>
      <c r="E197" s="103">
        <v>1109487</v>
      </c>
      <c r="I197" t="s">
        <v>176</v>
      </c>
    </row>
    <row r="198" spans="3:17" ht="24.6" thickBot="1" x14ac:dyDescent="0.35">
      <c r="C198" s="102">
        <v>2008</v>
      </c>
      <c r="D198" s="103">
        <v>1109541</v>
      </c>
      <c r="E198" s="103">
        <v>1119400</v>
      </c>
      <c r="H198" s="104"/>
      <c r="I198" s="106" t="s">
        <v>168</v>
      </c>
      <c r="J198" s="106" t="s">
        <v>169</v>
      </c>
      <c r="K198" s="106" t="s">
        <v>170</v>
      </c>
      <c r="L198" s="106" t="s">
        <v>174</v>
      </c>
    </row>
    <row r="199" spans="3:17" ht="15" customHeight="1" thickBot="1" x14ac:dyDescent="0.35">
      <c r="C199" s="102">
        <v>2009</v>
      </c>
      <c r="D199" s="103">
        <v>1069323</v>
      </c>
      <c r="E199" s="103">
        <v>1077267</v>
      </c>
      <c r="H199" s="105">
        <v>2005</v>
      </c>
      <c r="I199" s="59"/>
      <c r="J199" s="59"/>
      <c r="K199" s="59">
        <f>D195/E195*100</f>
        <v>90.151331772089506</v>
      </c>
      <c r="L199" s="59"/>
      <c r="O199" s="503" t="s">
        <v>171</v>
      </c>
      <c r="P199" s="504"/>
      <c r="Q199" s="505"/>
    </row>
    <row r="200" spans="3:17" ht="15" thickBot="1" x14ac:dyDescent="0.35">
      <c r="C200" s="102">
        <v>2010</v>
      </c>
      <c r="D200" s="103">
        <v>1072709</v>
      </c>
      <c r="E200" s="103">
        <v>1078991</v>
      </c>
      <c r="H200" s="105">
        <v>2006</v>
      </c>
      <c r="I200" s="59">
        <f>(D196-D195)*100/D195</f>
        <v>8.2455839552621057</v>
      </c>
      <c r="J200" s="59">
        <f>(E196-E195)*100/E195</f>
        <v>4.1064795507195235</v>
      </c>
      <c r="K200" s="59">
        <f>D196/E196*100</f>
        <v>93.735602184686101</v>
      </c>
      <c r="L200" s="59">
        <f>(K200-K199)*100/K199</f>
        <v>3.9758374525824487</v>
      </c>
      <c r="O200" s="506"/>
      <c r="P200" s="507"/>
      <c r="Q200" s="508"/>
    </row>
    <row r="201" spans="3:17" ht="15" thickBot="1" x14ac:dyDescent="0.35">
      <c r="C201" s="102">
        <v>2011</v>
      </c>
      <c r="D201" s="103">
        <v>1063763</v>
      </c>
      <c r="E201" s="103">
        <v>1070155</v>
      </c>
      <c r="H201" s="105">
        <v>2007</v>
      </c>
      <c r="I201" s="59">
        <f t="shared" ref="I201:I213" si="10">(D197-D196)*100/D196</f>
        <v>7.1442873893106658</v>
      </c>
      <c r="J201" s="59">
        <f t="shared" ref="J201:J213" si="11">(E197-E196)*100/E196</f>
        <v>3.6023602378913613</v>
      </c>
      <c r="K201" s="59">
        <f t="shared" ref="K201:K213" si="12">D197/E197*100</f>
        <v>96.940207501304656</v>
      </c>
      <c r="L201" s="59">
        <f t="shared" ref="L201:L213" si="13">(K201-K200)*100/K200</f>
        <v>3.4187707145728474</v>
      </c>
      <c r="O201" s="506"/>
      <c r="P201" s="507"/>
      <c r="Q201" s="508"/>
    </row>
    <row r="202" spans="3:17" ht="15" thickBot="1" x14ac:dyDescent="0.35">
      <c r="C202" s="102">
        <v>2012</v>
      </c>
      <c r="D202" s="103">
        <v>1031099</v>
      </c>
      <c r="E202" s="103">
        <v>1038581</v>
      </c>
      <c r="H202" s="105">
        <v>2008</v>
      </c>
      <c r="I202" s="59">
        <f t="shared" si="10"/>
        <v>3.1613916371233399</v>
      </c>
      <c r="J202" s="59">
        <f t="shared" si="11"/>
        <v>0.89347599386022547</v>
      </c>
      <c r="K202" s="59">
        <f t="shared" si="12"/>
        <v>99.119260318027514</v>
      </c>
      <c r="L202" s="59">
        <f t="shared" si="13"/>
        <v>2.2478318056968591</v>
      </c>
      <c r="O202" s="509"/>
      <c r="P202" s="510"/>
      <c r="Q202" s="511"/>
    </row>
    <row r="203" spans="3:17" ht="15" thickBot="1" x14ac:dyDescent="0.35">
      <c r="C203" s="102">
        <v>2013</v>
      </c>
      <c r="D203" s="103">
        <v>1020348</v>
      </c>
      <c r="E203" s="103">
        <v>1023603</v>
      </c>
      <c r="H203" s="105">
        <v>2009</v>
      </c>
      <c r="I203" s="59">
        <f t="shared" si="10"/>
        <v>-3.6247421230941441</v>
      </c>
      <c r="J203" s="59">
        <f t="shared" si="11"/>
        <v>-3.7638913703769878</v>
      </c>
      <c r="K203" s="59">
        <f t="shared" si="12"/>
        <v>99.262578358011524</v>
      </c>
      <c r="L203" s="59">
        <f t="shared" si="13"/>
        <v>0.14459151483189939</v>
      </c>
      <c r="O203" s="107"/>
      <c r="P203" s="107"/>
      <c r="Q203" s="107"/>
    </row>
    <row r="204" spans="3:17" ht="15" thickBot="1" x14ac:dyDescent="0.35">
      <c r="C204" s="102">
        <v>2014</v>
      </c>
      <c r="D204" s="103">
        <v>1032158</v>
      </c>
      <c r="E204" s="103">
        <v>1037827</v>
      </c>
      <c r="H204" s="105">
        <v>2010</v>
      </c>
      <c r="I204" s="59">
        <f t="shared" si="10"/>
        <v>0.31664894517372205</v>
      </c>
      <c r="J204" s="59">
        <f t="shared" si="11"/>
        <v>0.16003460609115475</v>
      </c>
      <c r="K204" s="59">
        <f t="shared" si="12"/>
        <v>99.417789397687287</v>
      </c>
      <c r="L204" s="59">
        <f t="shared" si="13"/>
        <v>0.15636410240721449</v>
      </c>
      <c r="O204" s="107"/>
      <c r="P204" s="107"/>
      <c r="Q204" s="107"/>
    </row>
    <row r="205" spans="3:17" ht="15" thickBot="1" x14ac:dyDescent="0.35">
      <c r="C205" s="102">
        <v>2015</v>
      </c>
      <c r="D205" s="103">
        <v>1077590</v>
      </c>
      <c r="E205" s="103">
        <v>1077590</v>
      </c>
      <c r="H205" s="105">
        <v>2011</v>
      </c>
      <c r="I205" s="59">
        <f t="shared" si="10"/>
        <v>-0.83396335818940648</v>
      </c>
      <c r="J205" s="59">
        <f t="shared" si="11"/>
        <v>-0.81891322541151867</v>
      </c>
      <c r="K205" s="59">
        <f t="shared" si="12"/>
        <v>99.402703346711462</v>
      </c>
      <c r="L205" s="59">
        <f t="shared" si="13"/>
        <v>-1.5174397929406731E-2</v>
      </c>
    </row>
    <row r="206" spans="3:17" ht="15" thickBot="1" x14ac:dyDescent="0.35">
      <c r="C206" s="102">
        <v>2016</v>
      </c>
      <c r="D206" s="103">
        <v>1113840</v>
      </c>
      <c r="E206" s="103">
        <v>1110241</v>
      </c>
      <c r="H206" s="105">
        <v>2012</v>
      </c>
      <c r="I206" s="59">
        <f t="shared" si="10"/>
        <v>-3.0706087728187574</v>
      </c>
      <c r="J206" s="59">
        <f t="shared" si="11"/>
        <v>-2.9504137251145863</v>
      </c>
      <c r="K206" s="59">
        <f t="shared" si="12"/>
        <v>99.279593984484606</v>
      </c>
      <c r="L206" s="59">
        <f t="shared" si="13"/>
        <v>-0.12384910880889921</v>
      </c>
    </row>
    <row r="207" spans="3:17" ht="15" thickBot="1" x14ac:dyDescent="0.35">
      <c r="C207" s="102">
        <v>2017</v>
      </c>
      <c r="D207" s="103">
        <v>1161867</v>
      </c>
      <c r="E207" s="103">
        <v>1143323</v>
      </c>
      <c r="H207" s="105">
        <v>2013</v>
      </c>
      <c r="I207" s="59">
        <f t="shared" si="10"/>
        <v>-1.0426738848548975</v>
      </c>
      <c r="J207" s="59">
        <f t="shared" si="11"/>
        <v>-1.4421600241098191</v>
      </c>
      <c r="K207" s="59">
        <f t="shared" si="12"/>
        <v>99.682005621319973</v>
      </c>
      <c r="L207" s="59">
        <f t="shared" si="13"/>
        <v>0.4053316705729641</v>
      </c>
    </row>
    <row r="208" spans="3:17" ht="15" thickBot="1" x14ac:dyDescent="0.35">
      <c r="C208" s="102">
        <v>2018</v>
      </c>
      <c r="D208" s="103">
        <v>1203259</v>
      </c>
      <c r="E208" s="103">
        <v>1169401</v>
      </c>
      <c r="H208" s="105">
        <v>2014</v>
      </c>
      <c r="I208" s="59">
        <f t="shared" si="10"/>
        <v>1.1574482431484161</v>
      </c>
      <c r="J208" s="59">
        <f t="shared" si="11"/>
        <v>1.3896012418877242</v>
      </c>
      <c r="K208" s="59">
        <f t="shared" si="12"/>
        <v>99.453762524968042</v>
      </c>
      <c r="L208" s="59">
        <f t="shared" si="13"/>
        <v>-0.22897121193467956</v>
      </c>
    </row>
    <row r="209" spans="3:12" ht="15" thickBot="1" x14ac:dyDescent="0.35">
      <c r="C209" s="102" t="s">
        <v>113</v>
      </c>
      <c r="D209" s="103">
        <v>1244375</v>
      </c>
      <c r="E209" s="103">
        <v>1193862</v>
      </c>
      <c r="H209" s="105">
        <v>2015</v>
      </c>
      <c r="I209" s="59">
        <f t="shared" si="10"/>
        <v>4.4016516851102256</v>
      </c>
      <c r="J209" s="59">
        <f t="shared" si="11"/>
        <v>3.8313707390538116</v>
      </c>
      <c r="K209" s="59">
        <f t="shared" si="12"/>
        <v>100</v>
      </c>
      <c r="L209" s="59">
        <f t="shared" si="13"/>
        <v>0.54923761672146332</v>
      </c>
    </row>
    <row r="210" spans="3:12" ht="15" thickBot="1" x14ac:dyDescent="0.35">
      <c r="H210" s="105">
        <v>2016</v>
      </c>
      <c r="I210" s="59">
        <f t="shared" si="10"/>
        <v>3.3639881587616811</v>
      </c>
      <c r="J210" s="59">
        <f t="shared" si="11"/>
        <v>3.030002134392487</v>
      </c>
      <c r="K210" s="59">
        <f t="shared" si="12"/>
        <v>100.32416385271306</v>
      </c>
      <c r="L210" s="59">
        <f t="shared" si="13"/>
        <v>0.32416385271305614</v>
      </c>
    </row>
    <row r="211" spans="3:12" ht="15" thickBot="1" x14ac:dyDescent="0.35">
      <c r="H211" s="105">
        <v>2017</v>
      </c>
      <c r="I211" s="59">
        <f t="shared" si="10"/>
        <v>4.3118401206636499</v>
      </c>
      <c r="J211" s="59">
        <f t="shared" si="11"/>
        <v>2.9797134135741699</v>
      </c>
      <c r="K211" s="59">
        <f t="shared" si="12"/>
        <v>101.62193885717335</v>
      </c>
      <c r="L211" s="59">
        <f t="shared" si="13"/>
        <v>1.2935816802476103</v>
      </c>
    </row>
    <row r="212" spans="3:12" ht="15" thickBot="1" x14ac:dyDescent="0.35">
      <c r="H212" s="105">
        <v>2018</v>
      </c>
      <c r="I212" s="59">
        <f t="shared" si="10"/>
        <v>3.5625420121235907</v>
      </c>
      <c r="J212" s="59">
        <f t="shared" si="11"/>
        <v>2.2808952500736885</v>
      </c>
      <c r="K212" s="59">
        <f t="shared" si="12"/>
        <v>102.89532846303364</v>
      </c>
      <c r="L212" s="59">
        <f t="shared" si="13"/>
        <v>1.253065647222102</v>
      </c>
    </row>
    <row r="213" spans="3:12" ht="15" thickBot="1" x14ac:dyDescent="0.35">
      <c r="H213" s="105" t="s">
        <v>113</v>
      </c>
      <c r="I213" s="59">
        <f t="shared" si="10"/>
        <v>3.4170531863879678</v>
      </c>
      <c r="J213" s="59">
        <f t="shared" si="11"/>
        <v>2.0917546675605716</v>
      </c>
      <c r="K213" s="59">
        <f t="shared" si="12"/>
        <v>104.23105853105301</v>
      </c>
      <c r="L213" s="59">
        <f t="shared" si="13"/>
        <v>1.2981445202337343</v>
      </c>
    </row>
    <row r="216" spans="3:12" ht="21" x14ac:dyDescent="0.4">
      <c r="G216" s="80" t="s">
        <v>172</v>
      </c>
    </row>
    <row r="218" spans="3:12" ht="15" thickBot="1" x14ac:dyDescent="0.35"/>
    <row r="219" spans="3:12" x14ac:dyDescent="0.3">
      <c r="G219" s="503" t="s">
        <v>173</v>
      </c>
      <c r="H219" s="504"/>
      <c r="I219" s="505"/>
    </row>
    <row r="220" spans="3:12" x14ac:dyDescent="0.3">
      <c r="G220" s="506"/>
      <c r="H220" s="507"/>
      <c r="I220" s="508"/>
    </row>
    <row r="221" spans="3:12" x14ac:dyDescent="0.3">
      <c r="G221" s="506"/>
      <c r="H221" s="507"/>
      <c r="I221" s="508"/>
    </row>
    <row r="222" spans="3:12" ht="15" thickBot="1" x14ac:dyDescent="0.35">
      <c r="G222" s="509"/>
      <c r="H222" s="510"/>
      <c r="I222" s="511"/>
    </row>
    <row r="246" spans="2:20" ht="15" thickBot="1" x14ac:dyDescent="0.35"/>
    <row r="247" spans="2:20" ht="24.6" thickBot="1" x14ac:dyDescent="0.45">
      <c r="B247" s="101"/>
      <c r="C247" s="90" t="s">
        <v>164</v>
      </c>
      <c r="D247" s="90" t="s">
        <v>165</v>
      </c>
      <c r="E247" s="2"/>
      <c r="J247" s="80" t="s">
        <v>178</v>
      </c>
    </row>
    <row r="248" spans="2:20" ht="15" thickBot="1" x14ac:dyDescent="0.35">
      <c r="B248" s="102">
        <v>2010</v>
      </c>
      <c r="C248" s="103">
        <v>1072709</v>
      </c>
      <c r="D248" s="98">
        <v>100.13</v>
      </c>
      <c r="E248" s="2"/>
    </row>
    <row r="249" spans="2:20" ht="21.6" thickBot="1" x14ac:dyDescent="0.45">
      <c r="B249" s="102">
        <v>2011</v>
      </c>
      <c r="C249" s="103">
        <v>1063763</v>
      </c>
      <c r="D249" s="98">
        <v>99.31</v>
      </c>
      <c r="E249" s="2"/>
      <c r="J249" s="80" t="s">
        <v>179</v>
      </c>
    </row>
    <row r="250" spans="2:20" ht="15" thickBot="1" x14ac:dyDescent="0.35">
      <c r="B250" s="102">
        <v>2012</v>
      </c>
      <c r="C250" s="103">
        <v>1031099</v>
      </c>
      <c r="D250" s="98">
        <v>96.38</v>
      </c>
      <c r="E250" s="2"/>
    </row>
    <row r="251" spans="2:20" ht="84.6" customHeight="1" thickBot="1" x14ac:dyDescent="0.35">
      <c r="B251" s="102">
        <v>2013</v>
      </c>
      <c r="C251" s="103">
        <v>1020348</v>
      </c>
      <c r="D251" s="98">
        <v>94.99</v>
      </c>
      <c r="E251" s="2"/>
      <c r="J251" s="101"/>
      <c r="K251" s="106" t="s">
        <v>168</v>
      </c>
      <c r="L251" s="106" t="s">
        <v>169</v>
      </c>
      <c r="M251" s="106" t="s">
        <v>103</v>
      </c>
      <c r="N251" s="106" t="s">
        <v>181</v>
      </c>
      <c r="O251" s="106" t="s">
        <v>170</v>
      </c>
      <c r="P251" s="106" t="s">
        <v>174</v>
      </c>
      <c r="R251" s="500" t="s">
        <v>182</v>
      </c>
      <c r="S251" s="500"/>
      <c r="T251" s="500"/>
    </row>
    <row r="252" spans="2:20" ht="15" thickBot="1" x14ac:dyDescent="0.35">
      <c r="B252" s="102">
        <v>2014</v>
      </c>
      <c r="C252" s="103">
        <v>1032158</v>
      </c>
      <c r="D252" s="98">
        <v>96.31</v>
      </c>
      <c r="E252" s="2"/>
      <c r="J252" s="105">
        <v>2010</v>
      </c>
      <c r="K252" s="59"/>
      <c r="L252" s="59"/>
      <c r="M252" s="59">
        <f>C248/$C$253*100</f>
        <v>99.547044794402325</v>
      </c>
      <c r="N252" s="59">
        <f>D248*$C$253/$D$253</f>
        <v>1078990.8669999999</v>
      </c>
      <c r="O252" s="59">
        <f>C248/N252*100</f>
        <v>99.417801652254411</v>
      </c>
      <c r="P252" s="59"/>
    </row>
    <row r="253" spans="2:20" ht="15" thickBot="1" x14ac:dyDescent="0.35">
      <c r="B253" s="102">
        <v>2015</v>
      </c>
      <c r="C253" s="103">
        <v>1077590</v>
      </c>
      <c r="D253" s="98">
        <v>100</v>
      </c>
      <c r="E253" s="2"/>
      <c r="J253" s="105">
        <v>2011</v>
      </c>
      <c r="K253" s="59">
        <f>(C249-C248)*100/C248</f>
        <v>-0.83396335818940648</v>
      </c>
      <c r="L253" s="59">
        <f>(N253-N252)*100/N252</f>
        <v>-0.81893538400078936</v>
      </c>
      <c r="M253" s="59">
        <f t="shared" ref="M253:M262" si="14">C249/$C$253*100</f>
        <v>98.716858916656619</v>
      </c>
      <c r="N253" s="59">
        <f>D249*$C$253/$D$253</f>
        <v>1070154.629</v>
      </c>
      <c r="O253" s="59">
        <f t="shared" ref="O253:O262" si="15">C249/N253*100</f>
        <v>99.402737807528567</v>
      </c>
      <c r="P253" s="59">
        <f>(O253-O252)*100/O252</f>
        <v>-1.5152059767460009E-2</v>
      </c>
    </row>
    <row r="254" spans="2:20" ht="15" thickBot="1" x14ac:dyDescent="0.35">
      <c r="B254" s="102">
        <v>2016</v>
      </c>
      <c r="C254" s="103">
        <v>1113840</v>
      </c>
      <c r="D254" s="98">
        <v>103.03</v>
      </c>
      <c r="E254" s="2"/>
      <c r="J254" s="105">
        <v>2012</v>
      </c>
      <c r="K254" s="59">
        <f t="shared" ref="K254:K262" si="16">(C250-C249)*100/C249</f>
        <v>-3.0706087728187574</v>
      </c>
      <c r="L254" s="59">
        <f t="shared" ref="L254:L262" si="17">(N254-N253)*100/N253</f>
        <v>-2.9503574665189909</v>
      </c>
      <c r="M254" s="59">
        <f t="shared" si="14"/>
        <v>95.68565038651063</v>
      </c>
      <c r="N254" s="59">
        <f t="shared" ref="N254:N262" si="18">D250*$C$253/$D$253</f>
        <v>1038581.2419999999</v>
      </c>
      <c r="O254" s="59">
        <f t="shared" si="15"/>
        <v>99.279570851328756</v>
      </c>
      <c r="P254" s="59">
        <f t="shared" ref="P254:P262" si="19">(O254-O253)*100/O253</f>
        <v>-0.12390700589987362</v>
      </c>
    </row>
    <row r="255" spans="2:20" ht="15" thickBot="1" x14ac:dyDescent="0.35">
      <c r="B255" s="102">
        <v>2017</v>
      </c>
      <c r="C255" s="103">
        <v>1161867</v>
      </c>
      <c r="D255" s="98">
        <v>106.1</v>
      </c>
      <c r="E255" s="2"/>
      <c r="J255" s="105">
        <v>2013</v>
      </c>
      <c r="K255" s="59">
        <f t="shared" si="16"/>
        <v>-1.0426738848548975</v>
      </c>
      <c r="L255" s="59">
        <f t="shared" si="17"/>
        <v>-1.4422079269557935</v>
      </c>
      <c r="M255" s="59">
        <f t="shared" si="14"/>
        <v>94.687961098376945</v>
      </c>
      <c r="N255" s="59">
        <f t="shared" si="18"/>
        <v>1023602.7409999999</v>
      </c>
      <c r="O255" s="59">
        <f t="shared" si="15"/>
        <v>99.682030843643474</v>
      </c>
      <c r="P255" s="59">
        <f t="shared" si="19"/>
        <v>0.40538047139365868</v>
      </c>
    </row>
    <row r="256" spans="2:20" ht="15" thickBot="1" x14ac:dyDescent="0.35">
      <c r="B256" s="102">
        <v>2018</v>
      </c>
      <c r="C256" s="103">
        <v>1203259</v>
      </c>
      <c r="D256" s="98">
        <v>108.52</v>
      </c>
      <c r="E256" s="2"/>
      <c r="J256" s="105">
        <v>2014</v>
      </c>
      <c r="K256" s="59">
        <f t="shared" si="16"/>
        <v>1.1574482431484161</v>
      </c>
      <c r="L256" s="59">
        <f t="shared" si="17"/>
        <v>1.3896199599957972</v>
      </c>
      <c r="M256" s="59">
        <f t="shared" si="14"/>
        <v>95.783925240583159</v>
      </c>
      <c r="N256" s="59">
        <f t="shared" si="18"/>
        <v>1037826.929</v>
      </c>
      <c r="O256" s="59">
        <f t="shared" si="15"/>
        <v>99.453769328816477</v>
      </c>
      <c r="P256" s="59">
        <f t="shared" si="19"/>
        <v>-0.22898963122554866</v>
      </c>
    </row>
    <row r="257" spans="2:16" ht="15" thickBot="1" x14ac:dyDescent="0.35">
      <c r="B257" s="102" t="s">
        <v>113</v>
      </c>
      <c r="C257" s="103">
        <v>1244375</v>
      </c>
      <c r="D257" s="98">
        <v>110.79</v>
      </c>
      <c r="E257" s="2"/>
      <c r="J257" s="105">
        <v>2015</v>
      </c>
      <c r="K257" s="59">
        <f t="shared" si="16"/>
        <v>4.4016516851102256</v>
      </c>
      <c r="L257" s="59">
        <f t="shared" si="17"/>
        <v>3.8313778423839682</v>
      </c>
      <c r="M257" s="59">
        <f t="shared" si="14"/>
        <v>100</v>
      </c>
      <c r="N257" s="59">
        <f t="shared" si="18"/>
        <v>1077590</v>
      </c>
      <c r="O257" s="59">
        <f t="shared" si="15"/>
        <v>100</v>
      </c>
      <c r="P257" s="59">
        <f t="shared" si="19"/>
        <v>0.54923073792966193</v>
      </c>
    </row>
    <row r="258" spans="2:16" ht="15" thickBot="1" x14ac:dyDescent="0.35">
      <c r="B258" s="102" t="s">
        <v>114</v>
      </c>
      <c r="C258" s="103">
        <v>1121948</v>
      </c>
      <c r="D258" s="98">
        <v>98.8</v>
      </c>
      <c r="E258" s="2"/>
      <c r="J258" s="105">
        <v>2016</v>
      </c>
      <c r="K258" s="59">
        <f t="shared" si="16"/>
        <v>3.3639881587616811</v>
      </c>
      <c r="L258" s="59">
        <f t="shared" si="17"/>
        <v>3.0299999999999958</v>
      </c>
      <c r="M258" s="59">
        <f t="shared" si="14"/>
        <v>103.36398815876169</v>
      </c>
      <c r="N258" s="59">
        <f t="shared" si="18"/>
        <v>1110240.977</v>
      </c>
      <c r="O258" s="59">
        <f t="shared" si="15"/>
        <v>100.32416593105084</v>
      </c>
      <c r="P258" s="59">
        <f t="shared" si="19"/>
        <v>0.32416593105084246</v>
      </c>
    </row>
    <row r="259" spans="2:16" ht="15" thickBot="1" x14ac:dyDescent="0.35">
      <c r="J259" s="105">
        <v>2017</v>
      </c>
      <c r="K259" s="59">
        <f t="shared" si="16"/>
        <v>4.3118401206636499</v>
      </c>
      <c r="L259" s="59">
        <f t="shared" si="17"/>
        <v>2.9797146462195512</v>
      </c>
      <c r="M259" s="59">
        <f t="shared" si="14"/>
        <v>107.8208780705092</v>
      </c>
      <c r="N259" s="59">
        <f t="shared" si="18"/>
        <v>1143322.99</v>
      </c>
      <c r="O259" s="59">
        <f t="shared" si="15"/>
        <v>101.62193974600299</v>
      </c>
      <c r="P259" s="59">
        <f t="shared" si="19"/>
        <v>1.2935804677848648</v>
      </c>
    </row>
    <row r="260" spans="2:16" ht="15" thickBot="1" x14ac:dyDescent="0.35">
      <c r="J260" s="105">
        <v>2018</v>
      </c>
      <c r="K260" s="59">
        <f t="shared" si="16"/>
        <v>3.5625420121235907</v>
      </c>
      <c r="L260" s="59">
        <f t="shared" si="17"/>
        <v>2.280867106503305</v>
      </c>
      <c r="M260" s="59">
        <f t="shared" si="14"/>
        <v>111.66204214961164</v>
      </c>
      <c r="N260" s="59">
        <f t="shared" si="18"/>
        <v>1169400.6680000001</v>
      </c>
      <c r="O260" s="59">
        <f t="shared" si="15"/>
        <v>102.89535767564655</v>
      </c>
      <c r="P260" s="59">
        <f t="shared" si="19"/>
        <v>1.2530935079829977</v>
      </c>
    </row>
    <row r="261" spans="2:16" ht="15" thickBot="1" x14ac:dyDescent="0.35">
      <c r="J261" s="105" t="s">
        <v>113</v>
      </c>
      <c r="K261" s="59">
        <f t="shared" si="16"/>
        <v>3.4170531863879678</v>
      </c>
      <c r="L261" s="59">
        <f t="shared" si="17"/>
        <v>2.0917803169922649</v>
      </c>
      <c r="M261" s="59">
        <f t="shared" si="14"/>
        <v>115.47759351887082</v>
      </c>
      <c r="N261" s="59">
        <f t="shared" si="18"/>
        <v>1193861.9610000001</v>
      </c>
      <c r="O261" s="59">
        <f t="shared" si="15"/>
        <v>104.23106193597872</v>
      </c>
      <c r="P261" s="59">
        <f t="shared" si="19"/>
        <v>1.2981190701942633</v>
      </c>
    </row>
    <row r="262" spans="2:16" ht="15" thickBot="1" x14ac:dyDescent="0.35">
      <c r="J262" s="105" t="s">
        <v>114</v>
      </c>
      <c r="K262" s="59">
        <f t="shared" si="16"/>
        <v>-9.8384329482672026</v>
      </c>
      <c r="L262" s="59">
        <f t="shared" si="17"/>
        <v>-10.822276378734559</v>
      </c>
      <c r="M262" s="59">
        <f t="shared" si="14"/>
        <v>104.11640791024415</v>
      </c>
      <c r="N262" s="59">
        <f t="shared" si="18"/>
        <v>1064658.92</v>
      </c>
      <c r="O262" s="59">
        <f t="shared" si="15"/>
        <v>105.38097966623903</v>
      </c>
      <c r="P262" s="59">
        <f t="shared" si="19"/>
        <v>1.1032390046708156</v>
      </c>
    </row>
    <row r="263" spans="2:16" x14ac:dyDescent="0.3">
      <c r="N263" s="59"/>
    </row>
    <row r="265" spans="2:16" ht="21" x14ac:dyDescent="0.4">
      <c r="J265" s="80" t="s">
        <v>180</v>
      </c>
    </row>
    <row r="268" spans="2:16" x14ac:dyDescent="0.3">
      <c r="J268" s="56" t="s">
        <v>183</v>
      </c>
      <c r="K268" s="56"/>
      <c r="L268" s="56">
        <f>(POWER(O257/O252, 1/5)-1)*100</f>
        <v>0.11684816015962163</v>
      </c>
    </row>
    <row r="269" spans="2:16" x14ac:dyDescent="0.3">
      <c r="J269" s="56"/>
      <c r="K269" s="56"/>
      <c r="L269" s="56"/>
    </row>
    <row r="270" spans="2:16" x14ac:dyDescent="0.3">
      <c r="J270" s="56" t="s">
        <v>184</v>
      </c>
      <c r="K270" s="56"/>
      <c r="L270" s="56">
        <f>(POWER(O262/O258, 1/4)-1)*100</f>
        <v>1.236977019856722</v>
      </c>
    </row>
    <row r="276" spans="2:2" ht="31.2" x14ac:dyDescent="0.6">
      <c r="B276" s="109" t="s">
        <v>186</v>
      </c>
    </row>
    <row r="292" spans="2:18" ht="15" thickBot="1" x14ac:dyDescent="0.35"/>
    <row r="293" spans="2:18" ht="21.6" thickBot="1" x14ac:dyDescent="0.45">
      <c r="B293" s="110"/>
      <c r="C293" s="90">
        <v>1995</v>
      </c>
      <c r="D293" s="90">
        <v>2000</v>
      </c>
      <c r="E293" s="90">
        <v>2005</v>
      </c>
      <c r="F293" s="90">
        <v>2010</v>
      </c>
      <c r="G293" s="90">
        <v>2015</v>
      </c>
      <c r="H293" s="90" t="s">
        <v>114</v>
      </c>
      <c r="L293" s="80" t="s">
        <v>189</v>
      </c>
    </row>
    <row r="294" spans="2:18" ht="15" thickBot="1" x14ac:dyDescent="0.35">
      <c r="B294" s="92" t="s">
        <v>187</v>
      </c>
      <c r="C294" s="98">
        <v>42.74</v>
      </c>
      <c r="D294" s="98">
        <v>60.12</v>
      </c>
      <c r="E294" s="98">
        <v>86.06</v>
      </c>
      <c r="F294" s="98">
        <v>99.55</v>
      </c>
      <c r="G294" s="98">
        <v>100</v>
      </c>
      <c r="H294" s="98">
        <v>104.12</v>
      </c>
    </row>
    <row r="295" spans="2:18" ht="15" thickBot="1" x14ac:dyDescent="0.35">
      <c r="B295" s="92" t="s">
        <v>188</v>
      </c>
      <c r="C295" s="98">
        <v>66.459999999999994</v>
      </c>
      <c r="D295" s="98">
        <v>81.22</v>
      </c>
      <c r="E295" s="98">
        <v>95.46</v>
      </c>
      <c r="F295" s="98">
        <v>100.13</v>
      </c>
      <c r="G295" s="98">
        <v>100</v>
      </c>
      <c r="H295" s="98">
        <v>98.8</v>
      </c>
      <c r="L295" s="112"/>
      <c r="M295" s="106">
        <v>1995</v>
      </c>
      <c r="N295" s="106">
        <v>2000</v>
      </c>
      <c r="O295" s="106">
        <v>2005</v>
      </c>
      <c r="P295" s="106">
        <v>2010</v>
      </c>
      <c r="Q295" s="106">
        <v>2015</v>
      </c>
      <c r="R295" s="106" t="s">
        <v>114</v>
      </c>
    </row>
    <row r="296" spans="2:18" x14ac:dyDescent="0.3">
      <c r="L296" s="113" t="s">
        <v>170</v>
      </c>
      <c r="M296" s="59">
        <f>C294/C295*100</f>
        <v>64.309359012940121</v>
      </c>
      <c r="N296" s="59">
        <f t="shared" ref="N296:R296" si="20">D294/D295*100</f>
        <v>74.021177049987685</v>
      </c>
      <c r="O296" s="59">
        <f t="shared" si="20"/>
        <v>90.152943641315744</v>
      </c>
      <c r="P296" s="59">
        <f t="shared" si="20"/>
        <v>99.420753021072599</v>
      </c>
      <c r="Q296" s="59">
        <f t="shared" si="20"/>
        <v>100</v>
      </c>
      <c r="R296" s="59">
        <f t="shared" si="20"/>
        <v>105.38461538461539</v>
      </c>
    </row>
    <row r="300" spans="2:18" ht="21" x14ac:dyDescent="0.4">
      <c r="L300" s="80" t="s">
        <v>190</v>
      </c>
    </row>
    <row r="303" spans="2:18" ht="15" thickBot="1" x14ac:dyDescent="0.35"/>
    <row r="304" spans="2:18" x14ac:dyDescent="0.3">
      <c r="M304" s="113" t="s">
        <v>195</v>
      </c>
      <c r="N304" s="113" t="s">
        <v>194</v>
      </c>
      <c r="P304" s="512" t="s">
        <v>196</v>
      </c>
      <c r="Q304" s="513"/>
    </row>
    <row r="305" spans="12:17" x14ac:dyDescent="0.3">
      <c r="L305" s="113" t="s">
        <v>192</v>
      </c>
      <c r="M305" s="59">
        <f>(POWER(O296/M296,1/10)-1)*100</f>
        <v>3.4357274381462632</v>
      </c>
      <c r="N305" s="59">
        <f>(((O296/M296)-1)*100)/10</f>
        <v>4.0186350828307065</v>
      </c>
      <c r="P305" s="514"/>
      <c r="Q305" s="515"/>
    </row>
    <row r="306" spans="12:17" ht="15" thickBot="1" x14ac:dyDescent="0.35">
      <c r="L306" s="113" t="s">
        <v>193</v>
      </c>
      <c r="M306" s="59">
        <f>(POWER(R296/O296,1/15)-1)*100</f>
        <v>1.0461614637663708</v>
      </c>
      <c r="N306" s="59">
        <f>(((R296/O296)-1)*100)/15</f>
        <v>1.1263578779265502</v>
      </c>
      <c r="P306" s="516"/>
      <c r="Q306" s="517"/>
    </row>
    <row r="312" spans="12:17" ht="21" x14ac:dyDescent="0.4">
      <c r="L312" s="80" t="s">
        <v>191</v>
      </c>
    </row>
    <row r="313" spans="12:17" x14ac:dyDescent="0.3">
      <c r="L313" s="111"/>
    </row>
    <row r="344" spans="3:14" ht="15" thickBot="1" x14ac:dyDescent="0.35"/>
    <row r="345" spans="3:14" ht="21.6" thickBot="1" x14ac:dyDescent="0.45">
      <c r="C345" s="114" t="s">
        <v>198</v>
      </c>
      <c r="D345" s="115">
        <v>103.07</v>
      </c>
      <c r="E345" s="116"/>
      <c r="F345" s="117" t="s">
        <v>199</v>
      </c>
      <c r="G345" s="115">
        <v>104.2</v>
      </c>
      <c r="H345" s="116"/>
      <c r="I345" s="117" t="s">
        <v>200</v>
      </c>
      <c r="J345" s="115">
        <v>104.68</v>
      </c>
      <c r="L345" s="80" t="s">
        <v>197</v>
      </c>
    </row>
    <row r="346" spans="3:14" ht="15" thickBot="1" x14ac:dyDescent="0.35">
      <c r="C346" s="118" t="s">
        <v>201</v>
      </c>
      <c r="D346" s="119">
        <v>103.32</v>
      </c>
      <c r="E346" s="120"/>
      <c r="F346" s="121" t="s">
        <v>202</v>
      </c>
      <c r="G346" s="119">
        <v>104.08</v>
      </c>
      <c r="H346" s="120"/>
      <c r="I346" s="121" t="s">
        <v>203</v>
      </c>
      <c r="J346" s="119">
        <v>104.06</v>
      </c>
    </row>
    <row r="347" spans="3:14" ht="15" thickBot="1" x14ac:dyDescent="0.35">
      <c r="C347" s="118" t="s">
        <v>204</v>
      </c>
      <c r="D347" s="119">
        <v>103.7</v>
      </c>
      <c r="E347" s="120"/>
      <c r="F347" s="121" t="s">
        <v>205</v>
      </c>
      <c r="G347" s="119">
        <v>103.68</v>
      </c>
      <c r="H347" s="120"/>
      <c r="I347" s="121" t="s">
        <v>206</v>
      </c>
      <c r="J347" s="119">
        <v>105.07</v>
      </c>
    </row>
    <row r="348" spans="3:14" ht="15" thickBot="1" x14ac:dyDescent="0.35">
      <c r="C348" s="118" t="s">
        <v>207</v>
      </c>
      <c r="D348" s="119">
        <v>104.74</v>
      </c>
      <c r="E348" s="120"/>
      <c r="F348" s="121" t="s">
        <v>208</v>
      </c>
      <c r="G348" s="119">
        <v>103.99</v>
      </c>
      <c r="H348" s="120"/>
      <c r="I348" s="121" t="s">
        <v>209</v>
      </c>
      <c r="J348" s="119">
        <v>106.31</v>
      </c>
      <c r="L348" s="59" t="s">
        <v>233</v>
      </c>
      <c r="M348" s="59"/>
      <c r="N348" s="59">
        <f>(G352-D352)*100/D352</f>
        <v>-0.51863234729159258</v>
      </c>
    </row>
    <row r="349" spans="3:14" ht="15" thickBot="1" x14ac:dyDescent="0.35">
      <c r="C349" s="118" t="s">
        <v>210</v>
      </c>
      <c r="D349" s="119">
        <v>104.95</v>
      </c>
      <c r="E349" s="120"/>
      <c r="F349" s="121" t="s">
        <v>211</v>
      </c>
      <c r="G349" s="119">
        <v>103.99</v>
      </c>
      <c r="H349" s="120"/>
      <c r="I349" s="121" t="s">
        <v>212</v>
      </c>
      <c r="J349" s="119">
        <v>106.81</v>
      </c>
      <c r="L349" s="59"/>
      <c r="M349" s="59"/>
      <c r="N349" s="59"/>
    </row>
    <row r="350" spans="3:14" ht="15" thickBot="1" x14ac:dyDescent="0.35">
      <c r="C350" s="118" t="s">
        <v>213</v>
      </c>
      <c r="D350" s="119">
        <v>104.82</v>
      </c>
      <c r="E350" s="120"/>
      <c r="F350" s="121" t="s">
        <v>214</v>
      </c>
      <c r="G350" s="119">
        <v>104.47</v>
      </c>
      <c r="H350" s="120"/>
      <c r="I350" s="121" t="s">
        <v>215</v>
      </c>
      <c r="J350" s="119">
        <v>107.32</v>
      </c>
      <c r="L350" s="59" t="s">
        <v>234</v>
      </c>
      <c r="M350" s="59"/>
      <c r="N350" s="59">
        <f>(J352-G352)*100/G352</f>
        <v>3.3017957134581981</v>
      </c>
    </row>
    <row r="351" spans="3:14" ht="15" thickBot="1" x14ac:dyDescent="0.35">
      <c r="C351" s="118" t="s">
        <v>216</v>
      </c>
      <c r="D351" s="119">
        <v>104.17</v>
      </c>
      <c r="E351" s="120"/>
      <c r="F351" s="121" t="s">
        <v>217</v>
      </c>
      <c r="G351" s="119">
        <v>103.53</v>
      </c>
      <c r="H351" s="120"/>
      <c r="I351" s="121" t="s">
        <v>218</v>
      </c>
      <c r="J351" s="119">
        <v>106.51</v>
      </c>
    </row>
    <row r="352" spans="3:14" ht="15" thickBot="1" x14ac:dyDescent="0.35">
      <c r="C352" s="118" t="s">
        <v>219</v>
      </c>
      <c r="D352" s="119">
        <v>104.12</v>
      </c>
      <c r="E352" s="120"/>
      <c r="F352" s="121" t="s">
        <v>220</v>
      </c>
      <c r="G352" s="119">
        <v>103.58</v>
      </c>
      <c r="H352" s="120"/>
      <c r="I352" s="121" t="s">
        <v>221</v>
      </c>
      <c r="J352" s="119">
        <v>107</v>
      </c>
    </row>
    <row r="353" spans="3:16" ht="21.6" thickBot="1" x14ac:dyDescent="0.45">
      <c r="C353" s="118" t="s">
        <v>222</v>
      </c>
      <c r="D353" s="119">
        <v>104.12</v>
      </c>
      <c r="E353" s="120"/>
      <c r="F353" s="121" t="s">
        <v>223</v>
      </c>
      <c r="G353" s="119">
        <v>103.73</v>
      </c>
      <c r="H353" s="120"/>
      <c r="I353" s="120"/>
      <c r="J353" s="120"/>
      <c r="L353" s="80" t="s">
        <v>230</v>
      </c>
    </row>
    <row r="354" spans="3:16" ht="15" thickBot="1" x14ac:dyDescent="0.35">
      <c r="C354" s="118" t="s">
        <v>224</v>
      </c>
      <c r="D354" s="119">
        <v>105.13</v>
      </c>
      <c r="E354" s="120"/>
      <c r="F354" s="121" t="s">
        <v>225</v>
      </c>
      <c r="G354" s="119">
        <v>104.28</v>
      </c>
      <c r="H354" s="120"/>
      <c r="I354" s="120"/>
      <c r="J354" s="120"/>
    </row>
    <row r="355" spans="3:16" ht="15" thickBot="1" x14ac:dyDescent="0.35">
      <c r="C355" s="118" t="s">
        <v>226</v>
      </c>
      <c r="D355" s="119">
        <v>105.3</v>
      </c>
      <c r="E355" s="120"/>
      <c r="F355" s="121" t="s">
        <v>227</v>
      </c>
      <c r="G355" s="119">
        <v>104.45</v>
      </c>
      <c r="H355" s="120"/>
      <c r="I355" s="120"/>
      <c r="J355" s="120"/>
    </row>
    <row r="356" spans="3:16" ht="15" thickBot="1" x14ac:dyDescent="0.35">
      <c r="C356" s="118" t="s">
        <v>228</v>
      </c>
      <c r="D356" s="119">
        <v>105.23</v>
      </c>
      <c r="E356" s="120"/>
      <c r="F356" s="121" t="s">
        <v>229</v>
      </c>
      <c r="G356" s="119">
        <v>104.67</v>
      </c>
      <c r="H356" s="120"/>
      <c r="I356" s="120"/>
      <c r="J356" s="120"/>
      <c r="L356" s="59" t="s">
        <v>235</v>
      </c>
      <c r="M356" s="59"/>
      <c r="N356" s="59">
        <f>(J352-G356)*100/G356</f>
        <v>2.2260437565682607</v>
      </c>
      <c r="P356" t="s">
        <v>237</v>
      </c>
    </row>
    <row r="357" spans="3:16" x14ac:dyDescent="0.3">
      <c r="N357">
        <f>(POWER(J352/G356,1/8)-1)*100</f>
        <v>0.27558266525973263</v>
      </c>
    </row>
    <row r="359" spans="3:16" ht="21" x14ac:dyDescent="0.4">
      <c r="L359" s="80" t="s">
        <v>231</v>
      </c>
    </row>
    <row r="362" spans="3:16" x14ac:dyDescent="0.3">
      <c r="L362" s="59" t="s">
        <v>236</v>
      </c>
      <c r="M362" s="59"/>
      <c r="N362" s="59">
        <f>(G356-D356)*100/D356</f>
        <v>-0.53216763280433554</v>
      </c>
    </row>
    <row r="365" spans="3:16" ht="21" x14ac:dyDescent="0.4">
      <c r="L365" s="80" t="s">
        <v>232</v>
      </c>
    </row>
    <row r="367" spans="3:16" x14ac:dyDescent="0.3">
      <c r="L367" s="59" t="s">
        <v>241</v>
      </c>
      <c r="M367" s="59">
        <f>AVERAGE(D345:D356)</f>
        <v>104.38916666666665</v>
      </c>
      <c r="N367" s="59"/>
    </row>
    <row r="368" spans="3:16" x14ac:dyDescent="0.3">
      <c r="L368" s="59" t="s">
        <v>242</v>
      </c>
      <c r="M368" s="59">
        <f>AVERAGE(G345:G356)</f>
        <v>104.05416666666669</v>
      </c>
      <c r="N368" s="59"/>
    </row>
    <row r="369" spans="12:14" x14ac:dyDescent="0.3">
      <c r="L369" s="59" t="s">
        <v>236</v>
      </c>
      <c r="M369" s="59"/>
      <c r="N369" s="59">
        <f>(M368-M367)/M367*100</f>
        <v>-0.32091452657121067</v>
      </c>
    </row>
    <row r="372" spans="12:14" ht="21" x14ac:dyDescent="0.4">
      <c r="L372" s="80" t="s">
        <v>238</v>
      </c>
    </row>
    <row r="374" spans="12:14" x14ac:dyDescent="0.3">
      <c r="L374" s="59" t="s">
        <v>243</v>
      </c>
      <c r="M374" s="59" t="s">
        <v>244</v>
      </c>
    </row>
    <row r="375" spans="12:14" x14ac:dyDescent="0.3">
      <c r="L375" s="122" t="s">
        <v>200</v>
      </c>
      <c r="M375" s="59">
        <f>(J345-G356)*100/G356</f>
        <v>9.5538358651047258E-3</v>
      </c>
    </row>
    <row r="376" spans="12:14" x14ac:dyDescent="0.3">
      <c r="L376" s="122" t="s">
        <v>203</v>
      </c>
      <c r="M376" s="59">
        <f>(J346-J345)*100/J345</f>
        <v>-0.59228123805885036</v>
      </c>
    </row>
    <row r="377" spans="12:14" x14ac:dyDescent="0.3">
      <c r="L377" s="122" t="s">
        <v>206</v>
      </c>
      <c r="M377" s="59">
        <f t="shared" ref="M377:M382" si="21">(J347-J346)*100/J346</f>
        <v>0.97059388814144809</v>
      </c>
    </row>
    <row r="378" spans="12:14" x14ac:dyDescent="0.3">
      <c r="L378" s="122" t="s">
        <v>209</v>
      </c>
      <c r="M378" s="59">
        <f t="shared" si="21"/>
        <v>1.1801656038831343</v>
      </c>
    </row>
    <row r="379" spans="12:14" x14ac:dyDescent="0.3">
      <c r="L379" s="122" t="s">
        <v>212</v>
      </c>
      <c r="M379" s="59">
        <f t="shared" si="21"/>
        <v>0.47032264133195373</v>
      </c>
    </row>
    <row r="380" spans="12:14" x14ac:dyDescent="0.3">
      <c r="L380" s="122" t="s">
        <v>215</v>
      </c>
      <c r="M380" s="59">
        <f t="shared" si="21"/>
        <v>0.47748338170582427</v>
      </c>
    </row>
    <row r="381" spans="12:14" x14ac:dyDescent="0.3">
      <c r="L381" s="122" t="s">
        <v>218</v>
      </c>
      <c r="M381" s="59">
        <f t="shared" si="21"/>
        <v>-0.75475214312335825</v>
      </c>
    </row>
    <row r="382" spans="12:14" x14ac:dyDescent="0.3">
      <c r="L382" s="122" t="s">
        <v>221</v>
      </c>
      <c r="M382" s="59">
        <f t="shared" si="21"/>
        <v>0.46005069946483418</v>
      </c>
    </row>
    <row r="384" spans="12:14" ht="21" x14ac:dyDescent="0.4">
      <c r="L384" s="80" t="s">
        <v>239</v>
      </c>
    </row>
    <row r="387" spans="12:14" x14ac:dyDescent="0.3">
      <c r="L387" s="59" t="s">
        <v>245</v>
      </c>
      <c r="M387" s="59"/>
      <c r="N387" s="59">
        <f>(M389-M390)*100/M390</f>
        <v>2.1127433797520734</v>
      </c>
    </row>
    <row r="388" spans="12:14" x14ac:dyDescent="0.3">
      <c r="L388" s="59"/>
      <c r="M388" s="59"/>
      <c r="N388" s="59"/>
    </row>
    <row r="389" spans="12:14" x14ac:dyDescent="0.3">
      <c r="L389" s="59" t="s">
        <v>246</v>
      </c>
      <c r="M389" s="59">
        <f>AVERAGE(J348:J350)</f>
        <v>106.81333333333333</v>
      </c>
      <c r="N389" s="59"/>
    </row>
    <row r="390" spans="12:14" x14ac:dyDescent="0.3">
      <c r="L390" s="59" t="s">
        <v>247</v>
      </c>
      <c r="M390" s="59">
        <f>AVERAGE(J345:J347)</f>
        <v>104.60333333333334</v>
      </c>
      <c r="N390" s="59"/>
    </row>
    <row r="393" spans="12:14" ht="21" x14ac:dyDescent="0.4">
      <c r="L393" s="80" t="s">
        <v>240</v>
      </c>
    </row>
    <row r="396" spans="12:14" x14ac:dyDescent="0.3">
      <c r="L396" s="59" t="s">
        <v>248</v>
      </c>
      <c r="M396" s="59"/>
      <c r="N396" s="59">
        <f>AVERAGE(D345:D350)</f>
        <v>104.09999999999998</v>
      </c>
    </row>
    <row r="397" spans="12:14" x14ac:dyDescent="0.3">
      <c r="L397" s="59"/>
      <c r="M397" s="59"/>
      <c r="N397" s="59"/>
    </row>
    <row r="398" spans="12:14" x14ac:dyDescent="0.3">
      <c r="L398" s="59" t="s">
        <v>249</v>
      </c>
      <c r="M398" s="59"/>
      <c r="N398" s="59">
        <f>AVERAGE(G345:G350)</f>
        <v>104.06833333333334</v>
      </c>
    </row>
    <row r="399" spans="12:14" x14ac:dyDescent="0.3">
      <c r="L399" s="59"/>
      <c r="M399" s="59"/>
      <c r="N399" s="59"/>
    </row>
    <row r="400" spans="12:14" x14ac:dyDescent="0.3">
      <c r="L400" s="59" t="s">
        <v>250</v>
      </c>
      <c r="M400" s="59"/>
      <c r="N400" s="59">
        <f>AVERAGE(J345:J350)</f>
        <v>105.70833333333333</v>
      </c>
    </row>
    <row r="401" spans="12:14" x14ac:dyDescent="0.3">
      <c r="L401" s="59"/>
      <c r="M401" s="59"/>
      <c r="N401" s="59"/>
    </row>
    <row r="402" spans="12:14" x14ac:dyDescent="0.3">
      <c r="L402" s="59" t="s">
        <v>251</v>
      </c>
      <c r="M402" s="59"/>
      <c r="N402" s="59">
        <f>(N398-N396)*100/N396</f>
        <v>-3.041946845978662E-2</v>
      </c>
    </row>
    <row r="403" spans="12:14" x14ac:dyDescent="0.3">
      <c r="L403" s="59" t="s">
        <v>252</v>
      </c>
      <c r="M403" s="59"/>
      <c r="N403" s="59">
        <f>(N400-N398)*100/N398</f>
        <v>1.5758876379301929</v>
      </c>
    </row>
    <row r="407" spans="12:14" ht="21" x14ac:dyDescent="0.4">
      <c r="L407" s="80" t="s">
        <v>253</v>
      </c>
    </row>
    <row r="409" spans="12:14" x14ac:dyDescent="0.3">
      <c r="L409" t="s">
        <v>255</v>
      </c>
    </row>
    <row r="412" spans="12:14" ht="21" x14ac:dyDescent="0.4">
      <c r="L412" s="80" t="s">
        <v>254</v>
      </c>
    </row>
    <row r="415" spans="12:14" x14ac:dyDescent="0.3">
      <c r="L415" t="s">
        <v>256</v>
      </c>
    </row>
    <row r="416" spans="12:14" x14ac:dyDescent="0.3">
      <c r="L416" t="s">
        <v>257</v>
      </c>
    </row>
    <row r="437" spans="2:8" ht="15" thickBot="1" x14ac:dyDescent="0.35"/>
    <row r="438" spans="2:8" ht="24.6" thickBot="1" x14ac:dyDescent="0.45">
      <c r="B438" s="104"/>
      <c r="C438" s="90" t="s">
        <v>258</v>
      </c>
      <c r="D438" s="90" t="s">
        <v>259</v>
      </c>
      <c r="G438" s="80" t="s">
        <v>260</v>
      </c>
    </row>
    <row r="439" spans="2:8" ht="15" thickBot="1" x14ac:dyDescent="0.35">
      <c r="B439" s="123">
        <v>2007</v>
      </c>
      <c r="C439" s="98">
        <v>89.05</v>
      </c>
      <c r="D439" s="103">
        <v>1080807</v>
      </c>
    </row>
    <row r="440" spans="2:8" ht="15" thickBot="1" x14ac:dyDescent="0.35">
      <c r="B440" s="123">
        <v>2008</v>
      </c>
      <c r="C440" s="98">
        <v>92.68</v>
      </c>
      <c r="D440" s="103">
        <v>1116225</v>
      </c>
    </row>
    <row r="441" spans="2:8" ht="15" thickBot="1" x14ac:dyDescent="0.35">
      <c r="B441" s="123">
        <v>2009</v>
      </c>
      <c r="C441" s="98">
        <v>92.41</v>
      </c>
      <c r="D441" s="103">
        <v>1079052</v>
      </c>
      <c r="G441" s="520" t="s">
        <v>263</v>
      </c>
      <c r="H441" s="521"/>
    </row>
    <row r="442" spans="2:8" ht="15" thickBot="1" x14ac:dyDescent="0.35">
      <c r="B442" s="123">
        <v>2010</v>
      </c>
      <c r="C442" s="98">
        <v>94.08</v>
      </c>
      <c r="D442" s="103">
        <v>1080935</v>
      </c>
      <c r="G442" s="124">
        <v>2007</v>
      </c>
      <c r="H442" s="59"/>
    </row>
    <row r="443" spans="2:8" ht="15" thickBot="1" x14ac:dyDescent="0.35">
      <c r="B443" s="123">
        <v>2011</v>
      </c>
      <c r="C443" s="98">
        <v>97.08</v>
      </c>
      <c r="D443" s="103">
        <v>1070449</v>
      </c>
      <c r="G443" s="124">
        <v>2008</v>
      </c>
      <c r="H443" s="59">
        <f>(C440-C439)*100/C439</f>
        <v>4.0763615946097804</v>
      </c>
    </row>
    <row r="444" spans="2:8" ht="15" thickBot="1" x14ac:dyDescent="0.35">
      <c r="B444" s="123">
        <v>2012</v>
      </c>
      <c r="C444" s="98">
        <v>99.46</v>
      </c>
      <c r="D444" s="103">
        <v>1039815</v>
      </c>
      <c r="G444" s="124">
        <v>2009</v>
      </c>
      <c r="H444" s="59">
        <f t="shared" ref="H444:H452" si="22">(C441-C440)*100/C440</f>
        <v>-0.29132498921019662</v>
      </c>
    </row>
    <row r="445" spans="2:8" ht="15" thickBot="1" x14ac:dyDescent="0.35">
      <c r="B445" s="123">
        <v>2013</v>
      </c>
      <c r="C445" s="98">
        <v>100.86</v>
      </c>
      <c r="D445" s="103">
        <v>1025693</v>
      </c>
      <c r="G445" s="124">
        <v>2010</v>
      </c>
      <c r="H445" s="59">
        <f t="shared" si="22"/>
        <v>1.8071637268693883</v>
      </c>
    </row>
    <row r="446" spans="2:8" ht="15" thickBot="1" x14ac:dyDescent="0.35">
      <c r="B446" s="123">
        <v>2014</v>
      </c>
      <c r="C446" s="98">
        <v>100.71</v>
      </c>
      <c r="D446" s="103">
        <v>1037820</v>
      </c>
      <c r="G446" s="124">
        <v>2011</v>
      </c>
      <c r="H446" s="59">
        <f t="shared" si="22"/>
        <v>3.1887755102040818</v>
      </c>
    </row>
    <row r="447" spans="2:8" ht="15" thickBot="1" x14ac:dyDescent="0.35">
      <c r="B447" s="123">
        <v>2015</v>
      </c>
      <c r="C447" s="98">
        <v>100.2</v>
      </c>
      <c r="D447" s="103">
        <v>1081165</v>
      </c>
      <c r="G447" s="124">
        <v>2012</v>
      </c>
      <c r="H447" s="59">
        <f t="shared" si="22"/>
        <v>2.4515863205603581</v>
      </c>
    </row>
    <row r="448" spans="2:8" ht="15" thickBot="1" x14ac:dyDescent="0.35">
      <c r="B448" s="123">
        <v>2016</v>
      </c>
      <c r="C448" s="98">
        <v>100</v>
      </c>
      <c r="D448" s="103">
        <v>1118743</v>
      </c>
      <c r="G448" s="124">
        <v>2013</v>
      </c>
      <c r="H448" s="59">
        <f t="shared" si="22"/>
        <v>1.4076010456464969</v>
      </c>
    </row>
    <row r="449" spans="2:9" ht="15" thickBot="1" x14ac:dyDescent="0.35">
      <c r="B449" s="123">
        <v>2017</v>
      </c>
      <c r="C449" s="98">
        <v>101.96</v>
      </c>
      <c r="D449" s="103">
        <v>1166319</v>
      </c>
      <c r="G449" s="124">
        <v>2014</v>
      </c>
      <c r="H449" s="59">
        <f t="shared" si="22"/>
        <v>-0.14872099940512165</v>
      </c>
    </row>
    <row r="450" spans="2:9" x14ac:dyDescent="0.3">
      <c r="G450" s="124">
        <v>2015</v>
      </c>
      <c r="H450" s="59">
        <f t="shared" si="22"/>
        <v>-0.50640452785223999</v>
      </c>
    </row>
    <row r="451" spans="2:9" x14ac:dyDescent="0.3">
      <c r="G451" s="124">
        <v>2016</v>
      </c>
      <c r="H451" s="59">
        <f t="shared" si="22"/>
        <v>-0.19960079840319644</v>
      </c>
    </row>
    <row r="452" spans="2:9" x14ac:dyDescent="0.3">
      <c r="G452" s="124">
        <v>2017</v>
      </c>
      <c r="H452" s="59">
        <f t="shared" si="22"/>
        <v>1.9599999999999937</v>
      </c>
    </row>
    <row r="456" spans="2:9" ht="21" x14ac:dyDescent="0.4">
      <c r="G456" s="80" t="s">
        <v>261</v>
      </c>
    </row>
    <row r="458" spans="2:9" x14ac:dyDescent="0.3">
      <c r="G458" t="s">
        <v>264</v>
      </c>
    </row>
    <row r="461" spans="2:9" x14ac:dyDescent="0.3">
      <c r="G461" t="s">
        <v>265</v>
      </c>
      <c r="I461">
        <f>D448/C448*100</f>
        <v>1118743</v>
      </c>
    </row>
    <row r="462" spans="2:9" x14ac:dyDescent="0.3">
      <c r="G462" t="s">
        <v>397</v>
      </c>
    </row>
    <row r="464" spans="2:9" x14ac:dyDescent="0.3">
      <c r="G464" s="520" t="s">
        <v>266</v>
      </c>
      <c r="H464" s="521"/>
    </row>
    <row r="465" spans="7:8" x14ac:dyDescent="0.3">
      <c r="G465" s="124">
        <v>2007</v>
      </c>
      <c r="H465" s="59">
        <f>D439/C439*100</f>
        <v>1213708.0291970803</v>
      </c>
    </row>
    <row r="466" spans="7:8" x14ac:dyDescent="0.3">
      <c r="G466" s="124">
        <v>2008</v>
      </c>
      <c r="H466" s="59">
        <f t="shared" ref="H466:H475" si="23">D440/C440*100</f>
        <v>1204386.0595597755</v>
      </c>
    </row>
    <row r="467" spans="7:8" x14ac:dyDescent="0.3">
      <c r="G467" s="124">
        <v>2009</v>
      </c>
      <c r="H467" s="59">
        <f t="shared" si="23"/>
        <v>1167678.8226382427</v>
      </c>
    </row>
    <row r="468" spans="7:8" x14ac:dyDescent="0.3">
      <c r="G468" s="124">
        <v>2010</v>
      </c>
      <c r="H468" s="59">
        <f t="shared" si="23"/>
        <v>1148953.0187074831</v>
      </c>
    </row>
    <row r="469" spans="7:8" x14ac:dyDescent="0.3">
      <c r="G469" s="124">
        <v>2011</v>
      </c>
      <c r="H469" s="59">
        <f t="shared" si="23"/>
        <v>1102646.2711166048</v>
      </c>
    </row>
    <row r="470" spans="7:8" x14ac:dyDescent="0.3">
      <c r="G470" s="124">
        <v>2012</v>
      </c>
      <c r="H470" s="59">
        <f t="shared" si="23"/>
        <v>1045460.4866277901</v>
      </c>
    </row>
    <row r="471" spans="7:8" x14ac:dyDescent="0.3">
      <c r="G471" s="124">
        <v>2013</v>
      </c>
      <c r="H471" s="59">
        <f t="shared" si="23"/>
        <v>1016947.2536188776</v>
      </c>
    </row>
    <row r="472" spans="7:8" x14ac:dyDescent="0.3">
      <c r="G472" s="124">
        <v>2014</v>
      </c>
      <c r="H472" s="59">
        <f t="shared" si="23"/>
        <v>1030503.4256776884</v>
      </c>
    </row>
    <row r="473" spans="7:8" x14ac:dyDescent="0.3">
      <c r="G473" s="124">
        <v>2015</v>
      </c>
      <c r="H473" s="59">
        <f t="shared" si="23"/>
        <v>1079006.9860279439</v>
      </c>
    </row>
    <row r="474" spans="7:8" x14ac:dyDescent="0.3">
      <c r="G474" s="124">
        <v>2016</v>
      </c>
      <c r="H474" s="59">
        <f t="shared" si="23"/>
        <v>1118743</v>
      </c>
    </row>
    <row r="475" spans="7:8" x14ac:dyDescent="0.3">
      <c r="G475" s="124">
        <v>2017</v>
      </c>
      <c r="H475" s="59">
        <f t="shared" si="23"/>
        <v>1143898.5876814439</v>
      </c>
    </row>
    <row r="479" spans="7:8" ht="21" x14ac:dyDescent="0.4">
      <c r="G479" s="80" t="s">
        <v>262</v>
      </c>
    </row>
    <row r="481" spans="6:7" ht="28.8" x14ac:dyDescent="0.3">
      <c r="G481" s="125" t="s">
        <v>267</v>
      </c>
    </row>
    <row r="482" spans="6:7" x14ac:dyDescent="0.3">
      <c r="F482" s="124">
        <v>2007</v>
      </c>
      <c r="G482" s="59"/>
    </row>
    <row r="483" spans="6:7" x14ac:dyDescent="0.3">
      <c r="F483" s="124">
        <v>2008</v>
      </c>
      <c r="G483" s="59">
        <f t="shared" ref="G483:G492" si="24">(H466-H465)*100/H465</f>
        <v>-0.76805701314109776</v>
      </c>
    </row>
    <row r="484" spans="6:7" x14ac:dyDescent="0.3">
      <c r="F484" s="124">
        <v>2009</v>
      </c>
      <c r="G484" s="59">
        <f t="shared" si="24"/>
        <v>-3.0477965624203525</v>
      </c>
    </row>
    <row r="485" spans="6:7" x14ac:dyDescent="0.3">
      <c r="F485" s="124">
        <v>2010</v>
      </c>
      <c r="G485" s="59">
        <f t="shared" si="24"/>
        <v>-1.6036776181699308</v>
      </c>
    </row>
    <row r="486" spans="6:7" x14ac:dyDescent="0.3">
      <c r="F486" s="124">
        <v>2011</v>
      </c>
      <c r="G486" s="59">
        <f t="shared" si="24"/>
        <v>-4.0303430024467968</v>
      </c>
    </row>
    <row r="487" spans="6:7" x14ac:dyDescent="0.3">
      <c r="F487" s="124">
        <v>2012</v>
      </c>
      <c r="G487" s="59">
        <f t="shared" si="24"/>
        <v>-5.1862311592370363</v>
      </c>
    </row>
    <row r="488" spans="6:7" x14ac:dyDescent="0.3">
      <c r="F488" s="124">
        <v>2013</v>
      </c>
      <c r="G488" s="59">
        <f t="shared" si="24"/>
        <v>-2.7273372235122979</v>
      </c>
    </row>
    <row r="489" spans="6:7" x14ac:dyDescent="0.3">
      <c r="F489" s="124">
        <v>2014</v>
      </c>
      <c r="G489" s="59">
        <f t="shared" si="24"/>
        <v>1.3330260749090228</v>
      </c>
    </row>
    <row r="490" spans="6:7" x14ac:dyDescent="0.3">
      <c r="F490" s="124">
        <v>2015</v>
      </c>
      <c r="G490" s="59">
        <f t="shared" si="24"/>
        <v>4.7067830287277443</v>
      </c>
    </row>
    <row r="491" spans="6:7" x14ac:dyDescent="0.3">
      <c r="F491" s="124">
        <v>2016</v>
      </c>
      <c r="G491" s="59">
        <f t="shared" si="24"/>
        <v>3.6826465895585057</v>
      </c>
    </row>
    <row r="492" spans="6:7" x14ac:dyDescent="0.3">
      <c r="F492" s="124">
        <v>2017</v>
      </c>
      <c r="G492" s="59">
        <f t="shared" si="24"/>
        <v>2.2485582194877551</v>
      </c>
    </row>
    <row r="505" spans="2:7" ht="15.6" x14ac:dyDescent="0.3">
      <c r="B505" s="126" t="s">
        <v>268</v>
      </c>
      <c r="C505" s="136"/>
      <c r="D505" s="136"/>
    </row>
    <row r="506" spans="2:7" ht="15.6" x14ac:dyDescent="0.3">
      <c r="B506" s="126" t="s">
        <v>269</v>
      </c>
      <c r="C506" s="136"/>
      <c r="D506" s="136"/>
    </row>
    <row r="507" spans="2:7" ht="16.2" thickBot="1" x14ac:dyDescent="0.35">
      <c r="B507" s="126" t="s">
        <v>270</v>
      </c>
      <c r="C507" s="137"/>
      <c r="D507" s="137"/>
    </row>
    <row r="508" spans="2:7" ht="40.200000000000003" thickBot="1" x14ac:dyDescent="0.35">
      <c r="B508" s="133" t="s">
        <v>271</v>
      </c>
      <c r="C508" s="129">
        <v>2018</v>
      </c>
      <c r="D508" s="138" t="s">
        <v>113</v>
      </c>
      <c r="E508" s="139" t="s">
        <v>282</v>
      </c>
      <c r="F508" s="139" t="s">
        <v>131</v>
      </c>
      <c r="G508" s="139" t="s">
        <v>93</v>
      </c>
    </row>
    <row r="509" spans="2:7" ht="15" thickBot="1" x14ac:dyDescent="0.35">
      <c r="B509" s="77" t="s">
        <v>272</v>
      </c>
      <c r="C509" s="67">
        <v>924163</v>
      </c>
      <c r="D509" s="140">
        <v>947966</v>
      </c>
      <c r="E509" s="144">
        <f>C509/$C$516</f>
        <v>0.76804993771083363</v>
      </c>
      <c r="F509" s="144">
        <f>(D509-C509)*100/C509</f>
        <v>2.5756278924821703</v>
      </c>
      <c r="G509" s="144">
        <f>E509*F509</f>
        <v>1.9782108423872167</v>
      </c>
    </row>
    <row r="510" spans="2:7" ht="15" thickBot="1" x14ac:dyDescent="0.35">
      <c r="B510" s="77" t="s">
        <v>273</v>
      </c>
      <c r="C510" s="67">
        <v>246403</v>
      </c>
      <c r="D510" s="140">
        <v>259949</v>
      </c>
      <c r="E510" s="144">
        <f t="shared" ref="E510:E516" si="25">C510/$C$516</f>
        <v>0.2047796858365489</v>
      </c>
      <c r="F510" s="144">
        <f t="shared" ref="F510:F516" si="26">(D510-C510)*100/C510</f>
        <v>5.4974980012418682</v>
      </c>
      <c r="G510" s="144">
        <f t="shared" ref="G510:G516" si="27">E510*F510</f>
        <v>1.1257759135813652</v>
      </c>
    </row>
    <row r="511" spans="2:7" ht="15" thickBot="1" x14ac:dyDescent="0.35">
      <c r="B511" s="66" t="s">
        <v>149</v>
      </c>
      <c r="C511" s="67">
        <v>233996</v>
      </c>
      <c r="D511" s="140">
        <v>249887</v>
      </c>
      <c r="E511" s="144">
        <f t="shared" si="25"/>
        <v>0.19446852257078484</v>
      </c>
      <c r="F511" s="144">
        <f t="shared" si="26"/>
        <v>6.7911417289184435</v>
      </c>
      <c r="G511" s="144">
        <f t="shared" si="27"/>
        <v>1.3206632985915752</v>
      </c>
    </row>
    <row r="512" spans="2:7" ht="15" thickBot="1" x14ac:dyDescent="0.35">
      <c r="B512" s="66" t="s">
        <v>274</v>
      </c>
      <c r="C512" s="67">
        <v>9964</v>
      </c>
      <c r="D512" s="140">
        <v>7473</v>
      </c>
      <c r="E512" s="144">
        <f t="shared" si="25"/>
        <v>8.2808439413293404E-3</v>
      </c>
      <c r="F512" s="144">
        <f t="shared" si="26"/>
        <v>-25</v>
      </c>
      <c r="G512" s="144">
        <f t="shared" si="27"/>
        <v>-0.2070210985332335</v>
      </c>
    </row>
    <row r="513" spans="2:7" ht="15" thickBot="1" x14ac:dyDescent="0.35">
      <c r="B513" s="66" t="s">
        <v>275</v>
      </c>
      <c r="C513" s="67">
        <v>2443</v>
      </c>
      <c r="D513" s="140">
        <v>2589</v>
      </c>
      <c r="E513" s="144">
        <f t="shared" si="25"/>
        <v>2.0303193244347226E-3</v>
      </c>
      <c r="F513" s="144">
        <f t="shared" si="26"/>
        <v>5.9762586983217352</v>
      </c>
      <c r="G513" s="144">
        <f t="shared" si="27"/>
        <v>1.2133713523023721E-2</v>
      </c>
    </row>
    <row r="514" spans="2:7" ht="15" thickBot="1" x14ac:dyDescent="0.35">
      <c r="B514" s="77" t="s">
        <v>276</v>
      </c>
      <c r="C514" s="67">
        <v>423097</v>
      </c>
      <c r="D514" s="140">
        <v>434967</v>
      </c>
      <c r="E514" s="144">
        <f t="shared" si="25"/>
        <v>0.35162587605827172</v>
      </c>
      <c r="F514" s="144">
        <f t="shared" si="26"/>
        <v>2.8055032297558244</v>
      </c>
      <c r="G514" s="144">
        <f t="shared" si="27"/>
        <v>0.98648753094720254</v>
      </c>
    </row>
    <row r="515" spans="2:7" ht="15" thickBot="1" x14ac:dyDescent="0.35">
      <c r="B515" s="77" t="s">
        <v>277</v>
      </c>
      <c r="C515" s="67">
        <v>390404</v>
      </c>
      <c r="D515" s="140">
        <v>398507</v>
      </c>
      <c r="E515" s="144">
        <f t="shared" si="25"/>
        <v>0.32445549960565429</v>
      </c>
      <c r="F515" s="144">
        <f t="shared" si="26"/>
        <v>2.0755422587883321</v>
      </c>
      <c r="G515" s="144">
        <f t="shared" si="27"/>
        <v>0.67342110052781645</v>
      </c>
    </row>
    <row r="516" spans="2:7" ht="15" thickBot="1" x14ac:dyDescent="0.35">
      <c r="B516" s="134" t="s">
        <v>278</v>
      </c>
      <c r="C516" s="131">
        <v>1203259</v>
      </c>
      <c r="D516" s="141">
        <v>1244375</v>
      </c>
      <c r="E516" s="144">
        <f t="shared" si="25"/>
        <v>1</v>
      </c>
      <c r="F516" s="144">
        <f t="shared" si="26"/>
        <v>3.4170531863879678</v>
      </c>
      <c r="G516" s="144">
        <f t="shared" si="27"/>
        <v>3.4170531863879678</v>
      </c>
    </row>
    <row r="517" spans="2:7" x14ac:dyDescent="0.3">
      <c r="B517" s="132"/>
    </row>
    <row r="518" spans="2:7" x14ac:dyDescent="0.3">
      <c r="B518" s="135" t="s">
        <v>279</v>
      </c>
      <c r="C518" s="132" t="s">
        <v>280</v>
      </c>
    </row>
    <row r="519" spans="2:7" x14ac:dyDescent="0.3">
      <c r="B519" s="135" t="s">
        <v>281</v>
      </c>
    </row>
    <row r="533" spans="2:7" ht="15.6" x14ac:dyDescent="0.3">
      <c r="B533" s="126" t="s">
        <v>268</v>
      </c>
      <c r="C533" s="127"/>
      <c r="D533" s="127"/>
    </row>
    <row r="534" spans="2:7" ht="15.6" x14ac:dyDescent="0.3">
      <c r="B534" s="126" t="s">
        <v>269</v>
      </c>
      <c r="C534" s="127"/>
      <c r="D534" s="127"/>
    </row>
    <row r="535" spans="2:7" ht="16.2" thickBot="1" x14ac:dyDescent="0.35">
      <c r="B535" s="126" t="s">
        <v>270</v>
      </c>
      <c r="C535" s="128"/>
      <c r="D535" s="128"/>
    </row>
    <row r="536" spans="2:7" ht="40.200000000000003" thickBot="1" x14ac:dyDescent="0.35">
      <c r="B536" s="142" t="s">
        <v>283</v>
      </c>
      <c r="C536" s="143" t="s">
        <v>284</v>
      </c>
      <c r="D536" s="143" t="s">
        <v>285</v>
      </c>
      <c r="E536" s="145" t="s">
        <v>282</v>
      </c>
      <c r="F536" s="145" t="s">
        <v>131</v>
      </c>
      <c r="G536" s="145" t="s">
        <v>93</v>
      </c>
    </row>
    <row r="537" spans="2:7" ht="15" thickBot="1" x14ac:dyDescent="0.35">
      <c r="B537" s="77" t="s">
        <v>286</v>
      </c>
      <c r="C537" s="67">
        <v>33181</v>
      </c>
      <c r="D537" s="67">
        <v>32287</v>
      </c>
      <c r="E537" s="144">
        <f>C537/$C$516</f>
        <v>2.7575941671743157E-2</v>
      </c>
      <c r="F537" s="144">
        <f>(D537-C537)*100/C537</f>
        <v>-2.6943130104577921</v>
      </c>
      <c r="G537" s="144">
        <f>E537*F537</f>
        <v>-7.4298218421802786E-2</v>
      </c>
    </row>
    <row r="538" spans="2:7" ht="15" thickBot="1" x14ac:dyDescent="0.35">
      <c r="B538" s="77" t="s">
        <v>26</v>
      </c>
      <c r="C538" s="67">
        <v>174727</v>
      </c>
      <c r="D538" s="67">
        <v>179996</v>
      </c>
      <c r="E538" s="144">
        <f t="shared" ref="E538:E542" si="28">C538/$C$516</f>
        <v>0.14521146320118944</v>
      </c>
      <c r="F538" s="144">
        <f t="shared" ref="F538:F542" si="29">(D538-C538)*100/C538</f>
        <v>3.0155614186702686</v>
      </c>
      <c r="G538" s="144">
        <f t="shared" ref="G538:G542" si="30">E538*F538</f>
        <v>0.43789408597816432</v>
      </c>
    </row>
    <row r="539" spans="2:7" ht="15" thickBot="1" x14ac:dyDescent="0.35">
      <c r="B539" s="77" t="s">
        <v>27</v>
      </c>
      <c r="C539" s="67">
        <v>64467</v>
      </c>
      <c r="D539" s="67">
        <v>70715</v>
      </c>
      <c r="E539" s="144">
        <f t="shared" si="28"/>
        <v>5.3576993814299333E-2</v>
      </c>
      <c r="F539" s="144">
        <f t="shared" si="29"/>
        <v>9.6917802906913622</v>
      </c>
      <c r="G539" s="144">
        <f t="shared" si="30"/>
        <v>0.51925645268391929</v>
      </c>
    </row>
    <row r="540" spans="2:7" ht="15" thickBot="1" x14ac:dyDescent="0.35">
      <c r="B540" s="77" t="s">
        <v>28</v>
      </c>
      <c r="C540" s="67">
        <v>816445</v>
      </c>
      <c r="D540" s="67">
        <v>845483</v>
      </c>
      <c r="E540" s="144">
        <f t="shared" si="28"/>
        <v>0.6785280641989796</v>
      </c>
      <c r="F540" s="144">
        <f t="shared" si="29"/>
        <v>3.5566388427879403</v>
      </c>
      <c r="G540" s="144">
        <f t="shared" si="30"/>
        <v>2.4132792690518001</v>
      </c>
    </row>
    <row r="541" spans="2:7" ht="15" thickBot="1" x14ac:dyDescent="0.35">
      <c r="B541" s="77" t="s">
        <v>287</v>
      </c>
      <c r="C541" s="67">
        <v>114439</v>
      </c>
      <c r="D541" s="67">
        <v>115894</v>
      </c>
      <c r="E541" s="144">
        <f t="shared" si="28"/>
        <v>9.5107537113788471E-2</v>
      </c>
      <c r="F541" s="144">
        <f t="shared" si="29"/>
        <v>1.2714197083162209</v>
      </c>
      <c r="G541" s="144">
        <f t="shared" si="30"/>
        <v>0.12092159709588708</v>
      </c>
    </row>
    <row r="542" spans="2:7" ht="15" thickBot="1" x14ac:dyDescent="0.35">
      <c r="B542" s="130" t="s">
        <v>278</v>
      </c>
      <c r="C542" s="131">
        <v>1203259</v>
      </c>
      <c r="D542" s="131">
        <v>1244375</v>
      </c>
      <c r="E542" s="144">
        <f t="shared" si="28"/>
        <v>1</v>
      </c>
      <c r="F542" s="144">
        <f t="shared" si="29"/>
        <v>3.4170531863879678</v>
      </c>
      <c r="G542" s="144">
        <f t="shared" si="30"/>
        <v>3.4170531863879678</v>
      </c>
    </row>
  </sheetData>
  <mergeCells count="14">
    <mergeCell ref="M138:N138"/>
    <mergeCell ref="G441:H441"/>
    <mergeCell ref="G464:H464"/>
    <mergeCell ref="D119:G119"/>
    <mergeCell ref="H119:I119"/>
    <mergeCell ref="M121:N121"/>
    <mergeCell ref="M120:N120"/>
    <mergeCell ref="M137:N137"/>
    <mergeCell ref="L154:O154"/>
    <mergeCell ref="R251:T251"/>
    <mergeCell ref="P154:Q154"/>
    <mergeCell ref="O199:Q202"/>
    <mergeCell ref="G219:I222"/>
    <mergeCell ref="P304:Q30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B0802-A686-42AC-9EFB-1715DAAE8768}">
  <dimension ref="A1:S391"/>
  <sheetViews>
    <sheetView topLeftCell="A338" zoomScale="72" zoomScaleNormal="55" workbookViewId="0">
      <selection activeCell="E350" sqref="E350"/>
    </sheetView>
  </sheetViews>
  <sheetFormatPr baseColWidth="10" defaultRowHeight="14.4" x14ac:dyDescent="0.3"/>
  <cols>
    <col min="2" max="2" width="76.109375" customWidth="1"/>
    <col min="3" max="3" width="16.33203125" customWidth="1"/>
    <col min="4" max="4" width="22.21875" customWidth="1"/>
    <col min="5" max="5" width="20.77734375" customWidth="1"/>
    <col min="6" max="6" width="32.109375" customWidth="1"/>
    <col min="7" max="7" width="50.44140625" customWidth="1"/>
    <col min="8" max="8" width="22.6640625" bestFit="1" customWidth="1"/>
    <col min="9" max="9" width="12.5546875" bestFit="1" customWidth="1"/>
  </cols>
  <sheetData>
    <row r="1" spans="1:1" x14ac:dyDescent="0.3">
      <c r="A1" t="s">
        <v>288</v>
      </c>
    </row>
    <row r="26" spans="3:7" ht="28.8" x14ac:dyDescent="0.3">
      <c r="C26" s="146" t="s">
        <v>289</v>
      </c>
      <c r="D26" s="146"/>
      <c r="E26" s="146"/>
      <c r="F26" s="146"/>
    </row>
    <row r="27" spans="3:7" x14ac:dyDescent="0.3">
      <c r="C27" s="146"/>
      <c r="D27" s="146"/>
      <c r="E27" s="146"/>
      <c r="F27" s="146"/>
    </row>
    <row r="28" spans="3:7" x14ac:dyDescent="0.3">
      <c r="C28" s="147"/>
      <c r="D28" s="147" t="s">
        <v>293</v>
      </c>
      <c r="E28" s="147" t="s">
        <v>297</v>
      </c>
      <c r="F28" s="147" t="s">
        <v>298</v>
      </c>
      <c r="G28" s="147" t="s">
        <v>302</v>
      </c>
    </row>
    <row r="29" spans="3:7" ht="28.8" x14ac:dyDescent="0.3">
      <c r="C29" s="149" t="s">
        <v>290</v>
      </c>
      <c r="D29" s="149" t="s">
        <v>294</v>
      </c>
      <c r="E29" s="148">
        <v>100</v>
      </c>
      <c r="F29" s="148">
        <v>150</v>
      </c>
      <c r="G29" s="151">
        <f>(POWER(F29/E29,1/9) - 1)*100</f>
        <v>4.6081918643214648</v>
      </c>
    </row>
    <row r="30" spans="3:7" ht="28.8" x14ac:dyDescent="0.3">
      <c r="C30" s="149" t="s">
        <v>291</v>
      </c>
      <c r="D30" s="149" t="s">
        <v>295</v>
      </c>
      <c r="E30" s="148">
        <v>10</v>
      </c>
      <c r="F30" s="148">
        <v>12</v>
      </c>
      <c r="G30" s="151">
        <f t="shared" ref="G30:G35" si="0">(POWER(F30/E30,1/9) - 1)*100</f>
        <v>2.046453567684825</v>
      </c>
    </row>
    <row r="31" spans="3:7" x14ac:dyDescent="0.3">
      <c r="C31" s="149" t="s">
        <v>292</v>
      </c>
      <c r="D31" s="149" t="s">
        <v>296</v>
      </c>
      <c r="E31" s="148">
        <v>20</v>
      </c>
      <c r="F31" s="148">
        <v>23</v>
      </c>
      <c r="G31" s="151">
        <f t="shared" si="0"/>
        <v>1.5650307834140342</v>
      </c>
    </row>
    <row r="32" spans="3:7" x14ac:dyDescent="0.3">
      <c r="C32" s="150"/>
      <c r="D32" s="150"/>
      <c r="E32" s="150"/>
      <c r="F32" s="150"/>
      <c r="G32" s="150"/>
    </row>
    <row r="33" spans="2:10" x14ac:dyDescent="0.3">
      <c r="C33" s="535" t="s">
        <v>299</v>
      </c>
      <c r="D33" s="535"/>
      <c r="E33" s="151">
        <f>E29/E31*1000</f>
        <v>5000</v>
      </c>
      <c r="F33" s="151">
        <f>F29/F31*1000</f>
        <v>6521.7391304347821</v>
      </c>
      <c r="G33" s="151">
        <f t="shared" si="0"/>
        <v>2.9962685556576218</v>
      </c>
    </row>
    <row r="34" spans="2:10" x14ac:dyDescent="0.3">
      <c r="C34" s="535" t="s">
        <v>300</v>
      </c>
      <c r="D34" s="535"/>
      <c r="E34" s="151">
        <f>E29/E30*1000</f>
        <v>10000</v>
      </c>
      <c r="F34" s="151">
        <f>F29/F30*1000</f>
        <v>12500</v>
      </c>
      <c r="G34" s="151">
        <f t="shared" si="0"/>
        <v>2.5103648456901162</v>
      </c>
    </row>
    <row r="35" spans="2:10" ht="28.8" customHeight="1" x14ac:dyDescent="0.3">
      <c r="C35" s="535" t="s">
        <v>301</v>
      </c>
      <c r="D35" s="535"/>
      <c r="E35" s="151">
        <f>E30/E31*100</f>
        <v>50</v>
      </c>
      <c r="F35" s="151">
        <f>F30/F31*100</f>
        <v>52.173913043478258</v>
      </c>
      <c r="G35" s="151">
        <f t="shared" si="0"/>
        <v>0.47400446842515986</v>
      </c>
    </row>
    <row r="48" spans="2:10" ht="18" x14ac:dyDescent="0.35">
      <c r="B48" s="168" t="s">
        <v>315</v>
      </c>
      <c r="C48" s="169"/>
      <c r="D48" s="170"/>
      <c r="F48" s="168" t="s">
        <v>316</v>
      </c>
      <c r="G48" s="169"/>
      <c r="H48" s="169"/>
      <c r="I48" s="169"/>
      <c r="J48" s="170"/>
    </row>
    <row r="49" spans="2:10" ht="18" x14ac:dyDescent="0.35">
      <c r="B49" s="171" t="s">
        <v>303</v>
      </c>
      <c r="C49" s="172"/>
      <c r="D49" s="173"/>
      <c r="F49" s="171" t="s">
        <v>317</v>
      </c>
      <c r="G49" s="172"/>
      <c r="H49" s="172"/>
      <c r="I49" s="172"/>
      <c r="J49" s="173"/>
    </row>
    <row r="51" spans="2:10" ht="21" x14ac:dyDescent="0.4">
      <c r="B51" s="536" t="s">
        <v>304</v>
      </c>
      <c r="C51" s="537"/>
      <c r="D51" s="537"/>
      <c r="E51" s="537"/>
      <c r="F51" s="537"/>
      <c r="G51" s="537"/>
      <c r="H51" s="537"/>
      <c r="I51" s="537"/>
      <c r="J51" s="538"/>
    </row>
    <row r="53" spans="2:10" x14ac:dyDescent="0.3">
      <c r="B53" t="s">
        <v>305</v>
      </c>
    </row>
    <row r="70" spans="2:19" ht="15" thickBot="1" x14ac:dyDescent="0.35"/>
    <row r="71" spans="2:19" ht="29.4" thickBot="1" x14ac:dyDescent="0.45">
      <c r="B71" s="156"/>
      <c r="C71" s="157" t="s">
        <v>306</v>
      </c>
      <c r="D71" s="157" t="s">
        <v>307</v>
      </c>
      <c r="E71" s="157" t="s">
        <v>308</v>
      </c>
      <c r="F71" s="157" t="s">
        <v>309</v>
      </c>
      <c r="G71" s="157" t="s">
        <v>310</v>
      </c>
      <c r="K71" s="536" t="s">
        <v>304</v>
      </c>
      <c r="L71" s="537"/>
      <c r="M71" s="537"/>
      <c r="N71" s="537"/>
      <c r="O71" s="537"/>
      <c r="P71" s="537"/>
      <c r="Q71" s="537"/>
      <c r="R71" s="537"/>
      <c r="S71" s="538"/>
    </row>
    <row r="72" spans="2:19" ht="15" thickBot="1" x14ac:dyDescent="0.35">
      <c r="B72" s="152">
        <v>2005</v>
      </c>
      <c r="C72" s="153">
        <v>930566</v>
      </c>
      <c r="D72" s="154">
        <v>94.86</v>
      </c>
      <c r="E72" s="155">
        <v>44708.959999999999</v>
      </c>
      <c r="F72" s="155">
        <v>21140.55</v>
      </c>
      <c r="G72" s="155">
        <v>19207</v>
      </c>
    </row>
    <row r="73" spans="2:19" ht="15" thickBot="1" x14ac:dyDescent="0.35">
      <c r="B73" s="152">
        <v>2006</v>
      </c>
      <c r="C73" s="153">
        <v>1007974</v>
      </c>
      <c r="D73" s="154">
        <v>98.82</v>
      </c>
      <c r="E73" s="155">
        <v>45200.74</v>
      </c>
      <c r="F73" s="155">
        <v>21779.98</v>
      </c>
      <c r="G73" s="155">
        <v>19939.099999999999</v>
      </c>
      <c r="K73" s="56" t="s">
        <v>311</v>
      </c>
    </row>
    <row r="74" spans="2:19" ht="15" thickBot="1" x14ac:dyDescent="0.35">
      <c r="B74" s="152">
        <v>2007</v>
      </c>
      <c r="C74" s="153">
        <v>1080807</v>
      </c>
      <c r="D74" s="154">
        <v>102.55</v>
      </c>
      <c r="E74" s="155">
        <v>46157.82</v>
      </c>
      <c r="F74" s="155">
        <v>22426.1</v>
      </c>
      <c r="G74" s="155">
        <v>20579.93</v>
      </c>
    </row>
    <row r="75" spans="2:19" ht="18.600000000000001" thickBot="1" x14ac:dyDescent="0.4">
      <c r="B75" s="152">
        <v>2008</v>
      </c>
      <c r="C75" s="153">
        <v>1116207</v>
      </c>
      <c r="D75" s="154">
        <v>103.69</v>
      </c>
      <c r="E75" s="155">
        <v>46745.81</v>
      </c>
      <c r="F75" s="155">
        <v>23065.55</v>
      </c>
      <c r="G75" s="155">
        <v>20469.650000000001</v>
      </c>
      <c r="K75" s="160" t="s">
        <v>312</v>
      </c>
      <c r="L75" s="161"/>
      <c r="M75" s="161"/>
      <c r="N75" s="159"/>
      <c r="O75" s="158" t="s">
        <v>314</v>
      </c>
      <c r="P75" s="158"/>
      <c r="Q75" s="158"/>
    </row>
    <row r="76" spans="2:19" ht="18.600000000000001" thickBot="1" x14ac:dyDescent="0.4">
      <c r="B76" s="152">
        <v>2009</v>
      </c>
      <c r="C76" s="153">
        <v>1079034</v>
      </c>
      <c r="D76" s="154">
        <v>99.99</v>
      </c>
      <c r="E76" s="155">
        <v>47021.03</v>
      </c>
      <c r="F76" s="155">
        <v>23260.400000000001</v>
      </c>
      <c r="G76" s="155">
        <v>19106.849999999999</v>
      </c>
      <c r="K76" s="158" t="s">
        <v>175</v>
      </c>
      <c r="L76" s="158"/>
      <c r="M76" s="158"/>
    </row>
    <row r="77" spans="2:19" ht="18.600000000000001" thickBot="1" x14ac:dyDescent="0.4">
      <c r="B77" s="152">
        <v>2010</v>
      </c>
      <c r="C77" s="153">
        <v>1080913</v>
      </c>
      <c r="D77" s="154">
        <v>100</v>
      </c>
      <c r="E77" s="155">
        <v>47190.49</v>
      </c>
      <c r="F77" s="155">
        <v>23364.6</v>
      </c>
      <c r="G77" s="155">
        <v>18724.48</v>
      </c>
      <c r="K77" s="158" t="s">
        <v>176</v>
      </c>
      <c r="L77" s="158"/>
      <c r="M77" s="158"/>
    </row>
    <row r="78" spans="2:19" ht="18.600000000000001" thickBot="1" x14ac:dyDescent="0.4">
      <c r="B78" s="152">
        <v>2011</v>
      </c>
      <c r="C78" s="153">
        <v>1070413</v>
      </c>
      <c r="D78" s="154">
        <v>99</v>
      </c>
      <c r="E78" s="155">
        <v>47265.32</v>
      </c>
      <c r="F78" s="155">
        <v>23434.080000000002</v>
      </c>
      <c r="G78" s="155">
        <v>18421.43</v>
      </c>
      <c r="K78" s="158" t="s">
        <v>313</v>
      </c>
      <c r="L78" s="158"/>
      <c r="M78" s="158"/>
    </row>
    <row r="79" spans="2:19" ht="15" thickBot="1" x14ac:dyDescent="0.35">
      <c r="B79" s="152">
        <v>2012</v>
      </c>
      <c r="C79" s="153">
        <v>1042872</v>
      </c>
      <c r="D79" s="154">
        <v>96.41</v>
      </c>
      <c r="E79" s="155">
        <v>47129.78</v>
      </c>
      <c r="F79" s="155">
        <v>23443.7</v>
      </c>
      <c r="G79" s="155">
        <v>17632.68</v>
      </c>
    </row>
    <row r="80" spans="2:19" ht="15" thickBot="1" x14ac:dyDescent="0.35">
      <c r="B80" s="152">
        <v>2013</v>
      </c>
      <c r="C80" s="153">
        <v>1031272</v>
      </c>
      <c r="D80" s="154">
        <v>94.79</v>
      </c>
      <c r="E80" s="155">
        <v>46771.34</v>
      </c>
      <c r="F80" s="155">
        <v>23190.15</v>
      </c>
      <c r="G80" s="155">
        <v>17139</v>
      </c>
    </row>
    <row r="81" spans="2:15" ht="18.600000000000001" thickBot="1" x14ac:dyDescent="0.4">
      <c r="B81" s="152">
        <v>2014</v>
      </c>
      <c r="C81" s="153">
        <v>1041160</v>
      </c>
      <c r="D81" s="154">
        <v>96.08</v>
      </c>
      <c r="E81" s="155">
        <v>46624.38</v>
      </c>
      <c r="F81" s="155">
        <v>22954.58</v>
      </c>
      <c r="G81" s="155">
        <v>17344.18</v>
      </c>
      <c r="K81" s="168" t="s">
        <v>316</v>
      </c>
      <c r="L81" s="169"/>
      <c r="M81" s="169"/>
      <c r="N81" s="169"/>
      <c r="O81" s="170"/>
    </row>
    <row r="82" spans="2:15" ht="18" x14ac:dyDescent="0.35">
      <c r="K82" s="171" t="s">
        <v>317</v>
      </c>
      <c r="L82" s="172"/>
      <c r="M82" s="172"/>
      <c r="N82" s="172"/>
      <c r="O82" s="173"/>
    </row>
    <row r="88" spans="2:15" x14ac:dyDescent="0.3">
      <c r="H88" s="523" t="s">
        <v>322</v>
      </c>
      <c r="I88" s="524"/>
      <c r="J88" s="524"/>
      <c r="K88" s="525"/>
    </row>
    <row r="89" spans="2:15" ht="15" thickBot="1" x14ac:dyDescent="0.35">
      <c r="H89" s="526"/>
      <c r="I89" s="527"/>
      <c r="J89" s="527"/>
      <c r="K89" s="528"/>
    </row>
    <row r="90" spans="2:15" ht="29.4" thickBot="1" x14ac:dyDescent="0.35">
      <c r="B90" s="156"/>
      <c r="C90" s="174" t="s">
        <v>320</v>
      </c>
      <c r="D90" s="174" t="s">
        <v>321</v>
      </c>
      <c r="E90" s="174" t="s">
        <v>300</v>
      </c>
      <c r="F90" s="174" t="s">
        <v>319</v>
      </c>
      <c r="G90" s="174" t="s">
        <v>318</v>
      </c>
      <c r="H90" s="178" t="s">
        <v>323</v>
      </c>
      <c r="I90" s="178" t="s">
        <v>300</v>
      </c>
      <c r="J90" s="178" t="s">
        <v>319</v>
      </c>
      <c r="K90" s="179" t="s">
        <v>324</v>
      </c>
      <c r="L90" s="181" t="s">
        <v>325</v>
      </c>
    </row>
    <row r="91" spans="2:15" ht="15" thickBot="1" x14ac:dyDescent="0.35">
      <c r="B91" s="152">
        <v>2005</v>
      </c>
      <c r="C91" s="175">
        <f>$C$77*D72/100</f>
        <v>1025354.0717999999</v>
      </c>
      <c r="D91" s="176">
        <f>C91*1000/E72</f>
        <v>22933.972783084195</v>
      </c>
      <c r="E91" s="175">
        <f t="shared" ref="E91:E100" si="1">C91*1000/G72</f>
        <v>53384.394845629198</v>
      </c>
      <c r="F91" s="176">
        <f t="shared" ref="F91:F100" si="2">G72/F72*100</f>
        <v>90.853833036510395</v>
      </c>
      <c r="G91" s="176">
        <f t="shared" ref="G91:G100" si="3">F72/E72</f>
        <v>0.47284817182059258</v>
      </c>
      <c r="H91" s="177"/>
      <c r="I91" s="177"/>
      <c r="J91" s="177"/>
      <c r="K91" s="180"/>
      <c r="L91" s="182"/>
    </row>
    <row r="92" spans="2:15" ht="15" thickBot="1" x14ac:dyDescent="0.35">
      <c r="B92" s="152">
        <v>2006</v>
      </c>
      <c r="C92" s="175">
        <f t="shared" ref="C92:C100" si="4">$C$77*D73/100</f>
        <v>1068158.2265999999</v>
      </c>
      <c r="D92" s="176">
        <f t="shared" ref="D92:D100" si="5">C92*1000/E73</f>
        <v>23631.432286285577</v>
      </c>
      <c r="E92" s="175">
        <f t="shared" si="1"/>
        <v>53571.035131976867</v>
      </c>
      <c r="F92" s="176">
        <f t="shared" si="2"/>
        <v>91.547834295531942</v>
      </c>
      <c r="G92" s="176">
        <f t="shared" si="3"/>
        <v>0.48185007590583695</v>
      </c>
      <c r="H92" s="177">
        <f>(D92-D91)*100/D91</f>
        <v>3.0411630370287148</v>
      </c>
      <c r="I92" s="177">
        <f>(E92-E91)*100/E91</f>
        <v>0.34961581354883475</v>
      </c>
      <c r="J92" s="177">
        <f>(F92-F91)*100/F91</f>
        <v>0.76386569044660668</v>
      </c>
      <c r="K92" s="180">
        <f>(G92-G91)*100/G91</f>
        <v>1.9037620576145238</v>
      </c>
      <c r="L92" s="183">
        <f>I92+J92+K92</f>
        <v>3.0172435616099653</v>
      </c>
    </row>
    <row r="93" spans="2:15" ht="15" thickBot="1" x14ac:dyDescent="0.35">
      <c r="B93" s="152">
        <v>2007</v>
      </c>
      <c r="C93" s="175">
        <f t="shared" si="4"/>
        <v>1108476.2814999998</v>
      </c>
      <c r="D93" s="176">
        <f t="shared" si="5"/>
        <v>24014.918414691158</v>
      </c>
      <c r="E93" s="175">
        <f t="shared" si="1"/>
        <v>53862.004462600198</v>
      </c>
      <c r="F93" s="176">
        <f t="shared" si="2"/>
        <v>91.767761670553512</v>
      </c>
      <c r="G93" s="176">
        <f t="shared" si="3"/>
        <v>0.4858570010455433</v>
      </c>
      <c r="H93" s="177">
        <f t="shared" ref="H93:H100" si="6">(D93-D92)*100/D92</f>
        <v>1.6227798796103248</v>
      </c>
      <c r="I93" s="177">
        <f t="shared" ref="I93:I100" si="7">(E93-E92)*100/E92</f>
        <v>0.54314673947685188</v>
      </c>
      <c r="J93" s="177">
        <f t="shared" ref="J93:J100" si="8">(F93-F92)*100/F92</f>
        <v>0.24023219851559424</v>
      </c>
      <c r="K93" s="180">
        <f t="shared" ref="K93:K100" si="9">(G93-G92)*100/G92</f>
        <v>0.8315709263246821</v>
      </c>
      <c r="L93" s="183">
        <f t="shared" ref="L93:L100" si="10">I93+J93+K93</f>
        <v>1.6149498643171283</v>
      </c>
    </row>
    <row r="94" spans="2:15" ht="15" thickBot="1" x14ac:dyDescent="0.35">
      <c r="B94" s="152">
        <v>2008</v>
      </c>
      <c r="C94" s="175">
        <f t="shared" si="4"/>
        <v>1120798.6897</v>
      </c>
      <c r="D94" s="176">
        <f t="shared" si="5"/>
        <v>23976.452428570607</v>
      </c>
      <c r="E94" s="175">
        <f t="shared" si="1"/>
        <v>54754.169695134013</v>
      </c>
      <c r="F94" s="176">
        <f t="shared" si="2"/>
        <v>88.745553433583851</v>
      </c>
      <c r="G94" s="176">
        <f t="shared" si="3"/>
        <v>0.49342497220606513</v>
      </c>
      <c r="H94" s="177">
        <f t="shared" si="6"/>
        <v>-0.16017537705653556</v>
      </c>
      <c r="I94" s="177">
        <f t="shared" si="7"/>
        <v>1.6563906995947419</v>
      </c>
      <c r="J94" s="177">
        <f t="shared" si="8"/>
        <v>-3.2933223846293602</v>
      </c>
      <c r="K94" s="180">
        <f t="shared" si="9"/>
        <v>1.5576540307612894</v>
      </c>
      <c r="L94" s="183">
        <f t="shared" si="10"/>
        <v>-7.927765427332889E-2</v>
      </c>
    </row>
    <row r="95" spans="2:15" ht="15" thickBot="1" x14ac:dyDescent="0.35">
      <c r="B95" s="152">
        <v>2009</v>
      </c>
      <c r="C95" s="175">
        <f t="shared" si="4"/>
        <v>1080804.9086999998</v>
      </c>
      <c r="D95" s="176">
        <f t="shared" si="5"/>
        <v>22985.564303887</v>
      </c>
      <c r="E95" s="175">
        <f t="shared" si="1"/>
        <v>56566.357547162399</v>
      </c>
      <c r="F95" s="176">
        <f t="shared" si="2"/>
        <v>82.143256349847803</v>
      </c>
      <c r="G95" s="176">
        <f t="shared" si="3"/>
        <v>0.49468078432139834</v>
      </c>
      <c r="H95" s="177">
        <f t="shared" si="6"/>
        <v>-4.1327553675240676</v>
      </c>
      <c r="I95" s="177">
        <f t="shared" si="7"/>
        <v>3.3096800885091953</v>
      </c>
      <c r="J95" s="177">
        <f t="shared" si="8"/>
        <v>-7.4395807207142282</v>
      </c>
      <c r="K95" s="180">
        <f t="shared" si="9"/>
        <v>0.25450923363658934</v>
      </c>
      <c r="L95" s="183">
        <f t="shared" si="10"/>
        <v>-3.8753913985684432</v>
      </c>
    </row>
    <row r="96" spans="2:15" ht="15" thickBot="1" x14ac:dyDescent="0.35">
      <c r="B96" s="152">
        <v>2010</v>
      </c>
      <c r="C96" s="175">
        <f t="shared" si="4"/>
        <v>1080913</v>
      </c>
      <c r="D96" s="176">
        <f t="shared" si="5"/>
        <v>22905.314185125011</v>
      </c>
      <c r="E96" s="175">
        <f t="shared" si="1"/>
        <v>57727.263988105413</v>
      </c>
      <c r="F96" s="176">
        <f t="shared" si="2"/>
        <v>80.140383314929437</v>
      </c>
      <c r="G96" s="176">
        <f t="shared" si="3"/>
        <v>0.4951124686351</v>
      </c>
      <c r="H96" s="177">
        <f t="shared" si="6"/>
        <v>-0.34913268911313328</v>
      </c>
      <c r="I96" s="177">
        <f t="shared" si="7"/>
        <v>2.052291311094415</v>
      </c>
      <c r="J96" s="177">
        <f t="shared" si="8"/>
        <v>-2.4382683666546376</v>
      </c>
      <c r="K96" s="180">
        <f t="shared" si="9"/>
        <v>8.7265227876972579E-2</v>
      </c>
      <c r="L96" s="183">
        <f t="shared" si="10"/>
        <v>-0.29871182768325011</v>
      </c>
    </row>
    <row r="97" spans="2:12" ht="15" thickBot="1" x14ac:dyDescent="0.35">
      <c r="B97" s="152">
        <v>2011</v>
      </c>
      <c r="C97" s="175">
        <f t="shared" si="4"/>
        <v>1070103.8700000001</v>
      </c>
      <c r="D97" s="176">
        <f t="shared" si="5"/>
        <v>22640.360204902878</v>
      </c>
      <c r="E97" s="175">
        <f t="shared" si="1"/>
        <v>58090.162924376666</v>
      </c>
      <c r="F97" s="176">
        <f t="shared" si="2"/>
        <v>78.609572042085702</v>
      </c>
      <c r="G97" s="176">
        <f t="shared" si="3"/>
        <v>0.49579861090541655</v>
      </c>
      <c r="H97" s="177">
        <f t="shared" si="6"/>
        <v>-1.1567358477632135</v>
      </c>
      <c r="I97" s="177">
        <f t="shared" si="7"/>
        <v>0.62864392178023087</v>
      </c>
      <c r="J97" s="177">
        <f t="shared" si="8"/>
        <v>-1.9101621548627639</v>
      </c>
      <c r="K97" s="180">
        <f t="shared" si="9"/>
        <v>0.13858311268307755</v>
      </c>
      <c r="L97" s="183">
        <f t="shared" si="10"/>
        <v>-1.1429351203994553</v>
      </c>
    </row>
    <row r="98" spans="2:12" ht="15" thickBot="1" x14ac:dyDescent="0.35">
      <c r="B98" s="152">
        <v>2012</v>
      </c>
      <c r="C98" s="175">
        <f t="shared" si="4"/>
        <v>1042108.2233</v>
      </c>
      <c r="D98" s="176">
        <f t="shared" si="5"/>
        <v>22111.459533653669</v>
      </c>
      <c r="E98" s="175">
        <f t="shared" si="1"/>
        <v>59100.954778286679</v>
      </c>
      <c r="F98" s="176">
        <f t="shared" si="2"/>
        <v>75.212871688342702</v>
      </c>
      <c r="G98" s="176">
        <f t="shared" si="3"/>
        <v>0.4974285897366803</v>
      </c>
      <c r="H98" s="177">
        <f t="shared" si="6"/>
        <v>-2.3360965393769324</v>
      </c>
      <c r="I98" s="177">
        <f t="shared" si="7"/>
        <v>1.7400396263751055</v>
      </c>
      <c r="J98" s="177">
        <f t="shared" si="8"/>
        <v>-4.3209755065508908</v>
      </c>
      <c r="K98" s="180">
        <f t="shared" si="9"/>
        <v>0.32875824889608402</v>
      </c>
      <c r="L98" s="183">
        <f t="shared" si="10"/>
        <v>-2.2521776312797015</v>
      </c>
    </row>
    <row r="99" spans="2:12" ht="15" thickBot="1" x14ac:dyDescent="0.35">
      <c r="B99" s="152">
        <v>2013</v>
      </c>
      <c r="C99" s="175">
        <f t="shared" si="4"/>
        <v>1024597.4327000001</v>
      </c>
      <c r="D99" s="176">
        <f t="shared" si="5"/>
        <v>21906.522941185784</v>
      </c>
      <c r="E99" s="175">
        <f t="shared" si="1"/>
        <v>59781.634441916111</v>
      </c>
      <c r="F99" s="176">
        <f t="shared" si="2"/>
        <v>73.906378354603135</v>
      </c>
      <c r="G99" s="176">
        <f t="shared" si="3"/>
        <v>0.4958196622119444</v>
      </c>
      <c r="H99" s="177">
        <f t="shared" si="6"/>
        <v>-0.9268343057859757</v>
      </c>
      <c r="I99" s="177">
        <f t="shared" si="7"/>
        <v>1.1517236332017915</v>
      </c>
      <c r="J99" s="177">
        <f t="shared" si="8"/>
        <v>-1.7370608306956343</v>
      </c>
      <c r="K99" s="180">
        <f t="shared" si="9"/>
        <v>-0.32344894481992048</v>
      </c>
      <c r="L99" s="183">
        <f t="shared" si="10"/>
        <v>-0.90878614231376331</v>
      </c>
    </row>
    <row r="100" spans="2:12" ht="15" thickBot="1" x14ac:dyDescent="0.35">
      <c r="B100" s="152">
        <v>2014</v>
      </c>
      <c r="C100" s="175">
        <f t="shared" si="4"/>
        <v>1038541.2103999999</v>
      </c>
      <c r="D100" s="176">
        <f t="shared" si="5"/>
        <v>22274.638513155562</v>
      </c>
      <c r="E100" s="175">
        <f t="shared" si="1"/>
        <v>59878.369020616708</v>
      </c>
      <c r="F100" s="176">
        <f t="shared" si="2"/>
        <v>75.558690248307741</v>
      </c>
      <c r="G100" s="176">
        <f t="shared" si="3"/>
        <v>0.49232997843617443</v>
      </c>
      <c r="H100" s="177">
        <f t="shared" si="6"/>
        <v>1.680392515772986</v>
      </c>
      <c r="I100" s="177">
        <f t="shared" si="7"/>
        <v>0.16181320501463595</v>
      </c>
      <c r="J100" s="177">
        <f t="shared" si="8"/>
        <v>2.2356824004780838</v>
      </c>
      <c r="K100" s="180">
        <f t="shared" si="9"/>
        <v>-0.7038211756673457</v>
      </c>
      <c r="L100" s="183">
        <f t="shared" si="10"/>
        <v>1.6936744298253741</v>
      </c>
    </row>
    <row r="127" spans="3:8" x14ac:dyDescent="0.3">
      <c r="E127" s="529" t="s">
        <v>326</v>
      </c>
      <c r="F127" s="529"/>
      <c r="G127" s="530" t="s">
        <v>327</v>
      </c>
      <c r="H127" s="530"/>
    </row>
    <row r="128" spans="3:8" x14ac:dyDescent="0.3">
      <c r="C128" s="147"/>
      <c r="D128" s="147" t="s">
        <v>293</v>
      </c>
      <c r="E128" s="147" t="s">
        <v>297</v>
      </c>
      <c r="F128" s="147" t="s">
        <v>298</v>
      </c>
      <c r="G128" s="147" t="s">
        <v>297</v>
      </c>
      <c r="H128" s="147" t="s">
        <v>298</v>
      </c>
    </row>
    <row r="129" spans="3:12" ht="28.8" x14ac:dyDescent="0.3">
      <c r="C129" s="149" t="s">
        <v>290</v>
      </c>
      <c r="D129" s="149" t="s">
        <v>294</v>
      </c>
      <c r="E129" s="184">
        <v>100</v>
      </c>
      <c r="F129" s="184">
        <v>150</v>
      </c>
      <c r="G129" s="148">
        <v>300</v>
      </c>
      <c r="H129" s="148">
        <v>400</v>
      </c>
    </row>
    <row r="130" spans="3:12" ht="28.8" x14ac:dyDescent="0.3">
      <c r="C130" s="149" t="s">
        <v>291</v>
      </c>
      <c r="D130" s="149" t="s">
        <v>295</v>
      </c>
      <c r="E130" s="184">
        <v>10</v>
      </c>
      <c r="F130" s="184">
        <v>12</v>
      </c>
      <c r="G130" s="148">
        <v>25</v>
      </c>
      <c r="H130" s="148">
        <v>30</v>
      </c>
    </row>
    <row r="131" spans="3:12" x14ac:dyDescent="0.3">
      <c r="C131" s="149" t="s">
        <v>292</v>
      </c>
      <c r="D131" s="149" t="s">
        <v>296</v>
      </c>
      <c r="E131" s="184">
        <v>20</v>
      </c>
      <c r="F131" s="184">
        <v>23</v>
      </c>
      <c r="G131" s="148">
        <v>40</v>
      </c>
      <c r="H131" s="148">
        <v>45</v>
      </c>
    </row>
    <row r="132" spans="3:12" x14ac:dyDescent="0.3">
      <c r="C132" s="150"/>
      <c r="D132" s="150"/>
      <c r="E132" s="150"/>
      <c r="F132" s="150"/>
      <c r="G132" s="150"/>
      <c r="H132" s="150"/>
    </row>
    <row r="133" spans="3:12" x14ac:dyDescent="0.3">
      <c r="C133" s="186" t="s">
        <v>328</v>
      </c>
      <c r="D133" s="185"/>
      <c r="E133" s="151">
        <f>E129*1000/E131</f>
        <v>5000</v>
      </c>
      <c r="F133" s="151">
        <f t="shared" ref="F133:H133" si="11">F129*1000/F131</f>
        <v>6521.739130434783</v>
      </c>
      <c r="G133" s="144">
        <f>G129*1000/G131</f>
        <v>7500</v>
      </c>
      <c r="H133" s="144">
        <f t="shared" si="11"/>
        <v>8888.8888888888887</v>
      </c>
    </row>
    <row r="134" spans="3:12" x14ac:dyDescent="0.3">
      <c r="C134" s="186" t="s">
        <v>302</v>
      </c>
      <c r="D134" s="185"/>
      <c r="E134" s="531">
        <f>(POWER(F133/E133,1/9)-1)*100</f>
        <v>2.9962685556576218</v>
      </c>
      <c r="F134" s="532"/>
      <c r="G134" s="533">
        <f>(POWER(H133/G133,1/9)-1)*100</f>
        <v>1.9056980521292344</v>
      </c>
      <c r="H134" s="534"/>
    </row>
    <row r="136" spans="3:12" ht="18" x14ac:dyDescent="0.35">
      <c r="C136" s="166" t="s">
        <v>330</v>
      </c>
      <c r="D136" s="162"/>
      <c r="E136" s="162"/>
      <c r="F136" s="162"/>
      <c r="G136" s="162"/>
      <c r="H136" s="162"/>
      <c r="I136" s="162"/>
      <c r="J136" s="162"/>
      <c r="K136" s="162"/>
      <c r="L136" s="163"/>
    </row>
    <row r="137" spans="3:12" x14ac:dyDescent="0.3">
      <c r="C137" s="187"/>
      <c r="L137" s="188"/>
    </row>
    <row r="138" spans="3:12" ht="21" x14ac:dyDescent="0.4">
      <c r="C138" s="201" t="s">
        <v>329</v>
      </c>
      <c r="D138" s="202"/>
      <c r="E138" s="202"/>
      <c r="H138" s="202" t="s">
        <v>331</v>
      </c>
      <c r="I138" s="202" t="s">
        <v>332</v>
      </c>
      <c r="L138" s="188"/>
    </row>
    <row r="139" spans="3:12" x14ac:dyDescent="0.3">
      <c r="C139" s="187"/>
      <c r="L139" s="188"/>
    </row>
    <row r="140" spans="3:12" x14ac:dyDescent="0.3">
      <c r="C140" s="187"/>
      <c r="L140" s="188"/>
    </row>
    <row r="141" spans="3:12" ht="21" x14ac:dyDescent="0.4">
      <c r="C141" s="203" t="s">
        <v>333</v>
      </c>
      <c r="D141" s="164"/>
      <c r="E141" s="164"/>
      <c r="F141" s="167" t="s">
        <v>334</v>
      </c>
      <c r="G141" s="167" t="s">
        <v>335</v>
      </c>
      <c r="H141" s="164"/>
      <c r="I141" s="164"/>
      <c r="J141" s="167" t="s">
        <v>334</v>
      </c>
      <c r="K141" s="167" t="s">
        <v>336</v>
      </c>
      <c r="L141" s="165"/>
    </row>
    <row r="156" spans="2:7" ht="18" x14ac:dyDescent="0.35">
      <c r="B156" s="189" t="s">
        <v>398</v>
      </c>
      <c r="C156" s="190"/>
      <c r="D156" s="190"/>
      <c r="E156" s="190"/>
      <c r="F156" s="190"/>
      <c r="G156" s="191"/>
    </row>
    <row r="157" spans="2:7" x14ac:dyDescent="0.3">
      <c r="B157" s="192"/>
      <c r="C157" s="193"/>
      <c r="D157" s="193"/>
      <c r="E157" s="193"/>
      <c r="F157" s="193"/>
      <c r="G157" s="194"/>
    </row>
    <row r="158" spans="2:7" ht="18" x14ac:dyDescent="0.35">
      <c r="B158" s="195" t="s">
        <v>337</v>
      </c>
      <c r="C158" s="196"/>
      <c r="D158" s="196"/>
      <c r="E158" s="196"/>
      <c r="F158" s="196"/>
      <c r="G158" s="197"/>
    </row>
    <row r="159" spans="2:7" ht="18" x14ac:dyDescent="0.35">
      <c r="B159" s="198" t="s">
        <v>338</v>
      </c>
      <c r="C159" s="199"/>
      <c r="D159" s="199" t="s">
        <v>334</v>
      </c>
      <c r="E159" s="199">
        <v>4.0313000000000002E-2</v>
      </c>
      <c r="F159" s="199" t="s">
        <v>334</v>
      </c>
      <c r="G159" s="200">
        <v>4.0300000000000002E-2</v>
      </c>
    </row>
    <row r="165" spans="1:18" ht="15.6" x14ac:dyDescent="0.3">
      <c r="A165" s="204"/>
    </row>
    <row r="166" spans="1:18" ht="15.6" x14ac:dyDescent="0.3">
      <c r="A166" s="204"/>
      <c r="K166" s="544" t="s">
        <v>346</v>
      </c>
      <c r="L166" s="544"/>
      <c r="M166" s="544"/>
      <c r="N166" s="544"/>
      <c r="O166" s="544"/>
      <c r="P166" s="544"/>
      <c r="Q166" s="544"/>
      <c r="R166" s="544"/>
    </row>
    <row r="167" spans="1:18" ht="15.6" x14ac:dyDescent="0.3">
      <c r="A167" s="204"/>
      <c r="K167" s="544"/>
      <c r="L167" s="544"/>
      <c r="M167" s="544"/>
      <c r="N167" s="544"/>
      <c r="O167" s="544"/>
      <c r="P167" s="544"/>
      <c r="Q167" s="544"/>
      <c r="R167" s="544"/>
    </row>
    <row r="168" spans="1:18" x14ac:dyDescent="0.3">
      <c r="K168" s="544"/>
      <c r="L168" s="544"/>
      <c r="M168" s="544"/>
      <c r="N168" s="544"/>
      <c r="O168" s="544"/>
      <c r="P168" s="544"/>
      <c r="Q168" s="544"/>
      <c r="R168" s="544"/>
    </row>
    <row r="170" spans="1:18" ht="21" customHeight="1" x14ac:dyDescent="0.3"/>
    <row r="171" spans="1:18" ht="14.4" customHeight="1" x14ac:dyDescent="0.3"/>
    <row r="172" spans="1:18" ht="15" customHeight="1" thickBot="1" x14ac:dyDescent="0.35"/>
    <row r="173" spans="1:18" ht="15" thickBot="1" x14ac:dyDescent="0.35">
      <c r="B173" s="205"/>
      <c r="C173" s="539" t="s">
        <v>326</v>
      </c>
      <c r="D173" s="540"/>
      <c r="E173" s="539" t="s">
        <v>327</v>
      </c>
      <c r="F173" s="540"/>
      <c r="G173" s="539" t="s">
        <v>339</v>
      </c>
      <c r="H173" s="540"/>
      <c r="K173" s="211"/>
      <c r="L173" s="215" t="s">
        <v>326</v>
      </c>
      <c r="M173" s="216"/>
      <c r="N173" s="215" t="s">
        <v>327</v>
      </c>
      <c r="O173" s="216"/>
      <c r="P173" s="215" t="s">
        <v>339</v>
      </c>
      <c r="Q173" s="216"/>
    </row>
    <row r="174" spans="1:18" ht="15" thickBot="1" x14ac:dyDescent="0.35">
      <c r="B174" s="206" t="s">
        <v>340</v>
      </c>
      <c r="C174" s="207" t="s">
        <v>341</v>
      </c>
      <c r="D174" s="207" t="s">
        <v>342</v>
      </c>
      <c r="E174" s="207" t="s">
        <v>341</v>
      </c>
      <c r="F174" s="207" t="s">
        <v>342</v>
      </c>
      <c r="G174" s="207" t="s">
        <v>341</v>
      </c>
      <c r="H174" s="207" t="s">
        <v>342</v>
      </c>
      <c r="K174" s="212" t="s">
        <v>340</v>
      </c>
      <c r="L174" s="213" t="s">
        <v>341</v>
      </c>
      <c r="M174" s="213" t="s">
        <v>342</v>
      </c>
      <c r="N174" s="213" t="s">
        <v>341</v>
      </c>
      <c r="O174" s="213" t="s">
        <v>342</v>
      </c>
      <c r="P174" s="213" t="s">
        <v>341</v>
      </c>
      <c r="Q174" s="213" t="s">
        <v>342</v>
      </c>
    </row>
    <row r="175" spans="1:18" ht="15" thickBot="1" x14ac:dyDescent="0.35">
      <c r="B175" s="214" t="s">
        <v>343</v>
      </c>
      <c r="C175" s="154">
        <v>1.32</v>
      </c>
      <c r="D175" s="154">
        <v>0.56999999999999995</v>
      </c>
      <c r="E175" s="154">
        <v>1.68</v>
      </c>
      <c r="F175" s="154">
        <v>0.64</v>
      </c>
      <c r="G175" s="154">
        <v>1.77</v>
      </c>
      <c r="H175" s="154">
        <v>2.5499999999999998</v>
      </c>
      <c r="K175" s="210" t="s">
        <v>350</v>
      </c>
      <c r="L175" s="218">
        <f>(C175 - C177*C176)</f>
        <v>0.55088000000000015</v>
      </c>
      <c r="M175" s="218">
        <f t="shared" ref="M175:Q175" si="12">(D175 - D177*D176)</f>
        <v>-5.9520000000000017E-2</v>
      </c>
      <c r="N175" s="218">
        <f t="shared" si="12"/>
        <v>0.81087999999999993</v>
      </c>
      <c r="O175" s="218">
        <f t="shared" si="12"/>
        <v>0.20985999999999994</v>
      </c>
      <c r="P175" s="218">
        <f t="shared" si="12"/>
        <v>1.23034</v>
      </c>
      <c r="Q175" s="218">
        <f t="shared" si="12"/>
        <v>1.4612999999999998</v>
      </c>
    </row>
    <row r="176" spans="1:18" ht="15" thickBot="1" x14ac:dyDescent="0.35">
      <c r="B176" s="214" t="s">
        <v>344</v>
      </c>
      <c r="C176" s="154">
        <v>2.09</v>
      </c>
      <c r="D176" s="154">
        <v>1.83</v>
      </c>
      <c r="E176" s="154">
        <v>1.94</v>
      </c>
      <c r="F176" s="154">
        <v>1.07</v>
      </c>
      <c r="G176" s="154">
        <v>1.21</v>
      </c>
      <c r="H176" s="154">
        <v>2.85</v>
      </c>
      <c r="K176" s="210" t="s">
        <v>352</v>
      </c>
      <c r="L176" s="218">
        <f>L175/C175*100</f>
        <v>41.733333333333341</v>
      </c>
      <c r="M176" s="218">
        <f t="shared" ref="M176:Q176" si="13">M175/D175*100</f>
        <v>-10.442105263157899</v>
      </c>
      <c r="N176" s="218">
        <f t="shared" si="13"/>
        <v>48.266666666666666</v>
      </c>
      <c r="O176" s="218">
        <f t="shared" si="13"/>
        <v>32.790624999999991</v>
      </c>
      <c r="P176" s="218">
        <f t="shared" si="13"/>
        <v>69.510734463276833</v>
      </c>
      <c r="Q176" s="218">
        <f t="shared" si="13"/>
        <v>57.305882352941175</v>
      </c>
    </row>
    <row r="177" spans="2:18" ht="43.8" thickBot="1" x14ac:dyDescent="0.35">
      <c r="B177" s="214" t="s">
        <v>345</v>
      </c>
      <c r="C177" s="154">
        <v>0.36799999999999999</v>
      </c>
      <c r="D177" s="154">
        <v>0.34399999999999997</v>
      </c>
      <c r="E177" s="154">
        <v>0.44800000000000001</v>
      </c>
      <c r="F177" s="154">
        <v>0.40200000000000002</v>
      </c>
      <c r="G177" s="154">
        <v>0.44600000000000001</v>
      </c>
      <c r="H177" s="154">
        <v>0.38200000000000001</v>
      </c>
      <c r="K177" s="217" t="s">
        <v>353</v>
      </c>
      <c r="L177" s="218">
        <f>100-L176</f>
        <v>58.266666666666659</v>
      </c>
      <c r="M177" s="218">
        <f t="shared" ref="M177:Q177" si="14">100-M176</f>
        <v>110.4421052631579</v>
      </c>
      <c r="N177" s="218">
        <f t="shared" si="14"/>
        <v>51.733333333333334</v>
      </c>
      <c r="O177" s="218">
        <f t="shared" si="14"/>
        <v>67.209375000000009</v>
      </c>
      <c r="P177" s="218">
        <f t="shared" si="14"/>
        <v>30.489265536723167</v>
      </c>
      <c r="Q177" s="218">
        <f t="shared" si="14"/>
        <v>42.694117647058825</v>
      </c>
    </row>
    <row r="181" spans="2:18" ht="18" x14ac:dyDescent="0.35">
      <c r="B181" s="168" t="s">
        <v>316</v>
      </c>
      <c r="C181" s="169"/>
      <c r="D181" s="169"/>
      <c r="E181" s="169"/>
      <c r="F181" s="170"/>
    </row>
    <row r="182" spans="2:18" ht="18" x14ac:dyDescent="0.35">
      <c r="B182" s="171" t="s">
        <v>351</v>
      </c>
      <c r="C182" s="172"/>
      <c r="D182" s="172"/>
      <c r="E182" s="172"/>
      <c r="F182" s="173"/>
    </row>
    <row r="183" spans="2:18" x14ac:dyDescent="0.3">
      <c r="K183" s="544" t="s">
        <v>354</v>
      </c>
      <c r="L183" s="544"/>
      <c r="M183" s="544"/>
      <c r="N183" s="544"/>
      <c r="O183" s="544"/>
      <c r="P183" s="544"/>
      <c r="Q183" s="544"/>
      <c r="R183" s="544"/>
    </row>
    <row r="184" spans="2:18" x14ac:dyDescent="0.3">
      <c r="K184" s="544"/>
      <c r="L184" s="544"/>
      <c r="M184" s="544"/>
      <c r="N184" s="544"/>
      <c r="O184" s="544"/>
      <c r="P184" s="544"/>
      <c r="Q184" s="544"/>
      <c r="R184" s="544"/>
    </row>
    <row r="185" spans="2:18" ht="18" x14ac:dyDescent="0.35">
      <c r="B185" s="209" t="s">
        <v>347</v>
      </c>
      <c r="C185" s="208"/>
      <c r="D185" s="208"/>
      <c r="E185" s="208"/>
      <c r="F185" s="208"/>
      <c r="G185" s="208"/>
      <c r="K185" s="544"/>
      <c r="L185" s="544"/>
      <c r="M185" s="544"/>
      <c r="N185" s="544"/>
      <c r="O185" s="544"/>
      <c r="P185" s="544"/>
      <c r="Q185" s="544"/>
      <c r="R185" s="544"/>
    </row>
    <row r="188" spans="2:18" x14ac:dyDescent="0.3">
      <c r="K188" s="545" t="s">
        <v>355</v>
      </c>
      <c r="L188" s="545"/>
      <c r="M188" s="545"/>
      <c r="N188" s="545"/>
      <c r="O188" s="545"/>
      <c r="P188" s="545"/>
      <c r="Q188" s="545"/>
      <c r="R188" s="545"/>
    </row>
    <row r="189" spans="2:18" ht="18" x14ac:dyDescent="0.35">
      <c r="B189" s="209" t="s">
        <v>348</v>
      </c>
      <c r="C189" s="208"/>
      <c r="D189" s="208"/>
      <c r="E189" s="208"/>
      <c r="F189" s="208"/>
      <c r="K189" s="545"/>
      <c r="L189" s="545"/>
      <c r="M189" s="545"/>
      <c r="N189" s="545"/>
      <c r="O189" s="545"/>
      <c r="P189" s="545"/>
      <c r="Q189" s="545"/>
      <c r="R189" s="545"/>
    </row>
    <row r="190" spans="2:18" x14ac:dyDescent="0.3">
      <c r="K190" s="545"/>
      <c r="L190" s="545"/>
      <c r="M190" s="545"/>
      <c r="N190" s="545"/>
      <c r="O190" s="545"/>
      <c r="P190" s="545"/>
      <c r="Q190" s="545"/>
      <c r="R190" s="545"/>
    </row>
    <row r="191" spans="2:18" x14ac:dyDescent="0.3">
      <c r="K191" s="545"/>
      <c r="L191" s="545"/>
      <c r="M191" s="545"/>
      <c r="N191" s="545"/>
      <c r="O191" s="545"/>
      <c r="P191" s="545"/>
      <c r="Q191" s="545"/>
      <c r="R191" s="545"/>
    </row>
    <row r="192" spans="2:18" ht="18" x14ac:dyDescent="0.35">
      <c r="B192" s="209" t="s">
        <v>349</v>
      </c>
      <c r="C192" s="208"/>
      <c r="D192" s="208"/>
      <c r="E192" s="208"/>
      <c r="F192" s="208"/>
      <c r="K192" s="545"/>
      <c r="L192" s="545"/>
      <c r="M192" s="545"/>
      <c r="N192" s="545"/>
      <c r="O192" s="545"/>
      <c r="P192" s="545"/>
      <c r="Q192" s="545"/>
      <c r="R192" s="545"/>
    </row>
    <row r="193" spans="11:18" x14ac:dyDescent="0.3">
      <c r="K193" s="545"/>
      <c r="L193" s="545"/>
      <c r="M193" s="545"/>
      <c r="N193" s="545"/>
      <c r="O193" s="545"/>
      <c r="P193" s="545"/>
      <c r="Q193" s="545"/>
      <c r="R193" s="545"/>
    </row>
    <row r="216" spans="2:9" ht="20.399999999999999" x14ac:dyDescent="0.35">
      <c r="B216" s="219" t="s">
        <v>356</v>
      </c>
      <c r="C216" s="219"/>
      <c r="D216" s="219"/>
      <c r="E216" s="219"/>
      <c r="F216" s="219"/>
      <c r="G216" s="219"/>
    </row>
    <row r="217" spans="2:9" ht="21" x14ac:dyDescent="0.4">
      <c r="B217" s="219"/>
      <c r="C217" s="541"/>
      <c r="D217" s="541"/>
      <c r="E217" s="220"/>
      <c r="F217" s="220"/>
      <c r="G217" s="220"/>
    </row>
    <row r="218" spans="2:9" ht="40.799999999999997" x14ac:dyDescent="0.35">
      <c r="B218" s="219"/>
      <c r="C218" s="542" t="s">
        <v>357</v>
      </c>
      <c r="D218" s="542"/>
      <c r="E218" s="226" t="s">
        <v>373</v>
      </c>
      <c r="F218" s="227" t="s">
        <v>358</v>
      </c>
      <c r="G218" s="227" t="s">
        <v>359</v>
      </c>
      <c r="H218" s="226" t="s">
        <v>374</v>
      </c>
      <c r="I218" s="227" t="s">
        <v>359</v>
      </c>
    </row>
    <row r="219" spans="2:9" ht="40.799999999999997" x14ac:dyDescent="0.35">
      <c r="B219" s="225"/>
      <c r="C219" s="221" t="s">
        <v>297</v>
      </c>
      <c r="D219" s="221" t="s">
        <v>360</v>
      </c>
      <c r="E219" s="227" t="s">
        <v>297</v>
      </c>
      <c r="F219" s="228"/>
      <c r="G219" s="227" t="s">
        <v>290</v>
      </c>
      <c r="H219" s="227" t="s">
        <v>297</v>
      </c>
      <c r="I219" s="227" t="s">
        <v>376</v>
      </c>
    </row>
    <row r="220" spans="2:9" ht="20.399999999999999" x14ac:dyDescent="0.35">
      <c r="B220" s="224" t="s">
        <v>361</v>
      </c>
      <c r="C220" s="222">
        <v>1000</v>
      </c>
      <c r="D220" s="222">
        <v>1028</v>
      </c>
      <c r="E220" s="229">
        <f>SUM(E221:E230)</f>
        <v>1</v>
      </c>
      <c r="F220" s="230">
        <f t="shared" ref="F220:F226" si="15">100*((D220/C220)-1)</f>
        <v>2.8000000000000025</v>
      </c>
      <c r="G220" s="230">
        <f>SUM(G221:G230)</f>
        <v>2.8000000000000056</v>
      </c>
      <c r="H220" s="229">
        <f>SUM(H221:H230)</f>
        <v>1.0026785714285715</v>
      </c>
      <c r="I220" s="230">
        <f>SUM(I221:I230)</f>
        <v>2.8161188867438947</v>
      </c>
    </row>
    <row r="221" spans="2:9" ht="20.399999999999999" x14ac:dyDescent="0.35">
      <c r="B221" s="224" t="s">
        <v>362</v>
      </c>
      <c r="C221" s="222">
        <v>34</v>
      </c>
      <c r="D221" s="222">
        <v>35</v>
      </c>
      <c r="E221" s="231">
        <f>C221/$C$220</f>
        <v>3.4000000000000002E-2</v>
      </c>
      <c r="F221" s="230">
        <f t="shared" si="15"/>
        <v>2.9411764705882248</v>
      </c>
      <c r="G221" s="230">
        <f t="shared" ref="G221:G226" si="16">E221*F221</f>
        <v>9.9999999999999659E-2</v>
      </c>
      <c r="H221" s="233">
        <f>C221/$C$232</f>
        <v>3.8288288288288286E-2</v>
      </c>
      <c r="I221" s="230">
        <f>F221*H221</f>
        <v>0.11261261261261221</v>
      </c>
    </row>
    <row r="222" spans="2:9" ht="20.399999999999999" x14ac:dyDescent="0.35">
      <c r="B222" s="224" t="s">
        <v>363</v>
      </c>
      <c r="C222" s="222">
        <v>37</v>
      </c>
      <c r="D222" s="222">
        <v>37</v>
      </c>
      <c r="E222" s="231">
        <f t="shared" ref="E222:E226" si="17">C222/$C$220</f>
        <v>3.6999999999999998E-2</v>
      </c>
      <c r="F222" s="230">
        <f t="shared" si="15"/>
        <v>0</v>
      </c>
      <c r="G222" s="230">
        <f t="shared" si="16"/>
        <v>0</v>
      </c>
      <c r="H222" s="233">
        <f t="shared" ref="H222:H226" si="18">C222/$C$232</f>
        <v>4.1666666666666664E-2</v>
      </c>
      <c r="I222" s="230">
        <f t="shared" ref="I222:I226" si="19">F222*H222</f>
        <v>0</v>
      </c>
    </row>
    <row r="223" spans="2:9" ht="20.399999999999999" x14ac:dyDescent="0.35">
      <c r="B223" s="224" t="s">
        <v>364</v>
      </c>
      <c r="C223" s="222">
        <v>174</v>
      </c>
      <c r="D223" s="222">
        <v>176</v>
      </c>
      <c r="E223" s="231">
        <f t="shared" si="17"/>
        <v>0.17399999999999999</v>
      </c>
      <c r="F223" s="230">
        <f t="shared" si="15"/>
        <v>1.1494252873563315</v>
      </c>
      <c r="G223" s="230">
        <f t="shared" si="16"/>
        <v>0.20000000000000168</v>
      </c>
      <c r="H223" s="233">
        <f t="shared" si="18"/>
        <v>0.19594594594594594</v>
      </c>
      <c r="I223" s="230">
        <f t="shared" si="19"/>
        <v>0.22522522522522712</v>
      </c>
    </row>
    <row r="224" spans="2:9" ht="20.399999999999999" x14ac:dyDescent="0.35">
      <c r="B224" s="224" t="s">
        <v>365</v>
      </c>
      <c r="C224" s="222">
        <v>72</v>
      </c>
      <c r="D224" s="222">
        <v>75</v>
      </c>
      <c r="E224" s="231">
        <f t="shared" si="17"/>
        <v>7.1999999999999995E-2</v>
      </c>
      <c r="F224" s="230">
        <f t="shared" si="15"/>
        <v>4.1666666666666741</v>
      </c>
      <c r="G224" s="230">
        <f t="shared" si="16"/>
        <v>0.30000000000000049</v>
      </c>
      <c r="H224" s="233">
        <f t="shared" si="18"/>
        <v>8.1081081081081086E-2</v>
      </c>
      <c r="I224" s="230">
        <f t="shared" si="19"/>
        <v>0.33783783783783844</v>
      </c>
    </row>
    <row r="225" spans="2:9" ht="20.399999999999999" x14ac:dyDescent="0.35">
      <c r="B225" s="224" t="s">
        <v>366</v>
      </c>
      <c r="C225" s="222">
        <v>432</v>
      </c>
      <c r="D225" s="222">
        <v>447</v>
      </c>
      <c r="E225" s="231">
        <f t="shared" si="17"/>
        <v>0.432</v>
      </c>
      <c r="F225" s="230">
        <f t="shared" si="15"/>
        <v>3.4722222222222321</v>
      </c>
      <c r="G225" s="230">
        <f t="shared" si="16"/>
        <v>1.5000000000000042</v>
      </c>
      <c r="H225" s="233">
        <f t="shared" si="18"/>
        <v>0.48648648648648651</v>
      </c>
      <c r="I225" s="230">
        <f t="shared" si="19"/>
        <v>1.6891891891891941</v>
      </c>
    </row>
    <row r="226" spans="2:9" ht="20.399999999999999" x14ac:dyDescent="0.35">
      <c r="B226" s="224" t="s">
        <v>367</v>
      </c>
      <c r="C226" s="222">
        <v>139</v>
      </c>
      <c r="D226" s="222">
        <v>143</v>
      </c>
      <c r="E226" s="231">
        <f t="shared" si="17"/>
        <v>0.13900000000000001</v>
      </c>
      <c r="F226" s="230">
        <f t="shared" si="15"/>
        <v>2.877697841726623</v>
      </c>
      <c r="G226" s="230">
        <f t="shared" si="16"/>
        <v>0.40000000000000063</v>
      </c>
      <c r="H226" s="233">
        <f t="shared" si="18"/>
        <v>0.15653153153153154</v>
      </c>
      <c r="I226" s="230">
        <f t="shared" si="19"/>
        <v>0.45045045045045118</v>
      </c>
    </row>
    <row r="227" spans="2:9" ht="20.399999999999999" x14ac:dyDescent="0.35">
      <c r="B227" s="224" t="s">
        <v>368</v>
      </c>
      <c r="C227" s="222">
        <v>78</v>
      </c>
      <c r="D227" s="222">
        <v>78</v>
      </c>
      <c r="E227" s="231"/>
      <c r="F227" s="231"/>
      <c r="G227" s="231"/>
      <c r="H227" s="231"/>
      <c r="I227" s="231"/>
    </row>
    <row r="228" spans="2:9" ht="20.399999999999999" x14ac:dyDescent="0.35">
      <c r="B228" s="224" t="s">
        <v>369</v>
      </c>
      <c r="C228" s="223">
        <v>2</v>
      </c>
      <c r="D228" s="223">
        <v>2</v>
      </c>
      <c r="E228" s="231"/>
      <c r="F228" s="231"/>
      <c r="G228" s="231"/>
      <c r="H228" s="231"/>
      <c r="I228" s="231"/>
    </row>
    <row r="229" spans="2:9" ht="20.399999999999999" x14ac:dyDescent="0.35">
      <c r="B229" s="224" t="s">
        <v>370</v>
      </c>
      <c r="C229" s="222">
        <v>32</v>
      </c>
      <c r="D229" s="222">
        <v>35</v>
      </c>
      <c r="E229" s="231"/>
      <c r="F229" s="231"/>
      <c r="G229" s="231"/>
      <c r="H229" s="231"/>
      <c r="I229" s="231"/>
    </row>
    <row r="230" spans="2:9" ht="20.399999999999999" x14ac:dyDescent="0.35">
      <c r="B230" s="224" t="s">
        <v>371</v>
      </c>
      <c r="C230" s="222">
        <f>SUM(C227:C229)</f>
        <v>112</v>
      </c>
      <c r="D230" s="222">
        <f>SUM(D227:D229)</f>
        <v>115</v>
      </c>
      <c r="E230" s="231">
        <f>C230/$C$220</f>
        <v>0.112</v>
      </c>
      <c r="F230" s="230">
        <f>100*((D230/C230)-1)</f>
        <v>2.6785714285714191</v>
      </c>
      <c r="G230" s="230">
        <f>E230*F230</f>
        <v>0.29999999999999893</v>
      </c>
      <c r="H230" s="231">
        <f>F230/$C$220</f>
        <v>2.6785714285714191E-3</v>
      </c>
      <c r="I230" s="260">
        <f>G230*H230</f>
        <v>8.0357142857142281E-4</v>
      </c>
    </row>
    <row r="231" spans="2:9" ht="20.399999999999999" x14ac:dyDescent="0.35">
      <c r="B231" s="224" t="s">
        <v>372</v>
      </c>
      <c r="C231" s="222">
        <f>SUM(C221:C229)</f>
        <v>1000</v>
      </c>
      <c r="D231" s="222">
        <f>SUM(D221:D229)</f>
        <v>1028</v>
      </c>
      <c r="E231" s="231"/>
      <c r="F231" s="231"/>
      <c r="G231" s="231"/>
      <c r="H231" s="231"/>
      <c r="I231" s="231"/>
    </row>
    <row r="232" spans="2:9" ht="23.4" x14ac:dyDescent="0.45">
      <c r="B232" s="234" t="s">
        <v>375</v>
      </c>
      <c r="C232" s="235">
        <f>SUM(C221:C226)</f>
        <v>888</v>
      </c>
      <c r="D232" s="235">
        <f>SUM(D221:D226)</f>
        <v>913</v>
      </c>
    </row>
    <row r="248" spans="2:10" ht="21.6" thickBot="1" x14ac:dyDescent="0.45">
      <c r="B248" s="202"/>
      <c r="C248" s="202"/>
      <c r="D248" s="202"/>
      <c r="E248" s="202"/>
    </row>
    <row r="249" spans="2:10" ht="21" thickBot="1" x14ac:dyDescent="0.4">
      <c r="B249" s="241"/>
      <c r="C249" s="242">
        <v>2000</v>
      </c>
      <c r="D249" s="242">
        <v>2007</v>
      </c>
      <c r="E249" s="242">
        <v>2011</v>
      </c>
      <c r="G249" s="250" t="s">
        <v>376</v>
      </c>
      <c r="H249" s="250">
        <v>2000</v>
      </c>
      <c r="I249" s="250">
        <v>2007</v>
      </c>
      <c r="J249" s="250">
        <v>2011</v>
      </c>
    </row>
    <row r="250" spans="2:10" ht="21" thickBot="1" x14ac:dyDescent="0.4">
      <c r="B250" s="246" t="s">
        <v>377</v>
      </c>
      <c r="C250" s="244"/>
      <c r="D250" s="244"/>
      <c r="E250" s="244"/>
      <c r="G250" s="249" t="s">
        <v>378</v>
      </c>
      <c r="H250" s="248">
        <f t="shared" ref="H250:J253" si="20">C251-C257</f>
        <v>6497</v>
      </c>
      <c r="I250" s="248">
        <f t="shared" si="20"/>
        <v>8473</v>
      </c>
      <c r="J250" s="248">
        <f t="shared" si="20"/>
        <v>10554</v>
      </c>
    </row>
    <row r="251" spans="2:10" ht="21" thickBot="1" x14ac:dyDescent="0.4">
      <c r="B251" s="247" t="s">
        <v>378</v>
      </c>
      <c r="C251" s="245">
        <v>24008</v>
      </c>
      <c r="D251" s="245">
        <v>36451</v>
      </c>
      <c r="E251" s="245">
        <v>38846</v>
      </c>
      <c r="F251" s="232"/>
      <c r="G251" s="249" t="s">
        <v>379</v>
      </c>
      <c r="H251" s="248">
        <f t="shared" si="20"/>
        <v>11420</v>
      </c>
      <c r="I251" s="248">
        <f t="shared" si="20"/>
        <v>13573</v>
      </c>
      <c r="J251" s="248">
        <f t="shared" si="20"/>
        <v>13133</v>
      </c>
    </row>
    <row r="252" spans="2:10" ht="21" thickBot="1" x14ac:dyDescent="0.4">
      <c r="B252" s="247" t="s">
        <v>379</v>
      </c>
      <c r="C252" s="245">
        <v>57425</v>
      </c>
      <c r="D252" s="245">
        <v>75050</v>
      </c>
      <c r="E252" s="245">
        <v>64332</v>
      </c>
      <c r="F252" s="232"/>
      <c r="G252" s="249" t="s">
        <v>124</v>
      </c>
      <c r="H252" s="248">
        <f t="shared" si="20"/>
        <v>58664</v>
      </c>
      <c r="I252" s="248">
        <f t="shared" si="20"/>
        <v>131074</v>
      </c>
      <c r="J252" s="248">
        <f t="shared" si="20"/>
        <v>98546</v>
      </c>
    </row>
    <row r="253" spans="2:10" ht="21" thickBot="1" x14ac:dyDescent="0.4">
      <c r="B253" s="247" t="s">
        <v>124</v>
      </c>
      <c r="C253" s="245">
        <v>142803</v>
      </c>
      <c r="D253" s="245">
        <v>357117</v>
      </c>
      <c r="E253" s="245">
        <v>191899</v>
      </c>
      <c r="F253" s="232"/>
      <c r="G253" s="249" t="s">
        <v>380</v>
      </c>
      <c r="H253" s="248">
        <f t="shared" si="20"/>
        <v>43407</v>
      </c>
      <c r="I253" s="248">
        <f t="shared" si="20"/>
        <v>67198</v>
      </c>
      <c r="J253" s="248">
        <f t="shared" si="20"/>
        <v>74688</v>
      </c>
    </row>
    <row r="254" spans="2:10" ht="21" thickBot="1" x14ac:dyDescent="0.35">
      <c r="B254" s="247" t="s">
        <v>380</v>
      </c>
      <c r="C254" s="245">
        <v>73251</v>
      </c>
      <c r="D254" s="245">
        <v>116026</v>
      </c>
      <c r="E254" s="245">
        <v>117567</v>
      </c>
      <c r="F254" s="232"/>
      <c r="G254" s="232"/>
      <c r="H254" s="232"/>
    </row>
    <row r="255" spans="2:10" ht="21" thickBot="1" x14ac:dyDescent="0.35">
      <c r="B255" s="243"/>
      <c r="C255" s="244"/>
      <c r="D255" s="244"/>
      <c r="E255" s="244"/>
      <c r="F255" s="232"/>
      <c r="G255" s="232"/>
      <c r="H255" s="232"/>
    </row>
    <row r="256" spans="2:10" ht="21" thickBot="1" x14ac:dyDescent="0.4">
      <c r="B256" s="246" t="s">
        <v>381</v>
      </c>
      <c r="C256" s="244"/>
      <c r="D256" s="244"/>
      <c r="E256" s="244"/>
      <c r="F256" s="232"/>
      <c r="G256" s="252" t="s">
        <v>384</v>
      </c>
      <c r="H256" s="250">
        <v>2000</v>
      </c>
      <c r="I256" s="250">
        <v>2007</v>
      </c>
      <c r="J256" s="250">
        <v>2011</v>
      </c>
    </row>
    <row r="257" spans="2:10" ht="21" thickBot="1" x14ac:dyDescent="0.4">
      <c r="B257" s="247" t="s">
        <v>378</v>
      </c>
      <c r="C257" s="245">
        <v>17511</v>
      </c>
      <c r="D257" s="245">
        <v>27978</v>
      </c>
      <c r="E257" s="245">
        <v>28292</v>
      </c>
      <c r="F257" s="232"/>
      <c r="G257" s="249" t="s">
        <v>378</v>
      </c>
      <c r="H257" s="251">
        <f>H250/C251*100</f>
        <v>27.061812729090303</v>
      </c>
      <c r="I257" s="251">
        <f t="shared" ref="I257:J257" si="21">I250/D251*100</f>
        <v>23.244904117856848</v>
      </c>
      <c r="J257" s="251">
        <f t="shared" si="21"/>
        <v>27.168820470576122</v>
      </c>
    </row>
    <row r="258" spans="2:10" ht="21" thickBot="1" x14ac:dyDescent="0.4">
      <c r="B258" s="247" t="s">
        <v>379</v>
      </c>
      <c r="C258" s="245">
        <v>46005</v>
      </c>
      <c r="D258" s="245">
        <v>61477</v>
      </c>
      <c r="E258" s="245">
        <v>51199</v>
      </c>
      <c r="F258" s="232"/>
      <c r="G258" s="249" t="s">
        <v>379</v>
      </c>
      <c r="H258" s="251">
        <f t="shared" ref="H258:H260" si="22">H251/C252*100</f>
        <v>19.886808881149324</v>
      </c>
      <c r="I258" s="251">
        <f t="shared" ref="I258:I260" si="23">I251/D252*100</f>
        <v>18.085276482345101</v>
      </c>
      <c r="J258" s="251">
        <f t="shared" ref="J258:J260" si="24">J251/E252*100</f>
        <v>20.414412733942672</v>
      </c>
    </row>
    <row r="259" spans="2:10" ht="21" thickBot="1" x14ac:dyDescent="0.4">
      <c r="B259" s="247" t="s">
        <v>124</v>
      </c>
      <c r="C259" s="245">
        <v>84139</v>
      </c>
      <c r="D259" s="245">
        <v>226043</v>
      </c>
      <c r="E259" s="245">
        <v>93353</v>
      </c>
      <c r="F259" s="232"/>
      <c r="G259" s="249" t="s">
        <v>124</v>
      </c>
      <c r="H259" s="251">
        <f t="shared" si="22"/>
        <v>41.080369460025352</v>
      </c>
      <c r="I259" s="251">
        <f t="shared" si="23"/>
        <v>36.703377324518293</v>
      </c>
      <c r="J259" s="251">
        <f t="shared" si="24"/>
        <v>51.353055513577452</v>
      </c>
    </row>
    <row r="260" spans="2:10" ht="21" thickBot="1" x14ac:dyDescent="0.4">
      <c r="B260" s="247" t="s">
        <v>380</v>
      </c>
      <c r="C260" s="245">
        <v>29844</v>
      </c>
      <c r="D260" s="245">
        <v>48828</v>
      </c>
      <c r="E260" s="245">
        <v>42879</v>
      </c>
      <c r="F260" s="232"/>
      <c r="G260" s="249" t="s">
        <v>380</v>
      </c>
      <c r="H260" s="251">
        <f t="shared" si="22"/>
        <v>59.257894090183072</v>
      </c>
      <c r="I260" s="251">
        <f t="shared" si="23"/>
        <v>57.916329098650301</v>
      </c>
      <c r="J260" s="251">
        <f t="shared" si="24"/>
        <v>63.528030824976398</v>
      </c>
    </row>
    <row r="279" spans="2:10" ht="15" thickBot="1" x14ac:dyDescent="0.35"/>
    <row r="280" spans="2:10" ht="18.600000000000001" thickBot="1" x14ac:dyDescent="0.4">
      <c r="B280" s="236"/>
      <c r="C280" s="237">
        <v>2000</v>
      </c>
      <c r="D280" s="237">
        <v>2007</v>
      </c>
      <c r="E280" s="237">
        <v>2011</v>
      </c>
      <c r="G280" s="250" t="s">
        <v>376</v>
      </c>
      <c r="H280" s="250">
        <v>2000</v>
      </c>
      <c r="I280" s="250">
        <v>2007</v>
      </c>
      <c r="J280" s="250">
        <v>2011</v>
      </c>
    </row>
    <row r="281" spans="2:10" ht="18.600000000000001" thickBot="1" x14ac:dyDescent="0.4">
      <c r="B281" s="238" t="s">
        <v>382</v>
      </c>
      <c r="C281" s="239"/>
      <c r="D281" s="239"/>
      <c r="E281" s="239"/>
      <c r="G281" s="249" t="s">
        <v>378</v>
      </c>
      <c r="H281" s="248">
        <f>C282+C288</f>
        <v>6481</v>
      </c>
      <c r="I281" s="248">
        <f t="shared" ref="I281:J284" si="25">D282+D288</f>
        <v>8474</v>
      </c>
      <c r="J281" s="248">
        <f t="shared" si="25"/>
        <v>10529</v>
      </c>
    </row>
    <row r="282" spans="2:10" ht="18.600000000000001" thickBot="1" x14ac:dyDescent="0.4">
      <c r="B282" s="238" t="s">
        <v>378</v>
      </c>
      <c r="C282" s="240">
        <v>3786</v>
      </c>
      <c r="D282" s="240">
        <v>4623</v>
      </c>
      <c r="E282" s="240">
        <v>4260</v>
      </c>
      <c r="G282" s="249" t="s">
        <v>379</v>
      </c>
      <c r="H282" s="248">
        <f t="shared" ref="H282:H284" si="26">C283+C289</f>
        <v>11599</v>
      </c>
      <c r="I282" s="248">
        <f t="shared" si="25"/>
        <v>13836</v>
      </c>
      <c r="J282" s="248">
        <f t="shared" si="25"/>
        <v>13396</v>
      </c>
    </row>
    <row r="283" spans="2:10" ht="18.600000000000001" thickBot="1" x14ac:dyDescent="0.4">
      <c r="B283" s="238" t="s">
        <v>379</v>
      </c>
      <c r="C283" s="240">
        <v>7899</v>
      </c>
      <c r="D283" s="240">
        <v>8802</v>
      </c>
      <c r="E283" s="240">
        <v>8610</v>
      </c>
      <c r="G283" s="249" t="s">
        <v>124</v>
      </c>
      <c r="H283" s="248">
        <f t="shared" si="26"/>
        <v>57361</v>
      </c>
      <c r="I283" s="248">
        <f t="shared" si="25"/>
        <v>129206</v>
      </c>
      <c r="J283" s="248">
        <f t="shared" si="25"/>
        <v>96455</v>
      </c>
    </row>
    <row r="284" spans="2:10" ht="18.600000000000001" thickBot="1" x14ac:dyDescent="0.4">
      <c r="B284" s="238" t="s">
        <v>124</v>
      </c>
      <c r="C284" s="240">
        <v>31301</v>
      </c>
      <c r="D284" s="240">
        <v>63655</v>
      </c>
      <c r="E284" s="240">
        <v>42356</v>
      </c>
      <c r="G284" s="249" t="s">
        <v>380</v>
      </c>
      <c r="H284" s="248">
        <f t="shared" si="26"/>
        <v>43294</v>
      </c>
      <c r="I284" s="248">
        <f t="shared" si="25"/>
        <v>67166</v>
      </c>
      <c r="J284" s="248">
        <f t="shared" si="25"/>
        <v>74460</v>
      </c>
    </row>
    <row r="285" spans="2:10" ht="18" thickBot="1" x14ac:dyDescent="0.35">
      <c r="B285" s="238" t="s">
        <v>380</v>
      </c>
      <c r="C285" s="240">
        <v>17134</v>
      </c>
      <c r="D285" s="240">
        <v>23080</v>
      </c>
      <c r="E285" s="240">
        <v>24047</v>
      </c>
      <c r="G285" s="232"/>
      <c r="H285" s="232"/>
    </row>
    <row r="286" spans="2:10" ht="18" thickBot="1" x14ac:dyDescent="0.35">
      <c r="B286" s="238"/>
      <c r="C286" s="239"/>
      <c r="D286" s="239"/>
      <c r="E286" s="239"/>
      <c r="G286" s="232"/>
      <c r="H286" s="232"/>
    </row>
    <row r="287" spans="2:10" ht="18.600000000000001" thickBot="1" x14ac:dyDescent="0.4">
      <c r="B287" s="238" t="s">
        <v>383</v>
      </c>
      <c r="C287" s="239"/>
      <c r="D287" s="239"/>
      <c r="E287" s="239"/>
      <c r="G287" s="252" t="s">
        <v>385</v>
      </c>
      <c r="H287" s="250">
        <v>2000</v>
      </c>
      <c r="I287" s="250">
        <v>2007</v>
      </c>
      <c r="J287" s="250">
        <v>2011</v>
      </c>
    </row>
    <row r="288" spans="2:10" ht="18.600000000000001" thickBot="1" x14ac:dyDescent="0.4">
      <c r="B288" s="238" t="s">
        <v>378</v>
      </c>
      <c r="C288" s="240">
        <v>2695</v>
      </c>
      <c r="D288" s="240">
        <v>3851</v>
      </c>
      <c r="E288" s="240">
        <v>6269</v>
      </c>
      <c r="G288" s="249" t="s">
        <v>378</v>
      </c>
      <c r="H288" s="251">
        <f>C282/H281*100</f>
        <v>58.416910970529237</v>
      </c>
      <c r="I288" s="251">
        <f t="shared" ref="I288:J288" si="27">D282/I281*100</f>
        <v>54.555109747462829</v>
      </c>
      <c r="J288" s="251">
        <f t="shared" si="27"/>
        <v>40.459682780890873</v>
      </c>
    </row>
    <row r="289" spans="2:10" ht="18.600000000000001" thickBot="1" x14ac:dyDescent="0.4">
      <c r="B289" s="238" t="s">
        <v>379</v>
      </c>
      <c r="C289" s="240">
        <v>3700</v>
      </c>
      <c r="D289" s="240">
        <v>5034</v>
      </c>
      <c r="E289" s="240">
        <v>4786</v>
      </c>
      <c r="G289" s="249" t="s">
        <v>379</v>
      </c>
      <c r="H289" s="251">
        <f t="shared" ref="H289:H291" si="28">C283/H282*100</f>
        <v>68.100698336063459</v>
      </c>
      <c r="I289" s="251">
        <f t="shared" ref="I289:I291" si="29">D283/I282*100</f>
        <v>63.616652211621862</v>
      </c>
      <c r="J289" s="251">
        <f t="shared" ref="J289:J291" si="30">E283/J282*100</f>
        <v>64.272917288742903</v>
      </c>
    </row>
    <row r="290" spans="2:10" ht="18.600000000000001" thickBot="1" x14ac:dyDescent="0.4">
      <c r="B290" s="238" t="s">
        <v>124</v>
      </c>
      <c r="C290" s="240">
        <v>26060</v>
      </c>
      <c r="D290" s="240">
        <v>65551</v>
      </c>
      <c r="E290" s="240">
        <v>54099</v>
      </c>
      <c r="G290" s="249" t="s">
        <v>124</v>
      </c>
      <c r="H290" s="251">
        <f t="shared" si="28"/>
        <v>54.568434999389822</v>
      </c>
      <c r="I290" s="251">
        <f t="shared" si="29"/>
        <v>49.266287943284368</v>
      </c>
      <c r="J290" s="251">
        <f t="shared" si="30"/>
        <v>43.912705406666319</v>
      </c>
    </row>
    <row r="291" spans="2:10" ht="18.600000000000001" thickBot="1" x14ac:dyDescent="0.4">
      <c r="B291" s="238" t="s">
        <v>380</v>
      </c>
      <c r="C291" s="240">
        <v>26160</v>
      </c>
      <c r="D291" s="240">
        <v>44086</v>
      </c>
      <c r="E291" s="240">
        <v>50413</v>
      </c>
      <c r="G291" s="249" t="s">
        <v>380</v>
      </c>
      <c r="H291" s="251">
        <f t="shared" si="28"/>
        <v>39.57592276065968</v>
      </c>
      <c r="I291" s="251">
        <f t="shared" si="29"/>
        <v>34.362623946639673</v>
      </c>
      <c r="J291" s="251">
        <f t="shared" si="30"/>
        <v>32.295192049422511</v>
      </c>
    </row>
    <row r="294" spans="2:10" ht="18" x14ac:dyDescent="0.35">
      <c r="B294" s="253" t="s">
        <v>387</v>
      </c>
      <c r="G294" s="252" t="s">
        <v>386</v>
      </c>
      <c r="H294" s="250">
        <v>2000</v>
      </c>
      <c r="I294" s="250">
        <v>2007</v>
      </c>
      <c r="J294" s="250">
        <v>2011</v>
      </c>
    </row>
    <row r="295" spans="2:10" ht="18" x14ac:dyDescent="0.35">
      <c r="B295" s="543" t="s">
        <v>388</v>
      </c>
      <c r="C295" s="543"/>
      <c r="D295" s="543"/>
      <c r="G295" s="249" t="s">
        <v>378</v>
      </c>
      <c r="H295" s="251">
        <f>C288/H281*100</f>
        <v>41.583089029470763</v>
      </c>
      <c r="I295" s="251">
        <f t="shared" ref="I295:J295" si="31">D288/I281*100</f>
        <v>45.444890252537171</v>
      </c>
      <c r="J295" s="251">
        <f t="shared" si="31"/>
        <v>59.540317219109127</v>
      </c>
    </row>
    <row r="296" spans="2:10" ht="18" x14ac:dyDescent="0.35">
      <c r="B296" s="543"/>
      <c r="C296" s="543"/>
      <c r="D296" s="543"/>
      <c r="G296" s="249" t="s">
        <v>379</v>
      </c>
      <c r="H296" s="251">
        <f t="shared" ref="H296:H298" si="32">C289/H282*100</f>
        <v>31.899301663936548</v>
      </c>
      <c r="I296" s="251">
        <f t="shared" ref="I296:I298" si="33">D289/I282*100</f>
        <v>36.383347788378146</v>
      </c>
      <c r="J296" s="251">
        <f t="shared" ref="J296:J298" si="34">E289/J282*100</f>
        <v>35.72708271125709</v>
      </c>
    </row>
    <row r="297" spans="2:10" ht="18" x14ac:dyDescent="0.35">
      <c r="B297" s="543"/>
      <c r="C297" s="543"/>
      <c r="D297" s="543"/>
      <c r="G297" s="249" t="s">
        <v>124</v>
      </c>
      <c r="H297" s="251">
        <f t="shared" si="32"/>
        <v>45.431565000610171</v>
      </c>
      <c r="I297" s="251">
        <f t="shared" si="33"/>
        <v>50.733712056715632</v>
      </c>
      <c r="J297" s="251">
        <f t="shared" si="34"/>
        <v>56.087294593333681</v>
      </c>
    </row>
    <row r="298" spans="2:10" ht="18" x14ac:dyDescent="0.35">
      <c r="B298" s="543"/>
      <c r="C298" s="543"/>
      <c r="D298" s="543"/>
      <c r="G298" s="249" t="s">
        <v>380</v>
      </c>
      <c r="H298" s="251">
        <f t="shared" si="32"/>
        <v>60.42407723934032</v>
      </c>
      <c r="I298" s="251">
        <f t="shared" si="33"/>
        <v>65.637376053360327</v>
      </c>
      <c r="J298" s="251">
        <f t="shared" si="34"/>
        <v>67.704807950577489</v>
      </c>
    </row>
    <row r="299" spans="2:10" x14ac:dyDescent="0.3">
      <c r="B299" s="543"/>
      <c r="C299" s="543"/>
      <c r="D299" s="543"/>
    </row>
    <row r="300" spans="2:10" x14ac:dyDescent="0.3">
      <c r="B300" s="543"/>
      <c r="C300" s="543"/>
      <c r="D300" s="543"/>
    </row>
    <row r="314" spans="2:8" ht="18" x14ac:dyDescent="0.35">
      <c r="G314" s="158"/>
      <c r="H314" s="158"/>
    </row>
    <row r="316" spans="2:8" ht="18" x14ac:dyDescent="0.35">
      <c r="B316" s="254"/>
      <c r="C316" s="255" t="s">
        <v>389</v>
      </c>
      <c r="D316" s="255" t="s">
        <v>390</v>
      </c>
      <c r="E316" s="255" t="s">
        <v>391</v>
      </c>
      <c r="F316" s="250" t="s">
        <v>392</v>
      </c>
      <c r="G316" s="250" t="s">
        <v>393</v>
      </c>
    </row>
    <row r="317" spans="2:8" ht="18" x14ac:dyDescent="0.35">
      <c r="B317" s="256" t="s">
        <v>394</v>
      </c>
      <c r="C317" s="256">
        <v>100</v>
      </c>
      <c r="D317" s="256">
        <v>40</v>
      </c>
      <c r="E317" s="256">
        <v>20</v>
      </c>
      <c r="F317" s="257">
        <f>C317+E317-D317</f>
        <v>80</v>
      </c>
      <c r="G317" s="257">
        <f>E317/F317</f>
        <v>0.25</v>
      </c>
    </row>
    <row r="318" spans="2:8" ht="18" x14ac:dyDescent="0.35">
      <c r="B318" s="256" t="s">
        <v>123</v>
      </c>
      <c r="C318" s="256">
        <v>300</v>
      </c>
      <c r="D318" s="256">
        <v>100</v>
      </c>
      <c r="E318" s="256">
        <v>200</v>
      </c>
      <c r="F318" s="257">
        <f>C318+E318-D318</f>
        <v>400</v>
      </c>
      <c r="G318" s="257">
        <f>E318/F318</f>
        <v>0.5</v>
      </c>
    </row>
    <row r="319" spans="2:8" ht="18" x14ac:dyDescent="0.35">
      <c r="B319" s="256" t="s">
        <v>125</v>
      </c>
      <c r="C319" s="256">
        <v>600</v>
      </c>
      <c r="D319" s="256">
        <v>60</v>
      </c>
      <c r="E319" s="256">
        <v>60</v>
      </c>
      <c r="F319" s="257">
        <f>C319+E319-D319</f>
        <v>600</v>
      </c>
      <c r="G319" s="257">
        <f>E319/F319</f>
        <v>0.1</v>
      </c>
    </row>
    <row r="322" spans="2:3" ht="18" x14ac:dyDescent="0.35">
      <c r="B322" s="258" t="s">
        <v>395</v>
      </c>
      <c r="C322" s="259"/>
    </row>
    <row r="323" spans="2:3" ht="18" x14ac:dyDescent="0.35">
      <c r="B323" s="258" t="s">
        <v>396</v>
      </c>
      <c r="C323" s="259"/>
    </row>
    <row r="344" spans="2:9" ht="17.399999999999999" x14ac:dyDescent="0.3">
      <c r="D344" s="306"/>
      <c r="E344" s="306"/>
      <c r="F344" s="307"/>
      <c r="G344" s="306"/>
    </row>
    <row r="345" spans="2:9" ht="17.399999999999999" x14ac:dyDescent="0.3">
      <c r="E345" s="356" t="s">
        <v>437</v>
      </c>
      <c r="F345" s="356" t="s">
        <v>473</v>
      </c>
      <c r="G345" s="360" t="s">
        <v>438</v>
      </c>
      <c r="H345" s="356" t="s">
        <v>439</v>
      </c>
      <c r="I345" s="361"/>
    </row>
    <row r="346" spans="2:9" ht="17.399999999999999" x14ac:dyDescent="0.3">
      <c r="B346" s="356" t="s">
        <v>445</v>
      </c>
      <c r="C346" s="356"/>
      <c r="D346" s="357"/>
      <c r="E346" s="356"/>
      <c r="F346" s="356"/>
      <c r="G346" s="356"/>
      <c r="H346" s="356"/>
      <c r="I346" s="361"/>
    </row>
    <row r="347" spans="2:9" ht="17.399999999999999" x14ac:dyDescent="0.3">
      <c r="B347" s="356" t="s">
        <v>446</v>
      </c>
      <c r="C347" s="356">
        <v>1995</v>
      </c>
      <c r="D347" s="357">
        <v>1996</v>
      </c>
      <c r="E347" s="356" t="s">
        <v>440</v>
      </c>
      <c r="F347" s="356" t="s">
        <v>441</v>
      </c>
      <c r="G347" s="356" t="s">
        <v>442</v>
      </c>
      <c r="H347" s="356" t="s">
        <v>443</v>
      </c>
      <c r="I347" s="356" t="s">
        <v>444</v>
      </c>
    </row>
    <row r="348" spans="2:9" ht="17.399999999999999" x14ac:dyDescent="0.3">
      <c r="B348" s="351" t="s">
        <v>447</v>
      </c>
      <c r="C348" s="354">
        <v>437787</v>
      </c>
      <c r="D348" s="358">
        <v>448457</v>
      </c>
      <c r="E348" s="362">
        <f>D348/C348</f>
        <v>1.0243725830141142</v>
      </c>
    </row>
    <row r="349" spans="2:9" ht="17.399999999999999" x14ac:dyDescent="0.3">
      <c r="B349" s="351" t="s">
        <v>448</v>
      </c>
      <c r="C349" s="354">
        <v>437787</v>
      </c>
      <c r="D349" s="358">
        <v>464251</v>
      </c>
      <c r="E349" s="362">
        <f>D349/C349</f>
        <v>1.0604494879930195</v>
      </c>
    </row>
    <row r="350" spans="2:9" ht="21" x14ac:dyDescent="0.4">
      <c r="B350" s="351" t="s">
        <v>407</v>
      </c>
      <c r="C350" s="354">
        <v>218493</v>
      </c>
      <c r="D350" s="358">
        <v>231028</v>
      </c>
      <c r="E350" s="362">
        <f>D350/C350</f>
        <v>1.0573702590014324</v>
      </c>
      <c r="F350" s="362">
        <f>C350/$C$349</f>
        <v>0.49908517155603066</v>
      </c>
      <c r="G350" s="362">
        <f>E350/$E$348</f>
        <v>1.0322125723925819</v>
      </c>
      <c r="H350" s="362">
        <f>G350*F350</f>
        <v>0.51516198877484343</v>
      </c>
      <c r="I350" s="363">
        <f>100*H350/$H$354</f>
        <v>49.763597708997928</v>
      </c>
    </row>
    <row r="351" spans="2:9" ht="21" x14ac:dyDescent="0.4">
      <c r="B351" s="351" t="s">
        <v>449</v>
      </c>
      <c r="C351" s="354">
        <v>181266</v>
      </c>
      <c r="D351" s="358">
        <v>192230</v>
      </c>
      <c r="E351" s="362">
        <f>D351/C351</f>
        <v>1.0604856950558847</v>
      </c>
      <c r="F351" s="362">
        <f t="shared" ref="F351:F352" si="35">C351/$C$349</f>
        <v>0.4140506684757656</v>
      </c>
      <c r="G351" s="362">
        <f t="shared" ref="G351:G352" si="36">E351/$E$348</f>
        <v>1.0352538838315171</v>
      </c>
      <c r="H351" s="362">
        <f>G351*F351</f>
        <v>0.42864756264257226</v>
      </c>
      <c r="I351" s="363">
        <f t="shared" ref="I351:I352" si="37">100*H351/$H$354</f>
        <v>41.406480546083912</v>
      </c>
    </row>
    <row r="352" spans="2:9" ht="21" x14ac:dyDescent="0.4">
      <c r="B352" s="351" t="s">
        <v>450</v>
      </c>
      <c r="C352" s="354">
        <v>38028</v>
      </c>
      <c r="D352" s="358">
        <v>40993</v>
      </c>
      <c r="E352" s="362">
        <f>D352/C352</f>
        <v>1.0779688650468076</v>
      </c>
      <c r="F352" s="362">
        <f t="shared" si="35"/>
        <v>8.6864159968203722E-2</v>
      </c>
      <c r="G352" s="362">
        <f t="shared" si="36"/>
        <v>1.0523210821154465</v>
      </c>
      <c r="H352" s="362">
        <f>G352*F352</f>
        <v>9.1408986814789386E-2</v>
      </c>
      <c r="I352" s="363">
        <f t="shared" si="37"/>
        <v>8.8299217449181597</v>
      </c>
    </row>
    <row r="353" spans="2:9" ht="18" x14ac:dyDescent="0.35">
      <c r="B353" s="352" t="s">
        <v>451</v>
      </c>
      <c r="C353" s="354">
        <v>13025.1</v>
      </c>
      <c r="D353" s="358">
        <v>13183</v>
      </c>
      <c r="E353" s="362">
        <f t="shared" ref="E353:E359" si="38">D353/C353</f>
        <v>1.0121227476180605</v>
      </c>
      <c r="H353" s="362"/>
      <c r="I353" s="144"/>
    </row>
    <row r="354" spans="2:9" ht="18.600000000000001" thickBot="1" x14ac:dyDescent="0.4">
      <c r="B354" s="353" t="s">
        <v>452</v>
      </c>
      <c r="C354" s="355">
        <v>10563.8</v>
      </c>
      <c r="D354" s="359">
        <v>10685.7</v>
      </c>
      <c r="E354" s="362">
        <f t="shared" si="38"/>
        <v>1.0115394081675155</v>
      </c>
      <c r="H354" s="362">
        <f>SUM(H350:H352)</f>
        <v>1.035218538232205</v>
      </c>
      <c r="I354" s="364">
        <f>SUM(I350:I352)</f>
        <v>100</v>
      </c>
    </row>
    <row r="355" spans="2:9" ht="18" x14ac:dyDescent="0.35">
      <c r="B355" s="367"/>
      <c r="C355" s="368"/>
      <c r="D355" s="369"/>
      <c r="E355" s="369"/>
      <c r="F355" s="308"/>
      <c r="G355" s="308"/>
      <c r="H355" s="308"/>
    </row>
    <row r="356" spans="2:9" ht="18" x14ac:dyDescent="0.35">
      <c r="B356" s="365" t="s">
        <v>453</v>
      </c>
      <c r="C356" s="366">
        <f>C350/C354</f>
        <v>20.683182188227722</v>
      </c>
      <c r="D356" s="366">
        <f>D350/D354</f>
        <v>21.620296283818561</v>
      </c>
      <c r="E356" s="362">
        <f t="shared" si="38"/>
        <v>1.0453080230625351</v>
      </c>
      <c r="F356" s="308"/>
      <c r="G356" s="308"/>
      <c r="H356" s="308"/>
    </row>
    <row r="357" spans="2:9" ht="18" x14ac:dyDescent="0.35">
      <c r="B357" s="365" t="s">
        <v>454</v>
      </c>
      <c r="C357" s="366">
        <f>C348/C353</f>
        <v>33.611027938365154</v>
      </c>
      <c r="D357" s="366">
        <f>D348/D353</f>
        <v>34.01782598801487</v>
      </c>
      <c r="E357" s="362">
        <f t="shared" si="38"/>
        <v>1.0121031124188076</v>
      </c>
      <c r="F357" s="308"/>
      <c r="G357" s="308"/>
      <c r="H357" s="308"/>
    </row>
    <row r="358" spans="2:9" ht="17.399999999999999" x14ac:dyDescent="0.3">
      <c r="B358" s="365" t="s">
        <v>455</v>
      </c>
      <c r="C358" s="366">
        <f>C354/C353</f>
        <v>0.81103408035254998</v>
      </c>
      <c r="D358" s="366">
        <f>D354/D353</f>
        <v>0.81056663885306846</v>
      </c>
      <c r="E358" s="362">
        <f t="shared" si="38"/>
        <v>0.99942364752504809</v>
      </c>
      <c r="F358" s="308"/>
      <c r="G358" s="308"/>
      <c r="H358" s="308"/>
    </row>
    <row r="359" spans="2:9" ht="18" x14ac:dyDescent="0.35">
      <c r="B359" s="365" t="s">
        <v>456</v>
      </c>
      <c r="C359" s="366">
        <f>C356/C357</f>
        <v>0.61536892671524035</v>
      </c>
      <c r="D359" s="366">
        <f>D356/D357</f>
        <v>0.63555784815395922</v>
      </c>
      <c r="E359" s="362">
        <f t="shared" si="38"/>
        <v>1.0328078337437101</v>
      </c>
      <c r="F359" s="308"/>
      <c r="G359" s="308"/>
      <c r="H359" s="308"/>
    </row>
    <row r="360" spans="2:9" ht="17.399999999999999" x14ac:dyDescent="0.3">
      <c r="B360" s="368"/>
      <c r="C360" s="368"/>
      <c r="D360" s="368"/>
      <c r="E360" s="370"/>
      <c r="F360" s="308"/>
      <c r="G360" s="308"/>
      <c r="H360" s="308"/>
    </row>
    <row r="361" spans="2:9" ht="18" x14ac:dyDescent="0.35">
      <c r="B361" s="365" t="s">
        <v>457</v>
      </c>
      <c r="C361" s="366">
        <f>C349/C348</f>
        <v>1</v>
      </c>
      <c r="D361" s="366">
        <f>D349/D348</f>
        <v>1.035218538232205</v>
      </c>
      <c r="E361" s="362">
        <f>E349/E348</f>
        <v>1.0352185382322052</v>
      </c>
      <c r="F361" s="308"/>
      <c r="G361" s="308"/>
      <c r="H361" s="308"/>
    </row>
    <row r="362" spans="2:9" ht="18" x14ac:dyDescent="0.35">
      <c r="B362" s="365" t="s">
        <v>458</v>
      </c>
      <c r="C362" s="366">
        <f>C359*C358</f>
        <v>0.49908517155603066</v>
      </c>
      <c r="D362" s="366">
        <f>D359*D358</f>
        <v>0.51516198877484354</v>
      </c>
      <c r="E362" s="362">
        <f>D362/C362</f>
        <v>1.0322125723925821</v>
      </c>
      <c r="F362" s="306"/>
      <c r="G362" s="306"/>
      <c r="H362" s="306"/>
    </row>
    <row r="363" spans="2:9" ht="18" x14ac:dyDescent="0.35">
      <c r="B363" s="365" t="s">
        <v>607</v>
      </c>
      <c r="C363" s="366">
        <f>C359/C361</f>
        <v>0.61536892671524035</v>
      </c>
      <c r="D363" s="366">
        <f>D359/D361</f>
        <v>0.61393592239883188</v>
      </c>
      <c r="F363" s="306"/>
      <c r="G363" s="306"/>
      <c r="H363" s="306"/>
    </row>
    <row r="364" spans="2:9" ht="17.399999999999999" x14ac:dyDescent="0.3">
      <c r="G364" s="308"/>
    </row>
    <row r="376" spans="2:9" ht="16.8" x14ac:dyDescent="0.3">
      <c r="B376" s="331" t="s">
        <v>459</v>
      </c>
      <c r="C376" s="332"/>
      <c r="D376" s="333"/>
      <c r="E376" s="340" t="s">
        <v>473</v>
      </c>
      <c r="F376" s="340" t="s">
        <v>460</v>
      </c>
      <c r="G376" s="340" t="s">
        <v>461</v>
      </c>
      <c r="H376" s="340" t="s">
        <v>462</v>
      </c>
      <c r="I376" s="341"/>
    </row>
    <row r="377" spans="2:9" ht="16.8" x14ac:dyDescent="0.3">
      <c r="B377" s="334" t="s">
        <v>463</v>
      </c>
      <c r="C377" s="335" t="s">
        <v>464</v>
      </c>
      <c r="D377" s="336" t="s">
        <v>465</v>
      </c>
      <c r="E377" s="342"/>
      <c r="F377" s="342"/>
      <c r="G377" s="342"/>
      <c r="H377" s="342"/>
      <c r="I377" s="341"/>
    </row>
    <row r="378" spans="2:9" ht="16.8" x14ac:dyDescent="0.3">
      <c r="B378" s="337" t="s">
        <v>407</v>
      </c>
      <c r="C378" s="338">
        <v>464548</v>
      </c>
      <c r="D378" s="338">
        <v>502182</v>
      </c>
      <c r="E378" s="343">
        <f>C378/$C$381</f>
        <v>0.47196540835775042</v>
      </c>
      <c r="F378" s="343">
        <f>D378/C378</f>
        <v>1.0810120805600283</v>
      </c>
      <c r="G378" s="343">
        <f>F378/$F$382</f>
        <v>1.043707135313078</v>
      </c>
      <c r="H378" s="343">
        <f>E378*G378</f>
        <v>0.49259366432393475</v>
      </c>
      <c r="I378" s="345" t="e">
        <f>H378*100/$J$608</f>
        <v>#DIV/0!</v>
      </c>
    </row>
    <row r="379" spans="2:9" ht="16.8" x14ac:dyDescent="0.3">
      <c r="B379" s="337" t="s">
        <v>449</v>
      </c>
      <c r="C379" s="338">
        <v>410363</v>
      </c>
      <c r="D379" s="338">
        <v>441918</v>
      </c>
      <c r="E379" s="343">
        <f t="shared" ref="E379:E381" si="39">C379/$C$381</f>
        <v>0.41691523991043233</v>
      </c>
      <c r="F379" s="343">
        <f>D379/C379</f>
        <v>1.076895334131001</v>
      </c>
      <c r="G379" s="343">
        <f t="shared" ref="G379:G381" si="40">F379/$F$382</f>
        <v>1.0397324548265985</v>
      </c>
      <c r="H379" s="343">
        <f>E379*G379</f>
        <v>0.43348030584669406</v>
      </c>
      <c r="I379" s="345" t="e">
        <f>H379*100/$J$608</f>
        <v>#DIV/0!</v>
      </c>
    </row>
    <row r="380" spans="2:9" ht="16.8" x14ac:dyDescent="0.3">
      <c r="B380" s="337" t="s">
        <v>450</v>
      </c>
      <c r="C380" s="338">
        <v>109373</v>
      </c>
      <c r="D380" s="338">
        <v>109437</v>
      </c>
      <c r="E380" s="343">
        <f t="shared" si="39"/>
        <v>0.11111935173181724</v>
      </c>
      <c r="F380" s="343">
        <f>D380/C380</f>
        <v>1.0005851535570935</v>
      </c>
      <c r="G380" s="343">
        <f t="shared" si="40"/>
        <v>0.966055683406287</v>
      </c>
      <c r="H380" s="343">
        <f>E380*G380</f>
        <v>0.10734748127694428</v>
      </c>
      <c r="I380" s="345" t="e">
        <f>H380*100/$J$608</f>
        <v>#DIV/0!</v>
      </c>
    </row>
    <row r="381" spans="2:9" ht="16.8" x14ac:dyDescent="0.3">
      <c r="B381" s="337" t="s">
        <v>466</v>
      </c>
      <c r="C381" s="338">
        <v>984284</v>
      </c>
      <c r="D381" s="338">
        <v>1053537</v>
      </c>
      <c r="E381" s="343">
        <f t="shared" si="39"/>
        <v>1</v>
      </c>
      <c r="F381" s="343">
        <f>D381/C381</f>
        <v>1.0703587582445717</v>
      </c>
      <c r="G381" s="343">
        <f t="shared" si="40"/>
        <v>1.033421451447573</v>
      </c>
      <c r="H381" s="343">
        <f>SUM(H378:H380)</f>
        <v>1.0334214514475732</v>
      </c>
      <c r="I381" s="346" t="e">
        <f>SUM(I378:I380)</f>
        <v>#DIV/0!</v>
      </c>
    </row>
    <row r="382" spans="2:9" ht="16.8" x14ac:dyDescent="0.3">
      <c r="B382" s="337" t="s">
        <v>467</v>
      </c>
      <c r="C382" s="339">
        <v>18541.8</v>
      </c>
      <c r="D382" s="339">
        <v>19092.2</v>
      </c>
      <c r="E382" s="343"/>
      <c r="F382" s="343">
        <f>1+F383/100</f>
        <v>1.035742732788504</v>
      </c>
      <c r="G382" s="312"/>
      <c r="H382" s="312"/>
      <c r="I382" s="310"/>
    </row>
    <row r="383" spans="2:9" ht="16.8" x14ac:dyDescent="0.3">
      <c r="B383" s="337" t="s">
        <v>468</v>
      </c>
      <c r="C383" s="339">
        <v>15997</v>
      </c>
      <c r="D383" s="339">
        <v>16540.599999999999</v>
      </c>
      <c r="E383" s="344"/>
      <c r="F383" s="343">
        <v>3.5742732788503999</v>
      </c>
      <c r="G383" s="312" t="s">
        <v>469</v>
      </c>
      <c r="H383" s="312"/>
      <c r="I383" s="310"/>
    </row>
    <row r="384" spans="2:9" ht="16.8" x14ac:dyDescent="0.3">
      <c r="B384" s="311"/>
      <c r="C384" s="311"/>
      <c r="D384" s="311"/>
      <c r="E384" s="312"/>
      <c r="F384" s="311"/>
      <c r="H384" s="312"/>
      <c r="I384" s="310"/>
    </row>
    <row r="385" spans="2:9" ht="16.8" x14ac:dyDescent="0.3">
      <c r="B385" s="347"/>
      <c r="C385" s="348" t="s">
        <v>464</v>
      </c>
      <c r="D385" s="348" t="s">
        <v>465</v>
      </c>
      <c r="E385" s="312"/>
      <c r="F385" s="311"/>
      <c r="G385" s="312"/>
      <c r="H385" s="312"/>
      <c r="I385" s="310"/>
    </row>
    <row r="386" spans="2:9" ht="16.8" x14ac:dyDescent="0.3">
      <c r="B386" s="349" t="s">
        <v>453</v>
      </c>
      <c r="C386" s="350">
        <f>C378/C383*1000</f>
        <v>29039.694942801776</v>
      </c>
      <c r="D386" s="350">
        <f>D378/D383*1000</f>
        <v>30360.567331293911</v>
      </c>
      <c r="E386" s="312"/>
      <c r="F386" s="311"/>
      <c r="G386" s="312"/>
      <c r="H386" s="312"/>
      <c r="I386" s="310"/>
    </row>
    <row r="387" spans="2:9" ht="16.8" x14ac:dyDescent="0.3">
      <c r="B387" s="349" t="s">
        <v>454</v>
      </c>
      <c r="C387" s="350">
        <f>C381*1000/C382</f>
        <v>53084.598043339916</v>
      </c>
      <c r="D387" s="350">
        <f>D381*1000/D382</f>
        <v>55181.540105383348</v>
      </c>
      <c r="E387" s="312"/>
      <c r="F387" s="311"/>
      <c r="G387" s="312"/>
      <c r="H387" s="312"/>
      <c r="I387" s="310"/>
    </row>
    <row r="388" spans="2:9" ht="16.8" x14ac:dyDescent="0.3">
      <c r="B388" s="349" t="s">
        <v>455</v>
      </c>
      <c r="C388" s="350">
        <f>C383/C382</f>
        <v>0.86275334649278934</v>
      </c>
      <c r="D388" s="350">
        <f>D383/D382</f>
        <v>0.86635379893359576</v>
      </c>
      <c r="E388" s="312"/>
      <c r="F388" s="311"/>
      <c r="G388" s="312"/>
      <c r="H388" s="312"/>
      <c r="I388" s="310"/>
    </row>
    <row r="389" spans="2:9" ht="16.8" x14ac:dyDescent="0.3">
      <c r="B389" s="349" t="s">
        <v>470</v>
      </c>
      <c r="C389" s="350">
        <f>C386/C387</f>
        <v>0.54704558409000037</v>
      </c>
      <c r="D389" s="350">
        <f>D386/D387</f>
        <v>0.5501942728186382</v>
      </c>
      <c r="E389" s="312"/>
      <c r="F389" s="312"/>
      <c r="G389" s="312"/>
      <c r="H389" s="312"/>
      <c r="I389" s="310"/>
    </row>
    <row r="390" spans="2:9" ht="16.8" x14ac:dyDescent="0.3">
      <c r="B390" s="349" t="s">
        <v>471</v>
      </c>
      <c r="C390" s="350">
        <f>C389/F383</f>
        <v>0.15305085577170743</v>
      </c>
      <c r="D390" s="350">
        <f>D389/F383</f>
        <v>0.1539317869381264</v>
      </c>
      <c r="E390" s="312"/>
      <c r="F390" s="312"/>
      <c r="G390" s="312"/>
      <c r="H390" s="312"/>
      <c r="I390" s="310"/>
    </row>
    <row r="391" spans="2:9" ht="17.399999999999999" x14ac:dyDescent="0.3">
      <c r="B391" s="330"/>
      <c r="C391" s="313" t="s">
        <v>472</v>
      </c>
      <c r="D391" s="313"/>
      <c r="E391" s="312"/>
      <c r="F391" s="311"/>
      <c r="G391" s="312"/>
      <c r="H391" s="312"/>
      <c r="I391" s="310"/>
    </row>
  </sheetData>
  <mergeCells count="19">
    <mergeCell ref="G173:H173"/>
    <mergeCell ref="C217:D217"/>
    <mergeCell ref="C218:D218"/>
    <mergeCell ref="B295:D300"/>
    <mergeCell ref="K166:R168"/>
    <mergeCell ref="K183:R185"/>
    <mergeCell ref="K188:R193"/>
    <mergeCell ref="C173:D173"/>
    <mergeCell ref="E173:F173"/>
    <mergeCell ref="C33:D33"/>
    <mergeCell ref="C34:D34"/>
    <mergeCell ref="C35:D35"/>
    <mergeCell ref="K71:S71"/>
    <mergeCell ref="B51:J51"/>
    <mergeCell ref="H88:K89"/>
    <mergeCell ref="E127:F127"/>
    <mergeCell ref="G127:H127"/>
    <mergeCell ref="E134:F134"/>
    <mergeCell ref="G134:H13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DC6D-616F-4E7E-8CC1-5F2287930AD6}">
  <dimension ref="A13:O256"/>
  <sheetViews>
    <sheetView tabSelected="1" zoomScale="115" zoomScaleNormal="115" workbookViewId="0">
      <selection activeCell="I244" sqref="I244"/>
    </sheetView>
  </sheetViews>
  <sheetFormatPr baseColWidth="10" defaultRowHeight="14.4" x14ac:dyDescent="0.3"/>
  <cols>
    <col min="2" max="2" width="48.33203125" customWidth="1"/>
    <col min="3" max="3" width="19.109375" customWidth="1"/>
    <col min="4" max="4" width="15.5546875" customWidth="1"/>
    <col min="5" max="5" width="16.6640625" customWidth="1"/>
    <col min="6" max="6" width="15.109375" customWidth="1"/>
    <col min="7" max="7" width="27.33203125" customWidth="1"/>
    <col min="8" max="8" width="19.6640625" customWidth="1"/>
    <col min="9" max="9" width="22.44140625" customWidth="1"/>
    <col min="10" max="10" width="20.5546875" customWidth="1"/>
    <col min="12" max="12" width="12.77734375" customWidth="1"/>
    <col min="15" max="15" width="12.77734375" customWidth="1"/>
  </cols>
  <sheetData>
    <row r="13" spans="2:15" ht="23.4" x14ac:dyDescent="0.45">
      <c r="F13" s="549" t="s">
        <v>417</v>
      </c>
      <c r="G13" s="549"/>
      <c r="H13" s="549"/>
    </row>
    <row r="14" spans="2:15" ht="15" thickBot="1" x14ac:dyDescent="0.35"/>
    <row r="15" spans="2:15" ht="15" thickBot="1" x14ac:dyDescent="0.35">
      <c r="B15" s="294" t="s">
        <v>411</v>
      </c>
      <c r="C15" s="294" t="s">
        <v>412</v>
      </c>
      <c r="D15" s="294" t="s">
        <v>413</v>
      </c>
      <c r="G15" s="302"/>
      <c r="H15" s="302" t="s">
        <v>418</v>
      </c>
      <c r="I15" s="302" t="s">
        <v>412</v>
      </c>
      <c r="J15" s="302" t="s">
        <v>420</v>
      </c>
      <c r="L15" s="302"/>
      <c r="M15" s="302" t="s">
        <v>418</v>
      </c>
      <c r="N15" s="302" t="s">
        <v>412</v>
      </c>
      <c r="O15" s="302" t="s">
        <v>420</v>
      </c>
    </row>
    <row r="16" spans="2:15" ht="28.8" x14ac:dyDescent="0.3">
      <c r="B16" s="295" t="s">
        <v>414</v>
      </c>
      <c r="C16" s="296">
        <v>18800.224999999999</v>
      </c>
      <c r="D16" s="296">
        <v>19697.025000000001</v>
      </c>
      <c r="G16" s="301" t="s">
        <v>414</v>
      </c>
      <c r="H16" s="304">
        <f>C16+D16</f>
        <v>38497.25</v>
      </c>
      <c r="I16" s="304">
        <v>18800.224999999999</v>
      </c>
      <c r="J16" s="304">
        <v>19697.025000000001</v>
      </c>
      <c r="L16" s="303" t="s">
        <v>421</v>
      </c>
      <c r="M16" s="185">
        <f>(H17/H16)*100</f>
        <v>60.013702277435399</v>
      </c>
      <c r="N16" s="185">
        <f t="shared" ref="N16:O16" si="0">(I17/I16)*100</f>
        <v>67.449591693716442</v>
      </c>
      <c r="O16" s="185">
        <f t="shared" si="0"/>
        <v>52.916366811739337</v>
      </c>
    </row>
    <row r="17" spans="2:15" ht="28.8" x14ac:dyDescent="0.3">
      <c r="B17" s="295" t="s">
        <v>415</v>
      </c>
      <c r="C17" s="296">
        <v>12680.674999999999</v>
      </c>
      <c r="D17" s="296">
        <v>10422.950000000001</v>
      </c>
      <c r="G17" s="301" t="s">
        <v>415</v>
      </c>
      <c r="H17" s="304">
        <f t="shared" ref="H17:H18" si="1">C17+D17</f>
        <v>23103.625</v>
      </c>
      <c r="I17" s="304">
        <v>12680.674999999999</v>
      </c>
      <c r="J17" s="304">
        <v>10422.950000000001</v>
      </c>
      <c r="L17" s="303" t="s">
        <v>422</v>
      </c>
      <c r="M17" s="185">
        <f>H18/H16*100</f>
        <v>47.028294228808548</v>
      </c>
      <c r="N17" s="185">
        <f t="shared" ref="N17:O17" si="2">I18/I16*100</f>
        <v>53.144842681404079</v>
      </c>
      <c r="O17" s="185">
        <f t="shared" si="2"/>
        <v>41.190230504352812</v>
      </c>
    </row>
    <row r="18" spans="2:15" ht="15" thickBot="1" x14ac:dyDescent="0.35">
      <c r="B18" s="297" t="s">
        <v>416</v>
      </c>
      <c r="C18" s="298">
        <v>9991.35</v>
      </c>
      <c r="D18" s="298">
        <v>8113.25</v>
      </c>
      <c r="G18" s="301" t="s">
        <v>416</v>
      </c>
      <c r="H18" s="304">
        <f t="shared" si="1"/>
        <v>18104.599999999999</v>
      </c>
      <c r="I18" s="304">
        <v>9991.35</v>
      </c>
      <c r="J18" s="304">
        <v>8113.25</v>
      </c>
      <c r="L18" s="302" t="s">
        <v>423</v>
      </c>
      <c r="M18" s="185">
        <f>H19/H17*100</f>
        <v>21.637405385518512</v>
      </c>
      <c r="N18" s="185">
        <f>I19/I17*100</f>
        <v>21.208058719271641</v>
      </c>
      <c r="O18" s="185">
        <f>J19/J17*100</f>
        <v>22.159753236847539</v>
      </c>
    </row>
    <row r="19" spans="2:15" x14ac:dyDescent="0.3">
      <c r="G19" s="301" t="s">
        <v>419</v>
      </c>
      <c r="H19" s="304">
        <f>H17-H18</f>
        <v>4999.0250000000015</v>
      </c>
      <c r="I19" s="304">
        <f t="shared" ref="I19:J19" si="3">I17-I18</f>
        <v>2689.3249999999989</v>
      </c>
      <c r="J19" s="304">
        <f t="shared" si="3"/>
        <v>2309.7000000000007</v>
      </c>
    </row>
    <row r="21" spans="2:15" x14ac:dyDescent="0.3">
      <c r="L21" s="300" t="s">
        <v>424</v>
      </c>
      <c r="M21" s="299"/>
      <c r="N21" s="299"/>
      <c r="O21" s="299"/>
    </row>
    <row r="22" spans="2:15" x14ac:dyDescent="0.3">
      <c r="L22" s="299"/>
      <c r="M22" s="299"/>
      <c r="N22" s="299"/>
      <c r="O22" s="299"/>
    </row>
    <row r="23" spans="2:15" x14ac:dyDescent="0.3">
      <c r="L23" s="299"/>
      <c r="M23" s="299"/>
      <c r="N23" s="299"/>
      <c r="O23" s="299"/>
    </row>
    <row r="24" spans="2:15" x14ac:dyDescent="0.3">
      <c r="L24" s="299"/>
      <c r="M24" s="299"/>
      <c r="N24" s="299"/>
      <c r="O24" s="299"/>
    </row>
    <row r="25" spans="2:15" x14ac:dyDescent="0.3">
      <c r="L25" s="299"/>
      <c r="M25" s="299"/>
      <c r="N25" s="299"/>
      <c r="O25" s="299"/>
    </row>
    <row r="26" spans="2:15" x14ac:dyDescent="0.3">
      <c r="L26" s="299"/>
      <c r="M26" s="299"/>
      <c r="N26" s="299"/>
      <c r="O26" s="299"/>
    </row>
    <row r="27" spans="2:15" x14ac:dyDescent="0.3">
      <c r="L27" s="299"/>
      <c r="M27" s="299"/>
      <c r="N27" s="299"/>
      <c r="O27" s="299"/>
    </row>
    <row r="28" spans="2:15" x14ac:dyDescent="0.3">
      <c r="L28" s="299"/>
      <c r="M28" s="299"/>
      <c r="N28" s="299"/>
      <c r="O28" s="299"/>
    </row>
    <row r="29" spans="2:15" x14ac:dyDescent="0.3">
      <c r="L29" s="299"/>
      <c r="M29" s="299"/>
      <c r="N29" s="299"/>
      <c r="O29" s="299"/>
    </row>
    <row r="33" spans="5:13" x14ac:dyDescent="0.3">
      <c r="E33" s="535" t="s">
        <v>426</v>
      </c>
      <c r="F33" s="535"/>
      <c r="G33" s="535"/>
      <c r="H33" s="535"/>
      <c r="J33" s="535" t="s">
        <v>427</v>
      </c>
      <c r="K33" s="535"/>
      <c r="L33" s="535"/>
      <c r="M33" s="535"/>
    </row>
    <row r="34" spans="5:13" x14ac:dyDescent="0.3">
      <c r="E34" s="535"/>
      <c r="F34" s="535"/>
      <c r="G34" s="535"/>
      <c r="H34" s="535"/>
      <c r="J34" s="535"/>
      <c r="K34" s="535"/>
      <c r="L34" s="535"/>
      <c r="M34" s="535"/>
    </row>
    <row r="35" spans="5:13" x14ac:dyDescent="0.3">
      <c r="E35" s="535"/>
      <c r="F35" s="535"/>
      <c r="G35" s="535"/>
      <c r="H35" s="535"/>
      <c r="J35" s="535"/>
      <c r="K35" s="535"/>
      <c r="L35" s="535"/>
      <c r="M35" s="535"/>
    </row>
    <row r="36" spans="5:13" ht="14.4" customHeight="1" x14ac:dyDescent="0.3"/>
    <row r="38" spans="5:13" x14ac:dyDescent="0.3">
      <c r="E38" s="535" t="s">
        <v>428</v>
      </c>
      <c r="F38" s="535"/>
      <c r="G38" s="535"/>
      <c r="H38" s="535"/>
      <c r="I38" s="535"/>
      <c r="J38" s="535"/>
      <c r="K38" s="535"/>
      <c r="L38" s="535"/>
    </row>
    <row r="39" spans="5:13" x14ac:dyDescent="0.3">
      <c r="E39" s="535"/>
      <c r="F39" s="535"/>
      <c r="G39" s="535"/>
      <c r="H39" s="535"/>
      <c r="I39" s="535"/>
      <c r="J39" s="535"/>
      <c r="K39" s="535"/>
      <c r="L39" s="535"/>
    </row>
    <row r="40" spans="5:13" x14ac:dyDescent="0.3">
      <c r="E40" s="535"/>
      <c r="F40" s="535"/>
      <c r="G40" s="535"/>
      <c r="H40" s="535"/>
      <c r="I40" s="535"/>
      <c r="J40" s="535"/>
      <c r="K40" s="535"/>
      <c r="L40" s="535"/>
    </row>
    <row r="42" spans="5:13" ht="15" customHeight="1" x14ac:dyDescent="0.3"/>
    <row r="43" spans="5:13" ht="21.6" customHeight="1" x14ac:dyDescent="0.45">
      <c r="E43" s="549" t="s">
        <v>425</v>
      </c>
      <c r="F43" s="549"/>
      <c r="G43" s="549"/>
    </row>
    <row r="51" spans="3:14" x14ac:dyDescent="0.3">
      <c r="C51" t="s">
        <v>430</v>
      </c>
      <c r="E51" t="s">
        <v>334</v>
      </c>
      <c r="F51" s="59" t="s">
        <v>429</v>
      </c>
      <c r="G51" s="59"/>
      <c r="H51" s="59" t="s">
        <v>431</v>
      </c>
      <c r="I51" s="59"/>
      <c r="J51" s="59"/>
      <c r="K51" s="59"/>
      <c r="L51" s="59"/>
    </row>
    <row r="52" spans="3:14" x14ac:dyDescent="0.3">
      <c r="F52" s="371"/>
      <c r="G52" s="371"/>
      <c r="H52" s="371"/>
      <c r="I52" s="371"/>
      <c r="J52" s="371"/>
      <c r="K52" s="371"/>
      <c r="L52" s="371"/>
      <c r="N52" s="305" t="s">
        <v>432</v>
      </c>
    </row>
    <row r="53" spans="3:14" x14ac:dyDescent="0.3">
      <c r="F53" s="59" t="s">
        <v>433</v>
      </c>
      <c r="G53" s="59"/>
      <c r="H53" s="59" t="s">
        <v>436</v>
      </c>
      <c r="I53" s="59"/>
      <c r="J53" s="59"/>
      <c r="K53" s="59"/>
      <c r="L53" s="59"/>
    </row>
    <row r="54" spans="3:14" x14ac:dyDescent="0.3">
      <c r="F54" s="371"/>
      <c r="G54" s="371"/>
      <c r="H54" s="371"/>
      <c r="I54" s="371"/>
      <c r="J54" s="371"/>
      <c r="K54" s="371"/>
      <c r="L54" s="371"/>
    </row>
    <row r="55" spans="3:14" x14ac:dyDescent="0.3">
      <c r="F55" s="59" t="s">
        <v>434</v>
      </c>
      <c r="G55" s="59"/>
      <c r="H55" s="59" t="s">
        <v>435</v>
      </c>
      <c r="I55" s="59"/>
      <c r="J55" s="59"/>
      <c r="K55" s="59"/>
      <c r="L55" s="59"/>
    </row>
    <row r="76" spans="2:11" ht="23.4" x14ac:dyDescent="0.45">
      <c r="H76" s="549" t="s">
        <v>417</v>
      </c>
      <c r="I76" s="549"/>
      <c r="J76" s="549"/>
    </row>
    <row r="77" spans="2:11" ht="27.6" x14ac:dyDescent="0.3">
      <c r="B77" s="374" t="s">
        <v>474</v>
      </c>
      <c r="C77" s="374" t="s">
        <v>475</v>
      </c>
      <c r="D77" s="374" t="s">
        <v>476</v>
      </c>
      <c r="E77" s="374" t="s">
        <v>477</v>
      </c>
      <c r="F77" s="375" t="s">
        <v>480</v>
      </c>
      <c r="H77" s="375" t="s">
        <v>474</v>
      </c>
      <c r="I77" s="375" t="s">
        <v>478</v>
      </c>
      <c r="J77" s="375" t="s">
        <v>479</v>
      </c>
      <c r="K77" s="375" t="s">
        <v>422</v>
      </c>
    </row>
    <row r="78" spans="2:11" x14ac:dyDescent="0.3">
      <c r="B78" s="372">
        <v>1986</v>
      </c>
      <c r="C78" s="373">
        <v>28907.5</v>
      </c>
      <c r="D78" s="373">
        <v>14183.9</v>
      </c>
      <c r="E78" s="373">
        <v>11208.8</v>
      </c>
      <c r="F78" s="377">
        <f>D78-E78</f>
        <v>2975.1000000000004</v>
      </c>
      <c r="H78" s="376">
        <v>1986</v>
      </c>
      <c r="I78" s="144">
        <f>D78/C78*100</f>
        <v>49.066505232206175</v>
      </c>
      <c r="J78" s="378">
        <f>F78/D78</f>
        <v>0.20975190180415826</v>
      </c>
      <c r="K78" s="144">
        <f>E78/C78</f>
        <v>0.38774712444867249</v>
      </c>
    </row>
    <row r="79" spans="2:11" x14ac:dyDescent="0.3">
      <c r="B79" s="372">
        <v>1995</v>
      </c>
      <c r="C79" s="373">
        <v>31847.3</v>
      </c>
      <c r="D79" s="373">
        <v>16227.6</v>
      </c>
      <c r="E79" s="373">
        <v>12512.1</v>
      </c>
      <c r="F79" s="377">
        <f t="shared" ref="F79:F81" si="4">D79-E79</f>
        <v>3715.5</v>
      </c>
      <c r="H79" s="376">
        <v>1995</v>
      </c>
      <c r="I79" s="144">
        <f t="shared" ref="I79:I81" si="5">D79/C79*100</f>
        <v>50.954398018042347</v>
      </c>
      <c r="J79" s="378">
        <f t="shared" ref="J79:J81" si="6">F79/D79</f>
        <v>0.22896176883827551</v>
      </c>
      <c r="K79" s="144">
        <f t="shared" ref="K79:K81" si="7">E79/C79</f>
        <v>0.3928778891774185</v>
      </c>
    </row>
    <row r="80" spans="2:11" x14ac:dyDescent="0.3">
      <c r="B80" s="372">
        <v>2007</v>
      </c>
      <c r="C80" s="373">
        <v>37662.9</v>
      </c>
      <c r="D80" s="373">
        <v>22189.9</v>
      </c>
      <c r="E80" s="373">
        <v>20356</v>
      </c>
      <c r="F80" s="377">
        <f t="shared" si="4"/>
        <v>1833.9000000000015</v>
      </c>
      <c r="H80" s="376">
        <v>2007</v>
      </c>
      <c r="I80" s="144">
        <f t="shared" si="5"/>
        <v>58.917130651118214</v>
      </c>
      <c r="J80" s="378">
        <f t="shared" si="6"/>
        <v>8.2645708182551583E-2</v>
      </c>
      <c r="K80" s="144">
        <f t="shared" si="7"/>
        <v>0.54047882664372626</v>
      </c>
    </row>
    <row r="81" spans="2:11" x14ac:dyDescent="0.3">
      <c r="B81" s="372">
        <v>2011</v>
      </c>
      <c r="C81" s="373">
        <v>38497.300000000003</v>
      </c>
      <c r="D81" s="373">
        <v>23103.599999999999</v>
      </c>
      <c r="E81" s="373">
        <v>18104.599999999999</v>
      </c>
      <c r="F81" s="377">
        <f t="shared" si="4"/>
        <v>4999</v>
      </c>
      <c r="H81" s="376">
        <v>2011</v>
      </c>
      <c r="I81" s="144">
        <f t="shared" si="5"/>
        <v>60.013559392476864</v>
      </c>
      <c r="J81" s="378">
        <f t="shared" si="6"/>
        <v>0.21637320590730449</v>
      </c>
      <c r="K81" s="144">
        <f t="shared" si="7"/>
        <v>0.47028233148818221</v>
      </c>
    </row>
    <row r="86" spans="2:11" ht="23.4" x14ac:dyDescent="0.45">
      <c r="H86" s="549"/>
      <c r="I86" s="549"/>
      <c r="J86" s="549"/>
    </row>
    <row r="103" spans="2:15" ht="24" thickBot="1" x14ac:dyDescent="0.5">
      <c r="I103" s="549" t="s">
        <v>425</v>
      </c>
      <c r="J103" s="549"/>
      <c r="K103" s="549"/>
    </row>
    <row r="104" spans="2:15" ht="33" customHeight="1" thickBot="1" x14ac:dyDescent="0.35">
      <c r="B104" s="315"/>
      <c r="C104" s="316"/>
      <c r="D104" s="380">
        <v>2014</v>
      </c>
      <c r="E104" s="380">
        <v>2015</v>
      </c>
      <c r="K104" s="383">
        <v>2014</v>
      </c>
      <c r="L104" s="383">
        <v>2015</v>
      </c>
    </row>
    <row r="105" spans="2:15" ht="33" customHeight="1" thickBot="1" x14ac:dyDescent="0.35">
      <c r="B105" s="550" t="s">
        <v>481</v>
      </c>
      <c r="C105" s="379" t="s">
        <v>482</v>
      </c>
      <c r="D105" s="381">
        <v>18774</v>
      </c>
      <c r="E105" s="381">
        <v>18753</v>
      </c>
      <c r="I105" s="552" t="s">
        <v>478</v>
      </c>
      <c r="J105" s="382" t="s">
        <v>482</v>
      </c>
      <c r="K105" s="144">
        <f>D107/D105*100</f>
        <v>65.830403749866832</v>
      </c>
      <c r="L105" s="144">
        <f>E107/E105*100</f>
        <v>65.696155281821575</v>
      </c>
    </row>
    <row r="106" spans="2:15" ht="33" customHeight="1" thickBot="1" x14ac:dyDescent="0.35">
      <c r="B106" s="551"/>
      <c r="C106" s="379" t="s">
        <v>413</v>
      </c>
      <c r="D106" s="381">
        <v>19740</v>
      </c>
      <c r="E106" s="381">
        <v>19744</v>
      </c>
      <c r="I106" s="552"/>
      <c r="J106" s="382" t="s">
        <v>413</v>
      </c>
      <c r="K106" s="144">
        <f>D108/D106*100</f>
        <v>53.672745694022296</v>
      </c>
      <c r="L106" s="144">
        <f>E108/E106*100</f>
        <v>53.697325769854132</v>
      </c>
    </row>
    <row r="107" spans="2:15" ht="33" customHeight="1" thickBot="1" x14ac:dyDescent="0.35">
      <c r="B107" s="550" t="s">
        <v>483</v>
      </c>
      <c r="C107" s="379" t="s">
        <v>482</v>
      </c>
      <c r="D107" s="381">
        <v>12359</v>
      </c>
      <c r="E107" s="381">
        <v>12320</v>
      </c>
    </row>
    <row r="108" spans="2:15" ht="33" customHeight="1" thickBot="1" x14ac:dyDescent="0.5">
      <c r="B108" s="551"/>
      <c r="C108" s="379" t="s">
        <v>413</v>
      </c>
      <c r="D108" s="381">
        <v>10595</v>
      </c>
      <c r="E108" s="381">
        <v>10602</v>
      </c>
      <c r="I108" s="553" t="s">
        <v>487</v>
      </c>
      <c r="J108" s="553"/>
      <c r="K108" s="553"/>
      <c r="L108" s="553"/>
      <c r="M108" s="553"/>
      <c r="N108" s="553"/>
      <c r="O108" s="553"/>
    </row>
    <row r="109" spans="2:15" ht="33" customHeight="1" thickBot="1" x14ac:dyDescent="0.55000000000000004">
      <c r="B109" s="550" t="s">
        <v>484</v>
      </c>
      <c r="C109" s="379" t="s">
        <v>482</v>
      </c>
      <c r="D109" s="381">
        <v>9443</v>
      </c>
      <c r="E109" s="381">
        <v>9760</v>
      </c>
      <c r="I109" s="554" t="s">
        <v>485</v>
      </c>
      <c r="J109" s="554"/>
      <c r="K109" s="554"/>
      <c r="L109" s="554"/>
      <c r="M109" s="554"/>
      <c r="N109" s="554"/>
      <c r="O109" s="554"/>
    </row>
    <row r="110" spans="2:15" ht="33" customHeight="1" thickBot="1" x14ac:dyDescent="0.55000000000000004">
      <c r="B110" s="551"/>
      <c r="C110" s="379" t="s">
        <v>413</v>
      </c>
      <c r="D110" s="381">
        <v>7902</v>
      </c>
      <c r="E110" s="381">
        <v>8106</v>
      </c>
      <c r="I110" s="556" t="s">
        <v>490</v>
      </c>
      <c r="J110" s="556"/>
      <c r="K110" s="556"/>
      <c r="L110" s="556"/>
      <c r="M110" s="556"/>
      <c r="N110" s="556"/>
      <c r="O110" s="556"/>
    </row>
    <row r="111" spans="2:15" ht="25.8" x14ac:dyDescent="0.5">
      <c r="I111" s="554" t="s">
        <v>491</v>
      </c>
      <c r="J111" s="554"/>
      <c r="K111" s="554"/>
      <c r="L111" s="554"/>
      <c r="M111" s="554"/>
      <c r="N111" s="554"/>
      <c r="O111" s="554"/>
    </row>
    <row r="112" spans="2:15" ht="25.8" x14ac:dyDescent="0.5">
      <c r="C112" s="555" t="s">
        <v>486</v>
      </c>
      <c r="D112" s="555"/>
      <c r="E112" s="385">
        <f>E109+E110</f>
        <v>17866</v>
      </c>
      <c r="I112" s="557" t="s">
        <v>492</v>
      </c>
      <c r="J112" s="558"/>
      <c r="K112" s="558"/>
      <c r="L112" s="558"/>
      <c r="M112" s="558"/>
      <c r="N112" s="558"/>
      <c r="O112" s="559"/>
    </row>
    <row r="113" spans="3:15" ht="22.8" customHeight="1" x14ac:dyDescent="0.3">
      <c r="C113" s="555" t="s">
        <v>489</v>
      </c>
      <c r="D113" s="555"/>
      <c r="E113" s="385">
        <f>E105+E106</f>
        <v>38497</v>
      </c>
      <c r="I113" s="560">
        <f>3573.2/0.8</f>
        <v>4466.4999999999991</v>
      </c>
      <c r="J113" s="560"/>
      <c r="K113" s="560"/>
      <c r="L113" s="560"/>
      <c r="M113" s="560"/>
      <c r="N113" s="560"/>
      <c r="O113" s="560"/>
    </row>
    <row r="114" spans="3:15" ht="21" x14ac:dyDescent="0.4">
      <c r="I114" s="562" t="s">
        <v>493</v>
      </c>
      <c r="J114" s="562"/>
      <c r="K114" s="562"/>
      <c r="L114" s="562"/>
      <c r="M114" s="562"/>
      <c r="N114" s="562"/>
      <c r="O114" s="562"/>
    </row>
    <row r="115" spans="3:15" ht="23.4" x14ac:dyDescent="0.45">
      <c r="I115" s="384" t="s">
        <v>494</v>
      </c>
      <c r="J115" s="384"/>
      <c r="K115" s="384"/>
      <c r="L115" s="384"/>
      <c r="M115" s="384"/>
      <c r="N115" s="384"/>
      <c r="O115" s="384"/>
    </row>
    <row r="116" spans="3:15" ht="23.4" x14ac:dyDescent="0.45">
      <c r="I116" s="384">
        <f>22332.5/E113*100</f>
        <v>58.011013845234693</v>
      </c>
      <c r="J116" s="384"/>
      <c r="K116" s="384"/>
      <c r="L116" s="384"/>
      <c r="M116" s="384"/>
      <c r="N116" s="384"/>
      <c r="O116" s="384"/>
    </row>
    <row r="137" spans="2:11" ht="23.4" x14ac:dyDescent="0.45">
      <c r="I137" s="549" t="s">
        <v>417</v>
      </c>
      <c r="J137" s="549"/>
      <c r="K137" s="549"/>
    </row>
    <row r="138" spans="2:11" ht="15" thickBot="1" x14ac:dyDescent="0.35"/>
    <row r="139" spans="2:11" ht="29.4" thickBot="1" x14ac:dyDescent="0.35">
      <c r="B139" s="317" t="s">
        <v>495</v>
      </c>
      <c r="C139" s="294" t="s">
        <v>475</v>
      </c>
      <c r="D139" s="294" t="s">
        <v>476</v>
      </c>
      <c r="E139" s="294" t="s">
        <v>477</v>
      </c>
      <c r="I139" s="387" t="s">
        <v>480</v>
      </c>
      <c r="J139" s="387" t="s">
        <v>496</v>
      </c>
      <c r="K139" s="387" t="s">
        <v>421</v>
      </c>
    </row>
    <row r="140" spans="2:11" x14ac:dyDescent="0.3">
      <c r="B140" s="318">
        <v>2001</v>
      </c>
      <c r="C140" s="296">
        <v>34067.15</v>
      </c>
      <c r="D140" s="296">
        <v>18050.7</v>
      </c>
      <c r="E140" s="296">
        <v>16146.27</v>
      </c>
      <c r="H140" s="388">
        <v>2001</v>
      </c>
      <c r="I140" s="389">
        <f>D140-E140</f>
        <v>1904.4300000000003</v>
      </c>
      <c r="J140" s="390"/>
      <c r="K140" s="391">
        <f>D140/C140*100</f>
        <v>52.985647463905849</v>
      </c>
    </row>
    <row r="141" spans="2:11" ht="15" thickBot="1" x14ac:dyDescent="0.35">
      <c r="B141" s="319">
        <v>2011</v>
      </c>
      <c r="C141" s="298">
        <v>38497.300000000003</v>
      </c>
      <c r="D141" s="298">
        <v>23103.58</v>
      </c>
      <c r="E141" s="298">
        <v>18104.62</v>
      </c>
      <c r="H141" s="388">
        <v>2011</v>
      </c>
      <c r="I141" s="389">
        <f>D141-E141</f>
        <v>4998.9600000000028</v>
      </c>
      <c r="J141" s="391">
        <f>(POWER(I141/I140,1/10)-1)*100</f>
        <v>10.131477268444966</v>
      </c>
      <c r="K141" s="391">
        <f>D141/C141*100</f>
        <v>60.013507440781567</v>
      </c>
    </row>
    <row r="143" spans="2:11" ht="23.4" x14ac:dyDescent="0.45">
      <c r="I143" s="549" t="s">
        <v>425</v>
      </c>
      <c r="J143" s="549"/>
      <c r="K143" s="549"/>
    </row>
    <row r="145" spans="2:11" ht="43.2" x14ac:dyDescent="0.3">
      <c r="I145" s="387" t="s">
        <v>421</v>
      </c>
      <c r="J145" s="387" t="s">
        <v>497</v>
      </c>
      <c r="K145" s="387" t="s">
        <v>498</v>
      </c>
    </row>
    <row r="146" spans="2:11" x14ac:dyDescent="0.3">
      <c r="H146" s="388">
        <v>2011</v>
      </c>
      <c r="I146" s="389">
        <f>D140/C140</f>
        <v>0.52985647463905849</v>
      </c>
      <c r="J146" s="390">
        <f>I146*C141</f>
        <v>20398.043661122229</v>
      </c>
      <c r="K146" s="391">
        <f>J146-E141</f>
        <v>2293.4236611222295</v>
      </c>
    </row>
    <row r="148" spans="2:11" x14ac:dyDescent="0.3">
      <c r="H148" s="259" t="s">
        <v>423</v>
      </c>
      <c r="I148" s="259">
        <f>K146/J146*100</f>
        <v>11.243351074365009</v>
      </c>
    </row>
    <row r="149" spans="2:11" x14ac:dyDescent="0.3">
      <c r="I149" s="53"/>
    </row>
    <row r="160" spans="2:11" ht="28.8" x14ac:dyDescent="0.3">
      <c r="B160" s="387" t="s">
        <v>421</v>
      </c>
      <c r="C160" s="387" t="s">
        <v>423</v>
      </c>
      <c r="D160" s="387" t="s">
        <v>499</v>
      </c>
      <c r="F160" s="387" t="s">
        <v>500</v>
      </c>
      <c r="G160" s="387" t="s">
        <v>488</v>
      </c>
      <c r="H160" s="387" t="s">
        <v>486</v>
      </c>
    </row>
    <row r="161" spans="1:8" x14ac:dyDescent="0.3">
      <c r="A161" s="388">
        <v>2011</v>
      </c>
      <c r="B161" s="389">
        <f>59.94</f>
        <v>59.94</v>
      </c>
      <c r="C161" s="390">
        <f>22.85</f>
        <v>22.85</v>
      </c>
      <c r="D161" s="391">
        <f>38508200</f>
        <v>38508200</v>
      </c>
      <c r="F161" s="391">
        <f>B161*D161/100</f>
        <v>23081815.079999998</v>
      </c>
      <c r="G161" s="391">
        <f>C161*F161/100</f>
        <v>5274194.7457800005</v>
      </c>
      <c r="H161" s="391">
        <f>F161-G161</f>
        <v>17807620.33422</v>
      </c>
    </row>
    <row r="171" spans="1:8" ht="28.8" x14ac:dyDescent="0.3">
      <c r="B171" s="387" t="s">
        <v>421</v>
      </c>
      <c r="C171" s="387" t="s">
        <v>422</v>
      </c>
      <c r="E171" s="387" t="s">
        <v>423</v>
      </c>
    </row>
    <row r="172" spans="1:8" x14ac:dyDescent="0.3">
      <c r="A172" s="388">
        <v>2011</v>
      </c>
      <c r="B172" s="389">
        <f>74.75</f>
        <v>74.75</v>
      </c>
      <c r="C172" s="390">
        <f>57.56</f>
        <v>57.56</v>
      </c>
      <c r="E172" s="390"/>
    </row>
    <row r="174" spans="1:8" x14ac:dyDescent="0.3">
      <c r="B174" t="s">
        <v>501</v>
      </c>
    </row>
    <row r="175" spans="1:8" x14ac:dyDescent="0.3">
      <c r="B175" t="s">
        <v>502</v>
      </c>
    </row>
    <row r="177" spans="2:3" x14ac:dyDescent="0.3">
      <c r="B177" s="392" t="s">
        <v>510</v>
      </c>
      <c r="C177" s="392" t="s">
        <v>503</v>
      </c>
    </row>
    <row r="179" spans="2:3" x14ac:dyDescent="0.3">
      <c r="B179" t="s">
        <v>504</v>
      </c>
    </row>
    <row r="181" spans="2:3" x14ac:dyDescent="0.3">
      <c r="B181" s="392" t="s">
        <v>505</v>
      </c>
      <c r="C181" s="392" t="s">
        <v>506</v>
      </c>
    </row>
    <row r="184" spans="2:3" x14ac:dyDescent="0.3">
      <c r="B184" t="s">
        <v>507</v>
      </c>
    </row>
    <row r="185" spans="2:3" x14ac:dyDescent="0.3">
      <c r="B185" t="s">
        <v>508</v>
      </c>
      <c r="C185" s="309" t="s">
        <v>509</v>
      </c>
    </row>
    <row r="204" spans="2:6" ht="15" thickBot="1" x14ac:dyDescent="0.35"/>
    <row r="205" spans="2:6" ht="15" thickBot="1" x14ac:dyDescent="0.35">
      <c r="B205" s="321" t="s">
        <v>511</v>
      </c>
      <c r="C205" s="563">
        <v>2006</v>
      </c>
      <c r="D205" s="563"/>
      <c r="E205" s="563" t="s">
        <v>106</v>
      </c>
      <c r="F205" s="563"/>
    </row>
    <row r="206" spans="2:6" ht="15" thickBot="1" x14ac:dyDescent="0.35">
      <c r="B206" s="320" t="s">
        <v>446</v>
      </c>
      <c r="C206" s="322" t="s">
        <v>512</v>
      </c>
      <c r="D206" s="323" t="s">
        <v>513</v>
      </c>
      <c r="E206" s="322" t="s">
        <v>512</v>
      </c>
      <c r="F206" s="322" t="s">
        <v>513</v>
      </c>
    </row>
    <row r="207" spans="2:6" x14ac:dyDescent="0.3">
      <c r="B207" s="324" t="s">
        <v>514</v>
      </c>
      <c r="C207" s="325">
        <v>9840</v>
      </c>
      <c r="D207" s="325">
        <v>325313</v>
      </c>
      <c r="E207" s="325">
        <v>-30150</v>
      </c>
      <c r="F207" s="325">
        <v>828352</v>
      </c>
    </row>
    <row r="208" spans="2:6" x14ac:dyDescent="0.3">
      <c r="B208" s="314" t="s">
        <v>515</v>
      </c>
      <c r="C208" s="326">
        <v>-382</v>
      </c>
      <c r="D208" s="327">
        <v>58239</v>
      </c>
      <c r="E208" s="327">
        <v>-9341</v>
      </c>
      <c r="F208" s="327">
        <v>236654</v>
      </c>
    </row>
    <row r="209" spans="2:9" x14ac:dyDescent="0.3">
      <c r="B209" s="314" t="s">
        <v>516</v>
      </c>
      <c r="C209" s="326">
        <v>767</v>
      </c>
      <c r="D209" s="327">
        <v>27570</v>
      </c>
      <c r="E209" s="327">
        <v>6847</v>
      </c>
      <c r="F209" s="327">
        <v>27542</v>
      </c>
    </row>
    <row r="210" spans="2:9" ht="15" thickBot="1" x14ac:dyDescent="0.35">
      <c r="B210" s="328" t="s">
        <v>517</v>
      </c>
      <c r="C210" s="329">
        <v>13124</v>
      </c>
      <c r="D210" s="329">
        <v>18169</v>
      </c>
      <c r="E210" s="329">
        <v>-17757</v>
      </c>
      <c r="F210" s="329">
        <v>14672</v>
      </c>
    </row>
    <row r="211" spans="2:9" ht="15" thickBot="1" x14ac:dyDescent="0.35">
      <c r="B211" s="328" t="s">
        <v>518</v>
      </c>
      <c r="C211" s="329">
        <v>23349</v>
      </c>
      <c r="D211" s="329">
        <v>429291</v>
      </c>
      <c r="E211" s="329">
        <v>-50401</v>
      </c>
      <c r="F211" s="329">
        <v>1107220</v>
      </c>
    </row>
    <row r="212" spans="2:9" ht="15" thickBot="1" x14ac:dyDescent="0.35">
      <c r="B212" s="328" t="s">
        <v>519</v>
      </c>
      <c r="C212" s="561">
        <v>985547</v>
      </c>
      <c r="D212" s="561"/>
      <c r="E212" s="561">
        <v>1118522</v>
      </c>
      <c r="F212" s="561"/>
    </row>
    <row r="214" spans="2:9" x14ac:dyDescent="0.3">
      <c r="F214" s="404"/>
      <c r="G214" s="404"/>
    </row>
    <row r="215" spans="2:9" ht="23.4" x14ac:dyDescent="0.45">
      <c r="B215" s="549" t="s">
        <v>417</v>
      </c>
      <c r="C215" s="549"/>
      <c r="D215" s="549"/>
      <c r="F215" s="404"/>
      <c r="G215" s="404"/>
    </row>
    <row r="216" spans="2:9" x14ac:dyDescent="0.3">
      <c r="B216" s="386"/>
      <c r="C216" s="386">
        <v>2006</v>
      </c>
      <c r="D216" s="386">
        <v>2016</v>
      </c>
      <c r="E216" s="386" t="s">
        <v>520</v>
      </c>
    </row>
    <row r="217" spans="2:9" x14ac:dyDescent="0.3">
      <c r="B217" s="393" t="s">
        <v>514</v>
      </c>
      <c r="C217" s="144">
        <f>D207/$C$212*100</f>
        <v>33.008369971193666</v>
      </c>
      <c r="D217" s="144">
        <f>F207/$E$212*100</f>
        <v>74.057729754086196</v>
      </c>
      <c r="E217" s="144">
        <f>D217-C217</f>
        <v>41.04935978289253</v>
      </c>
    </row>
    <row r="218" spans="2:9" x14ac:dyDescent="0.3">
      <c r="B218" s="393" t="s">
        <v>515</v>
      </c>
      <c r="C218" s="144">
        <f t="shared" ref="C218:C221" si="8">D208/$C$212*100</f>
        <v>5.9093072172103414</v>
      </c>
      <c r="D218" s="144">
        <f t="shared" ref="D218:D221" si="9">F208/$E$212*100</f>
        <v>21.157742091796138</v>
      </c>
      <c r="E218" s="144">
        <f t="shared" ref="E218:E221" si="10">D218-C218</f>
        <v>15.248434874585797</v>
      </c>
    </row>
    <row r="219" spans="2:9" x14ac:dyDescent="0.3">
      <c r="B219" s="393" t="s">
        <v>516</v>
      </c>
      <c r="C219" s="144">
        <f t="shared" si="8"/>
        <v>2.7974312742061009</v>
      </c>
      <c r="D219" s="144">
        <f t="shared" si="9"/>
        <v>2.4623565741219213</v>
      </c>
      <c r="E219" s="144">
        <f t="shared" si="10"/>
        <v>-0.33507470008417961</v>
      </c>
    </row>
    <row r="220" spans="2:9" x14ac:dyDescent="0.3">
      <c r="B220" s="393" t="s">
        <v>517</v>
      </c>
      <c r="C220" s="144">
        <f t="shared" si="8"/>
        <v>1.8435447523050652</v>
      </c>
      <c r="D220" s="144">
        <f t="shared" si="9"/>
        <v>1.3117310164663725</v>
      </c>
      <c r="E220" s="144">
        <f t="shared" si="10"/>
        <v>-0.53181373583869274</v>
      </c>
    </row>
    <row r="221" spans="2:9" x14ac:dyDescent="0.3">
      <c r="B221" s="393" t="s">
        <v>518</v>
      </c>
      <c r="C221" s="144">
        <f t="shared" si="8"/>
        <v>43.558653214915168</v>
      </c>
      <c r="D221" s="144">
        <f t="shared" si="9"/>
        <v>98.989559436470628</v>
      </c>
      <c r="E221" s="144">
        <f t="shared" si="10"/>
        <v>55.43090622155546</v>
      </c>
    </row>
    <row r="223" spans="2:9" x14ac:dyDescent="0.3">
      <c r="H223" s="404"/>
      <c r="I223" s="404"/>
    </row>
    <row r="224" spans="2:9" ht="23.4" x14ac:dyDescent="0.45">
      <c r="B224" s="549" t="s">
        <v>425</v>
      </c>
      <c r="C224" s="549"/>
      <c r="D224" s="549"/>
      <c r="G224" s="395" t="s">
        <v>523</v>
      </c>
      <c r="H224" s="405"/>
      <c r="I224" s="405"/>
    </row>
    <row r="226" spans="2:10" x14ac:dyDescent="0.3">
      <c r="B226" s="386"/>
      <c r="C226" s="386" t="s">
        <v>521</v>
      </c>
      <c r="D226" s="386" t="s">
        <v>522</v>
      </c>
      <c r="E226" s="386" t="s">
        <v>462</v>
      </c>
      <c r="G226" s="386"/>
      <c r="H226" s="386">
        <v>2006</v>
      </c>
      <c r="I226" s="386">
        <v>2016</v>
      </c>
    </row>
    <row r="227" spans="2:10" x14ac:dyDescent="0.3">
      <c r="B227" s="393" t="s">
        <v>514</v>
      </c>
      <c r="C227" s="144">
        <f>D207/$D$211</f>
        <v>0.75779133501517615</v>
      </c>
      <c r="D227" s="144">
        <f>(F207-D207)/D207*100</f>
        <v>154.63230796187057</v>
      </c>
      <c r="E227" s="144">
        <f>C227*D227</f>
        <v>117.17902308690375</v>
      </c>
      <c r="G227" s="393" t="s">
        <v>514</v>
      </c>
      <c r="H227" s="144">
        <f>C207/$C$212*100</f>
        <v>0.99843031331839061</v>
      </c>
      <c r="I227" s="144">
        <f>E207/$E$212*100</f>
        <v>-2.6955214112909713</v>
      </c>
    </row>
    <row r="228" spans="2:10" x14ac:dyDescent="0.3">
      <c r="B228" s="393" t="s">
        <v>515</v>
      </c>
      <c r="C228" s="144">
        <f t="shared" ref="C228:C231" si="11">D208/$D$211</f>
        <v>0.13566322145118345</v>
      </c>
      <c r="D228" s="144">
        <f t="shared" ref="D228:D230" si="12">(F208-D208)/D208*100</f>
        <v>306.34969693847768</v>
      </c>
      <c r="E228" s="144">
        <f t="shared" ref="E228:E231" si="13">C228*D228</f>
        <v>41.560386777267631</v>
      </c>
      <c r="G228" s="393" t="s">
        <v>515</v>
      </c>
      <c r="H228" s="144">
        <f t="shared" ref="H228:H231" si="14">C208/$C$212*100</f>
        <v>-3.8760201187766789E-2</v>
      </c>
      <c r="I228" s="144">
        <f t="shared" ref="I228:I231" si="15">E208/$E$212*100</f>
        <v>-0.83511991717641676</v>
      </c>
    </row>
    <row r="229" spans="2:10" x14ac:dyDescent="0.3">
      <c r="B229" s="393" t="s">
        <v>516</v>
      </c>
      <c r="C229" s="144">
        <f t="shared" si="11"/>
        <v>6.4222170974933088E-2</v>
      </c>
      <c r="D229" s="144">
        <f t="shared" si="12"/>
        <v>-0.10155966630395358</v>
      </c>
      <c r="E229" s="144">
        <f t="shared" si="13"/>
        <v>-6.5223822535296575E-3</v>
      </c>
      <c r="G229" s="393" t="s">
        <v>516</v>
      </c>
      <c r="H229" s="144">
        <f t="shared" si="14"/>
        <v>7.782480186130139E-2</v>
      </c>
      <c r="I229" s="144">
        <f t="shared" si="15"/>
        <v>0.61214710126398941</v>
      </c>
    </row>
    <row r="230" spans="2:10" x14ac:dyDescent="0.3">
      <c r="B230" s="393" t="s">
        <v>517</v>
      </c>
      <c r="C230" s="144">
        <f t="shared" si="11"/>
        <v>4.2323272558707263E-2</v>
      </c>
      <c r="D230" s="144">
        <f t="shared" si="12"/>
        <v>-19.247069183774563</v>
      </c>
      <c r="E230" s="144">
        <f t="shared" si="13"/>
        <v>-0.81459895502118618</v>
      </c>
      <c r="G230" s="393" t="s">
        <v>517</v>
      </c>
      <c r="H230" s="144">
        <f t="shared" si="14"/>
        <v>1.3316462837388778</v>
      </c>
      <c r="I230" s="144">
        <f t="shared" si="15"/>
        <v>-1.5875414162618169</v>
      </c>
    </row>
    <row r="231" spans="2:10" x14ac:dyDescent="0.3">
      <c r="B231" s="393" t="s">
        <v>518</v>
      </c>
      <c r="C231" s="144">
        <f t="shared" si="11"/>
        <v>1</v>
      </c>
      <c r="D231" s="144">
        <f>(F211-D211)/D211*100</f>
        <v>157.91828852689667</v>
      </c>
      <c r="E231" s="144">
        <f t="shared" si="13"/>
        <v>157.91828852689667</v>
      </c>
      <c r="G231" s="393" t="s">
        <v>518</v>
      </c>
      <c r="H231" s="144">
        <f t="shared" si="14"/>
        <v>2.3691411977308032</v>
      </c>
      <c r="I231" s="144">
        <f t="shared" si="15"/>
        <v>-4.506035643465216</v>
      </c>
    </row>
    <row r="240" spans="2:10" x14ac:dyDescent="0.3">
      <c r="I240" s="548"/>
      <c r="J240" s="548"/>
    </row>
    <row r="241" spans="2:10" ht="29.4" customHeight="1" thickBot="1" x14ac:dyDescent="0.35">
      <c r="F241" s="546" t="s">
        <v>536</v>
      </c>
      <c r="G241" s="547"/>
      <c r="H241" s="407"/>
      <c r="I241" s="548"/>
      <c r="J241" s="548"/>
    </row>
    <row r="242" spans="2:10" ht="30" thickTop="1" thickBot="1" x14ac:dyDescent="0.35">
      <c r="B242" s="396" t="s">
        <v>524</v>
      </c>
      <c r="C242" s="397">
        <v>2013</v>
      </c>
      <c r="D242" s="397">
        <v>2017</v>
      </c>
      <c r="F242" s="386">
        <v>2013</v>
      </c>
      <c r="G242" s="386">
        <v>2017</v>
      </c>
      <c r="H242" s="406" t="s">
        <v>537</v>
      </c>
      <c r="I242" s="386">
        <v>2013</v>
      </c>
      <c r="J242" s="386">
        <v>2017</v>
      </c>
    </row>
    <row r="243" spans="2:10" x14ac:dyDescent="0.3">
      <c r="B243" s="398" t="s">
        <v>525</v>
      </c>
      <c r="C243" s="399">
        <v>115010</v>
      </c>
      <c r="D243" s="399">
        <v>134863</v>
      </c>
      <c r="F243" s="144">
        <f>C243/$C$253*100</f>
        <v>33.140940486927754</v>
      </c>
      <c r="G243" s="144">
        <f>D243/$D$253*100</f>
        <v>33.790003532763244</v>
      </c>
      <c r="H243" s="144">
        <f>G243-F243</f>
        <v>0.64906304583549002</v>
      </c>
      <c r="I243" s="144">
        <f>C243/$C$254*100</f>
        <v>11.212906785948622</v>
      </c>
      <c r="J243" s="144">
        <f>D243/$D$254*100</f>
        <v>11.589533730584998</v>
      </c>
    </row>
    <row r="244" spans="2:10" x14ac:dyDescent="0.3">
      <c r="B244" s="400" t="s">
        <v>526</v>
      </c>
      <c r="C244" s="401">
        <v>62058</v>
      </c>
      <c r="D244" s="401">
        <v>75715</v>
      </c>
      <c r="F244" s="144">
        <f t="shared" ref="F244:F253" si="16">C244/$C$253*100</f>
        <v>17.882449219526674</v>
      </c>
      <c r="G244" s="144">
        <f t="shared" ref="G244:G253" si="17">D244/$D$253*100</f>
        <v>18.970437536486429</v>
      </c>
      <c r="H244" s="144">
        <f t="shared" ref="H244:H252" si="18">G244-F244</f>
        <v>1.0879883169597555</v>
      </c>
      <c r="I244" s="144">
        <f t="shared" ref="I244:I252" si="19">C244/$C$254*100</f>
        <v>6.0503483985949016</v>
      </c>
      <c r="J244" s="144">
        <f t="shared" ref="J244:J253" si="20">D244/$D$254*100</f>
        <v>6.5066144636500987</v>
      </c>
    </row>
    <row r="245" spans="2:10" x14ac:dyDescent="0.3">
      <c r="B245" s="400" t="s">
        <v>527</v>
      </c>
      <c r="C245" s="401">
        <v>52952</v>
      </c>
      <c r="D245" s="401">
        <v>59148</v>
      </c>
      <c r="F245" s="144">
        <f t="shared" si="16"/>
        <v>15.258491267401084</v>
      </c>
      <c r="G245" s="144">
        <f t="shared" si="17"/>
        <v>14.819565996276818</v>
      </c>
      <c r="H245" s="144">
        <f t="shared" si="18"/>
        <v>-0.43892527112426549</v>
      </c>
      <c r="I245" s="144">
        <f t="shared" si="19"/>
        <v>5.1625583873537213</v>
      </c>
      <c r="J245" s="144">
        <f t="shared" si="20"/>
        <v>5.0829192669349004</v>
      </c>
    </row>
    <row r="246" spans="2:10" x14ac:dyDescent="0.3">
      <c r="B246" s="398" t="s">
        <v>528</v>
      </c>
      <c r="C246" s="399">
        <v>105174</v>
      </c>
      <c r="D246" s="399">
        <v>118814</v>
      </c>
      <c r="F246" s="144">
        <f t="shared" si="16"/>
        <v>30.306627899940352</v>
      </c>
      <c r="G246" s="144">
        <f t="shared" si="17"/>
        <v>29.768917195537192</v>
      </c>
      <c r="H246" s="144">
        <f t="shared" si="18"/>
        <v>-0.53771070440316038</v>
      </c>
      <c r="I246" s="144">
        <f t="shared" si="19"/>
        <v>10.253945381317802</v>
      </c>
      <c r="J246" s="144">
        <f t="shared" si="20"/>
        <v>10.210353178156543</v>
      </c>
    </row>
    <row r="247" spans="2:10" x14ac:dyDescent="0.3">
      <c r="B247" s="400" t="s">
        <v>529</v>
      </c>
      <c r="C247" s="401">
        <v>78775</v>
      </c>
      <c r="D247" s="401">
        <v>87162</v>
      </c>
      <c r="F247" s="144">
        <f t="shared" si="16"/>
        <v>22.699570357862221</v>
      </c>
      <c r="G247" s="144">
        <f t="shared" si="17"/>
        <v>21.838490081955097</v>
      </c>
      <c r="H247" s="144">
        <f t="shared" si="18"/>
        <v>-0.8610802759071241</v>
      </c>
      <c r="I247" s="144">
        <f t="shared" si="19"/>
        <v>7.6801733072176566</v>
      </c>
      <c r="J247" s="144">
        <f t="shared" si="20"/>
        <v>7.4903193539017341</v>
      </c>
    </row>
    <row r="248" spans="2:10" x14ac:dyDescent="0.3">
      <c r="B248" s="400" t="s">
        <v>530</v>
      </c>
      <c r="C248" s="401">
        <v>22203</v>
      </c>
      <c r="D248" s="401">
        <v>27351</v>
      </c>
      <c r="F248" s="144">
        <f t="shared" si="16"/>
        <v>6.3979506271737847</v>
      </c>
      <c r="G248" s="144">
        <f t="shared" si="17"/>
        <v>6.8528090478827224</v>
      </c>
      <c r="H248" s="144">
        <f t="shared" si="18"/>
        <v>0.45485842070893767</v>
      </c>
      <c r="I248" s="144">
        <f t="shared" si="19"/>
        <v>2.164682804698872</v>
      </c>
      <c r="J248" s="144">
        <f t="shared" si="20"/>
        <v>2.3504247797040723</v>
      </c>
    </row>
    <row r="249" spans="2:10" x14ac:dyDescent="0.3">
      <c r="B249" s="400" t="s">
        <v>531</v>
      </c>
      <c r="C249" s="401">
        <v>4196</v>
      </c>
      <c r="D249" s="401">
        <v>4301</v>
      </c>
      <c r="F249" s="144">
        <f t="shared" si="16"/>
        <v>1.2091069149043463</v>
      </c>
      <c r="G249" s="144">
        <f t="shared" si="17"/>
        <v>1.0776180656993744</v>
      </c>
      <c r="H249" s="144">
        <f t="shared" si="18"/>
        <v>-0.13148884920497195</v>
      </c>
      <c r="I249" s="144">
        <f t="shared" si="19"/>
        <v>0.40908926940127305</v>
      </c>
      <c r="J249" s="144">
        <f t="shared" si="20"/>
        <v>0.36960904455073723</v>
      </c>
    </row>
    <row r="250" spans="2:10" x14ac:dyDescent="0.3">
      <c r="B250" s="398" t="s">
        <v>532</v>
      </c>
      <c r="C250" s="399">
        <v>5094</v>
      </c>
      <c r="D250" s="399">
        <v>5678</v>
      </c>
      <c r="F250" s="144">
        <f t="shared" si="16"/>
        <v>1.4678719314877835</v>
      </c>
      <c r="G250" s="144">
        <f t="shared" si="17"/>
        <v>1.4226262211209131</v>
      </c>
      <c r="H250" s="144">
        <f t="shared" si="18"/>
        <v>-4.5245710366870417E-2</v>
      </c>
      <c r="I250" s="144">
        <f t="shared" si="19"/>
        <v>0.496639832776474</v>
      </c>
      <c r="J250" s="144">
        <f t="shared" si="20"/>
        <v>0.4879423750195504</v>
      </c>
    </row>
    <row r="251" spans="2:10" x14ac:dyDescent="0.3">
      <c r="B251" s="398" t="s">
        <v>533</v>
      </c>
      <c r="C251" s="399">
        <v>128217</v>
      </c>
      <c r="D251" s="399">
        <v>142908</v>
      </c>
      <c r="F251" s="144">
        <f t="shared" si="16"/>
        <v>36.946630435722248</v>
      </c>
      <c r="G251" s="144">
        <f t="shared" si="17"/>
        <v>35.805682988366939</v>
      </c>
      <c r="H251" s="144">
        <f t="shared" si="18"/>
        <v>-1.140947447355309</v>
      </c>
      <c r="I251" s="144">
        <f t="shared" si="19"/>
        <v>12.50052403594448</v>
      </c>
      <c r="J251" s="144">
        <f t="shared" si="20"/>
        <v>12.280885686737214</v>
      </c>
    </row>
    <row r="252" spans="2:10" x14ac:dyDescent="0.3">
      <c r="B252" s="398" t="s">
        <v>534</v>
      </c>
      <c r="C252" s="399">
        <v>-6462</v>
      </c>
      <c r="D252" s="399">
        <v>-3142</v>
      </c>
      <c r="F252" s="144">
        <f t="shared" si="16"/>
        <v>-1.8620707540781423</v>
      </c>
      <c r="G252" s="144">
        <f t="shared" si="17"/>
        <v>-0.78722993778828976</v>
      </c>
      <c r="H252" s="144">
        <f t="shared" si="18"/>
        <v>1.0748408162898526</v>
      </c>
      <c r="I252" s="144">
        <f t="shared" si="19"/>
        <v>-0.63001307408747065</v>
      </c>
      <c r="J252" s="144">
        <f t="shared" si="20"/>
        <v>-0.27000967634931794</v>
      </c>
    </row>
    <row r="253" spans="2:10" x14ac:dyDescent="0.3">
      <c r="B253" s="398" t="s">
        <v>535</v>
      </c>
      <c r="C253" s="399">
        <v>347033</v>
      </c>
      <c r="D253" s="399">
        <v>399121</v>
      </c>
      <c r="F253" s="386">
        <f t="shared" si="16"/>
        <v>100</v>
      </c>
      <c r="G253" s="386">
        <f t="shared" si="17"/>
        <v>100</v>
      </c>
      <c r="H253" s="386"/>
      <c r="I253" s="386">
        <f>C253/$C$254*100</f>
        <v>33.834002961899905</v>
      </c>
      <c r="J253" s="386">
        <f t="shared" si="20"/>
        <v>34.298705294148988</v>
      </c>
    </row>
    <row r="254" spans="2:10" x14ac:dyDescent="0.3">
      <c r="B254" s="398" t="s">
        <v>519</v>
      </c>
      <c r="C254" s="399">
        <v>1025693</v>
      </c>
      <c r="D254" s="399">
        <v>1163662</v>
      </c>
    </row>
    <row r="255" spans="2:10" ht="15" thickBot="1" x14ac:dyDescent="0.35">
      <c r="B255" s="402"/>
      <c r="C255" s="403"/>
      <c r="D255" s="403"/>
    </row>
    <row r="256" spans="2:10" ht="15" thickTop="1" x14ac:dyDescent="0.3"/>
  </sheetData>
  <mergeCells count="31">
    <mergeCell ref="C212:D212"/>
    <mergeCell ref="E212:F212"/>
    <mergeCell ref="B215:D215"/>
    <mergeCell ref="I114:O114"/>
    <mergeCell ref="I137:K137"/>
    <mergeCell ref="I143:K143"/>
    <mergeCell ref="C205:D205"/>
    <mergeCell ref="E205:F205"/>
    <mergeCell ref="I109:O109"/>
    <mergeCell ref="C112:D112"/>
    <mergeCell ref="I110:O110"/>
    <mergeCell ref="I111:O111"/>
    <mergeCell ref="C113:D113"/>
    <mergeCell ref="I112:O112"/>
    <mergeCell ref="I113:O113"/>
    <mergeCell ref="F241:G241"/>
    <mergeCell ref="I240:J241"/>
    <mergeCell ref="B224:D224"/>
    <mergeCell ref="F13:H13"/>
    <mergeCell ref="E43:G43"/>
    <mergeCell ref="E33:H35"/>
    <mergeCell ref="J33:M35"/>
    <mergeCell ref="E38:L40"/>
    <mergeCell ref="H76:J76"/>
    <mergeCell ref="H86:J86"/>
    <mergeCell ref="B105:B106"/>
    <mergeCell ref="B107:B108"/>
    <mergeCell ref="B109:B110"/>
    <mergeCell ref="I103:K103"/>
    <mergeCell ref="I105:I106"/>
    <mergeCell ref="I108:O108"/>
  </mergeCells>
  <phoneticPr fontId="55"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D3B6-C419-4FAD-BC21-77CE1AE8B395}">
  <dimension ref="B3:P193"/>
  <sheetViews>
    <sheetView zoomScale="78" workbookViewId="0">
      <selection activeCell="C110" sqref="C110"/>
    </sheetView>
  </sheetViews>
  <sheetFormatPr baseColWidth="10" defaultRowHeight="14.4" x14ac:dyDescent="0.3"/>
  <cols>
    <col min="2" max="2" width="27.33203125" customWidth="1"/>
    <col min="3" max="3" width="20.44140625" customWidth="1"/>
    <col min="4" max="4" width="21.77734375" customWidth="1"/>
    <col min="5" max="5" width="19.109375" customWidth="1"/>
    <col min="6" max="6" width="18.21875" customWidth="1"/>
    <col min="7" max="7" width="16.5546875" customWidth="1"/>
    <col min="8" max="8" width="19.21875" customWidth="1"/>
  </cols>
  <sheetData>
    <row r="3" spans="2:16" ht="23.4" customHeight="1" x14ac:dyDescent="0.3">
      <c r="K3" s="408" t="s">
        <v>538</v>
      </c>
      <c r="L3" s="408"/>
      <c r="M3" s="408"/>
      <c r="N3" s="408"/>
      <c r="O3" s="408"/>
      <c r="P3" s="408"/>
    </row>
    <row r="4" spans="2:16" ht="14.4" customHeight="1" x14ac:dyDescent="0.3">
      <c r="K4" s="408"/>
      <c r="L4" s="408"/>
      <c r="M4" s="408"/>
      <c r="N4" s="408"/>
      <c r="O4" s="408"/>
      <c r="P4" s="408"/>
    </row>
    <row r="5" spans="2:16" ht="14.4" customHeight="1" x14ac:dyDescent="0.3">
      <c r="K5" s="408"/>
      <c r="L5" s="408"/>
      <c r="M5" s="408"/>
      <c r="N5" s="408"/>
      <c r="O5" s="408"/>
      <c r="P5" s="408"/>
    </row>
    <row r="6" spans="2:16" ht="14.4" customHeight="1" x14ac:dyDescent="0.3">
      <c r="K6" s="408"/>
      <c r="L6" s="408"/>
      <c r="M6" s="408"/>
      <c r="N6" s="408"/>
      <c r="O6" s="408"/>
      <c r="P6" s="408"/>
    </row>
    <row r="7" spans="2:16" ht="14.4" customHeight="1" x14ac:dyDescent="0.3">
      <c r="K7" s="408"/>
      <c r="L7" s="408"/>
      <c r="M7" s="408"/>
      <c r="N7" s="408"/>
      <c r="O7" s="408"/>
      <c r="P7" s="408"/>
    </row>
    <row r="8" spans="2:16" ht="14.4" customHeight="1" x14ac:dyDescent="0.3">
      <c r="K8" s="408"/>
      <c r="L8" s="408"/>
      <c r="M8" s="408"/>
      <c r="N8" s="408"/>
      <c r="O8" s="408"/>
      <c r="P8" s="408"/>
    </row>
    <row r="9" spans="2:16" ht="14.4" customHeight="1" x14ac:dyDescent="0.3">
      <c r="K9" s="408"/>
      <c r="L9" s="408"/>
      <c r="M9" s="408"/>
      <c r="N9" s="408"/>
      <c r="O9" s="408"/>
      <c r="P9" s="408"/>
    </row>
    <row r="10" spans="2:16" ht="14.4" customHeight="1" x14ac:dyDescent="0.3">
      <c r="K10" s="408"/>
      <c r="L10" s="408"/>
      <c r="M10" s="408"/>
      <c r="N10" s="408"/>
      <c r="O10" s="408"/>
      <c r="P10" s="408"/>
    </row>
    <row r="11" spans="2:16" ht="14.4" customHeight="1" x14ac:dyDescent="0.3">
      <c r="K11" s="408"/>
      <c r="L11" s="408"/>
      <c r="M11" s="408"/>
      <c r="N11" s="408"/>
      <c r="O11" s="408"/>
      <c r="P11" s="408"/>
    </row>
    <row r="12" spans="2:16" ht="14.4" customHeight="1" x14ac:dyDescent="0.3">
      <c r="K12" s="408"/>
      <c r="L12" s="408"/>
      <c r="M12" s="408"/>
      <c r="N12" s="408"/>
      <c r="O12" s="408"/>
      <c r="P12" s="408"/>
    </row>
    <row r="13" spans="2:16" ht="14.4" customHeight="1" thickBot="1" x14ac:dyDescent="0.35">
      <c r="B13" s="409"/>
      <c r="C13" s="410" t="s">
        <v>390</v>
      </c>
      <c r="D13" s="410" t="s">
        <v>391</v>
      </c>
      <c r="E13" s="410" t="s">
        <v>290</v>
      </c>
      <c r="K13" s="408"/>
      <c r="L13" s="408"/>
      <c r="M13" s="408"/>
      <c r="N13" s="408"/>
      <c r="O13" s="408"/>
      <c r="P13" s="408"/>
    </row>
    <row r="14" spans="2:16" ht="14.4" customHeight="1" x14ac:dyDescent="0.3">
      <c r="B14" s="306" t="s">
        <v>327</v>
      </c>
      <c r="C14" s="411">
        <v>768820</v>
      </c>
      <c r="D14" s="411">
        <v>682180</v>
      </c>
      <c r="E14" s="411">
        <v>2164870</v>
      </c>
      <c r="K14" s="408"/>
      <c r="L14" s="408"/>
      <c r="M14" s="408"/>
      <c r="N14" s="408"/>
      <c r="O14" s="408"/>
      <c r="P14" s="408"/>
    </row>
    <row r="15" spans="2:16" ht="17.399999999999999" x14ac:dyDescent="0.3">
      <c r="B15" s="306" t="s">
        <v>326</v>
      </c>
      <c r="C15" s="411">
        <v>205621</v>
      </c>
      <c r="D15" s="411">
        <v>223214</v>
      </c>
      <c r="E15" s="411">
        <v>780557</v>
      </c>
      <c r="K15" s="404"/>
      <c r="L15" s="404"/>
      <c r="M15" s="404"/>
      <c r="N15" s="404"/>
      <c r="O15" s="404"/>
      <c r="P15" s="404"/>
    </row>
    <row r="16" spans="2:16" ht="17.399999999999999" x14ac:dyDescent="0.3">
      <c r="B16" s="306" t="s">
        <v>539</v>
      </c>
      <c r="C16" s="411">
        <v>1046200</v>
      </c>
      <c r="D16" s="411">
        <v>1544300</v>
      </c>
      <c r="E16" s="411">
        <v>10951300</v>
      </c>
      <c r="K16" s="404"/>
      <c r="L16" s="404"/>
      <c r="M16" s="404"/>
      <c r="N16" s="404"/>
      <c r="O16" s="404"/>
      <c r="P16" s="404"/>
    </row>
    <row r="17" spans="2:16" ht="17.399999999999999" x14ac:dyDescent="0.3">
      <c r="B17" s="306" t="s">
        <v>540</v>
      </c>
      <c r="C17" s="411">
        <v>407729</v>
      </c>
      <c r="D17" s="411">
        <v>390152</v>
      </c>
      <c r="E17" s="411">
        <v>1585172</v>
      </c>
      <c r="K17" s="404"/>
      <c r="L17" s="404"/>
      <c r="M17" s="404"/>
      <c r="N17" s="404"/>
      <c r="O17" s="404"/>
      <c r="P17" s="404"/>
    </row>
    <row r="18" spans="2:16" ht="17.399999999999999" x14ac:dyDescent="0.3">
      <c r="B18" s="306" t="s">
        <v>541</v>
      </c>
      <c r="C18" s="411">
        <v>112759</v>
      </c>
      <c r="D18" s="411">
        <v>91981</v>
      </c>
      <c r="E18" s="411">
        <v>134786</v>
      </c>
      <c r="K18" s="404"/>
      <c r="L18" s="404"/>
      <c r="M18" s="404"/>
      <c r="N18" s="404"/>
      <c r="O18" s="404"/>
      <c r="P18" s="404"/>
    </row>
    <row r="19" spans="2:16" ht="17.399999999999999" x14ac:dyDescent="0.3">
      <c r="B19" s="306" t="s">
        <v>542</v>
      </c>
      <c r="C19" s="411">
        <v>32924</v>
      </c>
      <c r="D19" s="411">
        <v>28437</v>
      </c>
      <c r="E19" s="411">
        <v>23956</v>
      </c>
      <c r="K19" s="404"/>
      <c r="L19" s="404"/>
      <c r="M19" s="404"/>
      <c r="N19" s="404"/>
      <c r="O19" s="404"/>
      <c r="P19" s="404"/>
    </row>
    <row r="20" spans="2:16" ht="18" thickBot="1" x14ac:dyDescent="0.35">
      <c r="B20" s="412" t="s">
        <v>339</v>
      </c>
      <c r="C20" s="413">
        <v>279736</v>
      </c>
      <c r="D20" s="413">
        <v>311790</v>
      </c>
      <c r="E20" s="413">
        <v>1101144</v>
      </c>
      <c r="K20" s="404"/>
      <c r="L20" s="404"/>
      <c r="M20" s="404"/>
      <c r="N20" s="404"/>
      <c r="O20" s="404"/>
      <c r="P20" s="404"/>
    </row>
    <row r="21" spans="2:16" x14ac:dyDescent="0.3">
      <c r="K21" s="404"/>
      <c r="L21" s="404"/>
      <c r="M21" s="404"/>
      <c r="N21" s="404"/>
      <c r="O21" s="404"/>
      <c r="P21" s="404"/>
    </row>
    <row r="22" spans="2:16" ht="17.399999999999999" x14ac:dyDescent="0.3">
      <c r="B22" s="386"/>
      <c r="C22" s="571" t="s">
        <v>547</v>
      </c>
      <c r="D22" s="571"/>
      <c r="E22" s="572" t="s">
        <v>543</v>
      </c>
      <c r="K22" s="404"/>
      <c r="L22" s="404"/>
      <c r="M22" s="404"/>
      <c r="N22" s="404"/>
      <c r="O22" s="404"/>
      <c r="P22" s="404"/>
    </row>
    <row r="23" spans="2:16" ht="17.399999999999999" x14ac:dyDescent="0.3">
      <c r="B23" s="414"/>
      <c r="C23" s="415" t="s">
        <v>544</v>
      </c>
      <c r="D23" s="415" t="s">
        <v>545</v>
      </c>
      <c r="E23" s="573"/>
      <c r="K23" s="404"/>
      <c r="L23" s="404"/>
      <c r="M23" s="404"/>
      <c r="N23" s="404"/>
      <c r="O23" s="404"/>
      <c r="P23" s="404"/>
    </row>
    <row r="24" spans="2:16" ht="17.399999999999999" x14ac:dyDescent="0.3">
      <c r="B24" s="416" t="s">
        <v>327</v>
      </c>
      <c r="C24" s="417">
        <f>C14/E14*100</f>
        <v>35.513448844503365</v>
      </c>
      <c r="D24" s="417">
        <f>D14/E14*100</f>
        <v>31.511360959318573</v>
      </c>
      <c r="E24" s="417">
        <f>(C14+D14)/E14*100</f>
        <v>67.024809803821938</v>
      </c>
      <c r="K24" s="404"/>
      <c r="L24" s="404"/>
      <c r="M24" s="404"/>
      <c r="N24" s="404"/>
      <c r="O24" s="404"/>
      <c r="P24" s="404"/>
    </row>
    <row r="25" spans="2:16" ht="17.399999999999999" x14ac:dyDescent="0.3">
      <c r="B25" s="416" t="s">
        <v>326</v>
      </c>
      <c r="C25" s="417">
        <f t="shared" ref="C25:C30" si="0">C15/E15*100</f>
        <v>26.342855166246665</v>
      </c>
      <c r="D25" s="417">
        <f t="shared" ref="D25:D30" si="1">D15/E15*100</f>
        <v>28.596758468632018</v>
      </c>
      <c r="E25" s="417">
        <f t="shared" ref="E25:E30" si="2">(C15+D15)/E15*100</f>
        <v>54.939613634878683</v>
      </c>
      <c r="K25" s="404"/>
      <c r="L25" s="404"/>
      <c r="M25" s="404"/>
      <c r="N25" s="404"/>
      <c r="O25" s="404"/>
      <c r="P25" s="404"/>
    </row>
    <row r="26" spans="2:16" ht="17.399999999999999" x14ac:dyDescent="0.3">
      <c r="B26" s="416" t="s">
        <v>539</v>
      </c>
      <c r="C26" s="417">
        <f t="shared" si="0"/>
        <v>9.5532037292376248</v>
      </c>
      <c r="D26" s="417">
        <f t="shared" si="1"/>
        <v>14.101522193712162</v>
      </c>
      <c r="E26" s="417">
        <f t="shared" si="2"/>
        <v>23.654725922949787</v>
      </c>
    </row>
    <row r="27" spans="2:16" ht="17.399999999999999" x14ac:dyDescent="0.3">
      <c r="B27" s="416" t="s">
        <v>540</v>
      </c>
      <c r="C27" s="417">
        <f t="shared" si="0"/>
        <v>25.721435907270628</v>
      </c>
      <c r="D27" s="417">
        <f t="shared" si="1"/>
        <v>24.612597244967738</v>
      </c>
      <c r="E27" s="417">
        <f t="shared" si="2"/>
        <v>50.334033152238369</v>
      </c>
    </row>
    <row r="28" spans="2:16" ht="17.399999999999999" x14ac:dyDescent="0.3">
      <c r="B28" s="416" t="s">
        <v>541</v>
      </c>
      <c r="C28" s="417">
        <f t="shared" si="0"/>
        <v>83.657798287655993</v>
      </c>
      <c r="D28" s="417">
        <f t="shared" si="1"/>
        <v>68.242250678853893</v>
      </c>
      <c r="E28" s="417">
        <f t="shared" si="2"/>
        <v>151.90004896650987</v>
      </c>
    </row>
    <row r="29" spans="2:16" ht="17.399999999999999" x14ac:dyDescent="0.3">
      <c r="B29" s="416" t="s">
        <v>542</v>
      </c>
      <c r="C29" s="417">
        <f t="shared" si="0"/>
        <v>137.43529804641844</v>
      </c>
      <c r="D29" s="417">
        <f t="shared" si="1"/>
        <v>118.70512606445149</v>
      </c>
      <c r="E29" s="417">
        <f t="shared" si="2"/>
        <v>256.1404241108699</v>
      </c>
    </row>
    <row r="30" spans="2:16" ht="17.399999999999999" x14ac:dyDescent="0.3">
      <c r="B30" s="416" t="s">
        <v>339</v>
      </c>
      <c r="C30" s="417">
        <f t="shared" si="0"/>
        <v>25.404125164374502</v>
      </c>
      <c r="D30" s="417">
        <f t="shared" si="1"/>
        <v>28.315097752882458</v>
      </c>
      <c r="E30" s="417">
        <f t="shared" si="2"/>
        <v>53.719222917256957</v>
      </c>
    </row>
    <row r="32" spans="2:16" ht="14.4" customHeight="1" x14ac:dyDescent="0.3"/>
    <row r="33" spans="2:5" x14ac:dyDescent="0.3">
      <c r="B33" s="573" t="s">
        <v>549</v>
      </c>
      <c r="C33" s="573"/>
    </row>
    <row r="34" spans="2:5" x14ac:dyDescent="0.3">
      <c r="B34" s="573"/>
      <c r="C34" s="573"/>
      <c r="D34" s="386" t="s">
        <v>551</v>
      </c>
      <c r="E34" s="394"/>
    </row>
    <row r="35" spans="2:5" ht="17.399999999999999" x14ac:dyDescent="0.3">
      <c r="B35" s="414"/>
      <c r="C35" s="415" t="s">
        <v>548</v>
      </c>
      <c r="D35" s="415" t="s">
        <v>550</v>
      </c>
      <c r="E35" s="416" t="s">
        <v>546</v>
      </c>
    </row>
    <row r="36" spans="2:5" ht="17.399999999999999" x14ac:dyDescent="0.3">
      <c r="B36" s="416" t="s">
        <v>327</v>
      </c>
      <c r="C36" s="417">
        <f t="shared" ref="C36:C41" si="3">100*C14/D14</f>
        <v>112.70046028907326</v>
      </c>
      <c r="D36" s="418">
        <f t="shared" ref="D36:D41" si="4">C14-D14</f>
        <v>86640</v>
      </c>
      <c r="E36" s="417">
        <f t="shared" ref="E36:E41" si="5">100*D36/(C14+D14)</f>
        <v>5.9710544452101999</v>
      </c>
    </row>
    <row r="37" spans="2:5" ht="17.399999999999999" x14ac:dyDescent="0.3">
      <c r="B37" s="416" t="s">
        <v>326</v>
      </c>
      <c r="C37" s="417">
        <f t="shared" si="3"/>
        <v>92.118325911457163</v>
      </c>
      <c r="D37" s="418">
        <f t="shared" si="4"/>
        <v>-17593</v>
      </c>
      <c r="E37" s="417">
        <f t="shared" si="5"/>
        <v>-4.1025102895052878</v>
      </c>
    </row>
    <row r="38" spans="2:5" ht="17.399999999999999" x14ac:dyDescent="0.3">
      <c r="B38" s="416" t="s">
        <v>539</v>
      </c>
      <c r="C38" s="417">
        <f t="shared" si="3"/>
        <v>67.745904293207275</v>
      </c>
      <c r="D38" s="418">
        <f t="shared" si="4"/>
        <v>-498100</v>
      </c>
      <c r="E38" s="417">
        <f t="shared" si="5"/>
        <v>-19.22794827253426</v>
      </c>
    </row>
    <row r="39" spans="2:5" ht="17.399999999999999" x14ac:dyDescent="0.3">
      <c r="B39" s="416" t="s">
        <v>540</v>
      </c>
      <c r="C39" s="417">
        <f t="shared" si="3"/>
        <v>104.50516721687957</v>
      </c>
      <c r="D39" s="418">
        <f t="shared" si="4"/>
        <v>17577</v>
      </c>
      <c r="E39" s="417">
        <f t="shared" si="5"/>
        <v>2.2029600905398175</v>
      </c>
    </row>
    <row r="40" spans="2:5" ht="17.399999999999999" x14ac:dyDescent="0.3">
      <c r="B40" s="416" t="s">
        <v>541</v>
      </c>
      <c r="C40" s="417">
        <f t="shared" si="3"/>
        <v>122.58944782074559</v>
      </c>
      <c r="D40" s="418">
        <f t="shared" si="4"/>
        <v>20778</v>
      </c>
      <c r="E40" s="417">
        <f t="shared" si="5"/>
        <v>10.148481000293055</v>
      </c>
    </row>
    <row r="41" spans="2:5" ht="17.399999999999999" x14ac:dyDescent="0.3">
      <c r="B41" s="416" t="s">
        <v>542</v>
      </c>
      <c r="C41" s="417">
        <f t="shared" si="3"/>
        <v>115.77873896683897</v>
      </c>
      <c r="D41" s="418">
        <f t="shared" si="4"/>
        <v>4487</v>
      </c>
      <c r="E41" s="417">
        <f t="shared" si="5"/>
        <v>7.3124623131956783</v>
      </c>
    </row>
    <row r="55" spans="2:6" x14ac:dyDescent="0.3">
      <c r="B55" s="569" t="s">
        <v>553</v>
      </c>
      <c r="C55" s="569"/>
      <c r="D55" s="569"/>
      <c r="E55" s="569"/>
      <c r="F55" s="569"/>
    </row>
    <row r="56" spans="2:6" x14ac:dyDescent="0.3">
      <c r="B56" s="569"/>
      <c r="C56" s="569"/>
      <c r="D56" s="569"/>
      <c r="E56" s="569"/>
      <c r="F56" s="569"/>
    </row>
    <row r="57" spans="2:6" x14ac:dyDescent="0.3">
      <c r="B57" s="569"/>
      <c r="C57" s="569"/>
      <c r="D57" s="569"/>
      <c r="E57" s="569"/>
      <c r="F57" s="569"/>
    </row>
    <row r="79" spans="2:9" ht="18" x14ac:dyDescent="0.35">
      <c r="B79" s="422" t="s">
        <v>554</v>
      </c>
      <c r="C79" s="423" t="s">
        <v>555</v>
      </c>
      <c r="D79" s="423" t="s">
        <v>556</v>
      </c>
      <c r="E79" s="423" t="s">
        <v>512</v>
      </c>
      <c r="F79" s="419"/>
      <c r="G79" s="419"/>
      <c r="H79" s="419"/>
    </row>
    <row r="80" spans="2:9" ht="18" x14ac:dyDescent="0.35">
      <c r="B80" s="424" t="s">
        <v>557</v>
      </c>
      <c r="C80" s="425"/>
      <c r="D80" s="185"/>
      <c r="E80" s="426">
        <v>-88459.199999999997</v>
      </c>
      <c r="F80" s="420"/>
      <c r="G80" s="570" t="s">
        <v>565</v>
      </c>
      <c r="H80" s="570"/>
      <c r="I80" s="431">
        <f>100*C81/D81</f>
        <v>131.49363538842292</v>
      </c>
    </row>
    <row r="81" spans="2:13" ht="18" x14ac:dyDescent="0.35">
      <c r="B81" s="424" t="s">
        <v>125</v>
      </c>
      <c r="C81" s="426">
        <v>93404.4</v>
      </c>
      <c r="D81" s="430">
        <f>C81-E81</f>
        <v>71033.399999999994</v>
      </c>
      <c r="E81" s="427">
        <f>E84-(E80+E82+E83)</f>
        <v>22371</v>
      </c>
      <c r="F81" s="421"/>
      <c r="G81" s="570" t="s">
        <v>566</v>
      </c>
      <c r="H81" s="570"/>
      <c r="I81" s="431">
        <f>100*E80/E84</f>
        <v>83.29420937110703</v>
      </c>
    </row>
    <row r="82" spans="2:13" ht="18" x14ac:dyDescent="0.35">
      <c r="B82" s="424" t="s">
        <v>558</v>
      </c>
      <c r="C82" s="425"/>
      <c r="D82" s="185"/>
      <c r="E82" s="426">
        <v>-32912.800000000003</v>
      </c>
      <c r="F82" s="420"/>
      <c r="G82" s="570" t="s">
        <v>567</v>
      </c>
      <c r="H82" s="570"/>
      <c r="I82" s="431">
        <f>100*E86/E89</f>
        <v>-9.6579253191084025</v>
      </c>
    </row>
    <row r="83" spans="2:13" ht="18" x14ac:dyDescent="0.35">
      <c r="B83" s="424" t="s">
        <v>559</v>
      </c>
      <c r="C83" s="425"/>
      <c r="D83" s="185"/>
      <c r="E83" s="426">
        <v>-7199.9</v>
      </c>
      <c r="F83" s="420"/>
      <c r="G83" s="419"/>
      <c r="H83" s="419"/>
    </row>
    <row r="84" spans="2:13" ht="18" x14ac:dyDescent="0.35">
      <c r="B84" s="424" t="s">
        <v>560</v>
      </c>
      <c r="C84" s="428"/>
      <c r="D84" s="429"/>
      <c r="E84" s="427">
        <f>E86-E85</f>
        <v>-106200.9</v>
      </c>
      <c r="F84" s="421"/>
      <c r="G84" s="432"/>
      <c r="H84" s="432"/>
      <c r="I84" s="392"/>
      <c r="J84" s="392"/>
      <c r="K84" s="392"/>
      <c r="L84" s="392"/>
      <c r="M84" s="392"/>
    </row>
    <row r="85" spans="2:13" ht="18" x14ac:dyDescent="0.35">
      <c r="B85" s="424" t="s">
        <v>561</v>
      </c>
      <c r="C85" s="425"/>
      <c r="D85" s="185"/>
      <c r="E85" s="426">
        <v>4812</v>
      </c>
      <c r="F85" s="420"/>
      <c r="G85" s="432"/>
      <c r="H85" s="432"/>
      <c r="I85" s="392"/>
      <c r="J85" s="392"/>
      <c r="K85" s="392"/>
      <c r="L85" s="392"/>
      <c r="M85" s="392"/>
    </row>
    <row r="86" spans="2:13" ht="18" x14ac:dyDescent="0.35">
      <c r="B86" s="424" t="s">
        <v>562</v>
      </c>
      <c r="C86" s="428"/>
      <c r="D86" s="429"/>
      <c r="E86" s="427">
        <f>E87+E88</f>
        <v>-101388.9</v>
      </c>
      <c r="F86" s="421"/>
      <c r="G86" s="432"/>
      <c r="H86" s="432"/>
      <c r="I86" s="392"/>
      <c r="J86" s="392"/>
      <c r="K86" s="392"/>
      <c r="L86" s="392"/>
      <c r="M86" s="392"/>
    </row>
    <row r="87" spans="2:13" ht="18" x14ac:dyDescent="0.35">
      <c r="B87" s="424" t="s">
        <v>563</v>
      </c>
      <c r="C87" s="425"/>
      <c r="D87" s="185"/>
      <c r="E87" s="426">
        <v>-101869</v>
      </c>
      <c r="F87" s="420"/>
      <c r="G87" s="432"/>
      <c r="H87" s="432"/>
      <c r="I87" s="392"/>
      <c r="J87" s="392"/>
      <c r="K87" s="392"/>
      <c r="L87" s="392"/>
      <c r="M87" s="392"/>
    </row>
    <row r="88" spans="2:13" ht="18" x14ac:dyDescent="0.35">
      <c r="B88" s="424" t="s">
        <v>564</v>
      </c>
      <c r="C88" s="425"/>
      <c r="D88" s="185"/>
      <c r="E88" s="426">
        <v>480.1</v>
      </c>
      <c r="F88" s="420"/>
      <c r="G88" s="432"/>
      <c r="H88" s="432"/>
      <c r="I88" s="392"/>
      <c r="J88" s="392"/>
      <c r="K88" s="392"/>
      <c r="L88" s="392"/>
      <c r="M88" s="392"/>
    </row>
    <row r="89" spans="2:13" ht="18" x14ac:dyDescent="0.35">
      <c r="B89" s="424" t="s">
        <v>290</v>
      </c>
      <c r="C89" s="425"/>
      <c r="D89" s="185"/>
      <c r="E89" s="426">
        <v>1049800</v>
      </c>
      <c r="F89" s="419"/>
      <c r="G89" s="432"/>
      <c r="H89" s="432"/>
      <c r="I89" s="392"/>
      <c r="J89" s="392"/>
      <c r="K89" s="392"/>
      <c r="L89" s="392"/>
      <c r="M89" s="392"/>
    </row>
    <row r="90" spans="2:13" ht="18" x14ac:dyDescent="0.35">
      <c r="C90" s="419"/>
      <c r="E90" s="419"/>
      <c r="F90" s="419"/>
      <c r="G90" s="392"/>
      <c r="H90" s="432"/>
      <c r="I90" s="392"/>
      <c r="J90" s="392"/>
      <c r="K90" s="392"/>
      <c r="L90" s="392"/>
      <c r="M90" s="392"/>
    </row>
    <row r="91" spans="2:13" ht="18" x14ac:dyDescent="0.35">
      <c r="C91" s="419"/>
      <c r="E91" s="419"/>
      <c r="F91" s="419"/>
      <c r="G91" s="392"/>
      <c r="H91" s="432"/>
      <c r="I91" s="392"/>
      <c r="J91" s="392"/>
      <c r="K91" s="392"/>
      <c r="L91" s="392"/>
      <c r="M91" s="392"/>
    </row>
    <row r="92" spans="2:13" ht="18" x14ac:dyDescent="0.35">
      <c r="C92" s="419"/>
      <c r="E92" s="419"/>
      <c r="F92" s="419"/>
      <c r="H92" s="419"/>
    </row>
    <row r="94" spans="2:13" ht="18" x14ac:dyDescent="0.35">
      <c r="B94" s="419" t="s">
        <v>568</v>
      </c>
    </row>
    <row r="95" spans="2:13" ht="18" x14ac:dyDescent="0.35">
      <c r="B95" s="419" t="s">
        <v>569</v>
      </c>
    </row>
    <row r="96" spans="2:13" ht="18" x14ac:dyDescent="0.35">
      <c r="B96" s="419" t="s">
        <v>570</v>
      </c>
    </row>
    <row r="110" spans="2:6" ht="16.2" thickBot="1" x14ac:dyDescent="0.35">
      <c r="B110" s="204"/>
    </row>
    <row r="111" spans="2:6" ht="15" thickBot="1" x14ac:dyDescent="0.35">
      <c r="B111" s="433" t="s">
        <v>571</v>
      </c>
      <c r="C111" s="434" t="s">
        <v>572</v>
      </c>
      <c r="D111" s="434" t="s">
        <v>573</v>
      </c>
      <c r="E111" s="442" t="s">
        <v>582</v>
      </c>
      <c r="F111" s="442" t="s">
        <v>583</v>
      </c>
    </row>
    <row r="112" spans="2:6" ht="15" thickBot="1" x14ac:dyDescent="0.35">
      <c r="B112" s="435" t="s">
        <v>574</v>
      </c>
      <c r="C112" s="437">
        <v>470868</v>
      </c>
      <c r="D112" s="437">
        <v>449357</v>
      </c>
      <c r="E112" s="441">
        <f>C112-D112</f>
        <v>21511</v>
      </c>
      <c r="F112" s="441">
        <f>C112/D112*100</f>
        <v>104.78706240249957</v>
      </c>
    </row>
    <row r="113" spans="2:6" ht="15" thickBot="1" x14ac:dyDescent="0.35">
      <c r="B113" s="435" t="s">
        <v>575</v>
      </c>
      <c r="C113" s="438">
        <v>277965</v>
      </c>
      <c r="D113" s="438">
        <v>299808</v>
      </c>
      <c r="E113" s="441">
        <f t="shared" ref="E113:E122" si="6">C113-D113</f>
        <v>-21843</v>
      </c>
      <c r="F113" s="441">
        <f t="shared" ref="F113:F122" si="7">C113/D113*100</f>
        <v>92.714337175792508</v>
      </c>
    </row>
    <row r="114" spans="2:6" ht="15" thickBot="1" x14ac:dyDescent="0.35">
      <c r="B114" s="435" t="s">
        <v>125</v>
      </c>
      <c r="C114" s="438">
        <v>122861</v>
      </c>
      <c r="D114" s="438">
        <v>67391</v>
      </c>
      <c r="E114" s="441">
        <f t="shared" si="6"/>
        <v>55470</v>
      </c>
      <c r="F114" s="441">
        <f t="shared" si="7"/>
        <v>182.31069430636137</v>
      </c>
    </row>
    <row r="115" spans="2:6" ht="15" thickBot="1" x14ac:dyDescent="0.35">
      <c r="B115" s="436" t="s">
        <v>576</v>
      </c>
      <c r="C115" s="438">
        <v>60293</v>
      </c>
      <c r="D115" s="438">
        <v>19729</v>
      </c>
      <c r="E115" s="441">
        <f t="shared" si="6"/>
        <v>40564</v>
      </c>
      <c r="F115" s="441">
        <f t="shared" si="7"/>
        <v>305.60596076841199</v>
      </c>
    </row>
    <row r="116" spans="2:6" ht="15" thickBot="1" x14ac:dyDescent="0.35">
      <c r="B116" s="436" t="s">
        <v>577</v>
      </c>
      <c r="C116" s="438">
        <v>62568</v>
      </c>
      <c r="D116" s="438">
        <v>47661</v>
      </c>
      <c r="E116" s="441">
        <f t="shared" si="6"/>
        <v>14907</v>
      </c>
      <c r="F116" s="441">
        <f t="shared" si="7"/>
        <v>131.27714483540001</v>
      </c>
    </row>
    <row r="117" spans="2:6" ht="15" thickBot="1" x14ac:dyDescent="0.35">
      <c r="B117" s="435" t="s">
        <v>558</v>
      </c>
      <c r="C117" s="438">
        <v>54199</v>
      </c>
      <c r="D117" s="438">
        <v>55406</v>
      </c>
      <c r="E117" s="441">
        <f t="shared" si="6"/>
        <v>-1207</v>
      </c>
      <c r="F117" s="441">
        <f t="shared" si="7"/>
        <v>97.821535573764578</v>
      </c>
    </row>
    <row r="118" spans="2:6" ht="15" thickBot="1" x14ac:dyDescent="0.35">
      <c r="B118" s="436" t="s">
        <v>578</v>
      </c>
      <c r="C118" s="438">
        <v>2663</v>
      </c>
      <c r="D118" s="439">
        <v>319</v>
      </c>
      <c r="E118" s="441">
        <f t="shared" si="6"/>
        <v>2344</v>
      </c>
      <c r="F118" s="441">
        <f t="shared" si="7"/>
        <v>834.79623824451414</v>
      </c>
    </row>
    <row r="119" spans="2:6" ht="15" thickBot="1" x14ac:dyDescent="0.35">
      <c r="B119" s="436" t="s">
        <v>579</v>
      </c>
      <c r="C119" s="438">
        <v>45767</v>
      </c>
      <c r="D119" s="438">
        <v>52474</v>
      </c>
      <c r="E119" s="441">
        <f t="shared" si="6"/>
        <v>-6707</v>
      </c>
      <c r="F119" s="441">
        <f t="shared" si="7"/>
        <v>87.218431985364177</v>
      </c>
    </row>
    <row r="120" spans="2:6" ht="15" thickBot="1" x14ac:dyDescent="0.35">
      <c r="B120" s="436" t="s">
        <v>580</v>
      </c>
      <c r="C120" s="438">
        <v>5769</v>
      </c>
      <c r="D120" s="438">
        <v>2613</v>
      </c>
      <c r="E120" s="441">
        <f t="shared" si="6"/>
        <v>3156</v>
      </c>
      <c r="F120" s="441">
        <f t="shared" si="7"/>
        <v>220.78071182548794</v>
      </c>
    </row>
    <row r="121" spans="2:6" ht="15" thickBot="1" x14ac:dyDescent="0.35">
      <c r="B121" s="435" t="s">
        <v>559</v>
      </c>
      <c r="C121" s="438">
        <v>15843</v>
      </c>
      <c r="D121" s="438">
        <v>26752</v>
      </c>
      <c r="E121" s="441">
        <f t="shared" si="6"/>
        <v>-10909</v>
      </c>
      <c r="F121" s="441">
        <f t="shared" si="7"/>
        <v>59.221740430622006</v>
      </c>
    </row>
    <row r="122" spans="2:6" ht="15" thickBot="1" x14ac:dyDescent="0.35">
      <c r="B122" s="435" t="s">
        <v>581</v>
      </c>
      <c r="C122" s="437">
        <v>3470</v>
      </c>
      <c r="D122" s="440">
        <v>787</v>
      </c>
      <c r="E122" s="441">
        <f t="shared" si="6"/>
        <v>2683</v>
      </c>
      <c r="F122" s="441">
        <f t="shared" si="7"/>
        <v>440.91486658195674</v>
      </c>
    </row>
    <row r="123" spans="2:6" ht="15.6" x14ac:dyDescent="0.3">
      <c r="B123" s="204" t="s">
        <v>552</v>
      </c>
    </row>
    <row r="124" spans="2:6" x14ac:dyDescent="0.3">
      <c r="C124" s="566" t="s">
        <v>584</v>
      </c>
      <c r="D124" s="566"/>
      <c r="E124" s="443">
        <f>E112+E122</f>
        <v>24194</v>
      </c>
    </row>
    <row r="143" spans="2:10" x14ac:dyDescent="0.3">
      <c r="B143" s="446" t="s">
        <v>585</v>
      </c>
      <c r="C143" s="447" t="s">
        <v>586</v>
      </c>
      <c r="D143" s="448" t="s">
        <v>587</v>
      </c>
      <c r="E143" s="386" t="s">
        <v>582</v>
      </c>
    </row>
    <row r="144" spans="2:10" ht="15" thickBot="1" x14ac:dyDescent="0.35">
      <c r="B144" s="436" t="s">
        <v>588</v>
      </c>
      <c r="C144" s="445">
        <v>23583</v>
      </c>
      <c r="D144" s="449">
        <v>6682</v>
      </c>
      <c r="E144" s="451">
        <f>C144-D144</f>
        <v>16901</v>
      </c>
      <c r="F144" s="567" t="s">
        <v>596</v>
      </c>
      <c r="G144" s="567"/>
      <c r="H144" s="567"/>
      <c r="I144" s="567"/>
      <c r="J144" s="567"/>
    </row>
    <row r="145" spans="2:10" ht="15" thickBot="1" x14ac:dyDescent="0.35">
      <c r="B145" s="436" t="s">
        <v>589</v>
      </c>
      <c r="C145" s="445">
        <v>85703</v>
      </c>
      <c r="D145" s="449">
        <v>60403</v>
      </c>
      <c r="E145" s="451">
        <f>C145-D145</f>
        <v>25300</v>
      </c>
    </row>
    <row r="146" spans="2:10" ht="15" thickBot="1" x14ac:dyDescent="0.35">
      <c r="B146" s="436" t="s">
        <v>590</v>
      </c>
      <c r="C146" s="445">
        <v>37420</v>
      </c>
      <c r="D146" s="449">
        <v>59358</v>
      </c>
      <c r="E146" s="451">
        <f>C146-D146</f>
        <v>-21938</v>
      </c>
      <c r="F146" s="144" t="s">
        <v>594</v>
      </c>
      <c r="G146" s="144"/>
      <c r="H146" s="144"/>
      <c r="I146" s="144"/>
      <c r="J146" s="144"/>
    </row>
    <row r="147" spans="2:10" ht="15" thickBot="1" x14ac:dyDescent="0.35">
      <c r="B147" s="436" t="s">
        <v>591</v>
      </c>
      <c r="C147" s="445">
        <v>3237</v>
      </c>
      <c r="D147" s="449">
        <v>5498</v>
      </c>
      <c r="E147" s="451">
        <f>C147-D147</f>
        <v>-2261</v>
      </c>
    </row>
    <row r="148" spans="2:10" ht="15" thickBot="1" x14ac:dyDescent="0.35">
      <c r="B148" s="436" t="s">
        <v>592</v>
      </c>
      <c r="C148" s="445">
        <v>3533</v>
      </c>
      <c r="D148" s="450" t="s">
        <v>400</v>
      </c>
      <c r="E148" s="451">
        <f>C148</f>
        <v>3533</v>
      </c>
      <c r="F148" s="533" t="s">
        <v>597</v>
      </c>
      <c r="G148" s="568"/>
      <c r="H148" s="568"/>
      <c r="I148" s="568"/>
      <c r="J148" s="534"/>
    </row>
    <row r="149" spans="2:10" ht="15.6" x14ac:dyDescent="0.3">
      <c r="B149" s="444" t="s">
        <v>593</v>
      </c>
    </row>
    <row r="150" spans="2:10" x14ac:dyDescent="0.3">
      <c r="E150" s="232"/>
    </row>
    <row r="151" spans="2:10" x14ac:dyDescent="0.3">
      <c r="B151" s="567" t="s">
        <v>595</v>
      </c>
      <c r="C151" s="567"/>
      <c r="D151" s="567"/>
      <c r="E151" s="385">
        <f>SUM(E144:E148)+2659</f>
        <v>24194</v>
      </c>
    </row>
    <row r="163" spans="2:4" x14ac:dyDescent="0.3">
      <c r="B163" s="564" t="s">
        <v>598</v>
      </c>
      <c r="C163" s="564"/>
      <c r="D163" s="564"/>
    </row>
    <row r="164" spans="2:4" x14ac:dyDescent="0.3">
      <c r="B164" s="452" t="s">
        <v>599</v>
      </c>
      <c r="C164" s="454"/>
      <c r="D164" s="454"/>
    </row>
    <row r="165" spans="2:4" x14ac:dyDescent="0.3">
      <c r="B165" s="455"/>
      <c r="C165" s="456">
        <v>2007</v>
      </c>
      <c r="D165" s="456">
        <v>2017</v>
      </c>
    </row>
    <row r="166" spans="2:4" x14ac:dyDescent="0.3">
      <c r="B166" s="457" t="s">
        <v>588</v>
      </c>
      <c r="C166" s="458">
        <v>482671</v>
      </c>
      <c r="D166" s="458">
        <v>683427</v>
      </c>
    </row>
    <row r="167" spans="2:4" x14ac:dyDescent="0.3">
      <c r="B167" s="457" t="s">
        <v>600</v>
      </c>
      <c r="C167" s="458">
        <v>1086940</v>
      </c>
      <c r="D167" s="458">
        <v>1112655</v>
      </c>
    </row>
    <row r="168" spans="2:4" x14ac:dyDescent="0.3">
      <c r="B168" s="457" t="s">
        <v>601</v>
      </c>
      <c r="C168" s="458">
        <v>557760</v>
      </c>
      <c r="D168" s="458">
        <v>501305</v>
      </c>
    </row>
    <row r="170" spans="2:4" x14ac:dyDescent="0.3">
      <c r="B170" s="564" t="s">
        <v>602</v>
      </c>
      <c r="C170" s="564"/>
      <c r="D170" s="564"/>
    </row>
    <row r="171" spans="2:4" x14ac:dyDescent="0.3">
      <c r="B171" s="452" t="s">
        <v>599</v>
      </c>
      <c r="C171" s="454"/>
      <c r="D171" s="454"/>
    </row>
    <row r="172" spans="2:4" x14ac:dyDescent="0.3">
      <c r="B172" s="455"/>
      <c r="C172" s="456">
        <v>2007</v>
      </c>
      <c r="D172" s="456">
        <v>2017</v>
      </c>
    </row>
    <row r="173" spans="2:4" x14ac:dyDescent="0.3">
      <c r="B173" s="457" t="s">
        <v>588</v>
      </c>
      <c r="C173" s="458">
        <v>421977</v>
      </c>
      <c r="D173" s="458">
        <v>630270</v>
      </c>
    </row>
    <row r="174" spans="2:4" x14ac:dyDescent="0.3">
      <c r="B174" s="457" t="s">
        <v>600</v>
      </c>
      <c r="C174" s="458">
        <v>450587</v>
      </c>
      <c r="D174" s="458">
        <v>546507</v>
      </c>
    </row>
    <row r="175" spans="2:4" x14ac:dyDescent="0.3">
      <c r="B175" s="457" t="s">
        <v>601</v>
      </c>
      <c r="C175" s="458">
        <v>353071</v>
      </c>
      <c r="D175" s="458">
        <v>350948</v>
      </c>
    </row>
    <row r="178" spans="2:10" ht="27" x14ac:dyDescent="0.3">
      <c r="B178" s="464" t="s">
        <v>603</v>
      </c>
      <c r="C178" s="460">
        <v>2007</v>
      </c>
      <c r="D178" s="460">
        <v>2017</v>
      </c>
    </row>
    <row r="179" spans="2:10" x14ac:dyDescent="0.3">
      <c r="B179" s="461" t="s">
        <v>588</v>
      </c>
      <c r="C179" s="462">
        <f>C173/($C$173+$C$174+$C$175)*100</f>
        <v>34.429255039224564</v>
      </c>
      <c r="D179" s="462">
        <f>D173/($D$173+$D$174+$D$175)*100</f>
        <v>41.255461552308169</v>
      </c>
    </row>
    <row r="180" spans="2:10" x14ac:dyDescent="0.3">
      <c r="B180" s="461" t="s">
        <v>600</v>
      </c>
      <c r="C180" s="462">
        <f t="shared" ref="C180:C181" si="8">C174/($C$173+$C$174+$C$175)*100</f>
        <v>36.763555218315403</v>
      </c>
      <c r="D180" s="462">
        <f>D174/($D$173+$D$174+$D$175)*100</f>
        <v>35.772603053560033</v>
      </c>
    </row>
    <row r="181" spans="2:10" x14ac:dyDescent="0.3">
      <c r="B181" s="461" t="s">
        <v>601</v>
      </c>
      <c r="C181" s="462">
        <f t="shared" si="8"/>
        <v>28.807189742460032</v>
      </c>
      <c r="D181" s="462">
        <f>D175/($D$173+$D$174+$D$175)*100</f>
        <v>22.971935394131798</v>
      </c>
    </row>
    <row r="182" spans="2:10" x14ac:dyDescent="0.3">
      <c r="C182" s="453"/>
      <c r="D182" s="453"/>
    </row>
    <row r="183" spans="2:10" ht="27" x14ac:dyDescent="0.3">
      <c r="B183" s="464" t="s">
        <v>604</v>
      </c>
      <c r="C183" s="460">
        <v>2007</v>
      </c>
      <c r="D183" s="460">
        <v>2017</v>
      </c>
    </row>
    <row r="184" spans="2:10" x14ac:dyDescent="0.3">
      <c r="B184" s="461" t="s">
        <v>588</v>
      </c>
      <c r="C184" s="462">
        <f>C166/($C$166+$C$167+$C$168)*100</f>
        <v>22.688614256751645</v>
      </c>
      <c r="D184" s="462">
        <f>D166/($D$166+$D$167+$D$168)*100</f>
        <v>29.748013721675974</v>
      </c>
    </row>
    <row r="185" spans="2:10" x14ac:dyDescent="0.3">
      <c r="B185" s="461" t="s">
        <v>600</v>
      </c>
      <c r="C185" s="462">
        <f t="shared" ref="C185:C186" si="9">C167/($C$166+$C$167+$C$168)*100</f>
        <v>51.093109758476544</v>
      </c>
      <c r="D185" s="462">
        <f t="shared" ref="D185:D186" si="10">D167/($D$166+$D$167+$D$168)*100</f>
        <v>48.431326546202271</v>
      </c>
    </row>
    <row r="186" spans="2:10" x14ac:dyDescent="0.3">
      <c r="B186" s="461" t="s">
        <v>601</v>
      </c>
      <c r="C186" s="462">
        <f t="shared" si="9"/>
        <v>26.218275984771815</v>
      </c>
      <c r="D186" s="462">
        <f t="shared" si="10"/>
        <v>21.820659732121754</v>
      </c>
    </row>
    <row r="188" spans="2:10" x14ac:dyDescent="0.3">
      <c r="F188" s="565" t="s">
        <v>605</v>
      </c>
      <c r="G188" s="565"/>
      <c r="H188" s="565"/>
      <c r="I188" s="565"/>
      <c r="J188" s="565"/>
    </row>
    <row r="189" spans="2:10" x14ac:dyDescent="0.3">
      <c r="B189" s="459"/>
      <c r="C189" s="460">
        <v>2007</v>
      </c>
      <c r="D189" s="463">
        <v>2017</v>
      </c>
      <c r="F189" s="565"/>
      <c r="G189" s="565"/>
      <c r="H189" s="565"/>
      <c r="I189" s="565"/>
      <c r="J189" s="565"/>
    </row>
    <row r="190" spans="2:10" x14ac:dyDescent="0.3">
      <c r="B190" s="461" t="s">
        <v>588</v>
      </c>
      <c r="C190" s="462">
        <f t="shared" ref="C190:D192" si="11">C173-C166</f>
        <v>-60694</v>
      </c>
      <c r="D190" s="462">
        <f t="shared" si="11"/>
        <v>-53157</v>
      </c>
      <c r="F190" s="565"/>
      <c r="G190" s="565"/>
      <c r="H190" s="565"/>
      <c r="I190" s="565"/>
      <c r="J190" s="565"/>
    </row>
    <row r="191" spans="2:10" x14ac:dyDescent="0.3">
      <c r="B191" s="461" t="s">
        <v>600</v>
      </c>
      <c r="C191" s="462">
        <f t="shared" si="11"/>
        <v>-636353</v>
      </c>
      <c r="D191" s="462">
        <f t="shared" si="11"/>
        <v>-566148</v>
      </c>
    </row>
    <row r="192" spans="2:10" x14ac:dyDescent="0.3">
      <c r="B192" s="461" t="s">
        <v>601</v>
      </c>
      <c r="C192" s="462">
        <f t="shared" si="11"/>
        <v>-204689</v>
      </c>
      <c r="D192" s="462">
        <f t="shared" si="11"/>
        <v>-150357</v>
      </c>
    </row>
    <row r="193" spans="2:4" x14ac:dyDescent="0.3">
      <c r="B193" s="461" t="s">
        <v>606</v>
      </c>
      <c r="C193" s="465">
        <f>SUM(C190:C192)</f>
        <v>-901736</v>
      </c>
      <c r="D193" s="465">
        <f>SUM(D190:D192)</f>
        <v>-769662</v>
      </c>
    </row>
  </sheetData>
  <mergeCells count="14">
    <mergeCell ref="B55:F57"/>
    <mergeCell ref="G80:H80"/>
    <mergeCell ref="G81:H81"/>
    <mergeCell ref="G82:H82"/>
    <mergeCell ref="C22:D22"/>
    <mergeCell ref="E22:E23"/>
    <mergeCell ref="B33:C34"/>
    <mergeCell ref="B170:D170"/>
    <mergeCell ref="F188:J190"/>
    <mergeCell ref="C124:D124"/>
    <mergeCell ref="F144:J144"/>
    <mergeCell ref="F148:J148"/>
    <mergeCell ref="B151:D151"/>
    <mergeCell ref="B163:D16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E84A-3C8D-4C7A-9922-E0BF6087B78F}">
  <dimension ref="B1:L186"/>
  <sheetViews>
    <sheetView topLeftCell="A156" workbookViewId="0">
      <selection activeCell="R182" sqref="R182"/>
    </sheetView>
  </sheetViews>
  <sheetFormatPr baseColWidth="10" defaultRowHeight="14.4" x14ac:dyDescent="0.3"/>
  <sheetData>
    <row r="1" spans="3:10" ht="15" thickBot="1" x14ac:dyDescent="0.35"/>
    <row r="2" spans="3:10" ht="24.6" thickBot="1" x14ac:dyDescent="0.35">
      <c r="C2" s="265" t="s">
        <v>401</v>
      </c>
      <c r="D2" s="266">
        <v>1995</v>
      </c>
      <c r="E2" s="266">
        <v>2000</v>
      </c>
      <c r="F2" s="266">
        <v>2005</v>
      </c>
      <c r="G2" s="266">
        <v>2010</v>
      </c>
      <c r="H2" s="266">
        <v>2015</v>
      </c>
      <c r="I2" s="266">
        <v>2020</v>
      </c>
      <c r="J2" s="266">
        <v>2021</v>
      </c>
    </row>
    <row r="3" spans="3:10" ht="60.6" thickBot="1" x14ac:dyDescent="0.4">
      <c r="C3" s="267" t="s">
        <v>278</v>
      </c>
      <c r="D3" s="268" t="s">
        <v>400</v>
      </c>
      <c r="E3" s="269">
        <v>40.659999999999997</v>
      </c>
      <c r="F3" s="269">
        <v>43.14</v>
      </c>
      <c r="G3" s="269">
        <v>15.67</v>
      </c>
      <c r="H3" s="269">
        <v>0.5</v>
      </c>
      <c r="I3" s="269">
        <v>3.7</v>
      </c>
      <c r="J3" s="269">
        <v>7.95</v>
      </c>
    </row>
    <row r="4" spans="3:10" ht="36.6" thickBot="1" x14ac:dyDescent="0.35">
      <c r="C4" s="267" t="s">
        <v>402</v>
      </c>
      <c r="D4" s="268" t="s">
        <v>400</v>
      </c>
      <c r="E4" s="269">
        <v>37.76</v>
      </c>
      <c r="F4" s="269">
        <v>32.950000000000003</v>
      </c>
      <c r="G4" s="269">
        <v>8.4700000000000006</v>
      </c>
      <c r="H4" s="269">
        <v>0.83</v>
      </c>
      <c r="I4" s="269">
        <v>1.63</v>
      </c>
      <c r="J4" s="269">
        <v>8.01</v>
      </c>
    </row>
    <row r="13" spans="3:10" ht="24" x14ac:dyDescent="0.3">
      <c r="C13" s="270" t="s">
        <v>403</v>
      </c>
      <c r="D13" s="271">
        <v>1995</v>
      </c>
      <c r="E13" s="271">
        <v>2000</v>
      </c>
      <c r="F13" s="271">
        <v>2005</v>
      </c>
      <c r="G13" s="271">
        <v>2010</v>
      </c>
      <c r="H13" s="271">
        <v>2015</v>
      </c>
      <c r="I13" s="271">
        <v>2020</v>
      </c>
      <c r="J13" s="272">
        <v>2021</v>
      </c>
    </row>
    <row r="14" spans="3:10" ht="60" x14ac:dyDescent="0.3">
      <c r="C14" s="273" t="s">
        <v>278</v>
      </c>
      <c r="D14" s="274" t="s">
        <v>400</v>
      </c>
      <c r="E14" s="275">
        <v>22.22</v>
      </c>
      <c r="F14" s="275">
        <v>17.53</v>
      </c>
      <c r="G14" s="275">
        <v>4.8899999999999997</v>
      </c>
      <c r="H14" s="275">
        <v>-0.08</v>
      </c>
      <c r="I14" s="275">
        <v>-1.85</v>
      </c>
      <c r="J14" s="276">
        <v>5.52</v>
      </c>
    </row>
    <row r="27" spans="3:12" ht="15" thickBot="1" x14ac:dyDescent="0.35"/>
    <row r="28" spans="3:12" ht="15.6" thickBot="1" x14ac:dyDescent="0.35">
      <c r="C28" s="261"/>
      <c r="D28" s="262">
        <v>1995</v>
      </c>
      <c r="E28" s="262">
        <v>2000</v>
      </c>
      <c r="F28" s="263">
        <v>2005</v>
      </c>
      <c r="G28" s="263">
        <v>2010</v>
      </c>
      <c r="H28" s="263">
        <v>2015</v>
      </c>
      <c r="I28" s="263">
        <v>2020</v>
      </c>
      <c r="J28" s="263">
        <v>2021</v>
      </c>
    </row>
    <row r="29" spans="3:12" ht="15.6" thickBot="1" x14ac:dyDescent="0.4">
      <c r="C29" s="264" t="s">
        <v>170</v>
      </c>
      <c r="D29" s="278">
        <v>64.31650947</v>
      </c>
      <c r="E29" s="278">
        <v>74.018147409999997</v>
      </c>
      <c r="F29" s="278">
        <v>90.149158459999995</v>
      </c>
      <c r="G29" s="278">
        <v>99.41931683</v>
      </c>
      <c r="H29" s="278">
        <v>100</v>
      </c>
      <c r="I29" s="278">
        <v>105.6597112</v>
      </c>
      <c r="J29" s="278">
        <v>108.0909565</v>
      </c>
      <c r="K29" s="277"/>
      <c r="L29" s="277"/>
    </row>
    <row r="30" spans="3:12" ht="15.6" thickBot="1" x14ac:dyDescent="0.4">
      <c r="C30" s="264" t="s">
        <v>174</v>
      </c>
      <c r="D30" s="279" t="s">
        <v>400</v>
      </c>
      <c r="E30" s="278">
        <v>15.084210909999999</v>
      </c>
      <c r="F30" s="278">
        <v>21.793319090000001</v>
      </c>
      <c r="G30" s="278">
        <v>10.28313356</v>
      </c>
      <c r="H30" s="278">
        <v>0.58407479399999995</v>
      </c>
      <c r="I30" s="278">
        <v>5.6597112000000003</v>
      </c>
      <c r="J30" s="278">
        <v>2.3010145230000001</v>
      </c>
      <c r="K30" s="277"/>
      <c r="L30" s="277"/>
    </row>
    <row r="31" spans="3:12" x14ac:dyDescent="0.3">
      <c r="D31" s="277"/>
      <c r="E31" s="277"/>
      <c r="F31" s="277"/>
      <c r="G31" s="277"/>
      <c r="H31" s="277"/>
      <c r="I31" s="277"/>
      <c r="J31" s="277"/>
      <c r="K31" s="277"/>
      <c r="L31" s="277"/>
    </row>
    <row r="45" spans="2:9" x14ac:dyDescent="0.3">
      <c r="B45" s="280"/>
      <c r="C45" s="280">
        <v>1995</v>
      </c>
      <c r="D45" s="280">
        <v>2000</v>
      </c>
      <c r="E45" s="280">
        <v>2005</v>
      </c>
      <c r="F45" s="280">
        <v>2010</v>
      </c>
      <c r="G45" s="280">
        <v>2015</v>
      </c>
      <c r="H45" s="280">
        <v>2020</v>
      </c>
      <c r="I45" s="280">
        <v>2021</v>
      </c>
    </row>
    <row r="46" spans="2:9" x14ac:dyDescent="0.3">
      <c r="B46" s="280" t="s">
        <v>116</v>
      </c>
      <c r="C46" s="281">
        <v>78.599999999999994</v>
      </c>
      <c r="D46" s="281">
        <v>76.319999999999993</v>
      </c>
      <c r="E46" s="281">
        <v>75.42</v>
      </c>
      <c r="F46" s="281">
        <v>78.72</v>
      </c>
      <c r="G46" s="281">
        <v>77.97</v>
      </c>
      <c r="H46" s="281">
        <v>78.14</v>
      </c>
      <c r="I46" s="281">
        <v>77.67</v>
      </c>
    </row>
    <row r="47" spans="2:9" x14ac:dyDescent="0.3">
      <c r="B47" s="282"/>
      <c r="C47" s="283"/>
      <c r="D47" s="283"/>
      <c r="E47" s="283"/>
      <c r="F47" s="283"/>
      <c r="G47" s="283"/>
      <c r="H47" s="283"/>
      <c r="I47" s="283"/>
    </row>
    <row r="48" spans="2:9" x14ac:dyDescent="0.3">
      <c r="B48" s="282"/>
      <c r="C48" s="283"/>
      <c r="D48" s="283"/>
      <c r="E48" s="283"/>
      <c r="F48" s="283"/>
      <c r="G48" s="283"/>
      <c r="H48" s="283"/>
      <c r="I48" s="283"/>
    </row>
    <row r="49" spans="2:9" x14ac:dyDescent="0.3">
      <c r="B49" s="282"/>
      <c r="C49" s="283"/>
      <c r="D49" s="283"/>
      <c r="E49" s="283"/>
      <c r="F49" s="283"/>
      <c r="G49" s="283"/>
      <c r="H49" s="283"/>
      <c r="I49" s="283"/>
    </row>
    <row r="50" spans="2:9" x14ac:dyDescent="0.3">
      <c r="B50" s="280" t="s">
        <v>96</v>
      </c>
      <c r="C50" s="281">
        <v>22.52</v>
      </c>
      <c r="D50" s="281">
        <v>26.64</v>
      </c>
      <c r="E50" s="281">
        <v>29.39</v>
      </c>
      <c r="F50" s="281">
        <v>22.3</v>
      </c>
      <c r="G50" s="281">
        <v>18.989999999999998</v>
      </c>
      <c r="H50" s="281">
        <v>20.399999999999999</v>
      </c>
      <c r="I50" s="281">
        <v>20.84</v>
      </c>
    </row>
    <row r="51" spans="2:9" x14ac:dyDescent="0.3">
      <c r="B51" s="282"/>
      <c r="C51" s="283"/>
      <c r="D51" s="283"/>
      <c r="E51" s="283"/>
      <c r="F51" s="283"/>
      <c r="G51" s="283"/>
      <c r="H51" s="283"/>
      <c r="I51" s="283"/>
    </row>
    <row r="52" spans="2:9" x14ac:dyDescent="0.3">
      <c r="B52" s="282"/>
      <c r="C52" s="283"/>
      <c r="D52" s="283"/>
      <c r="E52" s="283"/>
      <c r="F52" s="283"/>
      <c r="G52" s="283"/>
      <c r="H52" s="283"/>
      <c r="I52" s="283"/>
    </row>
    <row r="53" spans="2:9" x14ac:dyDescent="0.3">
      <c r="B53" s="282"/>
      <c r="C53" s="283"/>
      <c r="D53" s="283"/>
      <c r="E53" s="283"/>
      <c r="F53" s="283"/>
      <c r="G53" s="283"/>
      <c r="H53" s="283"/>
      <c r="I53" s="283"/>
    </row>
    <row r="54" spans="2:9" x14ac:dyDescent="0.3">
      <c r="B54" s="282"/>
      <c r="C54" s="283"/>
      <c r="D54" s="283"/>
      <c r="E54" s="283"/>
      <c r="F54" s="283"/>
      <c r="G54" s="283"/>
      <c r="H54" s="283"/>
      <c r="I54" s="283"/>
    </row>
    <row r="55" spans="2:9" x14ac:dyDescent="0.3">
      <c r="B55" s="282"/>
      <c r="C55" s="283"/>
      <c r="D55" s="283"/>
      <c r="E55" s="283"/>
      <c r="F55" s="283"/>
      <c r="G55" s="283"/>
      <c r="H55" s="283"/>
      <c r="I55" s="283"/>
    </row>
    <row r="56" spans="2:9" x14ac:dyDescent="0.3">
      <c r="B56" s="282"/>
      <c r="C56" s="283"/>
      <c r="D56" s="283"/>
      <c r="E56" s="283"/>
      <c r="F56" s="283"/>
      <c r="G56" s="283"/>
      <c r="H56" s="283"/>
      <c r="I56" s="283"/>
    </row>
    <row r="57" spans="2:9" x14ac:dyDescent="0.3">
      <c r="B57" s="282"/>
      <c r="C57" s="283"/>
      <c r="D57" s="283"/>
      <c r="E57" s="283"/>
      <c r="F57" s="283"/>
      <c r="G57" s="283"/>
      <c r="H57" s="283"/>
      <c r="I57" s="283"/>
    </row>
    <row r="58" spans="2:9" x14ac:dyDescent="0.3">
      <c r="B58" s="282"/>
      <c r="C58" s="283"/>
      <c r="D58" s="283"/>
      <c r="E58" s="283"/>
      <c r="F58" s="283"/>
      <c r="G58" s="283"/>
      <c r="H58" s="283"/>
      <c r="I58" s="283"/>
    </row>
    <row r="59" spans="2:9" x14ac:dyDescent="0.3">
      <c r="B59" s="280" t="s">
        <v>97</v>
      </c>
      <c r="C59" s="281">
        <v>21.83</v>
      </c>
      <c r="D59" s="281">
        <v>28.56</v>
      </c>
      <c r="E59" s="281">
        <v>24.98</v>
      </c>
      <c r="F59" s="281">
        <v>25.95</v>
      </c>
      <c r="G59" s="281">
        <v>33.61</v>
      </c>
      <c r="H59" s="281">
        <v>30.8</v>
      </c>
      <c r="I59" s="281">
        <v>34.93</v>
      </c>
    </row>
    <row r="60" spans="2:9" x14ac:dyDescent="0.3">
      <c r="B60" s="282"/>
      <c r="C60" s="283"/>
      <c r="D60" s="283"/>
      <c r="E60" s="283"/>
      <c r="F60" s="283"/>
      <c r="G60" s="283"/>
      <c r="H60" s="283"/>
      <c r="I60" s="283"/>
    </row>
    <row r="61" spans="2:9" x14ac:dyDescent="0.3">
      <c r="B61" s="282"/>
      <c r="C61" s="283"/>
      <c r="D61" s="283"/>
      <c r="E61" s="283"/>
      <c r="F61" s="283"/>
      <c r="G61" s="283"/>
      <c r="H61" s="283"/>
      <c r="I61" s="283"/>
    </row>
    <row r="62" spans="2:9" x14ac:dyDescent="0.3">
      <c r="B62" s="282"/>
      <c r="C62" s="283"/>
      <c r="D62" s="283"/>
      <c r="E62" s="283"/>
      <c r="F62" s="283"/>
      <c r="G62" s="283"/>
      <c r="H62" s="283"/>
      <c r="I62" s="283"/>
    </row>
    <row r="63" spans="2:9" x14ac:dyDescent="0.3">
      <c r="B63" s="280" t="s">
        <v>98</v>
      </c>
      <c r="C63" s="281">
        <v>-22.95</v>
      </c>
      <c r="D63" s="281">
        <v>-31.52</v>
      </c>
      <c r="E63" s="281">
        <v>-29.78</v>
      </c>
      <c r="F63" s="281">
        <v>-26.98</v>
      </c>
      <c r="G63" s="281">
        <v>-30.57</v>
      </c>
      <c r="H63" s="281">
        <v>-29.34</v>
      </c>
      <c r="I63" s="281">
        <v>-33.450000000000003</v>
      </c>
    </row>
    <row r="64" spans="2:9" x14ac:dyDescent="0.3">
      <c r="B64" s="282"/>
      <c r="C64" s="283"/>
      <c r="D64" s="283"/>
      <c r="E64" s="283"/>
      <c r="F64" s="283"/>
      <c r="G64" s="283"/>
      <c r="H64" s="283"/>
      <c r="I64" s="283"/>
    </row>
    <row r="65" spans="2:9" x14ac:dyDescent="0.3">
      <c r="B65" s="282"/>
      <c r="C65" s="283"/>
      <c r="D65" s="283"/>
      <c r="E65" s="283"/>
      <c r="F65" s="283"/>
      <c r="G65" s="283"/>
      <c r="H65" s="283"/>
      <c r="I65" s="283"/>
    </row>
    <row r="66" spans="2:9" x14ac:dyDescent="0.3">
      <c r="B66" s="282"/>
      <c r="C66" s="283"/>
      <c r="D66" s="283"/>
      <c r="E66" s="283"/>
      <c r="F66" s="283"/>
      <c r="G66" s="283"/>
      <c r="H66" s="283"/>
      <c r="I66" s="283"/>
    </row>
    <row r="67" spans="2:9" x14ac:dyDescent="0.3">
      <c r="B67" s="284" t="s">
        <v>278</v>
      </c>
      <c r="C67" s="281">
        <v>100</v>
      </c>
      <c r="D67" s="281">
        <v>100</v>
      </c>
      <c r="E67" s="281">
        <v>100</v>
      </c>
      <c r="F67" s="281">
        <v>100</v>
      </c>
      <c r="G67" s="281">
        <v>100</v>
      </c>
      <c r="H67" s="281">
        <v>100</v>
      </c>
      <c r="I67" s="281">
        <v>100</v>
      </c>
    </row>
    <row r="72" spans="2:9" x14ac:dyDescent="0.3">
      <c r="B72" s="280"/>
      <c r="C72" s="280">
        <v>1995</v>
      </c>
      <c r="D72" s="280">
        <v>2000</v>
      </c>
      <c r="E72" s="280">
        <v>2005</v>
      </c>
      <c r="F72" s="280">
        <v>2010</v>
      </c>
      <c r="G72" s="280">
        <v>2015</v>
      </c>
      <c r="H72" s="280">
        <v>2020</v>
      </c>
      <c r="I72" s="280">
        <v>2021</v>
      </c>
    </row>
    <row r="73" spans="2:9" x14ac:dyDescent="0.3">
      <c r="B73" s="280" t="s">
        <v>404</v>
      </c>
      <c r="C73" s="281">
        <v>3.88</v>
      </c>
      <c r="D73" s="281">
        <v>3.75</v>
      </c>
      <c r="E73" s="281">
        <v>2.77</v>
      </c>
      <c r="F73" s="281">
        <v>2.4300000000000002</v>
      </c>
      <c r="G73" s="281">
        <v>2.73</v>
      </c>
      <c r="H73" s="281">
        <v>2.87</v>
      </c>
      <c r="I73" s="281">
        <v>2.61</v>
      </c>
    </row>
    <row r="74" spans="2:9" x14ac:dyDescent="0.3">
      <c r="B74" s="280" t="s">
        <v>123</v>
      </c>
      <c r="C74" s="281">
        <v>19.760000000000002</v>
      </c>
      <c r="D74" s="281">
        <v>18.78</v>
      </c>
      <c r="E74" s="281">
        <v>16.489999999999998</v>
      </c>
      <c r="F74" s="281">
        <v>15</v>
      </c>
      <c r="G74" s="281">
        <v>14.84</v>
      </c>
      <c r="H74" s="281">
        <v>14.6</v>
      </c>
      <c r="I74" s="281">
        <v>15.31</v>
      </c>
    </row>
    <row r="75" spans="2:9" x14ac:dyDescent="0.3">
      <c r="B75" s="282"/>
      <c r="C75" s="283"/>
      <c r="D75" s="283"/>
      <c r="E75" s="283"/>
      <c r="F75" s="283"/>
      <c r="G75" s="283"/>
      <c r="H75" s="283"/>
      <c r="I75" s="283"/>
    </row>
    <row r="76" spans="2:9" x14ac:dyDescent="0.3">
      <c r="B76" s="280" t="s">
        <v>124</v>
      </c>
      <c r="C76" s="281">
        <v>8.58</v>
      </c>
      <c r="D76" s="281">
        <v>9.19</v>
      </c>
      <c r="E76" s="281">
        <v>10.68</v>
      </c>
      <c r="F76" s="281">
        <v>8.16</v>
      </c>
      <c r="G76" s="281">
        <v>5.23</v>
      </c>
      <c r="H76" s="281">
        <v>5.53</v>
      </c>
      <c r="I76" s="281">
        <v>5.04</v>
      </c>
    </row>
    <row r="77" spans="2:9" x14ac:dyDescent="0.3">
      <c r="B77" s="280" t="s">
        <v>125</v>
      </c>
      <c r="C77" s="281">
        <v>60.37</v>
      </c>
      <c r="D77" s="281">
        <v>59.2</v>
      </c>
      <c r="E77" s="281">
        <v>59.82</v>
      </c>
      <c r="F77" s="281">
        <v>66.28</v>
      </c>
      <c r="G77" s="281">
        <v>68</v>
      </c>
      <c r="H77" s="281">
        <v>68.239999999999995</v>
      </c>
      <c r="I77" s="281">
        <v>67.430000000000007</v>
      </c>
    </row>
    <row r="78" spans="2:9" x14ac:dyDescent="0.3">
      <c r="B78" s="282"/>
      <c r="C78" s="283"/>
      <c r="D78" s="283"/>
      <c r="E78" s="283"/>
      <c r="F78" s="283"/>
      <c r="G78" s="283"/>
      <c r="H78" s="283"/>
      <c r="I78" s="283"/>
    </row>
    <row r="79" spans="2:9" x14ac:dyDescent="0.3">
      <c r="B79" s="282"/>
      <c r="C79" s="283"/>
      <c r="D79" s="283"/>
      <c r="E79" s="283"/>
      <c r="F79" s="283"/>
      <c r="G79" s="283"/>
      <c r="H79" s="283"/>
      <c r="I79" s="283"/>
    </row>
    <row r="80" spans="2:9" x14ac:dyDescent="0.3">
      <c r="B80" s="282"/>
      <c r="C80" s="283"/>
      <c r="D80" s="283"/>
      <c r="E80" s="283"/>
      <c r="F80" s="283"/>
      <c r="G80" s="283"/>
      <c r="H80" s="283"/>
      <c r="I80" s="283"/>
    </row>
    <row r="81" spans="2:9" x14ac:dyDescent="0.3">
      <c r="B81" s="282"/>
      <c r="C81" s="283"/>
      <c r="D81" s="283"/>
      <c r="E81" s="283"/>
      <c r="F81" s="283"/>
      <c r="G81" s="283"/>
      <c r="H81" s="283"/>
      <c r="I81" s="283"/>
    </row>
    <row r="82" spans="2:9" x14ac:dyDescent="0.3">
      <c r="B82" s="282"/>
      <c r="C82" s="283"/>
      <c r="D82" s="283"/>
      <c r="E82" s="283"/>
      <c r="F82" s="283"/>
      <c r="G82" s="283"/>
      <c r="H82" s="283"/>
      <c r="I82" s="283"/>
    </row>
    <row r="83" spans="2:9" x14ac:dyDescent="0.3">
      <c r="B83" s="282"/>
      <c r="C83" s="283"/>
      <c r="D83" s="283"/>
      <c r="E83" s="283"/>
      <c r="F83" s="283"/>
      <c r="G83" s="283"/>
      <c r="H83" s="283"/>
      <c r="I83" s="283"/>
    </row>
    <row r="84" spans="2:9" x14ac:dyDescent="0.3">
      <c r="B84" s="282"/>
      <c r="C84" s="283"/>
      <c r="D84" s="283"/>
      <c r="E84" s="283"/>
      <c r="F84" s="283"/>
      <c r="G84" s="283"/>
      <c r="H84" s="283"/>
      <c r="I84" s="283"/>
    </row>
    <row r="85" spans="2:9" x14ac:dyDescent="0.3">
      <c r="B85" s="280" t="s">
        <v>405</v>
      </c>
      <c r="C85" s="281">
        <v>7.41</v>
      </c>
      <c r="D85" s="281">
        <v>9.09</v>
      </c>
      <c r="E85" s="281">
        <v>10.24</v>
      </c>
      <c r="F85" s="281">
        <v>8.1300000000000008</v>
      </c>
      <c r="G85" s="281">
        <v>9.19</v>
      </c>
      <c r="H85" s="281">
        <v>8.76</v>
      </c>
      <c r="I85" s="281">
        <v>9.61</v>
      </c>
    </row>
    <row r="86" spans="2:9" x14ac:dyDescent="0.3">
      <c r="B86" s="284"/>
      <c r="C86" s="281">
        <f>SUM(C73:C85)</f>
        <v>100</v>
      </c>
      <c r="D86" s="281"/>
      <c r="E86" s="281"/>
      <c r="F86" s="281"/>
      <c r="G86" s="281"/>
      <c r="H86" s="281"/>
      <c r="I86" s="281"/>
    </row>
    <row r="92" spans="2:9" x14ac:dyDescent="0.3">
      <c r="B92" s="285"/>
      <c r="C92" s="285">
        <v>1995</v>
      </c>
      <c r="D92" s="285">
        <v>2007</v>
      </c>
      <c r="E92" s="285">
        <v>2013</v>
      </c>
      <c r="F92" s="285">
        <v>2019</v>
      </c>
      <c r="G92" s="285">
        <v>2021</v>
      </c>
    </row>
    <row r="93" spans="2:9" ht="48" x14ac:dyDescent="0.3">
      <c r="B93" s="285" t="s">
        <v>404</v>
      </c>
      <c r="C93" s="286" t="s">
        <v>400</v>
      </c>
      <c r="D93" s="287">
        <v>-0.4</v>
      </c>
      <c r="E93" s="287">
        <v>1.1100000000000001</v>
      </c>
      <c r="F93" s="287">
        <v>-0.82</v>
      </c>
      <c r="G93" s="287">
        <v>1.0900000000000001</v>
      </c>
    </row>
    <row r="94" spans="2:9" x14ac:dyDescent="0.3">
      <c r="B94" s="285" t="s">
        <v>123</v>
      </c>
      <c r="C94" s="286" t="s">
        <v>400</v>
      </c>
      <c r="D94" s="287">
        <v>-0.68</v>
      </c>
      <c r="E94" s="287">
        <v>-0.9</v>
      </c>
      <c r="F94" s="287">
        <v>-0.14000000000000001</v>
      </c>
      <c r="G94" s="287">
        <v>-0.09</v>
      </c>
    </row>
    <row r="95" spans="2:9" x14ac:dyDescent="0.3">
      <c r="B95" s="288"/>
      <c r="C95" s="286"/>
      <c r="D95" s="287"/>
      <c r="E95" s="287"/>
      <c r="F95" s="287"/>
      <c r="G95" s="287"/>
    </row>
    <row r="96" spans="2:9" x14ac:dyDescent="0.3">
      <c r="B96" s="285" t="s">
        <v>124</v>
      </c>
      <c r="C96" s="286" t="s">
        <v>400</v>
      </c>
      <c r="D96" s="287">
        <v>-0.5</v>
      </c>
      <c r="E96" s="287">
        <v>-4.3600000000000003</v>
      </c>
      <c r="F96" s="287">
        <v>0.09</v>
      </c>
      <c r="G96" s="287">
        <v>-0.87</v>
      </c>
    </row>
    <row r="97" spans="2:7" x14ac:dyDescent="0.3">
      <c r="B97" s="285" t="s">
        <v>125</v>
      </c>
      <c r="C97" s="286" t="s">
        <v>400</v>
      </c>
      <c r="D97" s="287">
        <v>0.15</v>
      </c>
      <c r="E97" s="287">
        <v>0.86</v>
      </c>
      <c r="F97" s="287">
        <v>-0.05</v>
      </c>
      <c r="G97" s="287">
        <v>0.03</v>
      </c>
    </row>
    <row r="98" spans="2:7" x14ac:dyDescent="0.3">
      <c r="B98" s="288"/>
      <c r="C98" s="286"/>
      <c r="D98" s="287"/>
      <c r="E98" s="287"/>
      <c r="F98" s="287"/>
      <c r="G98" s="287"/>
    </row>
    <row r="99" spans="2:7" x14ac:dyDescent="0.3">
      <c r="B99" s="288"/>
      <c r="C99" s="286"/>
      <c r="D99" s="287"/>
      <c r="E99" s="287"/>
      <c r="F99" s="287"/>
      <c r="G99" s="287"/>
    </row>
    <row r="100" spans="2:7" x14ac:dyDescent="0.3">
      <c r="B100" s="288"/>
      <c r="C100" s="286"/>
      <c r="D100" s="287"/>
      <c r="E100" s="287"/>
      <c r="F100" s="287"/>
      <c r="G100" s="287"/>
    </row>
    <row r="101" spans="2:7" x14ac:dyDescent="0.3">
      <c r="B101" s="288"/>
      <c r="C101" s="286"/>
      <c r="D101" s="287"/>
      <c r="E101" s="287"/>
      <c r="F101" s="287"/>
      <c r="G101" s="287"/>
    </row>
    <row r="102" spans="2:7" x14ac:dyDescent="0.3">
      <c r="B102" s="288"/>
      <c r="C102" s="286"/>
      <c r="D102" s="287"/>
      <c r="E102" s="287"/>
      <c r="F102" s="287"/>
      <c r="G102" s="287"/>
    </row>
    <row r="103" spans="2:7" x14ac:dyDescent="0.3">
      <c r="B103" s="288"/>
      <c r="C103" s="286"/>
      <c r="D103" s="287"/>
      <c r="E103" s="287"/>
      <c r="F103" s="287"/>
      <c r="G103" s="287"/>
    </row>
    <row r="104" spans="2:7" x14ac:dyDescent="0.3">
      <c r="B104" s="288"/>
      <c r="C104" s="286"/>
      <c r="D104" s="287"/>
      <c r="E104" s="287"/>
      <c r="F104" s="287"/>
      <c r="G104" s="287"/>
    </row>
    <row r="105" spans="2:7" ht="60" x14ac:dyDescent="0.3">
      <c r="B105" s="285" t="s">
        <v>405</v>
      </c>
      <c r="C105" s="286" t="s">
        <v>400</v>
      </c>
      <c r="D105" s="287">
        <v>0.94</v>
      </c>
      <c r="E105" s="287">
        <v>-1.1000000000000001</v>
      </c>
      <c r="F105" s="287">
        <v>0.81</v>
      </c>
      <c r="G105" s="287">
        <v>0.14000000000000001</v>
      </c>
    </row>
    <row r="106" spans="2:7" x14ac:dyDescent="0.3">
      <c r="B106" s="289"/>
      <c r="C106" s="286"/>
      <c r="D106" s="287"/>
      <c r="E106" s="287"/>
      <c r="F106" s="287"/>
      <c r="G106" s="287"/>
    </row>
    <row r="116" spans="3:9" x14ac:dyDescent="0.3">
      <c r="C116" s="289" t="s">
        <v>406</v>
      </c>
      <c r="D116" s="289">
        <v>2000</v>
      </c>
      <c r="E116" s="289">
        <v>2005</v>
      </c>
      <c r="F116" s="289">
        <v>2010</v>
      </c>
      <c r="G116" s="289">
        <v>2015</v>
      </c>
      <c r="H116" s="289">
        <v>2020</v>
      </c>
      <c r="I116" s="289">
        <v>2021</v>
      </c>
    </row>
    <row r="117" spans="3:9" ht="34.200000000000003" x14ac:dyDescent="0.3">
      <c r="C117" s="288" t="s">
        <v>407</v>
      </c>
      <c r="D117" s="290">
        <v>43.86</v>
      </c>
      <c r="E117" s="290">
        <v>37.57</v>
      </c>
      <c r="F117" s="290">
        <v>21.1</v>
      </c>
      <c r="G117" s="290">
        <v>-6.44</v>
      </c>
      <c r="H117" s="290">
        <v>12.74</v>
      </c>
      <c r="I117" s="290">
        <v>5.27</v>
      </c>
    </row>
    <row r="118" spans="3:9" ht="45.6" x14ac:dyDescent="0.3">
      <c r="C118" s="288" t="s">
        <v>408</v>
      </c>
      <c r="D118" s="290">
        <v>32.9</v>
      </c>
      <c r="E118" s="290">
        <v>45.65</v>
      </c>
      <c r="F118" s="290">
        <v>15.87</v>
      </c>
      <c r="G118" s="290">
        <v>3.62</v>
      </c>
      <c r="H118" s="290">
        <v>-2.69</v>
      </c>
      <c r="I118" s="290">
        <v>7.79</v>
      </c>
    </row>
    <row r="119" spans="3:9" ht="60" x14ac:dyDescent="0.3">
      <c r="C119" s="289" t="s">
        <v>278</v>
      </c>
      <c r="D119" s="287">
        <v>40.659999999999997</v>
      </c>
      <c r="E119" s="287">
        <v>43.14</v>
      </c>
      <c r="F119" s="287">
        <v>15.67</v>
      </c>
      <c r="G119" s="287">
        <v>0.5</v>
      </c>
      <c r="H119" s="287">
        <v>3.7</v>
      </c>
      <c r="I119" s="287">
        <v>7.95</v>
      </c>
    </row>
    <row r="120" spans="3:9" ht="36" x14ac:dyDescent="0.3">
      <c r="C120" s="289" t="s">
        <v>402</v>
      </c>
      <c r="D120" s="290">
        <v>37.76</v>
      </c>
      <c r="E120" s="290">
        <v>32.950000000000003</v>
      </c>
      <c r="F120" s="290">
        <v>8.4700000000000006</v>
      </c>
      <c r="G120" s="290">
        <v>0.83</v>
      </c>
      <c r="H120" s="290">
        <v>1.63</v>
      </c>
      <c r="I120" s="290">
        <v>8.01</v>
      </c>
    </row>
    <row r="122" spans="3:9" ht="22.8" x14ac:dyDescent="0.3">
      <c r="C122" s="288" t="s">
        <v>409</v>
      </c>
    </row>
    <row r="129" spans="3:10" x14ac:dyDescent="0.3">
      <c r="C129" s="289"/>
      <c r="D129" s="289"/>
      <c r="E129" s="289"/>
      <c r="F129" s="289"/>
      <c r="G129" s="289"/>
      <c r="H129" s="289"/>
      <c r="I129" s="289"/>
      <c r="J129" s="289">
        <v>2021</v>
      </c>
    </row>
    <row r="130" spans="3:10" ht="36" x14ac:dyDescent="0.3">
      <c r="C130" s="291" t="s">
        <v>407</v>
      </c>
      <c r="D130" s="290"/>
      <c r="E130" s="290"/>
      <c r="F130" s="290"/>
      <c r="G130" s="290"/>
      <c r="H130" s="290"/>
      <c r="I130" s="290"/>
      <c r="J130" s="290">
        <v>54.1</v>
      </c>
    </row>
    <row r="131" spans="3:10" ht="60" x14ac:dyDescent="0.3">
      <c r="C131" s="291" t="s">
        <v>408</v>
      </c>
      <c r="D131" s="290"/>
      <c r="E131" s="290"/>
      <c r="F131" s="290"/>
      <c r="G131" s="290"/>
      <c r="H131" s="290"/>
      <c r="I131" s="290"/>
      <c r="J131" s="290">
        <v>45.9</v>
      </c>
    </row>
    <row r="132" spans="3:10" ht="60" x14ac:dyDescent="0.3">
      <c r="C132" s="289" t="s">
        <v>278</v>
      </c>
      <c r="D132" s="292">
        <v>100</v>
      </c>
      <c r="E132" s="292">
        <v>100</v>
      </c>
      <c r="F132" s="292">
        <v>100</v>
      </c>
      <c r="G132" s="292">
        <v>100</v>
      </c>
      <c r="H132" s="292">
        <v>100</v>
      </c>
      <c r="I132" s="292">
        <v>100</v>
      </c>
      <c r="J132" s="292">
        <v>100</v>
      </c>
    </row>
    <row r="146" spans="3:8" x14ac:dyDescent="0.3">
      <c r="C146" s="285"/>
      <c r="D146" s="285">
        <v>1995</v>
      </c>
      <c r="E146" s="285">
        <v>2007</v>
      </c>
      <c r="F146" s="285">
        <v>2013</v>
      </c>
      <c r="G146" s="285">
        <v>2019</v>
      </c>
      <c r="H146" s="285">
        <v>2021</v>
      </c>
    </row>
    <row r="147" spans="3:8" x14ac:dyDescent="0.3">
      <c r="C147" s="280" t="s">
        <v>404</v>
      </c>
      <c r="D147" s="286" t="s">
        <v>400</v>
      </c>
      <c r="E147" s="287">
        <v>-0.4</v>
      </c>
      <c r="F147" s="287">
        <v>2.2400000000000002</v>
      </c>
      <c r="G147" s="287">
        <v>-1.64</v>
      </c>
      <c r="H147" s="287">
        <v>6.75</v>
      </c>
    </row>
    <row r="148" spans="3:8" x14ac:dyDescent="0.3">
      <c r="C148" s="280" t="s">
        <v>123</v>
      </c>
      <c r="D148" s="286" t="s">
        <v>400</v>
      </c>
      <c r="E148" s="287">
        <v>-0.68</v>
      </c>
      <c r="F148" s="287">
        <v>-1.79</v>
      </c>
      <c r="G148" s="287">
        <v>-0.27</v>
      </c>
      <c r="H148" s="287">
        <v>-0.53</v>
      </c>
    </row>
    <row r="149" spans="3:8" x14ac:dyDescent="0.3">
      <c r="C149" s="282"/>
      <c r="D149" s="286"/>
      <c r="E149" s="287"/>
      <c r="F149" s="287"/>
      <c r="G149" s="287"/>
      <c r="H149" s="287"/>
    </row>
    <row r="150" spans="3:8" x14ac:dyDescent="0.3">
      <c r="C150" s="280" t="s">
        <v>124</v>
      </c>
      <c r="D150" s="286" t="s">
        <v>400</v>
      </c>
      <c r="E150" s="287">
        <v>-0.5</v>
      </c>
      <c r="F150" s="287">
        <v>-8.5399999999999991</v>
      </c>
      <c r="G150" s="287">
        <v>0.17</v>
      </c>
      <c r="H150" s="287">
        <v>-5.1100000000000003</v>
      </c>
    </row>
    <row r="151" spans="3:8" x14ac:dyDescent="0.3">
      <c r="C151" s="280" t="s">
        <v>125</v>
      </c>
      <c r="D151" s="286" t="s">
        <v>400</v>
      </c>
      <c r="E151" s="287">
        <v>0.15</v>
      </c>
      <c r="F151" s="287">
        <v>1.72</v>
      </c>
      <c r="G151" s="287">
        <v>-0.11</v>
      </c>
      <c r="H151" s="287">
        <v>0.15</v>
      </c>
    </row>
    <row r="152" spans="3:8" x14ac:dyDescent="0.3">
      <c r="C152" s="282"/>
      <c r="D152" s="286"/>
      <c r="E152" s="287"/>
      <c r="F152" s="287"/>
      <c r="G152" s="287"/>
      <c r="H152" s="287"/>
    </row>
    <row r="153" spans="3:8" x14ac:dyDescent="0.3">
      <c r="C153" s="282"/>
      <c r="D153" s="286"/>
      <c r="E153" s="287"/>
      <c r="F153" s="287"/>
      <c r="G153" s="287"/>
      <c r="H153" s="287"/>
    </row>
    <row r="154" spans="3:8" x14ac:dyDescent="0.3">
      <c r="C154" s="282"/>
      <c r="D154" s="286"/>
      <c r="E154" s="287"/>
      <c r="F154" s="287"/>
      <c r="G154" s="287"/>
      <c r="H154" s="287"/>
    </row>
    <row r="155" spans="3:8" x14ac:dyDescent="0.3">
      <c r="C155" s="282"/>
      <c r="D155" s="286"/>
      <c r="E155" s="287"/>
      <c r="F155" s="287"/>
      <c r="G155" s="287"/>
      <c r="H155" s="287"/>
    </row>
    <row r="156" spans="3:8" x14ac:dyDescent="0.3">
      <c r="C156" s="282"/>
      <c r="D156" s="286"/>
      <c r="E156" s="287"/>
      <c r="F156" s="287"/>
      <c r="G156" s="287"/>
      <c r="H156" s="287"/>
    </row>
    <row r="157" spans="3:8" x14ac:dyDescent="0.3">
      <c r="C157" s="282"/>
      <c r="D157" s="286"/>
      <c r="E157" s="287"/>
      <c r="F157" s="287"/>
      <c r="G157" s="287"/>
      <c r="H157" s="287"/>
    </row>
    <row r="158" spans="3:8" x14ac:dyDescent="0.3">
      <c r="C158" s="282"/>
      <c r="D158" s="286"/>
      <c r="E158" s="287"/>
      <c r="F158" s="287"/>
      <c r="G158" s="287"/>
      <c r="H158" s="287"/>
    </row>
    <row r="159" spans="3:8" x14ac:dyDescent="0.3">
      <c r="C159" s="280" t="s">
        <v>405</v>
      </c>
      <c r="D159" s="286" t="s">
        <v>400</v>
      </c>
      <c r="E159" s="287">
        <v>0.94</v>
      </c>
      <c r="F159" s="287">
        <v>-2.1800000000000002</v>
      </c>
      <c r="G159" s="287">
        <v>1.63</v>
      </c>
      <c r="H159" s="287">
        <v>0.85</v>
      </c>
    </row>
    <row r="160" spans="3:8" x14ac:dyDescent="0.3">
      <c r="C160" s="284" t="s">
        <v>278</v>
      </c>
      <c r="D160" s="286"/>
      <c r="E160" s="287"/>
      <c r="F160" s="287"/>
      <c r="G160" s="287"/>
      <c r="H160" s="287"/>
    </row>
    <row r="172" spans="3:8" x14ac:dyDescent="0.3">
      <c r="C172" s="293" t="s">
        <v>410</v>
      </c>
      <c r="D172" s="285">
        <v>1995</v>
      </c>
      <c r="E172" s="285">
        <v>2007</v>
      </c>
      <c r="F172" s="285">
        <v>2013</v>
      </c>
      <c r="G172" s="285">
        <v>2019</v>
      </c>
      <c r="H172" s="285">
        <v>2021</v>
      </c>
    </row>
    <row r="173" spans="3:8" x14ac:dyDescent="0.3">
      <c r="C173" s="280" t="s">
        <v>404</v>
      </c>
      <c r="D173" s="286" t="s">
        <v>400</v>
      </c>
      <c r="E173" s="287">
        <v>3.3</v>
      </c>
      <c r="F173" s="287">
        <v>0.88</v>
      </c>
      <c r="G173" s="287">
        <v>0.9</v>
      </c>
      <c r="H173" s="287">
        <v>3.26</v>
      </c>
    </row>
    <row r="174" spans="3:8" x14ac:dyDescent="0.3">
      <c r="C174" s="280" t="s">
        <v>123</v>
      </c>
      <c r="D174" s="286" t="s">
        <v>400</v>
      </c>
      <c r="E174" s="287">
        <v>3.01</v>
      </c>
      <c r="F174" s="287">
        <v>-3.1</v>
      </c>
      <c r="G174" s="287">
        <v>2.2999999999999998</v>
      </c>
      <c r="H174" s="287">
        <v>-3.78</v>
      </c>
    </row>
    <row r="175" spans="3:8" x14ac:dyDescent="0.3">
      <c r="C175" s="282"/>
      <c r="D175" s="286"/>
      <c r="E175" s="287"/>
      <c r="F175" s="287"/>
      <c r="G175" s="287"/>
      <c r="H175" s="287"/>
    </row>
    <row r="176" spans="3:8" x14ac:dyDescent="0.3">
      <c r="C176" s="280" t="s">
        <v>124</v>
      </c>
      <c r="D176" s="286" t="s">
        <v>400</v>
      </c>
      <c r="E176" s="287">
        <v>3.2</v>
      </c>
      <c r="F176" s="287">
        <v>-9.75</v>
      </c>
      <c r="G176" s="287">
        <v>2.76</v>
      </c>
      <c r="H176" s="287">
        <v>-8.2100000000000009</v>
      </c>
    </row>
    <row r="177" spans="3:8" x14ac:dyDescent="0.3">
      <c r="C177" s="280" t="s">
        <v>125</v>
      </c>
      <c r="D177" s="286" t="s">
        <v>400</v>
      </c>
      <c r="E177" s="287">
        <v>3.87</v>
      </c>
      <c r="F177" s="287">
        <v>0.37</v>
      </c>
      <c r="G177" s="287">
        <v>2.4700000000000002</v>
      </c>
      <c r="H177" s="287">
        <v>-3.12</v>
      </c>
    </row>
    <row r="178" spans="3:8" x14ac:dyDescent="0.3">
      <c r="C178" s="282"/>
      <c r="D178" s="286"/>
      <c r="E178" s="287"/>
      <c r="F178" s="287"/>
      <c r="G178" s="287"/>
      <c r="H178" s="287"/>
    </row>
    <row r="179" spans="3:8" x14ac:dyDescent="0.3">
      <c r="C179" s="282"/>
      <c r="D179" s="286"/>
      <c r="E179" s="287"/>
      <c r="F179" s="287"/>
      <c r="G179" s="287"/>
      <c r="H179" s="287"/>
    </row>
    <row r="180" spans="3:8" x14ac:dyDescent="0.3">
      <c r="C180" s="282"/>
      <c r="D180" s="286"/>
      <c r="E180" s="287"/>
      <c r="F180" s="287"/>
      <c r="G180" s="287"/>
      <c r="H180" s="287"/>
    </row>
    <row r="181" spans="3:8" x14ac:dyDescent="0.3">
      <c r="C181" s="282"/>
      <c r="D181" s="286"/>
      <c r="E181" s="287"/>
      <c r="F181" s="287"/>
      <c r="G181" s="287"/>
      <c r="H181" s="287"/>
    </row>
    <row r="182" spans="3:8" x14ac:dyDescent="0.3">
      <c r="C182" s="282"/>
      <c r="D182" s="286"/>
      <c r="E182" s="287"/>
      <c r="F182" s="287"/>
      <c r="G182" s="287"/>
      <c r="H182" s="287"/>
    </row>
    <row r="183" spans="3:8" x14ac:dyDescent="0.3">
      <c r="C183" s="282"/>
      <c r="D183" s="286"/>
      <c r="E183" s="287"/>
      <c r="F183" s="287"/>
      <c r="G183" s="287"/>
      <c r="H183" s="287"/>
    </row>
    <row r="184" spans="3:8" x14ac:dyDescent="0.3">
      <c r="C184" s="282"/>
      <c r="D184" s="286"/>
      <c r="E184" s="287"/>
      <c r="F184" s="287"/>
      <c r="G184" s="287"/>
      <c r="H184" s="287"/>
    </row>
    <row r="185" spans="3:8" x14ac:dyDescent="0.3">
      <c r="C185" s="280" t="s">
        <v>405</v>
      </c>
      <c r="D185" s="286" t="s">
        <v>400</v>
      </c>
      <c r="E185" s="287">
        <v>4.6900000000000004</v>
      </c>
      <c r="F185" s="287">
        <v>-3.48</v>
      </c>
      <c r="G185" s="287">
        <v>4.26</v>
      </c>
      <c r="H185" s="287">
        <v>-2.4500000000000002</v>
      </c>
    </row>
    <row r="186" spans="3:8" x14ac:dyDescent="0.3">
      <c r="C186" s="284" t="s">
        <v>278</v>
      </c>
      <c r="D186" s="286" t="s">
        <v>400</v>
      </c>
      <c r="E186" s="287">
        <v>3.72</v>
      </c>
      <c r="F186" s="287">
        <v>-1.33</v>
      </c>
      <c r="G186" s="287">
        <v>2.58</v>
      </c>
      <c r="H186" s="287">
        <v>-3.27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Tecnicas Basicas</vt:lpstr>
      <vt:lpstr>Ejercicios T1</vt:lpstr>
      <vt:lpstr>Ejercicios T2</vt:lpstr>
      <vt:lpstr>Ejercicios T3</vt:lpstr>
      <vt:lpstr>Ejercicios T4</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2023-06-04T16:45:44Z</cp:lastPrinted>
  <dcterms:created xsi:type="dcterms:W3CDTF">2015-06-05T18:19:34Z</dcterms:created>
  <dcterms:modified xsi:type="dcterms:W3CDTF">2023-06-04T16:48:14Z</dcterms:modified>
</cp:coreProperties>
</file>