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suario\Desktop\David\Inf + Ade\4 curso\1 cuatrimestre\Contabilidad de Gestion\Ejercicios\"/>
    </mc:Choice>
  </mc:AlternateContent>
  <xr:revisionPtr revIDLastSave="0" documentId="13_ncr:1_{68068304-6635-452B-811C-1D804106222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ema 4" sheetId="1" r:id="rId1"/>
    <sheet name="Tema 5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4" i="2" l="1"/>
  <c r="E52" i="2"/>
  <c r="E44" i="2"/>
  <c r="F51" i="2"/>
  <c r="F49" i="2"/>
  <c r="F48" i="2"/>
  <c r="F47" i="2"/>
  <c r="D48" i="2"/>
  <c r="B43" i="2"/>
  <c r="E43" i="2"/>
  <c r="E36" i="2"/>
  <c r="E42" i="2"/>
  <c r="F29" i="2"/>
  <c r="F28" i="2"/>
  <c r="F27" i="2"/>
  <c r="J17" i="2"/>
  <c r="D20" i="2"/>
  <c r="D19" i="2"/>
  <c r="D18" i="2"/>
  <c r="C100" i="1"/>
  <c r="M97" i="1"/>
  <c r="H97" i="1"/>
  <c r="C97" i="1"/>
  <c r="C84" i="1"/>
  <c r="E79" i="1"/>
  <c r="J81" i="1"/>
  <c r="E81" i="1"/>
  <c r="O80" i="1"/>
  <c r="O81" i="1" s="1"/>
  <c r="J80" i="1"/>
  <c r="E80" i="1"/>
  <c r="O79" i="1"/>
  <c r="C72" i="1"/>
  <c r="O67" i="1"/>
  <c r="J69" i="1"/>
  <c r="O68" i="1"/>
  <c r="O69" i="1" s="1"/>
  <c r="J68" i="1"/>
  <c r="E69" i="1"/>
  <c r="E68" i="1"/>
  <c r="E67" i="1"/>
  <c r="D62" i="1"/>
  <c r="D61" i="1"/>
  <c r="D60" i="1"/>
  <c r="E48" i="1"/>
  <c r="X34" i="1"/>
  <c r="X33" i="1"/>
  <c r="X36" i="1" s="1"/>
  <c r="W29" i="1"/>
  <c r="T30" i="1"/>
  <c r="R30" i="1"/>
  <c r="Q30" i="1"/>
  <c r="O30" i="1"/>
  <c r="U27" i="1"/>
  <c r="U26" i="1"/>
  <c r="U24" i="1"/>
  <c r="U23" i="1"/>
  <c r="U25" i="1"/>
  <c r="U22" i="1"/>
  <c r="T24" i="1"/>
  <c r="T25" i="1"/>
  <c r="T26" i="1"/>
  <c r="T27" i="1"/>
  <c r="T28" i="1"/>
  <c r="T29" i="1"/>
  <c r="T23" i="1"/>
  <c r="Q21" i="1"/>
  <c r="Q22" i="1"/>
  <c r="Q23" i="1"/>
  <c r="Q24" i="1"/>
  <c r="Q25" i="1"/>
  <c r="Q26" i="1"/>
  <c r="Q27" i="1"/>
  <c r="Q28" i="1"/>
  <c r="Q29" i="1"/>
  <c r="W20" i="1"/>
  <c r="Q20" i="1"/>
  <c r="L34" i="1"/>
  <c r="L31" i="1"/>
  <c r="L32" i="1"/>
  <c r="K29" i="1"/>
  <c r="I29" i="1"/>
  <c r="H26" i="1"/>
  <c r="H30" i="1" s="1"/>
  <c r="H27" i="1"/>
  <c r="H28" i="1"/>
  <c r="H25" i="1"/>
  <c r="E30" i="1"/>
  <c r="C30" i="1"/>
  <c r="F30" i="1"/>
  <c r="E21" i="1"/>
  <c r="E22" i="1"/>
  <c r="E23" i="1"/>
  <c r="E24" i="1"/>
  <c r="E25" i="1"/>
  <c r="E26" i="1"/>
  <c r="E27" i="1"/>
  <c r="E28" i="1"/>
  <c r="E29" i="1"/>
  <c r="G34" i="1"/>
  <c r="K20" i="1"/>
  <c r="E20" i="1"/>
  <c r="D11" i="1"/>
  <c r="D10" i="1"/>
  <c r="D9" i="1"/>
  <c r="D8" i="1"/>
</calcChain>
</file>

<file path=xl/sharedStrings.xml><?xml version="1.0" encoding="utf-8"?>
<sst xmlns="http://schemas.openxmlformats.org/spreadsheetml/2006/main" count="159" uniqueCount="101">
  <si>
    <t>Caso Practico 6:</t>
  </si>
  <si>
    <t>Compras</t>
  </si>
  <si>
    <t>2/12 --&gt; 310,50</t>
  </si>
  <si>
    <t>metros</t>
  </si>
  <si>
    <t>5/12 --&gt; 192</t>
  </si>
  <si>
    <t>12/12 --&gt; 401,50</t>
  </si>
  <si>
    <t>23/12 --&gt; 660</t>
  </si>
  <si>
    <t>Ventas</t>
  </si>
  <si>
    <t>Opcion A) FIFO Modalidad Mixta</t>
  </si>
  <si>
    <t>Fecha</t>
  </si>
  <si>
    <t>Entradas</t>
  </si>
  <si>
    <t>Salidas</t>
  </si>
  <si>
    <t>Existencias</t>
  </si>
  <si>
    <t>UC</t>
  </si>
  <si>
    <t>C.U</t>
  </si>
  <si>
    <t>C.T</t>
  </si>
  <si>
    <t>Como es Modalidad Mixta sacamos el Precio Medio Periodo:</t>
  </si>
  <si>
    <t>PMP =</t>
  </si>
  <si>
    <t>3,45$ / metros</t>
  </si>
  <si>
    <t>3,2 $ / metros</t>
  </si>
  <si>
    <t>3,65 / metros</t>
  </si>
  <si>
    <t>3,3$ / metros</t>
  </si>
  <si>
    <t>310,5 + 192 + 401,5 + 660</t>
  </si>
  <si>
    <t>90 + 50 + 110 + 200</t>
  </si>
  <si>
    <t xml:space="preserve"> --&gt;</t>
  </si>
  <si>
    <t>Diferencia contable --&gt;</t>
  </si>
  <si>
    <t xml:space="preserve">Diferencia real --&gt; </t>
  </si>
  <si>
    <t>Diferencia monetaria --&gt;</t>
  </si>
  <si>
    <t>Opcion B) Precio del dia o actual de reposicion</t>
  </si>
  <si>
    <t>Caso Practico 10:</t>
  </si>
  <si>
    <t>Salario base 10€/h</t>
  </si>
  <si>
    <t>Jornada laboral de 8h</t>
  </si>
  <si>
    <t>Produccion estandar de 100 tornillos</t>
  </si>
  <si>
    <t>Tornillos por hora --&gt;</t>
  </si>
  <si>
    <t>A</t>
  </si>
  <si>
    <t>Operario</t>
  </si>
  <si>
    <t>Produccion</t>
  </si>
  <si>
    <t>B</t>
  </si>
  <si>
    <t>C</t>
  </si>
  <si>
    <t>Sistema Halsey (0,7):</t>
  </si>
  <si>
    <t>T.Estimado</t>
  </si>
  <si>
    <t>T.Real</t>
  </si>
  <si>
    <t>Para el operario A:</t>
  </si>
  <si>
    <t>(12,8 - 8) * 10 * 0,7 --&gt;</t>
  </si>
  <si>
    <t>Salario minimo 8h * 10€/h --&gt;</t>
  </si>
  <si>
    <t>Total</t>
  </si>
  <si>
    <t>Para el operario B:</t>
  </si>
  <si>
    <t>(7,2 - 8) * 10 * 0,7 --&gt;</t>
  </si>
  <si>
    <t>No cumple</t>
  </si>
  <si>
    <t>(8 - 8) * 10 * 0,7 --&gt;</t>
  </si>
  <si>
    <t>Para el operario C:</t>
  </si>
  <si>
    <t>Total --&gt;</t>
  </si>
  <si>
    <t>Sistema Rowan:</t>
  </si>
  <si>
    <t>(12,8 - 8) * 10 * (8/12,8) --&gt;</t>
  </si>
  <si>
    <t>Sistema Taylor</t>
  </si>
  <si>
    <t>Tarifa superior 0,9</t>
  </si>
  <si>
    <t>Tarifa inferior 0,6</t>
  </si>
  <si>
    <t>Como ha tenido produccion de 160 &gt; 100</t>
  </si>
  <si>
    <t>Coste --&gt;</t>
  </si>
  <si>
    <t>Como ha tenido produccion de 90 &lt; 100</t>
  </si>
  <si>
    <t>Como ha tenido produccion de 100 &gt; 100</t>
  </si>
  <si>
    <t>Caso Practico 9:</t>
  </si>
  <si>
    <t>Valor Maquinaria --&gt;</t>
  </si>
  <si>
    <t>Valor Residual --&gt;</t>
  </si>
  <si>
    <t>Vida Util --&gt;</t>
  </si>
  <si>
    <t>12480 horas</t>
  </si>
  <si>
    <t>Conseguimos los tiempos Homogeneos</t>
  </si>
  <si>
    <t>0-2000h</t>
  </si>
  <si>
    <t>C.Rend</t>
  </si>
  <si>
    <t>2000-10000h</t>
  </si>
  <si>
    <t>10000-12480</t>
  </si>
  <si>
    <t>T.H --&gt;</t>
  </si>
  <si>
    <t>CUH --&gt;</t>
  </si>
  <si>
    <t>1752080 - 57000</t>
  </si>
  <si>
    <t>€/h.h</t>
  </si>
  <si>
    <t>Calculamos el uso previo:</t>
  </si>
  <si>
    <t>2500 h --&gt;</t>
  </si>
  <si>
    <t>85% C.U</t>
  </si>
  <si>
    <t>1500h</t>
  </si>
  <si>
    <t>70% C.U</t>
  </si>
  <si>
    <t>1000h</t>
  </si>
  <si>
    <t>h</t>
  </si>
  <si>
    <t>H.Totales --&gt;</t>
  </si>
  <si>
    <t>Faltan 25h para el proximo intervalo</t>
  </si>
  <si>
    <t>Calculamos la produccion que se nos pide:</t>
  </si>
  <si>
    <t>25 h</t>
  </si>
  <si>
    <t>C.R</t>
  </si>
  <si>
    <t>Prod</t>
  </si>
  <si>
    <t>100 m/h</t>
  </si>
  <si>
    <t>Produccion.T</t>
  </si>
  <si>
    <t>390 vehiculos</t>
  </si>
  <si>
    <t>40horas reales</t>
  </si>
  <si>
    <t>Superficie.T</t>
  </si>
  <si>
    <t>90 m/h</t>
  </si>
  <si>
    <t>T.Efectivo</t>
  </si>
  <si>
    <t>T.Homoge</t>
  </si>
  <si>
    <t>Coste Total --&gt;</t>
  </si>
  <si>
    <t>CAU --&gt;</t>
  </si>
  <si>
    <t>m</t>
  </si>
  <si>
    <t>€/m</t>
  </si>
  <si>
    <t xml:space="preserve">Intensidad ?? --&gt;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</si>
</sst>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/>
    <xf numFmtId="0" fontId="0" fillId="2" borderId="0" xfId="0" applyFill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3" borderId="10" xfId="0" applyFont="1" applyFill="1" applyBorder="1"/>
    <xf numFmtId="0" fontId="0" fillId="3" borderId="11" xfId="0" applyFill="1" applyBorder="1"/>
    <xf numFmtId="0" fontId="0" fillId="3" borderId="12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1" fillId="4" borderId="10" xfId="0" applyFont="1" applyFill="1" applyBorder="1"/>
    <xf numFmtId="0" fontId="0" fillId="4" borderId="11" xfId="0" applyFill="1" applyBorder="1"/>
    <xf numFmtId="0" fontId="0" fillId="4" borderId="12" xfId="0" applyFill="1" applyBorder="1"/>
    <xf numFmtId="0" fontId="0" fillId="5" borderId="5" xfId="0" applyFill="1" applyBorder="1"/>
    <xf numFmtId="0" fontId="0" fillId="5" borderId="0" xfId="0" applyFill="1"/>
    <xf numFmtId="0" fontId="0" fillId="5" borderId="2" xfId="0" applyFill="1" applyBorder="1"/>
    <xf numFmtId="0" fontId="0" fillId="5" borderId="4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16" fontId="0" fillId="5" borderId="10" xfId="0" applyNumberFormat="1" applyFill="1" applyBorder="1"/>
    <xf numFmtId="0" fontId="3" fillId="0" borderId="0" xfId="0" applyFont="1"/>
    <xf numFmtId="0" fontId="4" fillId="0" borderId="0" xfId="0" applyFont="1"/>
    <xf numFmtId="0" fontId="1" fillId="7" borderId="2" xfId="0" applyFont="1" applyFill="1" applyBorder="1"/>
    <xf numFmtId="0" fontId="1" fillId="7" borderId="3" xfId="0" applyFont="1" applyFill="1" applyBorder="1"/>
    <xf numFmtId="0" fontId="1" fillId="7" borderId="4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10" borderId="3" xfId="0" applyFont="1" applyFill="1" applyBorder="1"/>
    <xf numFmtId="0" fontId="0" fillId="10" borderId="4" xfId="0" applyFill="1" applyBorder="1"/>
    <xf numFmtId="0" fontId="0" fillId="8" borderId="5" xfId="0" applyFill="1" applyBorder="1"/>
    <xf numFmtId="0" fontId="0" fillId="8" borderId="0" xfId="0" applyFill="1"/>
    <xf numFmtId="0" fontId="0" fillId="8" borderId="6" xfId="0" applyFill="1" applyBorder="1"/>
    <xf numFmtId="0" fontId="0" fillId="7" borderId="5" xfId="0" applyFill="1" applyBorder="1"/>
    <xf numFmtId="0" fontId="0" fillId="7" borderId="0" xfId="0" applyFill="1"/>
    <xf numFmtId="0" fontId="0" fillId="7" borderId="6" xfId="0" applyFill="1" applyBorder="1"/>
    <xf numFmtId="0" fontId="0" fillId="10" borderId="0" xfId="0" applyFill="1"/>
    <xf numFmtId="0" fontId="0" fillId="10" borderId="6" xfId="0" applyFill="1" applyBorder="1"/>
    <xf numFmtId="0" fontId="0" fillId="9" borderId="14" xfId="0" applyFill="1" applyBorder="1"/>
    <xf numFmtId="0" fontId="0" fillId="6" borderId="14" xfId="0" applyFill="1" applyBorder="1"/>
    <xf numFmtId="0" fontId="0" fillId="11" borderId="14" xfId="0" applyFill="1" applyBorder="1"/>
    <xf numFmtId="0" fontId="0" fillId="11" borderId="16" xfId="0" applyFill="1" applyBorder="1"/>
    <xf numFmtId="0" fontId="0" fillId="9" borderId="18" xfId="0" applyFill="1" applyBorder="1"/>
    <xf numFmtId="0" fontId="0" fillId="6" borderId="18" xfId="0" applyFill="1" applyBorder="1"/>
    <xf numFmtId="0" fontId="0" fillId="11" borderId="18" xfId="0" applyFill="1" applyBorder="1"/>
    <xf numFmtId="0" fontId="0" fillId="11" borderId="19" xfId="0" applyFill="1" applyBorder="1"/>
    <xf numFmtId="0" fontId="0" fillId="9" borderId="21" xfId="0" applyFill="1" applyBorder="1"/>
    <xf numFmtId="0" fontId="0" fillId="6" borderId="21" xfId="0" applyFill="1" applyBorder="1"/>
    <xf numFmtId="0" fontId="0" fillId="11" borderId="21" xfId="0" applyFill="1" applyBorder="1"/>
    <xf numFmtId="0" fontId="0" fillId="11" borderId="22" xfId="0" applyFill="1" applyBorder="1"/>
    <xf numFmtId="0" fontId="0" fillId="8" borderId="25" xfId="0" applyFill="1" applyBorder="1"/>
    <xf numFmtId="0" fontId="0" fillId="9" borderId="20" xfId="0" applyFill="1" applyBorder="1"/>
    <xf numFmtId="0" fontId="0" fillId="9" borderId="22" xfId="0" applyFill="1" applyBorder="1"/>
    <xf numFmtId="0" fontId="0" fillId="9" borderId="15" xfId="0" applyFill="1" applyBorder="1"/>
    <xf numFmtId="0" fontId="0" fillId="9" borderId="17" xfId="0" applyFill="1" applyBorder="1"/>
    <xf numFmtId="0" fontId="0" fillId="11" borderId="26" xfId="0" applyFill="1" applyBorder="1"/>
    <xf numFmtId="0" fontId="0" fillId="11" borderId="27" xfId="0" applyFill="1" applyBorder="1"/>
    <xf numFmtId="0" fontId="0" fillId="11" borderId="28" xfId="0" applyFill="1" applyBorder="1"/>
    <xf numFmtId="0" fontId="0" fillId="6" borderId="20" xfId="0" applyFill="1" applyBorder="1"/>
    <xf numFmtId="0" fontId="0" fillId="6" borderId="22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16" fontId="0" fillId="8" borderId="23" xfId="0" applyNumberFormat="1" applyFill="1" applyBorder="1"/>
    <xf numFmtId="16" fontId="0" fillId="8" borderId="24" xfId="0" applyNumberFormat="1" applyFill="1" applyBorder="1"/>
    <xf numFmtId="0" fontId="0" fillId="2" borderId="1" xfId="0" applyFill="1" applyBorder="1"/>
    <xf numFmtId="0" fontId="0" fillId="2" borderId="13" xfId="0" applyFill="1" applyBorder="1"/>
    <xf numFmtId="0" fontId="0" fillId="0" borderId="29" xfId="0" applyBorder="1"/>
    <xf numFmtId="0" fontId="0" fillId="9" borderId="30" xfId="0" applyFill="1" applyBorder="1"/>
    <xf numFmtId="16" fontId="0" fillId="8" borderId="25" xfId="0" applyNumberFormat="1" applyFill="1" applyBorder="1"/>
    <xf numFmtId="0" fontId="0" fillId="6" borderId="30" xfId="0" applyFill="1" applyBorder="1"/>
    <xf numFmtId="0" fontId="5" fillId="0" borderId="0" xfId="0" applyFont="1"/>
    <xf numFmtId="0" fontId="0" fillId="0" borderId="2" xfId="0" applyBorder="1"/>
    <xf numFmtId="6" fontId="0" fillId="0" borderId="0" xfId="0" applyNumberFormat="1"/>
    <xf numFmtId="0" fontId="1" fillId="0" borderId="3" xfId="0" applyFont="1" applyBorder="1"/>
    <xf numFmtId="0" fontId="0" fillId="0" borderId="3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X100"/>
  <sheetViews>
    <sheetView tabSelected="1" topLeftCell="A57" zoomScale="115" zoomScaleNormal="115" workbookViewId="0">
      <selection activeCell="G61" sqref="G61"/>
    </sheetView>
  </sheetViews>
  <sheetFormatPr baseColWidth="10" defaultColWidth="8.88671875" defaultRowHeight="14.4" x14ac:dyDescent="0.3"/>
  <cols>
    <col min="5" max="5" width="15.6640625" customWidth="1"/>
  </cols>
  <sheetData>
    <row r="3" spans="2:14" ht="25.8" x14ac:dyDescent="0.5">
      <c r="B3" s="1" t="s">
        <v>0</v>
      </c>
    </row>
    <row r="5" spans="2:14" ht="15" thickBot="1" x14ac:dyDescent="0.35"/>
    <row r="6" spans="2:14" ht="15" thickBot="1" x14ac:dyDescent="0.35">
      <c r="B6" s="15" t="s">
        <v>1</v>
      </c>
      <c r="C6" s="16"/>
      <c r="D6" s="16"/>
      <c r="E6" s="17"/>
      <c r="G6" s="23" t="s">
        <v>7</v>
      </c>
      <c r="H6" s="24"/>
      <c r="I6" s="24"/>
      <c r="J6" s="25"/>
    </row>
    <row r="7" spans="2:14" ht="15" thickBot="1" x14ac:dyDescent="0.35">
      <c r="B7" s="10"/>
      <c r="C7" s="11"/>
      <c r="D7" s="18"/>
      <c r="E7" s="19"/>
      <c r="G7" s="26"/>
      <c r="H7" s="27"/>
      <c r="I7" s="28"/>
      <c r="J7" s="29"/>
    </row>
    <row r="8" spans="2:14" ht="15" thickBot="1" x14ac:dyDescent="0.35">
      <c r="B8" s="20" t="s">
        <v>2</v>
      </c>
      <c r="C8" s="21"/>
      <c r="D8" s="79">
        <f>310.5/3.45</f>
        <v>90</v>
      </c>
      <c r="E8" s="22" t="s">
        <v>18</v>
      </c>
      <c r="G8" s="33">
        <v>44902</v>
      </c>
      <c r="H8" s="31"/>
      <c r="I8" s="30">
        <v>180</v>
      </c>
      <c r="J8" s="32" t="s">
        <v>3</v>
      </c>
    </row>
    <row r="9" spans="2:14" ht="15" thickBot="1" x14ac:dyDescent="0.35">
      <c r="B9" s="20" t="s">
        <v>4</v>
      </c>
      <c r="C9" s="21"/>
      <c r="D9" s="79">
        <f>192/3.2</f>
        <v>60</v>
      </c>
      <c r="E9" s="22" t="s">
        <v>19</v>
      </c>
      <c r="G9" s="33">
        <v>44908</v>
      </c>
      <c r="H9" s="31"/>
      <c r="I9" s="30">
        <v>190</v>
      </c>
      <c r="J9" s="32" t="s">
        <v>3</v>
      </c>
    </row>
    <row r="10" spans="2:14" ht="15" thickBot="1" x14ac:dyDescent="0.35">
      <c r="B10" s="20" t="s">
        <v>5</v>
      </c>
      <c r="C10" s="21"/>
      <c r="D10" s="79">
        <f>401.5/3.65</f>
        <v>110</v>
      </c>
      <c r="E10" s="22" t="s">
        <v>20</v>
      </c>
      <c r="G10" s="33">
        <v>44915</v>
      </c>
      <c r="H10" s="31"/>
      <c r="I10" s="30">
        <v>240</v>
      </c>
      <c r="J10" s="32" t="s">
        <v>3</v>
      </c>
    </row>
    <row r="11" spans="2:14" ht="15" thickBot="1" x14ac:dyDescent="0.35">
      <c r="B11" s="12" t="s">
        <v>6</v>
      </c>
      <c r="C11" s="13"/>
      <c r="D11" s="80">
        <f>660/3.3</f>
        <v>200</v>
      </c>
      <c r="E11" s="14" t="s">
        <v>21</v>
      </c>
    </row>
    <row r="15" spans="2:14" ht="21" x14ac:dyDescent="0.4">
      <c r="B15" s="35" t="s">
        <v>8</v>
      </c>
      <c r="N15" s="35" t="s">
        <v>28</v>
      </c>
    </row>
    <row r="17" spans="2:23" ht="15" thickBot="1" x14ac:dyDescent="0.35"/>
    <row r="18" spans="2:23" x14ac:dyDescent="0.3">
      <c r="B18" s="39" t="s">
        <v>9</v>
      </c>
      <c r="C18" s="39"/>
      <c r="D18" s="40" t="s">
        <v>10</v>
      </c>
      <c r="E18" s="41"/>
      <c r="F18" s="36"/>
      <c r="G18" s="37" t="s">
        <v>11</v>
      </c>
      <c r="H18" s="38"/>
      <c r="I18" s="42"/>
      <c r="J18" s="42" t="s">
        <v>12</v>
      </c>
      <c r="K18" s="43"/>
      <c r="N18" s="39" t="s">
        <v>9</v>
      </c>
      <c r="O18" s="39"/>
      <c r="P18" s="40" t="s">
        <v>10</v>
      </c>
      <c r="Q18" s="41"/>
      <c r="R18" s="36"/>
      <c r="S18" s="37" t="s">
        <v>11</v>
      </c>
      <c r="T18" s="38"/>
      <c r="U18" s="42"/>
      <c r="V18" s="42" t="s">
        <v>12</v>
      </c>
      <c r="W18" s="43"/>
    </row>
    <row r="19" spans="2:23" ht="15" thickBot="1" x14ac:dyDescent="0.35">
      <c r="B19" s="44"/>
      <c r="C19" s="44" t="s">
        <v>13</v>
      </c>
      <c r="D19" s="45" t="s">
        <v>14</v>
      </c>
      <c r="E19" s="46" t="s">
        <v>15</v>
      </c>
      <c r="F19" s="47" t="s">
        <v>13</v>
      </c>
      <c r="G19" s="48" t="s">
        <v>14</v>
      </c>
      <c r="H19" s="49" t="s">
        <v>15</v>
      </c>
      <c r="I19" s="50" t="s">
        <v>13</v>
      </c>
      <c r="J19" s="50" t="s">
        <v>14</v>
      </c>
      <c r="K19" s="51" t="s">
        <v>15</v>
      </c>
      <c r="N19" s="44"/>
      <c r="O19" s="44" t="s">
        <v>13</v>
      </c>
      <c r="P19" s="45" t="s">
        <v>14</v>
      </c>
      <c r="Q19" s="46" t="s">
        <v>15</v>
      </c>
      <c r="R19" s="47" t="s">
        <v>13</v>
      </c>
      <c r="S19" s="48" t="s">
        <v>14</v>
      </c>
      <c r="T19" s="49" t="s">
        <v>15</v>
      </c>
      <c r="U19" s="50" t="s">
        <v>13</v>
      </c>
      <c r="V19" s="50" t="s">
        <v>14</v>
      </c>
      <c r="W19" s="51" t="s">
        <v>15</v>
      </c>
    </row>
    <row r="20" spans="2:23" ht="15" thickBot="1" x14ac:dyDescent="0.35">
      <c r="B20" s="77">
        <v>44896</v>
      </c>
      <c r="C20" s="65">
        <v>300</v>
      </c>
      <c r="D20" s="60">
        <v>3.5</v>
      </c>
      <c r="E20" s="66">
        <f>C20*D20</f>
        <v>1050</v>
      </c>
      <c r="F20" s="72"/>
      <c r="G20" s="61"/>
      <c r="H20" s="73"/>
      <c r="I20" s="69">
        <v>300</v>
      </c>
      <c r="J20" s="62">
        <v>3.5</v>
      </c>
      <c r="K20" s="63">
        <f>I20*J20</f>
        <v>1050</v>
      </c>
      <c r="N20" s="77">
        <v>44896</v>
      </c>
      <c r="O20" s="65">
        <v>300</v>
      </c>
      <c r="P20" s="60">
        <v>3.5</v>
      </c>
      <c r="Q20" s="66">
        <f>O20*P20</f>
        <v>1050</v>
      </c>
      <c r="R20" s="72"/>
      <c r="S20" s="61"/>
      <c r="T20" s="73"/>
      <c r="U20" s="69">
        <v>300</v>
      </c>
      <c r="V20" s="62">
        <v>3.5</v>
      </c>
      <c r="W20" s="63">
        <f>U20*V20</f>
        <v>1050</v>
      </c>
    </row>
    <row r="21" spans="2:23" ht="15" thickBot="1" x14ac:dyDescent="0.35">
      <c r="B21" s="78">
        <v>44897</v>
      </c>
      <c r="C21" s="67">
        <v>90</v>
      </c>
      <c r="D21" s="52">
        <v>3.45</v>
      </c>
      <c r="E21" s="66">
        <f t="shared" ref="E21:E29" si="0">C21*D21</f>
        <v>310.5</v>
      </c>
      <c r="F21" s="74"/>
      <c r="G21" s="53"/>
      <c r="H21" s="75"/>
      <c r="I21" s="70"/>
      <c r="J21" s="54"/>
      <c r="K21" s="55"/>
      <c r="N21" s="78">
        <v>44897</v>
      </c>
      <c r="O21" s="67">
        <v>90</v>
      </c>
      <c r="P21" s="52">
        <v>3.45</v>
      </c>
      <c r="Q21" s="66">
        <f t="shared" ref="Q21:Q29" si="1">O21*P21</f>
        <v>310.5</v>
      </c>
      <c r="R21" s="74"/>
      <c r="S21" s="53"/>
      <c r="T21" s="75"/>
      <c r="U21" s="70">
        <v>390</v>
      </c>
      <c r="V21" s="54"/>
      <c r="W21" s="55"/>
    </row>
    <row r="22" spans="2:23" ht="15" thickBot="1" x14ac:dyDescent="0.35">
      <c r="B22" s="78">
        <v>44900</v>
      </c>
      <c r="C22" s="67">
        <v>60</v>
      </c>
      <c r="D22" s="52">
        <v>3.2</v>
      </c>
      <c r="E22" s="66">
        <f t="shared" si="0"/>
        <v>192</v>
      </c>
      <c r="F22" s="74"/>
      <c r="G22" s="53"/>
      <c r="H22" s="75"/>
      <c r="I22" s="70"/>
      <c r="J22" s="54"/>
      <c r="K22" s="55"/>
      <c r="N22" s="78">
        <v>44900</v>
      </c>
      <c r="O22" s="67">
        <v>60</v>
      </c>
      <c r="P22" s="52">
        <v>3.2</v>
      </c>
      <c r="Q22" s="66">
        <f t="shared" si="1"/>
        <v>192</v>
      </c>
      <c r="R22" s="74"/>
      <c r="S22" s="53"/>
      <c r="T22" s="75"/>
      <c r="U22" s="70">
        <f>390+60</f>
        <v>450</v>
      </c>
      <c r="V22" s="54"/>
      <c r="W22" s="55"/>
    </row>
    <row r="23" spans="2:23" ht="15" thickBot="1" x14ac:dyDescent="0.35">
      <c r="B23" s="78">
        <v>44907</v>
      </c>
      <c r="C23" s="67">
        <v>110</v>
      </c>
      <c r="D23" s="52">
        <v>3.65</v>
      </c>
      <c r="E23" s="66">
        <f t="shared" si="0"/>
        <v>401.5</v>
      </c>
      <c r="F23" s="74"/>
      <c r="G23" s="53"/>
      <c r="H23" s="75"/>
      <c r="I23" s="70"/>
      <c r="J23" s="54"/>
      <c r="K23" s="55"/>
      <c r="N23" s="78">
        <v>44902</v>
      </c>
      <c r="O23" s="67"/>
      <c r="P23" s="52"/>
      <c r="Q23" s="66">
        <f t="shared" si="1"/>
        <v>0</v>
      </c>
      <c r="R23" s="74">
        <v>180</v>
      </c>
      <c r="S23" s="53">
        <v>3.35</v>
      </c>
      <c r="T23" s="75">
        <f>R23*S23</f>
        <v>603</v>
      </c>
      <c r="U23" s="70">
        <f>U22-180</f>
        <v>270</v>
      </c>
      <c r="V23" s="54"/>
      <c r="W23" s="55"/>
    </row>
    <row r="24" spans="2:23" ht="15" thickBot="1" x14ac:dyDescent="0.35">
      <c r="B24" s="78">
        <v>44918</v>
      </c>
      <c r="C24" s="67">
        <v>200</v>
      </c>
      <c r="D24" s="52">
        <v>3.3</v>
      </c>
      <c r="E24" s="66">
        <f t="shared" si="0"/>
        <v>660</v>
      </c>
      <c r="F24" s="74"/>
      <c r="G24" s="53"/>
      <c r="H24" s="75"/>
      <c r="I24" s="70"/>
      <c r="J24" s="54"/>
      <c r="K24" s="55"/>
      <c r="N24" s="78">
        <v>44907</v>
      </c>
      <c r="O24" s="67">
        <v>110</v>
      </c>
      <c r="P24" s="52">
        <v>3.65</v>
      </c>
      <c r="Q24" s="66">
        <f t="shared" si="1"/>
        <v>401.5</v>
      </c>
      <c r="R24" s="74"/>
      <c r="S24" s="53"/>
      <c r="T24" s="75">
        <f t="shared" ref="T24:T29" si="2">R24*S24</f>
        <v>0</v>
      </c>
      <c r="U24" s="70">
        <f>U23+110</f>
        <v>380</v>
      </c>
      <c r="V24" s="54"/>
      <c r="W24" s="55"/>
    </row>
    <row r="25" spans="2:23" ht="15" thickBot="1" x14ac:dyDescent="0.35">
      <c r="B25" s="78">
        <v>44902</v>
      </c>
      <c r="C25" s="67"/>
      <c r="D25" s="52"/>
      <c r="E25" s="66">
        <f t="shared" si="0"/>
        <v>0</v>
      </c>
      <c r="F25" s="74">
        <v>180</v>
      </c>
      <c r="G25" s="53">
        <v>3.5</v>
      </c>
      <c r="H25" s="75">
        <f>F25*G25</f>
        <v>630</v>
      </c>
      <c r="I25" s="70"/>
      <c r="J25" s="54"/>
      <c r="K25" s="55"/>
      <c r="N25" s="78">
        <v>44908</v>
      </c>
      <c r="O25" s="67"/>
      <c r="P25" s="52"/>
      <c r="Q25" s="66">
        <f t="shared" si="1"/>
        <v>0</v>
      </c>
      <c r="R25" s="74">
        <v>190</v>
      </c>
      <c r="S25" s="53">
        <v>3.6</v>
      </c>
      <c r="T25" s="75">
        <f t="shared" si="2"/>
        <v>684</v>
      </c>
      <c r="U25" s="70">
        <f>380-190</f>
        <v>190</v>
      </c>
      <c r="V25" s="54"/>
      <c r="W25" s="55"/>
    </row>
    <row r="26" spans="2:23" ht="15" thickBot="1" x14ac:dyDescent="0.35">
      <c r="B26" s="78">
        <v>44908</v>
      </c>
      <c r="C26" s="67"/>
      <c r="D26" s="52"/>
      <c r="E26" s="66">
        <f t="shared" si="0"/>
        <v>0</v>
      </c>
      <c r="F26" s="74">
        <v>120</v>
      </c>
      <c r="G26" s="53">
        <v>3.5</v>
      </c>
      <c r="H26" s="75">
        <f t="shared" ref="H26:H28" si="3">F26*G26</f>
        <v>420</v>
      </c>
      <c r="I26" s="70"/>
      <c r="J26" s="54"/>
      <c r="K26" s="55"/>
      <c r="N26" s="78">
        <v>44915</v>
      </c>
      <c r="O26" s="67"/>
      <c r="P26" s="52"/>
      <c r="Q26" s="66">
        <f t="shared" si="1"/>
        <v>0</v>
      </c>
      <c r="R26" s="74">
        <v>240</v>
      </c>
      <c r="S26" s="53">
        <v>3.4</v>
      </c>
      <c r="T26" s="75">
        <f t="shared" si="2"/>
        <v>816</v>
      </c>
      <c r="U26" s="70">
        <f>U25-R26</f>
        <v>-50</v>
      </c>
      <c r="V26" s="54"/>
      <c r="W26" s="55"/>
    </row>
    <row r="27" spans="2:23" ht="15" thickBot="1" x14ac:dyDescent="0.35">
      <c r="C27" s="67"/>
      <c r="D27" s="52"/>
      <c r="E27" s="66">
        <f t="shared" si="0"/>
        <v>0</v>
      </c>
      <c r="F27" s="74">
        <v>70</v>
      </c>
      <c r="G27" s="53">
        <v>3.47</v>
      </c>
      <c r="H27" s="75">
        <f t="shared" si="3"/>
        <v>242.9</v>
      </c>
      <c r="I27" s="70"/>
      <c r="J27" s="54"/>
      <c r="K27" s="55"/>
      <c r="N27" s="83">
        <v>44918</v>
      </c>
      <c r="O27" s="67">
        <v>200</v>
      </c>
      <c r="P27" s="52">
        <v>3.3</v>
      </c>
      <c r="Q27" s="66">
        <f t="shared" si="1"/>
        <v>660</v>
      </c>
      <c r="R27" s="74"/>
      <c r="S27" s="53"/>
      <c r="T27" s="75">
        <f t="shared" si="2"/>
        <v>0</v>
      </c>
      <c r="U27" s="70">
        <f>U26+O27</f>
        <v>150</v>
      </c>
      <c r="V27" s="54"/>
      <c r="W27" s="55"/>
    </row>
    <row r="28" spans="2:23" ht="15" thickBot="1" x14ac:dyDescent="0.35">
      <c r="B28" s="78">
        <v>44915</v>
      </c>
      <c r="C28" s="67"/>
      <c r="D28" s="52"/>
      <c r="E28" s="66">
        <f t="shared" si="0"/>
        <v>0</v>
      </c>
      <c r="F28" s="74">
        <v>240</v>
      </c>
      <c r="G28" s="53">
        <v>3.47</v>
      </c>
      <c r="H28" s="75">
        <f t="shared" si="3"/>
        <v>832.80000000000007</v>
      </c>
      <c r="I28" s="70"/>
      <c r="J28" s="54"/>
      <c r="K28" s="55"/>
      <c r="N28" s="64"/>
      <c r="O28" s="67"/>
      <c r="P28" s="52"/>
      <c r="Q28" s="66">
        <f t="shared" si="1"/>
        <v>0</v>
      </c>
      <c r="R28" s="74"/>
      <c r="S28" s="53"/>
      <c r="T28" s="75">
        <f t="shared" si="2"/>
        <v>0</v>
      </c>
      <c r="U28" s="70"/>
      <c r="V28" s="54"/>
      <c r="W28" s="55"/>
    </row>
    <row r="29" spans="2:23" ht="15" thickBot="1" x14ac:dyDescent="0.35">
      <c r="B29" s="64"/>
      <c r="C29" s="68"/>
      <c r="D29" s="56"/>
      <c r="E29" s="66">
        <f t="shared" si="0"/>
        <v>0</v>
      </c>
      <c r="F29" s="76"/>
      <c r="G29" s="57"/>
      <c r="H29" s="75"/>
      <c r="I29" s="71">
        <f>C30-F30</f>
        <v>150</v>
      </c>
      <c r="J29" s="58">
        <v>3.47</v>
      </c>
      <c r="K29" s="59">
        <f>I29*J29</f>
        <v>520.5</v>
      </c>
      <c r="N29" s="64"/>
      <c r="O29" s="68"/>
      <c r="P29" s="56"/>
      <c r="Q29" s="66">
        <f t="shared" si="1"/>
        <v>0</v>
      </c>
      <c r="R29" s="76"/>
      <c r="S29" s="57"/>
      <c r="T29" s="75">
        <f t="shared" si="2"/>
        <v>0</v>
      </c>
      <c r="U29" s="71">
        <v>150</v>
      </c>
      <c r="V29" s="58">
        <v>3.25</v>
      </c>
      <c r="W29" s="59">
        <f>U29*V29</f>
        <v>487.5</v>
      </c>
    </row>
    <row r="30" spans="2:23" x14ac:dyDescent="0.3">
      <c r="C30">
        <f>SUM(C20:C24)</f>
        <v>760</v>
      </c>
      <c r="E30" s="82">
        <f>SUM(E20:E29)</f>
        <v>2614</v>
      </c>
      <c r="F30">
        <f>SUM(F25:F28)</f>
        <v>610</v>
      </c>
      <c r="H30">
        <f>SUM(H20:H29)</f>
        <v>2125.7000000000003</v>
      </c>
      <c r="O30">
        <f>SUM(O20:O27)</f>
        <v>760</v>
      </c>
      <c r="Q30" s="82">
        <f>SUM(Q20:Q29)</f>
        <v>2614</v>
      </c>
      <c r="R30">
        <f>SUM(R23:R26)</f>
        <v>610</v>
      </c>
      <c r="T30" s="84">
        <f>SUM(T23:T29)</f>
        <v>2103</v>
      </c>
    </row>
    <row r="31" spans="2:23" x14ac:dyDescent="0.3">
      <c r="I31" t="s">
        <v>26</v>
      </c>
      <c r="L31">
        <f>K29</f>
        <v>520.5</v>
      </c>
    </row>
    <row r="32" spans="2:23" x14ac:dyDescent="0.3">
      <c r="B32" t="s">
        <v>16</v>
      </c>
      <c r="I32" t="s">
        <v>25</v>
      </c>
      <c r="L32">
        <f>E30-H30</f>
        <v>488.29999999999973</v>
      </c>
    </row>
    <row r="33" spans="2:24" x14ac:dyDescent="0.3">
      <c r="L33" s="81"/>
      <c r="U33" t="s">
        <v>26</v>
      </c>
      <c r="X33">
        <f>W29</f>
        <v>487.5</v>
      </c>
    </row>
    <row r="34" spans="2:24" x14ac:dyDescent="0.3">
      <c r="B34" t="s">
        <v>17</v>
      </c>
      <c r="C34" t="s">
        <v>22</v>
      </c>
      <c r="F34" t="s">
        <v>24</v>
      </c>
      <c r="G34">
        <f>(310.5+192+401.5+660)/(90 + 50 + 110 + 200)</f>
        <v>3.4755555555555557</v>
      </c>
      <c r="I34" t="s">
        <v>27</v>
      </c>
      <c r="L34">
        <f>L31-L32</f>
        <v>32.200000000000273</v>
      </c>
      <c r="U34" t="s">
        <v>25</v>
      </c>
      <c r="X34">
        <f>Q30-T30</f>
        <v>511</v>
      </c>
    </row>
    <row r="35" spans="2:24" x14ac:dyDescent="0.3">
      <c r="C35" s="81" t="s">
        <v>23</v>
      </c>
      <c r="D35" s="81"/>
      <c r="E35" s="81"/>
      <c r="X35" s="81"/>
    </row>
    <row r="36" spans="2:24" x14ac:dyDescent="0.3">
      <c r="U36" t="s">
        <v>27</v>
      </c>
      <c r="X36">
        <f>X33-X34</f>
        <v>-23.5</v>
      </c>
    </row>
    <row r="41" spans="2:24" ht="25.8" x14ac:dyDescent="0.5">
      <c r="B41" s="85" t="s">
        <v>29</v>
      </c>
    </row>
    <row r="44" spans="2:24" x14ac:dyDescent="0.3">
      <c r="B44" t="s">
        <v>30</v>
      </c>
    </row>
    <row r="45" spans="2:24" x14ac:dyDescent="0.3">
      <c r="B45" t="s">
        <v>31</v>
      </c>
    </row>
    <row r="47" spans="2:24" x14ac:dyDescent="0.3">
      <c r="B47" t="s">
        <v>32</v>
      </c>
    </row>
    <row r="48" spans="2:24" x14ac:dyDescent="0.3">
      <c r="B48" t="s">
        <v>33</v>
      </c>
      <c r="E48">
        <f>100/8</f>
        <v>12.5</v>
      </c>
    </row>
    <row r="50" spans="2:5" x14ac:dyDescent="0.3">
      <c r="B50" t="s">
        <v>35</v>
      </c>
      <c r="C50" t="s">
        <v>36</v>
      </c>
    </row>
    <row r="51" spans="2:5" x14ac:dyDescent="0.3">
      <c r="B51" t="s">
        <v>34</v>
      </c>
      <c r="C51">
        <v>160</v>
      </c>
    </row>
    <row r="52" spans="2:5" x14ac:dyDescent="0.3">
      <c r="B52" t="s">
        <v>37</v>
      </c>
      <c r="C52">
        <v>90</v>
      </c>
    </row>
    <row r="53" spans="2:5" x14ac:dyDescent="0.3">
      <c r="B53" t="s">
        <v>38</v>
      </c>
      <c r="C53">
        <v>100</v>
      </c>
    </row>
    <row r="56" spans="2:5" ht="18" x14ac:dyDescent="0.35">
      <c r="B56" s="34" t="s">
        <v>39</v>
      </c>
    </row>
    <row r="58" spans="2:5" ht="15" thickBot="1" x14ac:dyDescent="0.35"/>
    <row r="59" spans="2:5" x14ac:dyDescent="0.3">
      <c r="B59" s="86" t="s">
        <v>35</v>
      </c>
      <c r="C59" s="3" t="s">
        <v>36</v>
      </c>
      <c r="D59" s="3" t="s">
        <v>40</v>
      </c>
      <c r="E59" s="4" t="s">
        <v>41</v>
      </c>
    </row>
    <row r="60" spans="2:5" x14ac:dyDescent="0.3">
      <c r="B60" s="5" t="s">
        <v>34</v>
      </c>
      <c r="C60">
        <v>160</v>
      </c>
      <c r="D60">
        <f>160/12.5</f>
        <v>12.8</v>
      </c>
      <c r="E60" s="6">
        <v>8</v>
      </c>
    </row>
    <row r="61" spans="2:5" x14ac:dyDescent="0.3">
      <c r="B61" s="5" t="s">
        <v>37</v>
      </c>
      <c r="C61">
        <v>90</v>
      </c>
      <c r="D61">
        <f>90/12.5</f>
        <v>7.2</v>
      </c>
      <c r="E61" s="6">
        <v>8</v>
      </c>
    </row>
    <row r="62" spans="2:5" ht="15" thickBot="1" x14ac:dyDescent="0.35">
      <c r="B62" s="7" t="s">
        <v>38</v>
      </c>
      <c r="C62" s="8">
        <v>100</v>
      </c>
      <c r="D62" s="8">
        <f>100/12.5</f>
        <v>8</v>
      </c>
      <c r="E62" s="9">
        <v>8</v>
      </c>
    </row>
    <row r="65" spans="2:15" x14ac:dyDescent="0.3">
      <c r="B65" s="2" t="s">
        <v>42</v>
      </c>
      <c r="G65" s="2" t="s">
        <v>46</v>
      </c>
      <c r="L65" s="2" t="s">
        <v>50</v>
      </c>
    </row>
    <row r="67" spans="2:15" x14ac:dyDescent="0.3">
      <c r="B67" t="s">
        <v>43</v>
      </c>
      <c r="E67">
        <f>(12.8 - 8) * 10 * 0.7</f>
        <v>33.6</v>
      </c>
      <c r="G67" t="s">
        <v>47</v>
      </c>
      <c r="J67" t="s">
        <v>48</v>
      </c>
      <c r="L67" t="s">
        <v>49</v>
      </c>
      <c r="O67">
        <f>(8 - 8) * 10 * 0.7</f>
        <v>0</v>
      </c>
    </row>
    <row r="68" spans="2:15" x14ac:dyDescent="0.3">
      <c r="B68" t="s">
        <v>44</v>
      </c>
      <c r="E68">
        <f>8*10</f>
        <v>80</v>
      </c>
      <c r="G68" t="s">
        <v>44</v>
      </c>
      <c r="J68">
        <f>8*10</f>
        <v>80</v>
      </c>
      <c r="L68" t="s">
        <v>44</v>
      </c>
      <c r="O68">
        <f>8*10</f>
        <v>80</v>
      </c>
    </row>
    <row r="69" spans="2:15" x14ac:dyDescent="0.3">
      <c r="B69" t="s">
        <v>45</v>
      </c>
      <c r="E69" s="81">
        <f>E68+E67</f>
        <v>113.6</v>
      </c>
      <c r="G69" t="s">
        <v>45</v>
      </c>
      <c r="J69" s="81">
        <f>J68</f>
        <v>80</v>
      </c>
      <c r="L69" t="s">
        <v>45</v>
      </c>
      <c r="O69" s="81">
        <f>O68+O67</f>
        <v>80</v>
      </c>
    </row>
    <row r="72" spans="2:15" x14ac:dyDescent="0.3">
      <c r="B72" s="2" t="s">
        <v>51</v>
      </c>
      <c r="C72">
        <f>SUM(E69,J69,O69)</f>
        <v>273.60000000000002</v>
      </c>
    </row>
    <row r="75" spans="2:15" ht="18" x14ac:dyDescent="0.35">
      <c r="B75" s="34" t="s">
        <v>52</v>
      </c>
    </row>
    <row r="77" spans="2:15" x14ac:dyDescent="0.3">
      <c r="B77" s="2" t="s">
        <v>42</v>
      </c>
      <c r="G77" s="2" t="s">
        <v>46</v>
      </c>
      <c r="L77" s="2" t="s">
        <v>50</v>
      </c>
    </row>
    <row r="79" spans="2:15" x14ac:dyDescent="0.3">
      <c r="B79" t="s">
        <v>53</v>
      </c>
      <c r="E79">
        <f>(12.8 - 8) * 10 *  (8/12.8)</f>
        <v>30.000000000000004</v>
      </c>
      <c r="G79" t="s">
        <v>47</v>
      </c>
      <c r="J79" t="s">
        <v>48</v>
      </c>
      <c r="L79" t="s">
        <v>49</v>
      </c>
      <c r="O79">
        <f>(8 - 8) * 10 * 0.7</f>
        <v>0</v>
      </c>
    </row>
    <row r="80" spans="2:15" x14ac:dyDescent="0.3">
      <c r="B80" t="s">
        <v>44</v>
      </c>
      <c r="E80">
        <f>8*10</f>
        <v>80</v>
      </c>
      <c r="G80" t="s">
        <v>44</v>
      </c>
      <c r="J80">
        <f>8*10</f>
        <v>80</v>
      </c>
      <c r="L80" t="s">
        <v>44</v>
      </c>
      <c r="O80">
        <f>8*10</f>
        <v>80</v>
      </c>
    </row>
    <row r="81" spans="2:20" x14ac:dyDescent="0.3">
      <c r="B81" t="s">
        <v>45</v>
      </c>
      <c r="E81" s="81">
        <f>E80+E79</f>
        <v>110</v>
      </c>
      <c r="G81" t="s">
        <v>45</v>
      </c>
      <c r="J81" s="81">
        <f>J80</f>
        <v>80</v>
      </c>
      <c r="L81" t="s">
        <v>45</v>
      </c>
      <c r="O81" s="81">
        <f>O80+O79</f>
        <v>80</v>
      </c>
    </row>
    <row r="83" spans="2:20" x14ac:dyDescent="0.3">
      <c r="B83" s="2"/>
    </row>
    <row r="84" spans="2:20" x14ac:dyDescent="0.3">
      <c r="B84" s="2" t="s">
        <v>51</v>
      </c>
      <c r="C84">
        <f>SUM(E81,J81,O81)</f>
        <v>270</v>
      </c>
    </row>
    <row r="87" spans="2:20" ht="18" x14ac:dyDescent="0.35">
      <c r="B87" s="34" t="s">
        <v>54</v>
      </c>
    </row>
    <row r="89" spans="2:20" x14ac:dyDescent="0.3">
      <c r="B89" t="s">
        <v>55</v>
      </c>
    </row>
    <row r="90" spans="2:20" x14ac:dyDescent="0.3">
      <c r="B90" t="s">
        <v>56</v>
      </c>
    </row>
    <row r="93" spans="2:20" x14ac:dyDescent="0.3">
      <c r="B93" s="2" t="s">
        <v>42</v>
      </c>
      <c r="G93" s="2" t="s">
        <v>46</v>
      </c>
      <c r="L93" s="2" t="s">
        <v>50</v>
      </c>
    </row>
    <row r="94" spans="2:20" ht="15" thickBot="1" x14ac:dyDescent="0.35"/>
    <row r="95" spans="2:20" x14ac:dyDescent="0.3">
      <c r="B95" t="s">
        <v>57</v>
      </c>
      <c r="G95" t="s">
        <v>59</v>
      </c>
      <c r="L95" t="s">
        <v>60</v>
      </c>
      <c r="R95" s="3"/>
      <c r="S95" s="3"/>
      <c r="T95" s="4"/>
    </row>
    <row r="96" spans="2:20" x14ac:dyDescent="0.3">
      <c r="T96" s="6"/>
    </row>
    <row r="97" spans="2:20" x14ac:dyDescent="0.3">
      <c r="B97" t="s">
        <v>58</v>
      </c>
      <c r="C97">
        <f>160*0.9</f>
        <v>144</v>
      </c>
      <c r="G97" t="s">
        <v>58</v>
      </c>
      <c r="H97">
        <f>90*0.6</f>
        <v>54</v>
      </c>
      <c r="L97" t="s">
        <v>58</v>
      </c>
      <c r="M97">
        <f>100*0.9</f>
        <v>90</v>
      </c>
      <c r="T97" s="6"/>
    </row>
    <row r="98" spans="2:20" ht="15" thickBot="1" x14ac:dyDescent="0.35">
      <c r="R98" s="8"/>
      <c r="S98" s="8"/>
      <c r="T98" s="9"/>
    </row>
    <row r="100" spans="2:20" x14ac:dyDescent="0.3">
      <c r="B100" s="2" t="s">
        <v>51</v>
      </c>
      <c r="C100">
        <f>SUM(C97,H97,M97)</f>
        <v>288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7EFA-03FF-4BBC-944D-E455AE278F55}">
  <dimension ref="B4:K54"/>
  <sheetViews>
    <sheetView topLeftCell="A16" workbookViewId="0">
      <selection activeCell="D49" sqref="D49"/>
    </sheetView>
  </sheetViews>
  <sheetFormatPr baseColWidth="10" defaultRowHeight="14.4" x14ac:dyDescent="0.3"/>
  <cols>
    <col min="2" max="2" width="16.44140625" customWidth="1"/>
  </cols>
  <sheetData>
    <row r="4" spans="2:4" ht="25.8" x14ac:dyDescent="0.5">
      <c r="B4" s="85" t="s">
        <v>61</v>
      </c>
    </row>
    <row r="7" spans="2:4" x14ac:dyDescent="0.3">
      <c r="B7" t="s">
        <v>62</v>
      </c>
      <c r="D7" s="87">
        <v>1752080</v>
      </c>
    </row>
    <row r="8" spans="2:4" x14ac:dyDescent="0.3">
      <c r="B8" t="s">
        <v>63</v>
      </c>
      <c r="D8" s="87">
        <v>57000</v>
      </c>
    </row>
    <row r="11" spans="2:4" x14ac:dyDescent="0.3">
      <c r="B11" t="s">
        <v>64</v>
      </c>
      <c r="D11" t="s">
        <v>65</v>
      </c>
    </row>
    <row r="14" spans="2:4" x14ac:dyDescent="0.3">
      <c r="B14" s="2" t="s">
        <v>66</v>
      </c>
    </row>
    <row r="15" spans="2:4" ht="15" thickBot="1" x14ac:dyDescent="0.35"/>
    <row r="16" spans="2:4" x14ac:dyDescent="0.3">
      <c r="B16" s="86"/>
      <c r="C16" s="88" t="s">
        <v>68</v>
      </c>
      <c r="D16" s="4"/>
    </row>
    <row r="17" spans="2:11" x14ac:dyDescent="0.3">
      <c r="B17" s="5" t="s">
        <v>67</v>
      </c>
      <c r="C17">
        <v>1</v>
      </c>
      <c r="D17" s="6">
        <v>2000</v>
      </c>
      <c r="F17" t="s">
        <v>72</v>
      </c>
      <c r="G17" t="s">
        <v>73</v>
      </c>
      <c r="I17" t="s">
        <v>24</v>
      </c>
      <c r="J17">
        <f>(1752080 - 57000)/10936</f>
        <v>155</v>
      </c>
      <c r="K17" t="s">
        <v>74</v>
      </c>
    </row>
    <row r="18" spans="2:11" x14ac:dyDescent="0.3">
      <c r="B18" s="5" t="s">
        <v>69</v>
      </c>
      <c r="C18">
        <v>0.9</v>
      </c>
      <c r="D18" s="6">
        <f>8000*C18</f>
        <v>7200</v>
      </c>
      <c r="G18" s="81">
        <v>10936</v>
      </c>
    </row>
    <row r="19" spans="2:11" x14ac:dyDescent="0.3">
      <c r="B19" s="5" t="s">
        <v>70</v>
      </c>
      <c r="C19">
        <v>0.7</v>
      </c>
      <c r="D19" s="6">
        <f>2480*C19</f>
        <v>1736</v>
      </c>
    </row>
    <row r="20" spans="2:11" ht="15" thickBot="1" x14ac:dyDescent="0.35">
      <c r="B20" s="7"/>
      <c r="C20" s="8" t="s">
        <v>71</v>
      </c>
      <c r="D20" s="89">
        <f>SUM(D17:D19)</f>
        <v>10936</v>
      </c>
    </row>
    <row r="22" spans="2:11" x14ac:dyDescent="0.3">
      <c r="B22" s="81"/>
      <c r="C22" s="81"/>
      <c r="D22" s="81"/>
      <c r="E22" s="81"/>
      <c r="F22" s="81"/>
      <c r="G22" s="81"/>
      <c r="H22" s="81"/>
      <c r="I22" s="81"/>
      <c r="J22" s="81"/>
      <c r="K22" s="81"/>
    </row>
    <row r="24" spans="2:11" x14ac:dyDescent="0.3">
      <c r="B24" s="2" t="s">
        <v>75</v>
      </c>
    </row>
    <row r="27" spans="2:11" x14ac:dyDescent="0.3">
      <c r="B27" t="s">
        <v>76</v>
      </c>
      <c r="C27" t="s">
        <v>77</v>
      </c>
      <c r="D27" t="s">
        <v>78</v>
      </c>
      <c r="E27" t="s">
        <v>24</v>
      </c>
      <c r="F27">
        <f>1500*0.85</f>
        <v>1275</v>
      </c>
      <c r="G27" t="s">
        <v>81</v>
      </c>
    </row>
    <row r="28" spans="2:11" x14ac:dyDescent="0.3">
      <c r="C28" t="s">
        <v>79</v>
      </c>
      <c r="D28" t="s">
        <v>80</v>
      </c>
      <c r="E28" t="s">
        <v>24</v>
      </c>
      <c r="F28">
        <f>1000*0.7</f>
        <v>700</v>
      </c>
      <c r="G28" t="s">
        <v>81</v>
      </c>
    </row>
    <row r="29" spans="2:11" x14ac:dyDescent="0.3">
      <c r="E29" t="s">
        <v>82</v>
      </c>
      <c r="F29" s="81">
        <f>SUM(F27:F28)</f>
        <v>1975</v>
      </c>
      <c r="G29" t="s">
        <v>81</v>
      </c>
      <c r="H29" t="s">
        <v>83</v>
      </c>
    </row>
    <row r="32" spans="2:11" x14ac:dyDescent="0.3">
      <c r="B32" s="81"/>
      <c r="C32" s="81"/>
      <c r="D32" s="81"/>
      <c r="E32" s="81"/>
      <c r="F32" s="81"/>
      <c r="G32" s="81"/>
      <c r="H32" s="81"/>
      <c r="I32" s="81"/>
      <c r="J32" s="81"/>
      <c r="K32" s="81"/>
    </row>
    <row r="34" spans="2:6" x14ac:dyDescent="0.3">
      <c r="B34" s="2" t="s">
        <v>84</v>
      </c>
    </row>
    <row r="36" spans="2:6" x14ac:dyDescent="0.3">
      <c r="B36" t="s">
        <v>90</v>
      </c>
      <c r="D36" t="s">
        <v>92</v>
      </c>
      <c r="E36">
        <f>390*8</f>
        <v>3120</v>
      </c>
    </row>
    <row r="37" spans="2:6" x14ac:dyDescent="0.3">
      <c r="B37" t="s">
        <v>91</v>
      </c>
    </row>
    <row r="40" spans="2:6" ht="15" thickBot="1" x14ac:dyDescent="0.35"/>
    <row r="41" spans="2:6" x14ac:dyDescent="0.3">
      <c r="B41" s="86" t="s">
        <v>94</v>
      </c>
      <c r="C41" s="3"/>
      <c r="D41" s="3" t="s">
        <v>87</v>
      </c>
      <c r="E41" s="4" t="s">
        <v>89</v>
      </c>
    </row>
    <row r="42" spans="2:6" x14ac:dyDescent="0.3">
      <c r="B42" s="5" t="s">
        <v>85</v>
      </c>
      <c r="D42" t="s">
        <v>88</v>
      </c>
      <c r="E42" s="6">
        <f>100*25</f>
        <v>2500</v>
      </c>
    </row>
    <row r="43" spans="2:6" ht="15" thickBot="1" x14ac:dyDescent="0.35">
      <c r="B43" s="7">
        <f>620/90</f>
        <v>6.8888888888888893</v>
      </c>
      <c r="C43" s="8"/>
      <c r="D43" s="8" t="s">
        <v>93</v>
      </c>
      <c r="E43" s="9">
        <f>E36-E42</f>
        <v>620</v>
      </c>
    </row>
    <row r="44" spans="2:6" x14ac:dyDescent="0.3">
      <c r="E44">
        <f>SUM(E42:E43)</f>
        <v>3120</v>
      </c>
      <c r="F44" t="s">
        <v>98</v>
      </c>
    </row>
    <row r="45" spans="2:6" ht="15" thickBot="1" x14ac:dyDescent="0.35"/>
    <row r="46" spans="2:6" x14ac:dyDescent="0.3">
      <c r="D46" s="86" t="s">
        <v>94</v>
      </c>
      <c r="E46" s="3" t="s">
        <v>86</v>
      </c>
      <c r="F46" s="4" t="s">
        <v>95</v>
      </c>
    </row>
    <row r="47" spans="2:6" x14ac:dyDescent="0.3">
      <c r="D47" s="5">
        <v>25</v>
      </c>
      <c r="E47">
        <v>1</v>
      </c>
      <c r="F47" s="6">
        <f>D47*E47</f>
        <v>25</v>
      </c>
    </row>
    <row r="48" spans="2:6" ht="15" thickBot="1" x14ac:dyDescent="0.35">
      <c r="D48" s="7">
        <f>B43</f>
        <v>6.8888888888888893</v>
      </c>
      <c r="E48" s="8">
        <v>0.9</v>
      </c>
      <c r="F48" s="9">
        <f>D48*E48</f>
        <v>6.2</v>
      </c>
    </row>
    <row r="49" spans="4:6" x14ac:dyDescent="0.3">
      <c r="F49">
        <f>SUM(F47:F48)</f>
        <v>31.2</v>
      </c>
    </row>
    <row r="51" spans="4:6" x14ac:dyDescent="0.3">
      <c r="D51" t="s">
        <v>96</v>
      </c>
      <c r="F51">
        <f>31.2*155</f>
        <v>4836</v>
      </c>
    </row>
    <row r="52" spans="4:6" x14ac:dyDescent="0.3">
      <c r="D52" t="s">
        <v>97</v>
      </c>
      <c r="E52">
        <f>F51/E44</f>
        <v>1.55</v>
      </c>
      <c r="F52" t="s">
        <v>99</v>
      </c>
    </row>
    <row r="54" spans="4:6" x14ac:dyDescent="0.3">
      <c r="D54" t="s">
        <v>100</v>
      </c>
      <c r="F54">
        <f>F49/40</f>
        <v>0.78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Tema 4</vt:lpstr>
      <vt:lpstr>Tema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2023-01-03T11:26:07Z</dcterms:modified>
</cp:coreProperties>
</file>