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" sheetId="1" r:id="rId4"/>
    <sheet state="visible" name="Equipos" sheetId="2" r:id="rId5"/>
    <sheet state="visible" name="Materiales" sheetId="3" r:id="rId6"/>
    <sheet state="visible" name="Herramientas" sheetId="4" r:id="rId7"/>
    <sheet state="visible" name="Software" sheetId="5" r:id="rId8"/>
    <sheet state="visible" name="Servicios" sheetId="6" r:id="rId9"/>
    <sheet state="visible" name="Lista Cloud" sheetId="7" r:id="rId10"/>
    <sheet state="visible" name="Azure" sheetId="8" r:id="rId11"/>
    <sheet state="visible" name="Resumen" sheetId="9" r:id="rId12"/>
    <sheet state="visible" name="Hoja 10" sheetId="10" r:id="rId13"/>
  </sheets>
  <definedNames/>
  <calcPr/>
</workbook>
</file>

<file path=xl/sharedStrings.xml><?xml version="1.0" encoding="utf-8"?>
<sst xmlns="http://schemas.openxmlformats.org/spreadsheetml/2006/main" count="271" uniqueCount="164">
  <si>
    <t>Cotizacion de la empresa de movistar</t>
  </si>
  <si>
    <t>Procesador</t>
  </si>
  <si>
    <t>xeon 8.4 GHZ X8</t>
  </si>
  <si>
    <t># computadores</t>
  </si>
  <si>
    <t>Ram</t>
  </si>
  <si>
    <t>8 GIGAS</t>
  </si>
  <si>
    <t>pachcore</t>
  </si>
  <si>
    <t>DD</t>
  </si>
  <si>
    <t>2 dd de 500 gigas, + 2  de  1 tera</t>
  </si>
  <si>
    <t>2 dd de 2 teras + 2  de  1 tera</t>
  </si>
  <si>
    <t>RED</t>
  </si>
  <si>
    <t>1 G</t>
  </si>
  <si>
    <t>Equipos</t>
  </si>
  <si>
    <t>Software</t>
  </si>
  <si>
    <t>Materiales</t>
  </si>
  <si>
    <t>Herramientas</t>
  </si>
  <si>
    <t>Servicios</t>
  </si>
  <si>
    <t>Nombre</t>
  </si>
  <si>
    <t>Unidades</t>
  </si>
  <si>
    <t>dell</t>
  </si>
  <si>
    <t>PowerEdge R440 Hot Plug | 1HD de 1TB | 8GB | 3</t>
  </si>
  <si>
    <t>https://www.microsoft.com/es-es/windows-server/pricing</t>
  </si>
  <si>
    <t>winodows server 2019 standar</t>
  </si>
  <si>
    <t>planos</t>
  </si>
  <si>
    <t>canaleta</t>
  </si>
  <si>
    <t>panchodora</t>
  </si>
  <si>
    <t>Servicios tecnologo</t>
  </si>
  <si>
    <t>Linux ubuntu-20.04.2-live-server-amd64</t>
  </si>
  <si>
    <t>utp</t>
  </si>
  <si>
    <t>ponchado de impacto</t>
  </si>
  <si>
    <t>Servicios Desarrollador</t>
  </si>
  <si>
    <t>amazon</t>
  </si>
  <si>
    <t>Router corporativo</t>
  </si>
  <si>
    <t>Red hat</t>
  </si>
  <si>
    <t>rj45</t>
  </si>
  <si>
    <t>manilla</t>
  </si>
  <si>
    <t>Antencion al cliente</t>
  </si>
  <si>
    <t>Firewall</t>
  </si>
  <si>
    <t>Anydesk</t>
  </si>
  <si>
    <t>pach core</t>
  </si>
  <si>
    <t>Probador de tonos</t>
  </si>
  <si>
    <t>abogados</t>
  </si>
  <si>
    <t>sw corporativos 16</t>
  </si>
  <si>
    <t>Antivirus</t>
  </si>
  <si>
    <t>Pach panel 24</t>
  </si>
  <si>
    <t>Probador de UTP-STP</t>
  </si>
  <si>
    <t>contador</t>
  </si>
  <si>
    <t>Ups</t>
  </si>
  <si>
    <t>vmware Workstation 16 Pro</t>
  </si>
  <si>
    <t>Rack</t>
  </si>
  <si>
    <t>Monitores corporativos</t>
  </si>
  <si>
    <t>Licencia  de Servicios de Escritorio remoto de Windows Server</t>
  </si>
  <si>
    <t>Descripcion tecnica</t>
  </si>
  <si>
    <t>cantidad</t>
  </si>
  <si>
    <t>price usd</t>
  </si>
  <si>
    <t>pesos</t>
  </si>
  <si>
    <t>valor  unitario retenciones</t>
  </si>
  <si>
    <t>valor   total</t>
  </si>
  <si>
    <t>PowerEdge T440 Hot Plug / 2 * 2 tera, xeon, 16 ram</t>
  </si>
  <si>
    <t>PowerEdge R240 Hot Plug | 2 x 1HD de 1TB | 8GB |</t>
  </si>
  <si>
    <t>Router VPN RV340 de Cisco con 4 puertos Gigabit Ethernet (GbE) más WAN dual, protección limitada de por vida (RV340-K9-NA), negro</t>
  </si>
  <si>
    <t>Cisco Meraki MX68 Firewall Plus MX68 Advanced Security and Support 3YR BDL extensión de la garantía</t>
  </si>
  <si>
    <t>Interruptor inteligente Cisco Business CBS250-16P-2G | 16 puertos GE | PoE | 2x1G SFP | Protección limitada de por vida (CBS250-16P-2G) (CBS250-16P-2G-NA)\</t>
  </si>
  <si>
    <t>precio unitario</t>
  </si>
  <si>
    <t>precio final</t>
  </si>
  <si>
    <t>UPS inteligente APC 1500VA con SmartConnect, SMC1500-2UC soporte en rack UPS batería de respaldo, sinewave, AVR, 120V, línea de alimentación ininterrumpida interactiva</t>
  </si>
  <si>
    <t>Monitor Dell: P2219H</t>
  </si>
  <si>
    <t>con iva</t>
  </si>
  <si>
    <t>sin iva</t>
  </si>
  <si>
    <t>Canaleta 60 x 40 mm 2 metros ND</t>
  </si>
  <si>
    <t>Cable UTP Categoria 6 CCA+PVP Carrete 305 Metros Propack</t>
  </si>
  <si>
    <t>Bolsa rj45</t>
  </si>
  <si>
    <t>Extensión patch cord 2 metros gris cat 5e 3.6 db</t>
  </si>
  <si>
    <t>Patch Panel Cat 6 de 24 Puertos</t>
  </si>
  <si>
    <t xml:space="preserve"> rack </t>
  </si>
  <si>
    <t>Precio (COP)</t>
  </si>
  <si>
    <t>https://www.homecenter.com.co/homecenter-co/product/276494/ponchadora-rj11-rj45-rj12</t>
  </si>
  <si>
    <t>https://www.homecenter.com.co/homecenter-co/product/358311/ponchadora-de-impacto-110-88-utp-stp</t>
  </si>
  <si>
    <t>https://www.exito.com/manilla-pulsera-antiestatica-ajustable-alta-calidad-100158060-mp/p</t>
  </si>
  <si>
    <t>https://www.amazon.com/Klein-Tools-VDV500-820-Tracer-cables/dp/B07VYN98QV/ref=sr_1_1_sspa?adgrpid=103184555194&amp;dchild=1&amp;gclid=CjwKCAjww-CGBhALEiwAQzWxOiYmJc0Rbd2WuRmcGYKo2HECkNj0UUKvRjjrKWktjDGzMELZI7PBhxoCsDMQAvD_BwE&amp;hvadid=523258892123&amp;hvdev=c&amp;hvlocphy=1003659&amp;hvnetw=g&amp;hvqmt=b&amp;hvrand=10441268869268163660&amp;hvtargid=kwd-351756677687&amp;hydadcr=26890_11642569&amp;keywords=tone+generator&amp;qid=1624778017&amp;sr=8-1-spons&amp;psc=1&amp;spLa=ZW5jcnlwdGVkUXVhbGlmaWVyPUEzSllIMUpXNjJMOEswJmVuY3J5cHRlZElkPUEwMTU5NDMwMklVWDM1TjE4T1dWUSZlbmNyeXB0ZWRBZElkPUEwODc4NDI1Mzc2NzZZWjExNU9CWSZ3aWRnZXROYW1lPXNwX2F0ZiZhY3Rpb249Y2xpY2tSZWRpcmVjdCZkb05vdExvZ0NsaWNrPXRydWU=</t>
  </si>
  <si>
    <t>https://www.homecenter.com.co/homecenter-co/product/166416/Multitester-Probador-Cables-UTP-STP-Modulares/166416</t>
  </si>
  <si>
    <t>Probador Cables UTP - STP - Modulares</t>
  </si>
  <si>
    <t>Edición de Windows Server 2019</t>
  </si>
  <si>
    <t>https://www.suse.com/shop/server/#subnav</t>
  </si>
  <si>
    <t>SUSE Linux Enterprise Server 1 año</t>
  </si>
  <si>
    <t>https://www.redhat.com/en/store</t>
  </si>
  <si>
    <t>red hat enterprise linux server 1 año</t>
  </si>
  <si>
    <t>https://anydesk.com/es/comprar</t>
  </si>
  <si>
    <t>AnyDesk</t>
  </si>
  <si>
    <t>https://www.mcafee.com/en-us/antivirus/smb.html</t>
  </si>
  <si>
    <t>McAfee® Small Business Security 1 año</t>
  </si>
  <si>
    <t>https://store-us.vmware.com/vmware-workstation-16-pro-5424176500.html?theme=2</t>
  </si>
  <si>
    <t>VMware Workstation 16 Pro</t>
  </si>
  <si>
    <t>https://www.microsoft.com/es-es/d/licencia-cal-de-servicios-de-escritorio-remoto-de-windows-server/dg7gmgf0dvsv</t>
  </si>
  <si>
    <t>Licencia CAL de Servicios de Escritorio remoto de Windows Server</t>
  </si>
  <si>
    <t>https://www.amazon.com/-/es/MX67C-HW-Cisco-Meraki-Managed-Firewall/dp/B07KKQMQSD/ref=sr_1_18?__mk_es_US=ÅMÅŽÕÑ&amp;dchild=1&amp;keywords=licence+cisco+firewall&amp;qid=1624664114&amp;sr=8-18</t>
  </si>
  <si>
    <t>MX67C-HW Cisco Meraki, MX67C Meraki Cloud Managed Firewall con: LIC-SEC-1YR - Licencia de seguridad avanzada de Cisco Meraki de 1 año</t>
  </si>
  <si>
    <t>https://www.amazon.com/-/es/Cisco-Meraki-licencia-soporte-empresarial/dp/B01BPA232Q/ref=sr_1_13?__mk_es_US=ÅMÅŽÕÑ&amp;dchild=1&amp;keywords=licence+cisco&amp;qid=1624664303&amp;sr=8-13</t>
  </si>
  <si>
    <t>Cisco licence</t>
  </si>
  <si>
    <t>Cisco Meraki MR42 Cloud Mng'd Wless AP + 3 años de licencia y soporte empresarial</t>
  </si>
  <si>
    <t>personas</t>
  </si>
  <si>
    <t>puntos</t>
  </si>
  <si>
    <t>Lista Cloud</t>
  </si>
  <si>
    <t>Service Type</t>
  </si>
  <si>
    <t>Components</t>
  </si>
  <si>
    <t>Region</t>
  </si>
  <si>
    <t>Component Price</t>
  </si>
  <si>
    <t>Service Price</t>
  </si>
  <si>
    <t>Amazon EC2 Service (US East (N. Virginia))</t>
  </si>
  <si>
    <t>$1017.17</t>
  </si>
  <si>
    <t>price</t>
  </si>
  <si>
    <t>precio</t>
  </si>
  <si>
    <t>precio impuestos</t>
  </si>
  <si>
    <t>Compute:</t>
  </si>
  <si>
    <t>US East (N. Virginia)</t>
  </si>
  <si>
    <t>644.17</t>
  </si>
  <si>
    <t xml:space="preserve">4 servdores, 1 winserver 2019 base 16 ram xeon 4 nucleos, 1 sles 16 ram, xeon 4 nuclos,  1 windows 8ram, xeon 2 nucleos, 1 redhat 8 ram, xeon 2 nucleos </t>
  </si>
  <si>
    <t>Intra-Region Data Transfer:</t>
  </si>
  <si>
    <t>$3.6</t>
  </si>
  <si>
    <t>EBS Volumes:</t>
  </si>
  <si>
    <t>$270</t>
  </si>
  <si>
    <t>EBS Throughput:</t>
  </si>
  <si>
    <t>EBS Snapshots:</t>
  </si>
  <si>
    <t>$24.8</t>
  </si>
  <si>
    <t>Elastic IPs:</t>
  </si>
  <si>
    <t>$69.2</t>
  </si>
  <si>
    <t>Inter-Region Data Transfer Out:</t>
  </si>
  <si>
    <t>AWS Data Transfer In</t>
  </si>
  <si>
    <t>$0</t>
  </si>
  <si>
    <t>Global</t>
  </si>
  <si>
    <t>US East (N. Virginia) Region:</t>
  </si>
  <si>
    <t>Support for all AWS services:</t>
  </si>
  <si>
    <t>AWS Data Transfer Out</t>
  </si>
  <si>
    <t>$16.11</t>
  </si>
  <si>
    <t>firewall</t>
  </si>
  <si>
    <t>tranferencia firewall</t>
  </si>
  <si>
    <t>AWS Support (Business)</t>
  </si>
  <si>
    <t>$103.2</t>
  </si>
  <si>
    <t>Free Tier Discount:</t>
  </si>
  <si>
    <t>($-1.31)</t>
  </si>
  <si>
    <t>Total Monthly Payment:</t>
  </si>
  <si>
    <t>$1135.17</t>
  </si>
  <si>
    <t>costo al año</t>
  </si>
  <si>
    <t>Azure</t>
  </si>
  <si>
    <t>precio total</t>
  </si>
  <si>
    <t>1 D16as v4 (16 vCPUs, 64 GB RAM); Linux – Red Hat Enterprise Linux; 1 year reserved; 180 managed disks – S6, 180,000 transaction units; Inter Region transfer type, 5 GB outbound data transfer from Brazil South to East Asia</t>
  </si>
  <si>
    <t>1 B1S (1 vCPU, 1 GB RAM); Windows – (OS Only); 1 year reserved; 180 managed disks – S4, 180,000 transaction units; Inter Region transfer type, 5 GB outbound data transfer from  to East Asia</t>
  </si>
  <si>
    <t>0 Dynamic IP Addresses, 2 Static IP Addresses, 0 Remaps</t>
  </si>
  <si>
    <t>Standard tier, 1 Logical firewall units x 730 Hours, 0 GB Data processed</t>
  </si>
  <si>
    <t>Costos totales del proyecto</t>
  </si>
  <si>
    <t>costo mes</t>
  </si>
  <si>
    <t>costo equipos</t>
  </si>
  <si>
    <t>costo servicios</t>
  </si>
  <si>
    <t>costo total</t>
  </si>
  <si>
    <t>solo cloud aws + azure</t>
  </si>
  <si>
    <t>solo 1 cloud</t>
  </si>
  <si>
    <t>solo on-premise</t>
  </si>
  <si>
    <t>hyper-convergentes</t>
  </si>
  <si>
    <t>Ventas de movistar</t>
  </si>
  <si>
    <t>Año</t>
  </si>
  <si>
    <t>mes</t>
  </si>
  <si>
    <t>Mes</t>
  </si>
  <si>
    <t>dia</t>
  </si>
  <si>
    <t>Presupuesto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</si>
</sst>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]#,##0.00"/>
    <numFmt numFmtId="165" formatCode="&quot;$&quot;\ #,##0;[Red]\-&quot;$&quot;\ #,##0"/>
    <numFmt numFmtId="166" formatCode="#,##0.00\ [$€-1]"/>
  </numFmts>
  <fonts count="25">
    <font>
      <sz val="10.0"/>
      <color rgb="FF000000"/>
      <name val="Arial"/>
    </font>
    <font>
      <sz val="36.0"/>
      <color theme="1"/>
      <name val="Arial"/>
    </font>
    <font>
      <color theme="1"/>
      <name val="Arial"/>
    </font>
    <font>
      <sz val="11.0"/>
      <color rgb="FF000000"/>
      <name val="Arial"/>
    </font>
    <font>
      <b/>
      <sz val="11.0"/>
      <color rgb="FF000000"/>
      <name val="Arial"/>
    </font>
    <font>
      <color rgb="FF000000"/>
      <name val="Arial"/>
    </font>
    <font>
      <u/>
      <color rgb="FF1155CC"/>
      <name val="Arial"/>
    </font>
    <font>
      <color rgb="FF000000"/>
      <name val="Roboto"/>
    </font>
    <font>
      <b/>
      <sz val="36.0"/>
      <color theme="1"/>
      <name val="Arial"/>
    </font>
    <font>
      <color rgb="FFFFFFFF"/>
      <name val="Arial"/>
    </font>
    <font>
      <sz val="12.0"/>
      <color rgb="FF000000"/>
      <name val="Arial"/>
    </font>
    <font>
      <color rgb="FFFFFF00"/>
      <name val="Arial"/>
    </font>
    <font>
      <b/>
      <sz val="14.0"/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00FFFF"/>
      <name val="Arial"/>
    </font>
    <font>
      <color rgb="FF00FFFF"/>
      <name val="Arial"/>
    </font>
    <font>
      <color rgb="FF9900FF"/>
      <name val="Arial"/>
    </font>
    <font>
      <b/>
      <color theme="1"/>
      <name val="Arial"/>
    </font>
    <font>
      <sz val="11.0"/>
      <color rgb="FF000000"/>
      <name val="Calibri"/>
    </font>
    <font/>
    <font>
      <sz val="11.0"/>
      <color rgb="FFFF0000"/>
      <name val="Calibri"/>
    </font>
    <font>
      <color rgb="FF00FF00"/>
      <name val="Arial"/>
    </font>
    <font>
      <sz val="11.0"/>
      <color rgb="FF000000"/>
      <name val="Inconsolata"/>
    </font>
    <font>
      <sz val="18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theme="7"/>
        <bgColor theme="7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FF00FF"/>
        <bgColor rgb="FFFF00FF"/>
      </patternFill>
    </fill>
    <fill>
      <patternFill patternType="solid">
        <fgColor theme="4"/>
        <bgColor theme="4"/>
      </patternFill>
    </fill>
    <fill>
      <patternFill patternType="solid">
        <fgColor rgb="FFD9EAD3"/>
        <bgColor rgb="FFD9EAD3"/>
      </patternFill>
    </fill>
    <fill>
      <patternFill patternType="solid">
        <fgColor rgb="FF9900FF"/>
        <bgColor rgb="FF9900FF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</fills>
  <borders count="6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Font="1"/>
    <xf borderId="0" fillId="3" fontId="3" numFmtId="0" xfId="0" applyAlignment="1" applyFill="1" applyFont="1">
      <alignment shrinkToFit="0" vertical="bottom" wrapText="1"/>
    </xf>
    <xf borderId="0" fillId="3" fontId="4" numFmtId="0" xfId="0" applyAlignment="1" applyFont="1">
      <alignment shrinkToFit="0" vertical="bottom" wrapText="1"/>
    </xf>
    <xf borderId="0" fillId="3" fontId="2" numFmtId="0" xfId="0" applyFont="1"/>
    <xf borderId="0" fillId="3" fontId="3" numFmtId="0" xfId="0" applyAlignment="1" applyFont="1">
      <alignment readingOrder="0" shrinkToFit="0" vertical="bottom" wrapText="1"/>
    </xf>
    <xf borderId="1" fillId="4" fontId="3" numFmtId="0" xfId="0" applyAlignment="1" applyBorder="1" applyFill="1" applyFont="1">
      <alignment shrinkToFit="0" vertical="bottom" wrapText="1"/>
    </xf>
    <xf borderId="1" fillId="4" fontId="4" numFmtId="0" xfId="0" applyAlignment="1" applyBorder="1" applyFont="1">
      <alignment shrinkToFit="0" vertical="bottom" wrapText="1"/>
    </xf>
    <xf borderId="2" fillId="2" fontId="3" numFmtId="0" xfId="0" applyAlignment="1" applyBorder="1" applyFont="1">
      <alignment shrinkToFit="0" vertical="bottom" wrapText="1"/>
    </xf>
    <xf borderId="2" fillId="2" fontId="4" numFmtId="0" xfId="0" applyAlignment="1" applyBorder="1" applyFont="1">
      <alignment shrinkToFit="0" vertical="bottom" wrapText="1"/>
    </xf>
    <xf borderId="3" fillId="5" fontId="2" numFmtId="0" xfId="0" applyAlignment="1" applyBorder="1" applyFill="1" applyFont="1">
      <alignment vertical="bottom"/>
    </xf>
    <xf borderId="4" fillId="5" fontId="2" numFmtId="0" xfId="0" applyAlignment="1" applyBorder="1" applyFont="1">
      <alignment vertical="bottom"/>
    </xf>
    <xf borderId="2" fillId="4" fontId="3" numFmtId="0" xfId="0" applyAlignment="1" applyBorder="1" applyFont="1">
      <alignment shrinkToFit="0" vertical="bottom" wrapText="1"/>
    </xf>
    <xf borderId="3" fillId="2" fontId="3" numFmtId="0" xfId="0" applyAlignment="1" applyBorder="1" applyFont="1">
      <alignment shrinkToFit="0" vertical="bottom" wrapText="1"/>
    </xf>
    <xf borderId="3" fillId="2" fontId="4" numFmtId="0" xfId="0" applyAlignment="1" applyBorder="1" applyFont="1">
      <alignment shrinkToFit="0" vertical="bottom" wrapText="1"/>
    </xf>
    <xf borderId="3" fillId="5" fontId="5" numFmtId="0" xfId="0" applyAlignment="1" applyBorder="1" applyFont="1">
      <alignment vertical="bottom"/>
    </xf>
    <xf borderId="3" fillId="5" fontId="5" numFmtId="0" xfId="0" applyAlignment="1" applyBorder="1" applyFont="1">
      <alignment horizontal="right" vertical="bottom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3" fillId="4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3" fillId="6" fontId="2" numFmtId="0" xfId="0" applyAlignment="1" applyBorder="1" applyFill="1" applyFont="1">
      <alignment vertical="bottom"/>
    </xf>
    <xf borderId="0" fillId="4" fontId="2" numFmtId="0" xfId="0" applyAlignment="1" applyFont="1">
      <alignment horizontal="right" vertical="bottom"/>
    </xf>
    <xf borderId="0" fillId="2" fontId="6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horizontal="right" readingOrder="0" vertical="bottom"/>
    </xf>
    <xf borderId="3" fillId="2" fontId="2" numFmtId="0" xfId="0" applyAlignment="1" applyBorder="1" applyFont="1">
      <alignment horizontal="right" vertical="bottom"/>
    </xf>
    <xf borderId="3" fillId="4" fontId="2" numFmtId="0" xfId="0" applyAlignment="1" applyBorder="1" applyFont="1">
      <alignment horizontal="right" vertical="bottom"/>
    </xf>
    <xf borderId="0" fillId="2" fontId="2" numFmtId="0" xfId="0" applyAlignment="1" applyFont="1">
      <alignment horizontal="right" vertical="bottom"/>
    </xf>
    <xf borderId="3" fillId="4" fontId="2" numFmtId="0" xfId="0" applyAlignment="1" applyBorder="1" applyFont="1">
      <alignment readingOrder="0" vertical="bottom"/>
    </xf>
    <xf borderId="0" fillId="2" fontId="7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3" fontId="2" numFmtId="0" xfId="0" applyAlignment="1" applyFont="1">
      <alignment horizontal="right" vertical="bottom"/>
    </xf>
    <xf borderId="0" fillId="4" fontId="8" numFmtId="164" xfId="0" applyFont="1" applyNumberFormat="1"/>
    <xf borderId="0" fillId="7" fontId="2" numFmtId="0" xfId="0" applyFill="1" applyFont="1"/>
    <xf borderId="0" fillId="5" fontId="9" numFmtId="164" xfId="0" applyAlignment="1" applyFont="1" applyNumberFormat="1">
      <alignment horizontal="right" vertical="bottom"/>
    </xf>
    <xf borderId="0" fillId="5" fontId="2" numFmtId="0" xfId="0" applyFont="1"/>
    <xf borderId="0" fillId="8" fontId="2" numFmtId="0" xfId="0" applyAlignment="1" applyFill="1" applyFont="1">
      <alignment vertical="bottom"/>
    </xf>
    <xf borderId="0" fillId="8" fontId="2" numFmtId="0" xfId="0" applyAlignment="1" applyFont="1">
      <alignment horizontal="right" vertical="bottom"/>
    </xf>
    <xf borderId="0" fillId="8" fontId="2" numFmtId="164" xfId="0" applyAlignment="1" applyFont="1" applyNumberFormat="1">
      <alignment vertical="bottom"/>
    </xf>
    <xf borderId="0" fillId="8" fontId="10" numFmtId="164" xfId="0" applyAlignment="1" applyFont="1" applyNumberFormat="1">
      <alignment horizontal="right" vertical="bottom"/>
    </xf>
    <xf borderId="0" fillId="8" fontId="2" numFmtId="164" xfId="0" applyAlignment="1" applyFont="1" applyNumberFormat="1">
      <alignment horizontal="right" vertical="bottom"/>
    </xf>
    <xf borderId="0" fillId="4" fontId="10" numFmtId="164" xfId="0" applyAlignment="1" applyFont="1" applyNumberFormat="1">
      <alignment horizontal="right" vertical="bottom"/>
    </xf>
    <xf borderId="0" fillId="4" fontId="2" numFmtId="164" xfId="0" applyAlignment="1" applyFont="1" applyNumberFormat="1">
      <alignment horizontal="right" vertical="bottom"/>
    </xf>
    <xf borderId="0" fillId="5" fontId="11" numFmtId="164" xfId="0" applyAlignment="1" applyFont="1" applyNumberFormat="1">
      <alignment horizontal="right" readingOrder="0" vertical="bottom"/>
    </xf>
    <xf borderId="0" fillId="5" fontId="11" numFmtId="164" xfId="0" applyAlignment="1" applyFont="1" applyNumberFormat="1">
      <alignment horizontal="right" vertical="bottom"/>
    </xf>
    <xf borderId="0" fillId="9" fontId="2" numFmtId="164" xfId="0" applyFill="1" applyFont="1" applyNumberFormat="1"/>
    <xf borderId="0" fillId="4" fontId="1" numFmtId="0" xfId="0" applyAlignment="1" applyFont="1">
      <alignment horizontal="center" readingOrder="0"/>
    </xf>
    <xf borderId="0" fillId="4" fontId="2" numFmtId="0" xfId="0" applyFont="1"/>
    <xf borderId="0" fillId="10" fontId="2" numFmtId="0" xfId="0" applyFill="1" applyFont="1"/>
    <xf borderId="0" fillId="2" fontId="3" numFmtId="164" xfId="0" applyAlignment="1" applyFont="1" applyNumberFormat="1">
      <alignment horizontal="center" vertical="bottom"/>
    </xf>
    <xf borderId="0" fillId="2" fontId="2" numFmtId="164" xfId="0" applyAlignment="1" applyFont="1" applyNumberFormat="1">
      <alignment horizontal="right" vertical="bottom"/>
    </xf>
    <xf borderId="0" fillId="10" fontId="2" numFmtId="0" xfId="0" applyAlignment="1" applyFont="1">
      <alignment vertical="bottom"/>
    </xf>
    <xf borderId="0" fillId="10" fontId="2" numFmtId="164" xfId="0" applyAlignment="1" applyFont="1" applyNumberFormat="1">
      <alignment vertical="bottom"/>
    </xf>
    <xf borderId="0" fillId="4" fontId="12" numFmtId="164" xfId="0" applyAlignment="1" applyFont="1" applyNumberFormat="1">
      <alignment horizontal="right" vertical="bottom"/>
    </xf>
    <xf borderId="0" fillId="11" fontId="2" numFmtId="0" xfId="0" applyFill="1" applyFont="1"/>
    <xf borderId="0" fillId="5" fontId="5" numFmtId="0" xfId="0" applyAlignment="1" applyFont="1">
      <alignment shrinkToFit="0" vertical="bottom" wrapText="1"/>
    </xf>
    <xf borderId="0" fillId="4" fontId="13" numFmtId="0" xfId="0" applyAlignment="1" applyFont="1">
      <alignment shrinkToFit="0" vertical="bottom" wrapText="1"/>
    </xf>
    <xf borderId="0" fillId="4" fontId="5" numFmtId="0" xfId="0" applyAlignment="1" applyFont="1">
      <alignment shrinkToFit="0" vertical="bottom" wrapText="1"/>
    </xf>
    <xf borderId="0" fillId="4" fontId="5" numFmtId="0" xfId="0" applyAlignment="1" applyFont="1">
      <alignment horizontal="right" shrinkToFit="0" vertical="bottom" wrapText="1"/>
    </xf>
    <xf borderId="0" fillId="4" fontId="5" numFmtId="165" xfId="0" applyAlignment="1" applyFont="1" applyNumberFormat="1">
      <alignment horizontal="right" vertical="bottom"/>
    </xf>
    <xf borderId="0" fillId="4" fontId="14" numFmtId="0" xfId="0" applyAlignment="1" applyFont="1">
      <alignment shrinkToFit="0" vertical="bottom" wrapText="0"/>
    </xf>
    <xf borderId="0" fillId="12" fontId="2" numFmtId="0" xfId="0" applyAlignment="1" applyFill="1" applyFont="1">
      <alignment vertical="bottom"/>
    </xf>
    <xf borderId="0" fillId="11" fontId="2" numFmtId="0" xfId="0" applyAlignment="1" applyFont="1">
      <alignment vertical="bottom"/>
    </xf>
    <xf borderId="0" fillId="5" fontId="2" numFmtId="165" xfId="0" applyAlignment="1" applyFont="1" applyNumberFormat="1">
      <alignment horizontal="right" vertical="bottom"/>
    </xf>
    <xf borderId="0" fillId="13" fontId="2" numFmtId="0" xfId="0" applyFill="1" applyFont="1"/>
    <xf borderId="0" fillId="4" fontId="15" numFmtId="0" xfId="0" applyAlignment="1" applyFont="1">
      <alignment vertical="bottom"/>
    </xf>
    <xf borderId="4" fillId="2" fontId="2" numFmtId="0" xfId="0" applyAlignment="1" applyBorder="1" applyFont="1">
      <alignment vertical="bottom"/>
    </xf>
    <xf borderId="3" fillId="2" fontId="3" numFmtId="164" xfId="0" applyAlignment="1" applyBorder="1" applyFont="1" applyNumberFormat="1">
      <alignment horizontal="center" vertical="bottom"/>
    </xf>
    <xf borderId="3" fillId="2" fontId="2" numFmtId="164" xfId="0" applyAlignment="1" applyBorder="1" applyFont="1" applyNumberFormat="1">
      <alignment horizontal="right" vertical="bottom"/>
    </xf>
    <xf borderId="3" fillId="2" fontId="2" numFmtId="0" xfId="0" applyAlignment="1" applyBorder="1" applyFont="1">
      <alignment horizontal="right" readingOrder="0" vertical="bottom"/>
    </xf>
    <xf borderId="0" fillId="4" fontId="16" numFmtId="0" xfId="0" applyAlignment="1" applyFont="1">
      <alignment vertical="bottom"/>
    </xf>
    <xf borderId="0" fillId="13" fontId="17" numFmtId="0" xfId="0" applyFont="1"/>
    <xf borderId="0" fillId="13" fontId="17" numFmtId="164" xfId="0" applyAlignment="1" applyFont="1" applyNumberFormat="1">
      <alignment horizontal="right" readingOrder="0" vertical="bottom"/>
    </xf>
    <xf borderId="0" fillId="13" fontId="17" numFmtId="164" xfId="0" applyAlignment="1" applyFont="1" applyNumberFormat="1">
      <alignment horizontal="right" vertical="bottom"/>
    </xf>
    <xf borderId="0" fillId="14" fontId="2" numFmtId="164" xfId="0" applyFill="1" applyFont="1" applyNumberFormat="1"/>
    <xf borderId="3" fillId="15" fontId="2" numFmtId="164" xfId="0" applyAlignment="1" applyBorder="1" applyFill="1" applyFont="1" applyNumberFormat="1">
      <alignment vertical="bottom"/>
    </xf>
    <xf borderId="3" fillId="15" fontId="2" numFmtId="0" xfId="0" applyAlignment="1" applyBorder="1" applyFont="1">
      <alignment horizontal="right" vertical="bottom"/>
    </xf>
    <xf borderId="3" fillId="15" fontId="2" numFmtId="164" xfId="0" applyAlignment="1" applyBorder="1" applyFont="1" applyNumberFormat="1">
      <alignment horizontal="right" vertical="bottom"/>
    </xf>
    <xf borderId="3" fillId="15" fontId="2" numFmtId="0" xfId="0" applyAlignment="1" applyBorder="1" applyFont="1">
      <alignment vertical="bottom"/>
    </xf>
    <xf borderId="3" fillId="15" fontId="18" numFmtId="164" xfId="0" applyAlignment="1" applyBorder="1" applyFont="1" applyNumberFormat="1">
      <alignment horizontal="right" vertical="bottom"/>
    </xf>
    <xf borderId="3" fillId="5" fontId="2" numFmtId="0" xfId="0" applyAlignment="1" applyBorder="1" applyFont="1">
      <alignment horizontal="right" vertical="bottom"/>
    </xf>
    <xf borderId="3" fillId="5" fontId="3" numFmtId="164" xfId="0" applyAlignment="1" applyBorder="1" applyFont="1" applyNumberFormat="1">
      <alignment horizontal="center" vertical="bottom"/>
    </xf>
    <xf borderId="3" fillId="5" fontId="2" numFmtId="164" xfId="0" applyAlignment="1" applyBorder="1" applyFont="1" applyNumberFormat="1">
      <alignment horizontal="right" vertical="bottom"/>
    </xf>
    <xf borderId="0" fillId="4" fontId="2" numFmtId="164" xfId="0" applyFont="1" applyNumberFormat="1"/>
    <xf borderId="0" fillId="15" fontId="19" numFmtId="0" xfId="0" applyAlignment="1" applyFont="1">
      <alignment vertical="bottom"/>
    </xf>
    <xf borderId="3" fillId="15" fontId="19" numFmtId="0" xfId="0" applyAlignment="1" applyBorder="1" applyFont="1">
      <alignment vertical="bottom"/>
    </xf>
    <xf borderId="3" fillId="15" fontId="19" numFmtId="4" xfId="0" applyAlignment="1" applyBorder="1" applyFont="1" applyNumberFormat="1">
      <alignment vertical="bottom"/>
    </xf>
    <xf borderId="0" fillId="5" fontId="2" numFmtId="0" xfId="0" applyAlignment="1" applyFont="1">
      <alignment horizontal="center" vertical="bottom"/>
    </xf>
    <xf borderId="3" fillId="5" fontId="2" numFmtId="0" xfId="0" applyAlignment="1" applyBorder="1" applyFont="1">
      <alignment horizontal="center" vertical="bottom"/>
    </xf>
    <xf borderId="3" fillId="14" fontId="2" numFmtId="0" xfId="0" applyAlignment="1" applyBorder="1" applyFont="1">
      <alignment vertical="bottom"/>
    </xf>
    <xf borderId="5" fillId="5" fontId="19" numFmtId="0" xfId="0" applyAlignment="1" applyBorder="1" applyFont="1">
      <alignment shrinkToFit="0" vertical="bottom" wrapText="1"/>
    </xf>
    <xf borderId="4" fillId="0" fontId="20" numFmtId="0" xfId="0" applyBorder="1" applyFont="1"/>
    <xf borderId="3" fillId="5" fontId="2" numFmtId="4" xfId="0" applyAlignment="1" applyBorder="1" applyFont="1" applyNumberFormat="1">
      <alignment vertical="bottom"/>
    </xf>
    <xf borderId="3" fillId="5" fontId="19" numFmtId="0" xfId="0" applyAlignment="1" applyBorder="1" applyFont="1">
      <alignment horizontal="right" vertical="bottom"/>
    </xf>
    <xf borderId="3" fillId="5" fontId="19" numFmtId="4" xfId="0" applyAlignment="1" applyBorder="1" applyFont="1" applyNumberFormat="1">
      <alignment horizontal="right" vertical="bottom"/>
    </xf>
    <xf borderId="3" fillId="2" fontId="2" numFmtId="0" xfId="0" applyAlignment="1" applyBorder="1" applyFont="1">
      <alignment shrinkToFit="0" vertical="bottom" wrapText="0"/>
    </xf>
    <xf borderId="3" fillId="2" fontId="2" numFmtId="0" xfId="0" applyAlignment="1" applyBorder="1" applyFont="1">
      <alignment horizontal="center" vertical="bottom"/>
    </xf>
    <xf borderId="3" fillId="2" fontId="19" numFmtId="4" xfId="0" applyAlignment="1" applyBorder="1" applyFont="1" applyNumberFormat="1">
      <alignment horizontal="right" vertical="bottom"/>
    </xf>
    <xf borderId="3" fillId="5" fontId="2" numFmtId="0" xfId="0" applyAlignment="1" applyBorder="1" applyFont="1">
      <alignment shrinkToFit="0" vertical="bottom" wrapText="0"/>
    </xf>
    <xf borderId="3" fillId="2" fontId="19" numFmtId="0" xfId="0" applyAlignment="1" applyBorder="1" applyFont="1">
      <alignment horizontal="right" vertical="bottom"/>
    </xf>
    <xf borderId="5" fillId="5" fontId="2" numFmtId="0" xfId="0" applyAlignment="1" applyBorder="1" applyFont="1">
      <alignment vertical="bottom"/>
    </xf>
    <xf borderId="3" fillId="2" fontId="2" numFmtId="4" xfId="0" applyAlignment="1" applyBorder="1" applyFont="1" applyNumberFormat="1">
      <alignment horizontal="right" vertical="bottom"/>
    </xf>
    <xf borderId="3" fillId="2" fontId="5" numFmtId="0" xfId="0" applyAlignment="1" applyBorder="1" applyFont="1">
      <alignment vertical="bottom"/>
    </xf>
    <xf borderId="3" fillId="2" fontId="2" numFmtId="4" xfId="0" applyAlignment="1" applyBorder="1" applyFont="1" applyNumberFormat="1">
      <alignment vertical="bottom"/>
    </xf>
    <xf borderId="3" fillId="5" fontId="21" numFmtId="0" xfId="0" applyAlignment="1" applyBorder="1" applyFont="1">
      <alignment horizontal="right" vertical="bottom"/>
    </xf>
    <xf borderId="3" fillId="11" fontId="19" numFmtId="0" xfId="0" applyAlignment="1" applyBorder="1" applyFont="1">
      <alignment horizontal="right" vertical="bottom"/>
    </xf>
    <xf borderId="0" fillId="2" fontId="22" numFmtId="4" xfId="0" applyAlignment="1" applyFont="1" applyNumberFormat="1">
      <alignment horizontal="right" vertical="bottom"/>
    </xf>
    <xf borderId="0" fillId="2" fontId="22" numFmtId="0" xfId="0" applyFont="1"/>
    <xf borderId="0" fillId="5" fontId="1" numFmtId="0" xfId="0" applyAlignment="1" applyFont="1">
      <alignment horizontal="center" readingOrder="0"/>
    </xf>
    <xf borderId="3" fillId="4" fontId="2" numFmtId="0" xfId="0" applyAlignment="1" applyBorder="1" applyFont="1">
      <alignment shrinkToFit="0" vertical="bottom" wrapText="0"/>
    </xf>
    <xf borderId="3" fillId="4" fontId="2" numFmtId="4" xfId="0" applyAlignment="1" applyBorder="1" applyFont="1" applyNumberFormat="1">
      <alignment horizontal="right" vertical="bottom"/>
    </xf>
    <xf borderId="0" fillId="5" fontId="2" numFmtId="4" xfId="0" applyAlignment="1" applyFont="1" applyNumberFormat="1">
      <alignment horizontal="right" vertical="bottom"/>
    </xf>
    <xf borderId="0" fillId="5" fontId="2" numFmtId="0" xfId="0" applyAlignment="1" applyFont="1">
      <alignment horizontal="right" vertical="bottom"/>
    </xf>
    <xf borderId="0" fillId="2" fontId="5" numFmtId="0" xfId="0" applyAlignment="1" applyFont="1">
      <alignment vertical="bottom"/>
    </xf>
    <xf borderId="3" fillId="4" fontId="5" numFmtId="0" xfId="0" applyAlignment="1" applyBorder="1" applyFont="1">
      <alignment vertical="bottom"/>
    </xf>
    <xf borderId="3" fillId="4" fontId="2" numFmtId="166" xfId="0" applyAlignment="1" applyBorder="1" applyFont="1" applyNumberFormat="1">
      <alignment horizontal="right" vertical="bottom"/>
    </xf>
    <xf borderId="3" fillId="4" fontId="23" numFmtId="166" xfId="0" applyAlignment="1" applyBorder="1" applyFont="1" applyNumberFormat="1">
      <alignment horizontal="right" vertical="bottom"/>
    </xf>
    <xf borderId="3" fillId="4" fontId="2" numFmtId="166" xfId="0" applyAlignment="1" applyBorder="1" applyFont="1" applyNumberFormat="1">
      <alignment vertical="bottom"/>
    </xf>
    <xf borderId="2" fillId="2" fontId="2" numFmtId="0" xfId="0" applyAlignment="1" applyBorder="1" applyFont="1">
      <alignment vertical="bottom"/>
    </xf>
    <xf borderId="2" fillId="4" fontId="2" numFmtId="166" xfId="0" applyAlignment="1" applyBorder="1" applyFont="1" applyNumberFormat="1">
      <alignment horizontal="right" vertical="bottom"/>
    </xf>
    <xf borderId="2" fillId="4" fontId="2" numFmtId="0" xfId="0" applyAlignment="1" applyBorder="1" applyFont="1">
      <alignment vertical="bottom"/>
    </xf>
    <xf borderId="0" fillId="5" fontId="24" numFmtId="0" xfId="0" applyAlignment="1" applyFont="1">
      <alignment horizontal="center" readingOrder="0"/>
    </xf>
    <xf borderId="0" fillId="2" fontId="2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2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0</xdr:rowOff>
    </xdr:from>
    <xdr:ext cx="971550" cy="7905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0</xdr:rowOff>
    </xdr:from>
    <xdr:ext cx="1095375" cy="8858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52500" cy="8763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95350" cy="8191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52500" cy="8763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52500" cy="8763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52500" cy="8763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47750" cy="9620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47750" cy="9620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0</xdr:rowOff>
    </xdr:from>
    <xdr:ext cx="1095375" cy="8858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crosoft.com/es-es/windows-server/pricing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omecenter.com.co/homecenter-co/product/276494/ponchadora-rj11-rj45-rj12" TargetMode="External"/><Relationship Id="rId2" Type="http://schemas.openxmlformats.org/officeDocument/2006/relationships/hyperlink" Target="https://www.homecenter.com.co/homecenter-co/product/358311/ponchadora-de-impacto-110-88-utp-stp" TargetMode="External"/><Relationship Id="rId3" Type="http://schemas.openxmlformats.org/officeDocument/2006/relationships/hyperlink" Target="https://www.exito.com/manilla-pulsera-antiestatica-ajustable-alta-calidad-100158060-mp/p" TargetMode="External"/><Relationship Id="rId4" Type="http://schemas.openxmlformats.org/officeDocument/2006/relationships/hyperlink" Target="https://www.homecenter.com.co/homecenter-co/product/166416/Multitester-Probador-Cables-UTP-STP-Modulares/166416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crosoft.com/es-es/windows-server/pricing" TargetMode="External"/><Relationship Id="rId2" Type="http://schemas.openxmlformats.org/officeDocument/2006/relationships/hyperlink" Target="https://www.suse.com/shop/server/" TargetMode="External"/><Relationship Id="rId3" Type="http://schemas.openxmlformats.org/officeDocument/2006/relationships/hyperlink" Target="https://www.redhat.com/en/store" TargetMode="External"/><Relationship Id="rId4" Type="http://schemas.openxmlformats.org/officeDocument/2006/relationships/hyperlink" Target="https://anydesk.com/es/comprar" TargetMode="External"/><Relationship Id="rId10" Type="http://schemas.openxmlformats.org/officeDocument/2006/relationships/drawing" Target="../drawings/drawing5.xml"/><Relationship Id="rId9" Type="http://schemas.openxmlformats.org/officeDocument/2006/relationships/hyperlink" Target="https://www.amazon.com/-/es/Cisco-Meraki-licencia-soporte-empresarial/dp/B01BPA232Q/ref=sr_1_13?__mk_es_US=%C3%85M%C3%85%C5%BD%C3%95%C3%91&amp;dchild=1&amp;keywords=licence+cisco&amp;qid=1624664303&amp;sr=8-13" TargetMode="External"/><Relationship Id="rId5" Type="http://schemas.openxmlformats.org/officeDocument/2006/relationships/hyperlink" Target="https://www.mcafee.com/en-us/antivirus/smb.html" TargetMode="External"/><Relationship Id="rId6" Type="http://schemas.openxmlformats.org/officeDocument/2006/relationships/hyperlink" Target="https://store-us.vmware.com/vmware-workstation-16-pro-5424176500.html?theme=2" TargetMode="External"/><Relationship Id="rId7" Type="http://schemas.openxmlformats.org/officeDocument/2006/relationships/hyperlink" Target="https://www.microsoft.com/es-es/d/licencia-cal-de-servicios-de-escritorio-remoto-de-windows-server/dg7gmgf0dvsv" TargetMode="External"/><Relationship Id="rId8" Type="http://schemas.openxmlformats.org/officeDocument/2006/relationships/hyperlink" Target="https://www.amazon.com/-/es/MX67C-HW-Cisco-Meraki-Managed-Firewall/dp/B07KKQMQSD/ref=sr_1_18?__mk_es_US=%C3%85M%C3%85%C5%BD%C3%95%C3%91&amp;dchild=1&amp;keywords=licence+cisco+firewall&amp;qid=1624664114&amp;sr=8-18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2.43"/>
    <col customWidth="1" min="3" max="3" width="62.57"/>
    <col customWidth="1" min="6" max="6" width="33.14"/>
  </cols>
  <sheetData>
    <row r="1" ht="64.5" customHeight="1">
      <c r="B1" s="1" t="s">
        <v>0</v>
      </c>
      <c r="U1" s="2"/>
    </row>
    <row r="2">
      <c r="A2" s="3"/>
      <c r="B2" s="4"/>
      <c r="C2" s="5"/>
      <c r="D2" s="5"/>
      <c r="E2" s="6"/>
      <c r="F2" s="4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>
      <c r="A3" s="7" t="s">
        <v>1</v>
      </c>
      <c r="B3" s="8" t="s">
        <v>2</v>
      </c>
      <c r="C3" s="5"/>
      <c r="D3" s="5"/>
      <c r="E3" s="9" t="s">
        <v>1</v>
      </c>
      <c r="F3" s="10" t="s">
        <v>2</v>
      </c>
      <c r="G3" s="4"/>
      <c r="H3" s="5"/>
      <c r="I3" s="11"/>
      <c r="J3" s="12" t="s">
        <v>3</v>
      </c>
      <c r="K3" s="12"/>
      <c r="L3" s="5"/>
      <c r="M3" s="5"/>
      <c r="N3" s="5"/>
      <c r="O3" s="5"/>
      <c r="P3" s="5"/>
      <c r="Q3" s="5"/>
      <c r="R3" s="5"/>
      <c r="S3" s="5"/>
      <c r="T3" s="5"/>
    </row>
    <row r="4">
      <c r="A4" s="13" t="s">
        <v>4</v>
      </c>
      <c r="B4" s="8" t="s">
        <v>5</v>
      </c>
      <c r="C4" s="5"/>
      <c r="D4" s="5"/>
      <c r="E4" s="14" t="s">
        <v>4</v>
      </c>
      <c r="F4" s="15" t="s">
        <v>5</v>
      </c>
      <c r="G4" s="4"/>
      <c r="H4" s="5"/>
      <c r="I4" s="16" t="s">
        <v>6</v>
      </c>
      <c r="J4" s="17">
        <v>17.0</v>
      </c>
      <c r="K4" s="17">
        <f>J4*2+(20)</f>
        <v>54</v>
      </c>
      <c r="L4" s="5"/>
      <c r="M4" s="5"/>
      <c r="N4" s="5"/>
      <c r="O4" s="5"/>
      <c r="P4" s="5"/>
      <c r="Q4" s="5"/>
      <c r="R4" s="5"/>
      <c r="S4" s="5"/>
      <c r="T4" s="5"/>
    </row>
    <row r="5">
      <c r="A5" s="13" t="s">
        <v>7</v>
      </c>
      <c r="B5" s="8" t="s">
        <v>8</v>
      </c>
      <c r="C5" s="5"/>
      <c r="D5" s="5"/>
      <c r="E5" s="14" t="s">
        <v>7</v>
      </c>
      <c r="F5" s="15" t="s">
        <v>9</v>
      </c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>
      <c r="A6" s="13" t="s">
        <v>10</v>
      </c>
      <c r="B6" s="8" t="s">
        <v>11</v>
      </c>
      <c r="C6" s="5"/>
      <c r="D6" s="5"/>
      <c r="E6" s="2" t="s">
        <v>10</v>
      </c>
      <c r="F6" s="2" t="s">
        <v>11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>
      <c r="A8" s="18" t="s">
        <v>12</v>
      </c>
      <c r="B8" s="18"/>
      <c r="C8" s="18"/>
      <c r="D8" s="5"/>
      <c r="E8" s="19" t="s">
        <v>13</v>
      </c>
      <c r="F8" s="19"/>
      <c r="G8" s="19"/>
      <c r="H8" s="5"/>
      <c r="I8" s="20" t="s">
        <v>14</v>
      </c>
      <c r="J8" s="20"/>
      <c r="K8" s="20"/>
      <c r="L8" s="5"/>
      <c r="M8" s="21" t="s">
        <v>15</v>
      </c>
      <c r="N8" s="21"/>
      <c r="O8" s="21"/>
      <c r="P8" s="5"/>
      <c r="Q8" s="22" t="s">
        <v>16</v>
      </c>
      <c r="R8" s="22"/>
      <c r="S8" s="22"/>
      <c r="T8" s="5"/>
    </row>
    <row r="9">
      <c r="A9" s="18"/>
      <c r="B9" s="18" t="s">
        <v>17</v>
      </c>
      <c r="C9" s="18" t="s">
        <v>18</v>
      </c>
      <c r="D9" s="5"/>
      <c r="E9" s="19"/>
      <c r="F9" s="19" t="s">
        <v>17</v>
      </c>
      <c r="G9" s="19" t="s">
        <v>18</v>
      </c>
      <c r="H9" s="5"/>
      <c r="I9" s="20"/>
      <c r="J9" s="20" t="s">
        <v>17</v>
      </c>
      <c r="K9" s="20" t="s">
        <v>18</v>
      </c>
      <c r="L9" s="5"/>
      <c r="M9" s="21"/>
      <c r="N9" s="21" t="s">
        <v>17</v>
      </c>
      <c r="O9" s="21" t="s">
        <v>18</v>
      </c>
      <c r="P9" s="5"/>
      <c r="Q9" s="22"/>
      <c r="R9" s="22" t="s">
        <v>17</v>
      </c>
      <c r="S9" s="22" t="s">
        <v>18</v>
      </c>
      <c r="T9" s="5"/>
    </row>
    <row r="10">
      <c r="A10" s="18" t="s">
        <v>19</v>
      </c>
      <c r="B10" s="18" t="s">
        <v>20</v>
      </c>
      <c r="C10" s="23">
        <v>2.0</v>
      </c>
      <c r="D10" s="5"/>
      <c r="E10" s="24" t="s">
        <v>21</v>
      </c>
      <c r="F10" s="25" t="s">
        <v>22</v>
      </c>
      <c r="G10" s="26">
        <v>4.0</v>
      </c>
      <c r="H10" s="5"/>
      <c r="I10" s="21" t="s">
        <v>23</v>
      </c>
      <c r="J10" s="21" t="s">
        <v>24</v>
      </c>
      <c r="K10" s="27">
        <v>25.0</v>
      </c>
      <c r="L10" s="5"/>
      <c r="M10" s="20"/>
      <c r="N10" s="20" t="s">
        <v>25</v>
      </c>
      <c r="O10" s="28">
        <v>2.0</v>
      </c>
      <c r="P10" s="5"/>
      <c r="Q10" s="20"/>
      <c r="R10" s="20" t="s">
        <v>26</v>
      </c>
      <c r="S10" s="28">
        <v>2.0</v>
      </c>
      <c r="T10" s="5"/>
    </row>
    <row r="11">
      <c r="A11" s="18" t="s">
        <v>19</v>
      </c>
      <c r="C11" s="23">
        <v>2.0</v>
      </c>
      <c r="D11" s="5"/>
      <c r="E11" s="25"/>
      <c r="F11" s="25" t="s">
        <v>27</v>
      </c>
      <c r="G11" s="29">
        <v>1.0</v>
      </c>
      <c r="H11" s="5"/>
      <c r="I11" s="21" t="s">
        <v>23</v>
      </c>
      <c r="J11" s="21" t="s">
        <v>28</v>
      </c>
      <c r="K11" s="27">
        <v>505.0</v>
      </c>
      <c r="L11" s="5"/>
      <c r="M11" s="20"/>
      <c r="N11" s="20" t="s">
        <v>29</v>
      </c>
      <c r="O11" s="28">
        <v>2.0</v>
      </c>
      <c r="P11" s="5"/>
      <c r="Q11" s="20"/>
      <c r="R11" s="30" t="s">
        <v>30</v>
      </c>
      <c r="S11" s="28">
        <v>2.0</v>
      </c>
      <c r="T11" s="5"/>
    </row>
    <row r="12">
      <c r="A12" s="18" t="s">
        <v>31</v>
      </c>
      <c r="B12" s="18" t="s">
        <v>32</v>
      </c>
      <c r="C12" s="23">
        <v>2.0</v>
      </c>
      <c r="D12" s="5"/>
      <c r="E12" s="25"/>
      <c r="F12" s="25" t="s">
        <v>33</v>
      </c>
      <c r="G12" s="29">
        <v>1.0</v>
      </c>
      <c r="H12" s="5"/>
      <c r="I12" s="21" t="s">
        <v>23</v>
      </c>
      <c r="J12" s="21" t="s">
        <v>34</v>
      </c>
      <c r="K12" s="27">
        <f>K4</f>
        <v>54</v>
      </c>
      <c r="L12" s="5"/>
      <c r="M12" s="20"/>
      <c r="N12" s="20" t="s">
        <v>35</v>
      </c>
      <c r="O12" s="28">
        <v>2.0</v>
      </c>
      <c r="P12" s="5"/>
      <c r="Q12" s="20"/>
      <c r="R12" s="30" t="s">
        <v>36</v>
      </c>
      <c r="S12" s="28">
        <v>1.0</v>
      </c>
      <c r="T12" s="5"/>
    </row>
    <row r="13">
      <c r="A13" s="18" t="s">
        <v>31</v>
      </c>
      <c r="B13" s="18" t="s">
        <v>37</v>
      </c>
      <c r="C13" s="23">
        <v>1.0</v>
      </c>
      <c r="D13" s="5"/>
      <c r="E13" s="25"/>
      <c r="F13" s="25" t="s">
        <v>38</v>
      </c>
      <c r="G13" s="29">
        <v>2.0</v>
      </c>
      <c r="H13" s="5"/>
      <c r="I13" s="21" t="s">
        <v>23</v>
      </c>
      <c r="J13" s="21" t="s">
        <v>39</v>
      </c>
      <c r="K13" s="27">
        <f>K4</f>
        <v>54</v>
      </c>
      <c r="L13" s="5"/>
      <c r="M13" s="20"/>
      <c r="N13" s="20" t="s">
        <v>40</v>
      </c>
      <c r="O13" s="28">
        <v>2.0</v>
      </c>
      <c r="P13" s="5"/>
      <c r="Q13" s="20"/>
      <c r="R13" s="30" t="s">
        <v>41</v>
      </c>
      <c r="S13" s="28">
        <v>1.0</v>
      </c>
      <c r="T13" s="5"/>
    </row>
    <row r="14">
      <c r="A14" s="18" t="s">
        <v>31</v>
      </c>
      <c r="B14" s="18" t="s">
        <v>42</v>
      </c>
      <c r="C14" s="23">
        <v>2.0</v>
      </c>
      <c r="D14" s="5"/>
      <c r="E14" s="25"/>
      <c r="F14" s="25" t="s">
        <v>43</v>
      </c>
      <c r="G14" s="29">
        <v>2.0</v>
      </c>
      <c r="H14" s="5"/>
      <c r="I14" s="21"/>
      <c r="J14" s="21" t="s">
        <v>44</v>
      </c>
      <c r="K14" s="27">
        <v>2.0</v>
      </c>
      <c r="L14" s="5"/>
      <c r="M14" s="20"/>
      <c r="N14" s="20" t="s">
        <v>45</v>
      </c>
      <c r="O14" s="28">
        <v>2.0</v>
      </c>
      <c r="P14" s="5"/>
      <c r="Q14" s="20"/>
      <c r="R14" s="20" t="s">
        <v>46</v>
      </c>
      <c r="S14" s="28">
        <v>1.0</v>
      </c>
      <c r="T14" s="5"/>
    </row>
    <row r="15">
      <c r="A15" s="18" t="s">
        <v>31</v>
      </c>
      <c r="B15" s="18" t="s">
        <v>47</v>
      </c>
      <c r="C15" s="23">
        <v>2.0</v>
      </c>
      <c r="D15" s="5"/>
      <c r="E15" s="25"/>
      <c r="F15" s="25" t="s">
        <v>48</v>
      </c>
      <c r="G15" s="29">
        <v>2.0</v>
      </c>
      <c r="H15" s="5"/>
      <c r="I15" s="21"/>
      <c r="J15" s="21" t="s">
        <v>49</v>
      </c>
      <c r="K15" s="27">
        <v>2.0</v>
      </c>
      <c r="L15" s="5"/>
      <c r="M15" s="5"/>
      <c r="N15" s="5"/>
      <c r="O15" s="5"/>
      <c r="P15" s="5"/>
      <c r="Q15" s="5"/>
      <c r="R15" s="5"/>
      <c r="S15" s="5"/>
      <c r="T15" s="5"/>
    </row>
    <row r="16">
      <c r="A16" s="18" t="s">
        <v>19</v>
      </c>
      <c r="B16" s="18" t="s">
        <v>50</v>
      </c>
      <c r="C16" s="23">
        <v>4.0</v>
      </c>
      <c r="D16" s="5"/>
      <c r="E16" s="25"/>
      <c r="F16" s="31" t="s">
        <v>51</v>
      </c>
      <c r="G16" s="29">
        <v>17.0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>
      <c r="A17" s="5"/>
      <c r="B17" s="5"/>
      <c r="C17" s="5"/>
      <c r="D17" s="5"/>
      <c r="E17" s="32"/>
      <c r="F17" s="33"/>
      <c r="G17" s="3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>
      <c r="A21" s="5"/>
      <c r="B21" s="5"/>
      <c r="C21" s="35">
        <f>Equipos!M21+Software!M21+Materiales!M21+Herramientas!M21+Servicios!M19</f>
        <v>2865465820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>
      <c r="A26" s="2"/>
    </row>
    <row r="29">
      <c r="U29" s="36"/>
    </row>
  </sheetData>
  <mergeCells count="4">
    <mergeCell ref="B1:T1"/>
    <mergeCell ref="U1:U25"/>
    <mergeCell ref="B10:B11"/>
    <mergeCell ref="A26:U28"/>
  </mergeCells>
  <hyperlinks>
    <hyperlink r:id="rId1" ref="E10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63.0" customHeight="1">
      <c r="A1" s="124" t="s">
        <v>163</v>
      </c>
    </row>
    <row r="2">
      <c r="A2" s="38"/>
      <c r="B2" s="2"/>
      <c r="C2" s="2"/>
      <c r="D2" s="2"/>
      <c r="E2" s="38"/>
    </row>
    <row r="3">
      <c r="B3" s="2"/>
      <c r="C3" s="2"/>
      <c r="D3" s="2"/>
    </row>
    <row r="4">
      <c r="B4" s="2"/>
      <c r="C4" s="125" t="s">
        <v>12</v>
      </c>
      <c r="D4" s="2">
        <v>1.719478344114307E8</v>
      </c>
    </row>
    <row r="5">
      <c r="B5" s="2"/>
      <c r="C5" s="126" t="s">
        <v>13</v>
      </c>
      <c r="D5" s="2">
        <v>2.7716462882451975E8</v>
      </c>
    </row>
    <row r="6">
      <c r="B6" s="2"/>
      <c r="C6" s="126" t="s">
        <v>14</v>
      </c>
      <c r="D6" s="2">
        <v>6942191.420168066</v>
      </c>
    </row>
    <row r="7">
      <c r="B7" s="2"/>
      <c r="C7" s="126" t="s">
        <v>16</v>
      </c>
      <c r="D7" s="2">
        <v>2.5813589999999995E9</v>
      </c>
    </row>
    <row r="8">
      <c r="B8" s="2"/>
      <c r="C8" s="2"/>
      <c r="D8" s="2"/>
    </row>
    <row r="9">
      <c r="B9" s="2"/>
      <c r="C9" s="2"/>
      <c r="D9" s="127">
        <f>D4+D5+D6+D7</f>
        <v>3037413655</v>
      </c>
    </row>
    <row r="10">
      <c r="B10" s="2"/>
      <c r="C10" s="2"/>
      <c r="D10" s="2"/>
    </row>
    <row r="11">
      <c r="A11" s="38"/>
    </row>
  </sheetData>
  <mergeCells count="4">
    <mergeCell ref="A1:E1"/>
    <mergeCell ref="A2:A10"/>
    <mergeCell ref="E2:E10"/>
    <mergeCell ref="A11:E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37.57"/>
    <col customWidth="1" min="12" max="12" width="22.0"/>
    <col customWidth="1" min="13" max="13" width="21.57"/>
  </cols>
  <sheetData>
    <row r="1" ht="68.25" customHeight="1">
      <c r="A1" s="1" t="s">
        <v>12</v>
      </c>
    </row>
    <row r="2">
      <c r="A2" s="2"/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2"/>
    </row>
    <row r="3">
      <c r="B3" s="18" t="s">
        <v>52</v>
      </c>
      <c r="C3" s="18" t="s">
        <v>53</v>
      </c>
      <c r="D3" s="18" t="s">
        <v>54</v>
      </c>
      <c r="E3" s="18" t="s">
        <v>55</v>
      </c>
      <c r="F3" s="18" t="s">
        <v>56</v>
      </c>
      <c r="G3" s="18" t="s">
        <v>57</v>
      </c>
      <c r="H3" s="38"/>
      <c r="I3" s="38"/>
      <c r="J3" s="38"/>
      <c r="K3" s="38"/>
      <c r="L3" s="38"/>
      <c r="M3" s="38"/>
      <c r="N3" s="38"/>
    </row>
    <row r="4">
      <c r="B4" s="39" t="s">
        <v>58</v>
      </c>
      <c r="C4" s="40">
        <f>Lista!C10</f>
        <v>2</v>
      </c>
      <c r="D4" s="41"/>
      <c r="E4" s="42">
        <v>1.25838803E8</v>
      </c>
      <c r="F4" s="43">
        <f t="shared" ref="F4:F10" si="1">E4*1.045</f>
        <v>131501549.1</v>
      </c>
      <c r="G4" s="43">
        <f t="shared" ref="G4:G10" si="2">F4*C4</f>
        <v>263003098.3</v>
      </c>
      <c r="H4" s="38"/>
      <c r="I4" s="38"/>
      <c r="J4" s="38"/>
      <c r="K4" s="38"/>
      <c r="L4" s="38"/>
      <c r="M4" s="38"/>
      <c r="N4" s="38"/>
    </row>
    <row r="5">
      <c r="B5" s="39" t="s">
        <v>59</v>
      </c>
      <c r="C5" s="40">
        <f>Lista!C11</f>
        <v>2</v>
      </c>
      <c r="D5" s="41"/>
      <c r="E5" s="43">
        <v>5299742.0</v>
      </c>
      <c r="F5" s="43">
        <f t="shared" si="1"/>
        <v>5538230.39</v>
      </c>
      <c r="G5" s="43">
        <f t="shared" si="2"/>
        <v>11076460.78</v>
      </c>
      <c r="H5" s="38"/>
      <c r="I5" s="38"/>
      <c r="J5" s="38"/>
      <c r="K5" s="38"/>
      <c r="L5" s="38"/>
      <c r="M5" s="38"/>
      <c r="N5" s="38"/>
    </row>
    <row r="6">
      <c r="B6" s="39" t="s">
        <v>60</v>
      </c>
      <c r="C6" s="40">
        <f>Lista!C12</f>
        <v>2</v>
      </c>
      <c r="D6" s="43">
        <v>216.0</v>
      </c>
      <c r="E6" s="43">
        <f>D6*B13</f>
        <v>831859.3944</v>
      </c>
      <c r="F6" s="43">
        <f t="shared" si="1"/>
        <v>869293.0671</v>
      </c>
      <c r="G6" s="43">
        <f t="shared" si="2"/>
        <v>1738586.134</v>
      </c>
      <c r="H6" s="38"/>
      <c r="I6" s="38"/>
      <c r="J6" s="38"/>
      <c r="K6" s="38"/>
      <c r="L6" s="38"/>
      <c r="M6" s="38"/>
      <c r="N6" s="38"/>
    </row>
    <row r="7">
      <c r="B7" s="39" t="s">
        <v>61</v>
      </c>
      <c r="C7" s="40">
        <f>Lista!C13</f>
        <v>1</v>
      </c>
      <c r="D7" s="43">
        <v>1399.9</v>
      </c>
      <c r="E7" s="43">
        <f>D7*B13</f>
        <v>5391296.14</v>
      </c>
      <c r="F7" s="43">
        <f t="shared" si="1"/>
        <v>5633904.466</v>
      </c>
      <c r="G7" s="43">
        <f t="shared" si="2"/>
        <v>5633904.466</v>
      </c>
      <c r="H7" s="38"/>
      <c r="I7" s="38"/>
      <c r="J7" s="38"/>
      <c r="K7" s="38"/>
      <c r="L7" s="38"/>
      <c r="M7" s="38"/>
      <c r="N7" s="38"/>
    </row>
    <row r="8">
      <c r="B8" s="39" t="s">
        <v>62</v>
      </c>
      <c r="C8" s="40">
        <f>Lista!C14</f>
        <v>2</v>
      </c>
      <c r="D8" s="43">
        <v>407.99</v>
      </c>
      <c r="E8" s="43">
        <f>D8*B13</f>
        <v>1571251.455</v>
      </c>
      <c r="F8" s="43">
        <f t="shared" si="1"/>
        <v>1641957.771</v>
      </c>
      <c r="G8" s="43">
        <f t="shared" si="2"/>
        <v>3283915.541</v>
      </c>
      <c r="H8" s="38"/>
      <c r="I8" s="38"/>
      <c r="J8" s="25" t="s">
        <v>52</v>
      </c>
      <c r="K8" s="25" t="s">
        <v>53</v>
      </c>
      <c r="L8" s="25" t="s">
        <v>63</v>
      </c>
      <c r="M8" s="25" t="s">
        <v>64</v>
      </c>
      <c r="N8" s="38"/>
    </row>
    <row r="9">
      <c r="B9" s="39" t="s">
        <v>65</v>
      </c>
      <c r="C9" s="40">
        <v>3.0</v>
      </c>
      <c r="D9" s="43">
        <v>800.0</v>
      </c>
      <c r="E9" s="43">
        <f>D9*B13</f>
        <v>3080960.72</v>
      </c>
      <c r="F9" s="43">
        <f t="shared" si="1"/>
        <v>3219603.952</v>
      </c>
      <c r="G9" s="43">
        <f t="shared" si="2"/>
        <v>9658811.857</v>
      </c>
      <c r="H9" s="38"/>
      <c r="I9" s="38"/>
      <c r="J9" s="18" t="str">
        <f t="shared" ref="J9:K9" si="3">B4</f>
        <v>PowerEdge T440 Hot Plug / 2 * 2 tera, xeon, 16 ram</v>
      </c>
      <c r="K9" s="23">
        <f t="shared" si="3"/>
        <v>2</v>
      </c>
      <c r="L9" s="44">
        <v>7.55032818E7</v>
      </c>
      <c r="M9" s="45">
        <f t="shared" ref="M9:M15" si="5">L9*K9</f>
        <v>151006563.6</v>
      </c>
      <c r="N9" s="38"/>
    </row>
    <row r="10">
      <c r="B10" s="39" t="s">
        <v>66</v>
      </c>
      <c r="C10" s="40">
        <f>Lista!C16</f>
        <v>4</v>
      </c>
      <c r="D10" s="41"/>
      <c r="E10" s="43">
        <v>839818.0</v>
      </c>
      <c r="F10" s="43">
        <f t="shared" si="1"/>
        <v>877609.81</v>
      </c>
      <c r="G10" s="43">
        <f t="shared" si="2"/>
        <v>3510439.24</v>
      </c>
      <c r="H10" s="38"/>
      <c r="I10" s="38"/>
      <c r="J10" s="18" t="str">
        <f t="shared" ref="J10:K10" si="4">B5</f>
        <v>PowerEdge R240 Hot Plug | 2 x 1HD de 1TB | 8GB |</v>
      </c>
      <c r="K10" s="23">
        <f t="shared" si="4"/>
        <v>2</v>
      </c>
      <c r="L10" s="45">
        <v>3322938.2339999997</v>
      </c>
      <c r="M10" s="45">
        <f t="shared" si="5"/>
        <v>6645876.468</v>
      </c>
      <c r="N10" s="38"/>
    </row>
    <row r="11">
      <c r="B11" s="38"/>
      <c r="C11" s="38"/>
      <c r="D11" s="38"/>
      <c r="E11" s="38"/>
      <c r="F11" s="38"/>
      <c r="G11" s="38"/>
      <c r="H11" s="38"/>
      <c r="I11" s="38"/>
      <c r="J11" s="18" t="str">
        <f t="shared" ref="J11:K11" si="6">B6</f>
        <v>Router VPN RV340 de Cisco con 4 puertos Gigabit Ethernet (GbE) más WAN dual, protección limitada de por vida (RV340-K9-NA), negro</v>
      </c>
      <c r="K11" s="23">
        <f t="shared" si="6"/>
        <v>2</v>
      </c>
      <c r="L11" s="45">
        <v>521575.84028879995</v>
      </c>
      <c r="M11" s="45">
        <f t="shared" si="5"/>
        <v>1043151.681</v>
      </c>
      <c r="N11" s="38"/>
    </row>
    <row r="12">
      <c r="B12" s="46">
        <v>3739.03</v>
      </c>
      <c r="C12" s="38"/>
      <c r="D12" s="38"/>
      <c r="E12" s="38"/>
      <c r="F12" s="38"/>
      <c r="G12" s="38"/>
      <c r="H12" s="38"/>
      <c r="I12" s="38"/>
      <c r="J12" s="18" t="str">
        <f t="shared" ref="J12:K12" si="7">B7</f>
        <v>Cisco Meraki MX68 Firewall Plus MX68 Advanced Security and Support 3YR BDL extensión de la garantía</v>
      </c>
      <c r="K12" s="23">
        <f t="shared" si="7"/>
        <v>1</v>
      </c>
      <c r="L12" s="45">
        <v>3380342.6797235697</v>
      </c>
      <c r="M12" s="45">
        <f t="shared" si="5"/>
        <v>3380342.68</v>
      </c>
      <c r="N12" s="38"/>
    </row>
    <row r="13">
      <c r="B13" s="47">
        <f>B12*1.03</f>
        <v>3851.2009</v>
      </c>
      <c r="C13" s="38"/>
      <c r="D13" s="38"/>
      <c r="E13" s="38"/>
      <c r="F13" s="38"/>
      <c r="G13" s="38"/>
      <c r="H13" s="38"/>
      <c r="I13" s="38"/>
      <c r="J13" s="18" t="str">
        <f t="shared" ref="J13:K13" si="8">B8</f>
        <v>Interruptor inteligente Cisco Business CBS250-16P-2G | 16 puertos GE | PoE | 2x1G SFP | Protección limitada de por vida (CBS250-16P-2G) (CBS250-16P-2G-NA)\</v>
      </c>
      <c r="K13" s="23">
        <f t="shared" si="8"/>
        <v>2</v>
      </c>
      <c r="L13" s="45">
        <v>985174.6624047569</v>
      </c>
      <c r="M13" s="45">
        <f t="shared" si="5"/>
        <v>1970349.325</v>
      </c>
      <c r="N13" s="38"/>
    </row>
    <row r="14">
      <c r="B14" s="38"/>
      <c r="C14" s="38"/>
      <c r="D14" s="38"/>
      <c r="E14" s="38"/>
      <c r="F14" s="38"/>
      <c r="G14" s="38"/>
      <c r="H14" s="38"/>
      <c r="I14" s="38"/>
      <c r="J14" s="18" t="str">
        <f t="shared" ref="J14:K14" si="9">B9</f>
        <v>UPS inteligente APC 1500VA con SmartConnect, SMC1500-2UC soporte en rack UPS batería de respaldo, sinewave, AVR, 120V, línea de alimentación ininterrumpida interactiva</v>
      </c>
      <c r="K14" s="23">
        <f t="shared" si="9"/>
        <v>3</v>
      </c>
      <c r="L14" s="45">
        <v>1931762.37144</v>
      </c>
      <c r="M14" s="45">
        <f t="shared" si="5"/>
        <v>5795287.114</v>
      </c>
      <c r="N14" s="38"/>
    </row>
    <row r="15">
      <c r="B15" s="38"/>
      <c r="C15" s="38"/>
      <c r="D15" s="38"/>
      <c r="E15" s="38"/>
      <c r="F15" s="38"/>
      <c r="G15" s="38"/>
      <c r="H15" s="38"/>
      <c r="I15" s="38"/>
      <c r="J15" s="18" t="str">
        <f t="shared" ref="J15:K15" si="10">B10</f>
        <v>Monitor Dell: P2219H</v>
      </c>
      <c r="K15" s="23">
        <f t="shared" si="10"/>
        <v>4</v>
      </c>
      <c r="L15" s="45">
        <v>526565.8859999999</v>
      </c>
      <c r="M15" s="45">
        <f t="shared" si="5"/>
        <v>2106263.544</v>
      </c>
      <c r="N15" s="38"/>
    </row>
    <row r="16"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</row>
    <row r="17"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</row>
    <row r="18"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48">
        <f>M9+M10+M11+M12+M13+M14+M15</f>
        <v>171947834.4</v>
      </c>
      <c r="N18" s="38"/>
    </row>
    <row r="19"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</row>
    <row r="20">
      <c r="B20" s="2"/>
    </row>
    <row r="22">
      <c r="A22" s="36"/>
    </row>
  </sheetData>
  <mergeCells count="4">
    <mergeCell ref="A1:O1"/>
    <mergeCell ref="A2:A21"/>
    <mergeCell ref="O2:O19"/>
    <mergeCell ref="B20:O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3" max="13" width="35.0"/>
  </cols>
  <sheetData>
    <row r="1" ht="63.75" customHeight="1">
      <c r="A1" s="49" t="s">
        <v>14</v>
      </c>
    </row>
    <row r="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0"/>
    </row>
    <row r="3">
      <c r="B3" s="18" t="s">
        <v>52</v>
      </c>
      <c r="C3" s="18" t="s">
        <v>53</v>
      </c>
      <c r="D3" s="18" t="s">
        <v>67</v>
      </c>
      <c r="E3" s="18" t="s">
        <v>68</v>
      </c>
      <c r="F3" s="18" t="s">
        <v>56</v>
      </c>
      <c r="G3" s="18" t="s">
        <v>57</v>
      </c>
      <c r="H3" s="51"/>
      <c r="I3" s="51"/>
      <c r="J3" s="51"/>
      <c r="K3" s="51"/>
      <c r="L3" s="51"/>
      <c r="M3" s="51"/>
      <c r="N3" s="51"/>
    </row>
    <row r="4">
      <c r="B4" s="25" t="s">
        <v>69</v>
      </c>
      <c r="C4" s="29">
        <f>Lista!K10</f>
        <v>25</v>
      </c>
      <c r="D4" s="52">
        <v>21900.0</v>
      </c>
      <c r="E4" s="53">
        <f>D4/1.19</f>
        <v>18403.36134</v>
      </c>
      <c r="F4" s="53">
        <f t="shared" ref="F4:F9" si="1">E4*1.045</f>
        <v>19231.51261</v>
      </c>
      <c r="G4" s="53">
        <f t="shared" ref="G4:G9" si="2">F4*C4</f>
        <v>480787.8151</v>
      </c>
      <c r="H4" s="51"/>
      <c r="I4" s="51"/>
      <c r="J4" s="51"/>
      <c r="K4" s="51"/>
      <c r="L4" s="51"/>
      <c r="M4" s="51"/>
      <c r="N4" s="51"/>
    </row>
    <row r="5">
      <c r="B5" s="25" t="s">
        <v>70</v>
      </c>
      <c r="C5" s="29">
        <v>2.0</v>
      </c>
      <c r="D5" s="53">
        <v>670.0</v>
      </c>
      <c r="E5" s="53">
        <v>299900.0</v>
      </c>
      <c r="F5" s="53">
        <f t="shared" si="1"/>
        <v>313395.5</v>
      </c>
      <c r="G5" s="53">
        <f t="shared" si="2"/>
        <v>626791</v>
      </c>
      <c r="H5" s="51"/>
      <c r="I5" s="51"/>
      <c r="J5" s="51"/>
      <c r="K5" s="51"/>
      <c r="L5" s="51"/>
      <c r="M5" s="51"/>
      <c r="N5" s="51"/>
    </row>
    <row r="6">
      <c r="B6" s="25" t="s">
        <v>71</v>
      </c>
      <c r="C6" s="29">
        <v>1.0</v>
      </c>
      <c r="D6" s="53">
        <v>50000.0</v>
      </c>
      <c r="E6" s="53">
        <f t="shared" ref="E6:E9" si="3">D6/1.19</f>
        <v>42016.80672</v>
      </c>
      <c r="F6" s="53">
        <f t="shared" si="1"/>
        <v>43907.56303</v>
      </c>
      <c r="G6" s="53">
        <f t="shared" si="2"/>
        <v>43907.56303</v>
      </c>
      <c r="H6" s="51"/>
      <c r="I6" s="51"/>
      <c r="J6" s="51"/>
      <c r="K6" s="51"/>
      <c r="L6" s="51"/>
      <c r="M6" s="51"/>
      <c r="N6" s="51"/>
    </row>
    <row r="7">
      <c r="B7" s="25" t="s">
        <v>72</v>
      </c>
      <c r="C7" s="29">
        <f>Lista!K13</f>
        <v>54</v>
      </c>
      <c r="D7" s="53">
        <v>19900.0</v>
      </c>
      <c r="E7" s="53">
        <f t="shared" si="3"/>
        <v>16722.68908</v>
      </c>
      <c r="F7" s="53">
        <f t="shared" si="1"/>
        <v>17475.21008</v>
      </c>
      <c r="G7" s="53">
        <f t="shared" si="2"/>
        <v>943661.3445</v>
      </c>
      <c r="H7" s="51"/>
      <c r="I7" s="51"/>
      <c r="J7" s="51"/>
      <c r="K7" s="51"/>
      <c r="L7" s="51"/>
      <c r="M7" s="51"/>
      <c r="N7" s="51"/>
    </row>
    <row r="8">
      <c r="B8" s="25" t="s">
        <v>73</v>
      </c>
      <c r="C8" s="29">
        <v>4.0</v>
      </c>
      <c r="D8" s="53">
        <v>179900.0</v>
      </c>
      <c r="E8" s="53">
        <f t="shared" si="3"/>
        <v>151176.4706</v>
      </c>
      <c r="F8" s="53">
        <f t="shared" si="1"/>
        <v>157979.4118</v>
      </c>
      <c r="G8" s="53">
        <f t="shared" si="2"/>
        <v>631917.6471</v>
      </c>
      <c r="H8" s="51"/>
      <c r="I8" s="51"/>
      <c r="J8" s="25" t="s">
        <v>52</v>
      </c>
      <c r="K8" s="25" t="s">
        <v>53</v>
      </c>
      <c r="L8" s="25" t="s">
        <v>63</v>
      </c>
      <c r="M8" s="25" t="s">
        <v>64</v>
      </c>
      <c r="N8" s="51"/>
    </row>
    <row r="9">
      <c r="B9" s="25" t="s">
        <v>74</v>
      </c>
      <c r="C9" s="29">
        <v>4.0</v>
      </c>
      <c r="D9" s="53">
        <v>1200000.0</v>
      </c>
      <c r="E9" s="53">
        <f t="shared" si="3"/>
        <v>1008403.361</v>
      </c>
      <c r="F9" s="53">
        <f t="shared" si="1"/>
        <v>1053781.513</v>
      </c>
      <c r="G9" s="53">
        <f t="shared" si="2"/>
        <v>4215126.05</v>
      </c>
      <c r="H9" s="51"/>
      <c r="I9" s="51"/>
      <c r="J9" s="18" t="str">
        <f t="shared" ref="J9:K9" si="4">B4</f>
        <v>Canaleta 60 x 40 mm 2 metros ND</v>
      </c>
      <c r="K9" s="23">
        <f t="shared" si="4"/>
        <v>25</v>
      </c>
      <c r="L9" s="45">
        <f t="shared" ref="L9:M9" si="5">F4</f>
        <v>19231.51261</v>
      </c>
      <c r="M9" s="45">
        <f t="shared" si="5"/>
        <v>480787.8151</v>
      </c>
      <c r="N9" s="51"/>
    </row>
    <row r="10">
      <c r="B10" s="51"/>
      <c r="C10" s="51"/>
      <c r="D10" s="51"/>
      <c r="E10" s="51"/>
      <c r="F10" s="51"/>
      <c r="G10" s="51"/>
      <c r="H10" s="51"/>
      <c r="I10" s="51"/>
      <c r="J10" s="18" t="str">
        <f t="shared" ref="J10:K10" si="6">B5</f>
        <v>Cable UTP Categoria 6 CCA+PVP Carrete 305 Metros Propack</v>
      </c>
      <c r="K10" s="23">
        <f t="shared" si="6"/>
        <v>2</v>
      </c>
      <c r="L10" s="45">
        <f t="shared" ref="L10:M10" si="7">F5</f>
        <v>313395.5</v>
      </c>
      <c r="M10" s="45">
        <f t="shared" si="7"/>
        <v>626791</v>
      </c>
      <c r="N10" s="51"/>
    </row>
    <row r="11">
      <c r="B11" s="51"/>
      <c r="C11" s="51"/>
      <c r="D11" s="51"/>
      <c r="E11" s="51"/>
      <c r="F11" s="51"/>
      <c r="G11" s="51"/>
      <c r="H11" s="51"/>
      <c r="I11" s="51"/>
      <c r="J11" s="18" t="str">
        <f t="shared" ref="J11:K11" si="8">B6</f>
        <v>Bolsa rj45</v>
      </c>
      <c r="K11" s="23">
        <f t="shared" si="8"/>
        <v>1</v>
      </c>
      <c r="L11" s="45">
        <f t="shared" ref="L11:M11" si="9">F6</f>
        <v>43907.56303</v>
      </c>
      <c r="M11" s="45">
        <f t="shared" si="9"/>
        <v>43907.56303</v>
      </c>
      <c r="N11" s="51"/>
    </row>
    <row r="12">
      <c r="B12" s="51"/>
      <c r="C12" s="51"/>
      <c r="D12" s="51"/>
      <c r="E12" s="51"/>
      <c r="F12" s="51"/>
      <c r="G12" s="51"/>
      <c r="H12" s="51"/>
      <c r="I12" s="51"/>
      <c r="J12" s="18" t="str">
        <f t="shared" ref="J12:K12" si="10">B7</f>
        <v>Extensión patch cord 2 metros gris cat 5e 3.6 db</v>
      </c>
      <c r="K12" s="23">
        <f t="shared" si="10"/>
        <v>54</v>
      </c>
      <c r="L12" s="45">
        <f t="shared" ref="L12:M12" si="11">F7</f>
        <v>17475.21008</v>
      </c>
      <c r="M12" s="45">
        <f t="shared" si="11"/>
        <v>943661.3445</v>
      </c>
      <c r="N12" s="51"/>
    </row>
    <row r="13">
      <c r="B13" s="51"/>
      <c r="C13" s="51"/>
      <c r="D13" s="51"/>
      <c r="E13" s="51"/>
      <c r="F13" s="51"/>
      <c r="G13" s="51"/>
      <c r="H13" s="51"/>
      <c r="I13" s="51"/>
      <c r="J13" s="18" t="str">
        <f t="shared" ref="J13:K13" si="12">B8</f>
        <v>Patch Panel Cat 6 de 24 Puertos</v>
      </c>
      <c r="K13" s="23">
        <f t="shared" si="12"/>
        <v>4</v>
      </c>
      <c r="L13" s="45">
        <f t="shared" ref="L13:M13" si="13">F8</f>
        <v>157979.4118</v>
      </c>
      <c r="M13" s="45">
        <f t="shared" si="13"/>
        <v>631917.6471</v>
      </c>
      <c r="N13" s="51"/>
    </row>
    <row r="14">
      <c r="B14" s="51"/>
      <c r="C14" s="51"/>
      <c r="D14" s="51"/>
      <c r="E14" s="51"/>
      <c r="F14" s="51"/>
      <c r="G14" s="51"/>
      <c r="H14" s="51"/>
      <c r="I14" s="51"/>
      <c r="J14" s="18" t="str">
        <f t="shared" ref="J14:K14" si="14">B9</f>
        <v> rack </v>
      </c>
      <c r="K14" s="23">
        <f t="shared" si="14"/>
        <v>4</v>
      </c>
      <c r="L14" s="45">
        <f t="shared" ref="L14:M14" si="15">F9</f>
        <v>1053781.513</v>
      </c>
      <c r="M14" s="45">
        <f t="shared" si="15"/>
        <v>4215126.05</v>
      </c>
      <c r="N14" s="51"/>
    </row>
    <row r="15">
      <c r="B15" s="51"/>
      <c r="C15" s="51"/>
      <c r="D15" s="51"/>
      <c r="E15" s="51"/>
      <c r="F15" s="51"/>
      <c r="G15" s="51"/>
      <c r="H15" s="51"/>
      <c r="I15" s="51"/>
      <c r="J15" s="54" t="str">
        <f t="shared" ref="J15:K15" si="16">B10</f>
        <v/>
      </c>
      <c r="K15" s="54" t="str">
        <f t="shared" si="16"/>
        <v/>
      </c>
      <c r="L15" s="55" t="str">
        <f t="shared" ref="L15:M15" si="17">F10</f>
        <v/>
      </c>
      <c r="M15" s="55" t="str">
        <f t="shared" si="17"/>
        <v/>
      </c>
      <c r="N15" s="51"/>
    </row>
    <row r="16">
      <c r="B16" s="51"/>
      <c r="C16" s="51"/>
      <c r="D16" s="51"/>
      <c r="E16" s="51"/>
      <c r="F16" s="51"/>
      <c r="G16" s="51"/>
      <c r="H16" s="51"/>
      <c r="I16" s="51"/>
      <c r="J16" s="54"/>
      <c r="K16" s="54" t="str">
        <f t="shared" ref="K16:K21" si="18">C11</f>
        <v/>
      </c>
      <c r="L16" s="55"/>
      <c r="M16" s="55"/>
      <c r="N16" s="51"/>
    </row>
    <row r="17">
      <c r="B17" s="51"/>
      <c r="C17" s="51"/>
      <c r="D17" s="51"/>
      <c r="E17" s="51"/>
      <c r="F17" s="51"/>
      <c r="G17" s="51"/>
      <c r="H17" s="51"/>
      <c r="I17" s="51"/>
      <c r="J17" s="54"/>
      <c r="K17" s="54" t="str">
        <f t="shared" si="18"/>
        <v/>
      </c>
      <c r="L17" s="55"/>
      <c r="M17" s="55"/>
      <c r="N17" s="51"/>
    </row>
    <row r="18">
      <c r="B18" s="51"/>
      <c r="C18" s="51"/>
      <c r="D18" s="51"/>
      <c r="E18" s="51"/>
      <c r="F18" s="51"/>
      <c r="G18" s="51"/>
      <c r="H18" s="51"/>
      <c r="I18" s="51"/>
      <c r="J18" s="54"/>
      <c r="K18" s="54" t="str">
        <f t="shared" si="18"/>
        <v/>
      </c>
      <c r="L18" s="55"/>
      <c r="M18" s="55"/>
      <c r="N18" s="51"/>
    </row>
    <row r="19">
      <c r="B19" s="51"/>
      <c r="C19" s="51"/>
      <c r="D19" s="51"/>
      <c r="E19" s="51"/>
      <c r="F19" s="51"/>
      <c r="G19" s="51"/>
      <c r="H19" s="51"/>
      <c r="I19" s="51"/>
      <c r="J19" s="54"/>
      <c r="K19" s="54" t="str">
        <f t="shared" si="18"/>
        <v/>
      </c>
      <c r="L19" s="55"/>
      <c r="M19" s="55"/>
      <c r="N19" s="51"/>
    </row>
    <row r="20">
      <c r="B20" s="51"/>
      <c r="C20" s="51"/>
      <c r="D20" s="51"/>
      <c r="E20" s="51"/>
      <c r="F20" s="51"/>
      <c r="G20" s="51"/>
      <c r="H20" s="51"/>
      <c r="I20" s="51"/>
      <c r="J20" s="54"/>
      <c r="K20" s="54" t="str">
        <f t="shared" si="18"/>
        <v/>
      </c>
      <c r="L20" s="55"/>
      <c r="M20" s="55"/>
      <c r="N20" s="51"/>
    </row>
    <row r="21">
      <c r="B21" s="51"/>
      <c r="C21" s="51"/>
      <c r="D21" s="51"/>
      <c r="E21" s="51"/>
      <c r="F21" s="51"/>
      <c r="G21" s="51"/>
      <c r="H21" s="51"/>
      <c r="I21" s="51"/>
      <c r="J21" s="54"/>
      <c r="K21" s="54" t="str">
        <f t="shared" si="18"/>
        <v/>
      </c>
      <c r="L21" s="55"/>
      <c r="M21" s="56">
        <f>SUM(M9:M15)</f>
        <v>6942191.42</v>
      </c>
      <c r="N21" s="51"/>
    </row>
    <row r="22"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</row>
    <row r="2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</row>
    <row r="24">
      <c r="A24" s="50"/>
    </row>
  </sheetData>
  <mergeCells count="4">
    <mergeCell ref="A1:O1"/>
    <mergeCell ref="A2:A23"/>
    <mergeCell ref="O2:O25"/>
    <mergeCell ref="A24:N2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9.29"/>
  </cols>
  <sheetData>
    <row r="1" ht="70.5" customHeight="1">
      <c r="A1" s="1" t="s">
        <v>15</v>
      </c>
    </row>
    <row r="2">
      <c r="A2" s="2"/>
      <c r="B2" s="57"/>
      <c r="C2" s="57"/>
      <c r="D2" s="57"/>
      <c r="E2" s="57"/>
      <c r="F2" s="57"/>
      <c r="G2" s="2"/>
    </row>
    <row r="3">
      <c r="B3" s="58" t="s">
        <v>15</v>
      </c>
      <c r="C3" s="19"/>
      <c r="D3" s="19"/>
      <c r="E3" s="19"/>
      <c r="F3" s="57"/>
    </row>
    <row r="4">
      <c r="B4" s="19"/>
      <c r="C4" s="19" t="s">
        <v>17</v>
      </c>
      <c r="D4" s="19" t="s">
        <v>18</v>
      </c>
      <c r="E4" s="19" t="s">
        <v>75</v>
      </c>
      <c r="F4" s="57"/>
    </row>
    <row r="5">
      <c r="B5" s="59" t="s">
        <v>76</v>
      </c>
      <c r="C5" s="60" t="s">
        <v>25</v>
      </c>
      <c r="D5" s="61">
        <v>2.0</v>
      </c>
      <c r="E5" s="62">
        <f>D5*61900</f>
        <v>123800</v>
      </c>
      <c r="F5" s="57"/>
    </row>
    <row r="6">
      <c r="B6" s="59" t="s">
        <v>77</v>
      </c>
      <c r="C6" s="60" t="s">
        <v>29</v>
      </c>
      <c r="D6" s="61">
        <v>2.0</v>
      </c>
      <c r="E6" s="62">
        <f>D6*49900</f>
        <v>99800</v>
      </c>
      <c r="F6" s="57"/>
    </row>
    <row r="7">
      <c r="B7" s="59" t="s">
        <v>78</v>
      </c>
      <c r="C7" s="60" t="s">
        <v>35</v>
      </c>
      <c r="D7" s="61">
        <v>2.0</v>
      </c>
      <c r="E7" s="62">
        <f>D7*17000</f>
        <v>34000</v>
      </c>
      <c r="F7" s="57"/>
    </row>
    <row r="8">
      <c r="B8" s="63" t="s">
        <v>79</v>
      </c>
      <c r="C8" s="60" t="s">
        <v>40</v>
      </c>
      <c r="D8" s="61">
        <v>2.0</v>
      </c>
      <c r="E8" s="62">
        <f>D8*207901</f>
        <v>415802</v>
      </c>
      <c r="F8" s="57"/>
    </row>
    <row r="9">
      <c r="B9" s="59" t="s">
        <v>80</v>
      </c>
      <c r="C9" s="60" t="s">
        <v>81</v>
      </c>
      <c r="D9" s="61">
        <v>2.0</v>
      </c>
      <c r="E9" s="62">
        <f>D9*42900</f>
        <v>85800</v>
      </c>
      <c r="F9" s="57"/>
    </row>
    <row r="10">
      <c r="B10" s="57"/>
      <c r="C10" s="57"/>
      <c r="D10" s="57"/>
      <c r="E10" s="57"/>
      <c r="F10" s="57"/>
    </row>
    <row r="11">
      <c r="B11" s="57"/>
      <c r="C11" s="57"/>
      <c r="D11" s="57"/>
      <c r="E11" s="57"/>
      <c r="F11" s="57"/>
    </row>
    <row r="12">
      <c r="B12" s="57"/>
      <c r="C12" s="57"/>
      <c r="D12" s="57"/>
      <c r="E12" s="57"/>
      <c r="F12" s="57"/>
    </row>
    <row r="13">
      <c r="B13" s="57"/>
      <c r="C13" s="57"/>
      <c r="D13" s="57"/>
      <c r="E13" s="57"/>
      <c r="F13" s="57"/>
    </row>
    <row r="14">
      <c r="B14" s="64" t="s">
        <v>17</v>
      </c>
      <c r="C14" s="64" t="s">
        <v>18</v>
      </c>
      <c r="D14" s="64" t="s">
        <v>75</v>
      </c>
      <c r="E14" s="57"/>
      <c r="F14" s="57"/>
    </row>
    <row r="15">
      <c r="B15" s="18" t="s">
        <v>25</v>
      </c>
      <c r="C15" s="23">
        <v>2.0</v>
      </c>
      <c r="D15" s="62">
        <f>C15*61900</f>
        <v>123800</v>
      </c>
      <c r="E15" s="57"/>
      <c r="F15" s="57"/>
    </row>
    <row r="16">
      <c r="B16" s="18" t="s">
        <v>29</v>
      </c>
      <c r="C16" s="23">
        <v>2.0</v>
      </c>
      <c r="D16" s="62">
        <f>C16*49900</f>
        <v>99800</v>
      </c>
      <c r="E16" s="57"/>
      <c r="F16" s="57"/>
    </row>
    <row r="17">
      <c r="B17" s="18" t="s">
        <v>35</v>
      </c>
      <c r="C17" s="23">
        <v>2.0</v>
      </c>
      <c r="D17" s="62">
        <f>C17*17000</f>
        <v>34000</v>
      </c>
      <c r="E17" s="57"/>
      <c r="F17" s="57"/>
    </row>
    <row r="18">
      <c r="B18" s="18" t="s">
        <v>40</v>
      </c>
      <c r="C18" s="23">
        <v>2.0</v>
      </c>
      <c r="D18" s="62">
        <f>C18*207901</f>
        <v>415802</v>
      </c>
      <c r="E18" s="57"/>
      <c r="F18" s="57"/>
    </row>
    <row r="19">
      <c r="B19" s="18" t="s">
        <v>45</v>
      </c>
      <c r="C19" s="23">
        <v>2.0</v>
      </c>
      <c r="D19" s="62">
        <f>C19*42900</f>
        <v>85800</v>
      </c>
      <c r="E19" s="57"/>
      <c r="F19" s="57"/>
    </row>
    <row r="20">
      <c r="B20" s="65"/>
      <c r="C20" s="65"/>
      <c r="D20" s="65"/>
      <c r="E20" s="57"/>
      <c r="F20" s="57"/>
    </row>
    <row r="21">
      <c r="B21" s="65"/>
      <c r="C21" s="65"/>
      <c r="D21" s="66">
        <f>D15+D16+D17+D18+D19</f>
        <v>759202</v>
      </c>
      <c r="E21" s="57"/>
      <c r="F21" s="57"/>
    </row>
    <row r="22">
      <c r="B22" s="57"/>
      <c r="C22" s="57"/>
      <c r="D22" s="57"/>
      <c r="E22" s="57"/>
      <c r="F22" s="57"/>
    </row>
    <row r="23">
      <c r="B23" s="57"/>
      <c r="C23" s="57"/>
      <c r="D23" s="57"/>
      <c r="E23" s="57"/>
      <c r="F23" s="57"/>
    </row>
    <row r="24">
      <c r="A24" s="2"/>
    </row>
  </sheetData>
  <mergeCells count="4">
    <mergeCell ref="A1:G1"/>
    <mergeCell ref="A2:A23"/>
    <mergeCell ref="G2:G25"/>
    <mergeCell ref="A24:F25"/>
  </mergeCells>
  <hyperlinks>
    <hyperlink r:id="rId1" ref="B5"/>
    <hyperlink r:id="rId2" ref="B6"/>
    <hyperlink r:id="rId3" ref="B7"/>
    <hyperlink r:id="rId4" ref="B9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4.29"/>
    <col customWidth="1" min="13" max="13" width="31.0"/>
  </cols>
  <sheetData>
    <row r="1" ht="66.0" customHeight="1">
      <c r="A1" s="49" t="s">
        <v>13</v>
      </c>
    </row>
    <row r="2">
      <c r="A2" s="50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50"/>
    </row>
    <row r="3">
      <c r="A3" s="50"/>
      <c r="B3" s="20" t="s">
        <v>52</v>
      </c>
      <c r="C3" s="20" t="s">
        <v>53</v>
      </c>
      <c r="D3" s="20" t="s">
        <v>54</v>
      </c>
      <c r="E3" s="20" t="s">
        <v>55</v>
      </c>
      <c r="F3" s="20" t="s">
        <v>56</v>
      </c>
      <c r="G3" s="20" t="s">
        <v>57</v>
      </c>
      <c r="H3" s="67"/>
      <c r="I3" s="67"/>
      <c r="J3" s="67"/>
      <c r="K3" s="67"/>
      <c r="L3" s="67"/>
      <c r="M3" s="67"/>
      <c r="N3" s="67"/>
    </row>
    <row r="4">
      <c r="A4" s="68" t="s">
        <v>21</v>
      </c>
      <c r="B4" s="69" t="s">
        <v>82</v>
      </c>
      <c r="C4" s="27">
        <f>Lista!G10</f>
        <v>4</v>
      </c>
      <c r="D4" s="70">
        <v>972.0</v>
      </c>
      <c r="E4" s="71">
        <f>D4*B16</f>
        <v>3743367.275</v>
      </c>
      <c r="F4" s="71">
        <f t="shared" ref="F4:F13" si="1">E4*1.045</f>
        <v>3911818.802</v>
      </c>
      <c r="G4" s="71">
        <f t="shared" ref="G4:G13" si="2">F4*C4</f>
        <v>15647275.21</v>
      </c>
      <c r="H4" s="67"/>
      <c r="I4" s="67"/>
      <c r="J4" s="67"/>
      <c r="K4" s="67"/>
      <c r="L4" s="67"/>
      <c r="M4" s="67"/>
      <c r="N4" s="67"/>
    </row>
    <row r="5">
      <c r="A5" s="68" t="s">
        <v>83</v>
      </c>
      <c r="B5" s="69" t="s">
        <v>84</v>
      </c>
      <c r="C5" s="27">
        <f>Lista!G11</f>
        <v>1</v>
      </c>
      <c r="D5" s="71">
        <v>670.0</v>
      </c>
      <c r="E5" s="71">
        <f>D5*B16</f>
        <v>2580304.603</v>
      </c>
      <c r="F5" s="71">
        <f t="shared" si="1"/>
        <v>2696418.31</v>
      </c>
      <c r="G5" s="71">
        <f t="shared" si="2"/>
        <v>2696418.31</v>
      </c>
      <c r="H5" s="67"/>
      <c r="I5" s="67"/>
      <c r="J5" s="67"/>
      <c r="K5" s="67"/>
      <c r="L5" s="67"/>
      <c r="M5" s="67"/>
      <c r="N5" s="67"/>
    </row>
    <row r="6">
      <c r="A6" s="68" t="s">
        <v>85</v>
      </c>
      <c r="B6" s="69" t="s">
        <v>86</v>
      </c>
      <c r="C6" s="27">
        <f>Lista!G12</f>
        <v>1</v>
      </c>
      <c r="D6" s="71">
        <v>349.0</v>
      </c>
      <c r="E6" s="71">
        <f>D6*B16</f>
        <v>1344069.114</v>
      </c>
      <c r="F6" s="71">
        <f t="shared" si="1"/>
        <v>1404552.224</v>
      </c>
      <c r="G6" s="71">
        <f t="shared" si="2"/>
        <v>1404552.224</v>
      </c>
      <c r="H6" s="67"/>
      <c r="I6" s="67"/>
      <c r="J6" s="67"/>
      <c r="K6" s="67"/>
      <c r="L6" s="67"/>
      <c r="M6" s="67"/>
      <c r="N6" s="67"/>
    </row>
    <row r="7">
      <c r="A7" s="68" t="s">
        <v>87</v>
      </c>
      <c r="B7" s="69" t="s">
        <v>88</v>
      </c>
      <c r="C7" s="27">
        <v>17.0</v>
      </c>
      <c r="D7" s="71">
        <v>19.9</v>
      </c>
      <c r="E7" s="71">
        <f>D7*B16</f>
        <v>76638.89791</v>
      </c>
      <c r="F7" s="71">
        <f t="shared" si="1"/>
        <v>80087.64832</v>
      </c>
      <c r="G7" s="71">
        <f t="shared" si="2"/>
        <v>1361490.021</v>
      </c>
      <c r="H7" s="67"/>
      <c r="I7" s="67"/>
      <c r="J7" s="67"/>
      <c r="K7" s="67"/>
      <c r="L7" s="67"/>
      <c r="M7" s="67"/>
      <c r="N7" s="67"/>
    </row>
    <row r="8">
      <c r="A8" s="68" t="s">
        <v>89</v>
      </c>
      <c r="B8" s="69" t="s">
        <v>90</v>
      </c>
      <c r="C8" s="72">
        <v>19.0</v>
      </c>
      <c r="D8" s="71">
        <v>19.0</v>
      </c>
      <c r="E8" s="71">
        <f>D8*B16</f>
        <v>73172.8171</v>
      </c>
      <c r="F8" s="71">
        <f t="shared" si="1"/>
        <v>76465.59387</v>
      </c>
      <c r="G8" s="71">
        <f t="shared" si="2"/>
        <v>1452846.284</v>
      </c>
      <c r="H8" s="67"/>
      <c r="I8" s="67"/>
      <c r="J8" s="19" t="s">
        <v>52</v>
      </c>
      <c r="K8" s="19" t="s">
        <v>53</v>
      </c>
      <c r="L8" s="19" t="s">
        <v>63</v>
      </c>
      <c r="M8" s="19" t="s">
        <v>64</v>
      </c>
      <c r="N8" s="67"/>
    </row>
    <row r="9">
      <c r="A9" s="68" t="s">
        <v>91</v>
      </c>
      <c r="B9" s="69" t="s">
        <v>92</v>
      </c>
      <c r="C9" s="27">
        <f>Lista!G15</f>
        <v>2</v>
      </c>
      <c r="D9" s="71">
        <v>199.0</v>
      </c>
      <c r="E9" s="71">
        <f>D9*B16</f>
        <v>766388.9791</v>
      </c>
      <c r="F9" s="71">
        <f t="shared" si="1"/>
        <v>800876.4832</v>
      </c>
      <c r="G9" s="71">
        <f t="shared" si="2"/>
        <v>1601752.966</v>
      </c>
      <c r="H9" s="67"/>
      <c r="I9" s="67"/>
      <c r="J9" s="25" t="str">
        <f t="shared" ref="J9:K9" si="3">B4</f>
        <v>Edición de Windows Server 2019</v>
      </c>
      <c r="K9" s="29">
        <f t="shared" si="3"/>
        <v>4</v>
      </c>
      <c r="L9" s="53">
        <v>4694182.5625992</v>
      </c>
      <c r="M9" s="53">
        <f t="shared" ref="M9:M18" si="5">L9*K9</f>
        <v>18776730.25</v>
      </c>
      <c r="N9" s="67"/>
    </row>
    <row r="10">
      <c r="A10" s="68" t="s">
        <v>93</v>
      </c>
      <c r="B10" s="69" t="s">
        <v>94</v>
      </c>
      <c r="C10" s="27">
        <f>Lista!G16</f>
        <v>17</v>
      </c>
      <c r="D10" s="71">
        <v>239.0</v>
      </c>
      <c r="E10" s="71">
        <f>D10*B16</f>
        <v>920437.0151</v>
      </c>
      <c r="F10" s="71">
        <f t="shared" si="1"/>
        <v>961856.6808</v>
      </c>
      <c r="G10" s="71">
        <f t="shared" si="2"/>
        <v>16351563.57</v>
      </c>
      <c r="H10" s="67"/>
      <c r="I10" s="67"/>
      <c r="J10" s="25" t="str">
        <f t="shared" ref="J10:K10" si="4">B5</f>
        <v>SUSE Linux Enterprise Server 1 año</v>
      </c>
      <c r="K10" s="29">
        <f t="shared" si="4"/>
        <v>1</v>
      </c>
      <c r="L10" s="53">
        <v>1617850.986081</v>
      </c>
      <c r="M10" s="53">
        <f t="shared" si="5"/>
        <v>1617850.986</v>
      </c>
      <c r="N10" s="67"/>
    </row>
    <row r="11">
      <c r="A11" s="68" t="s">
        <v>95</v>
      </c>
      <c r="B11" s="69" t="s">
        <v>96</v>
      </c>
      <c r="C11" s="72">
        <v>2.0</v>
      </c>
      <c r="D11" s="71">
        <v>1239.99</v>
      </c>
      <c r="E11" s="71">
        <f>D11*B16</f>
        <v>4775450.604</v>
      </c>
      <c r="F11" s="71">
        <f t="shared" si="1"/>
        <v>4990345.881</v>
      </c>
      <c r="G11" s="71">
        <f t="shared" si="2"/>
        <v>9980691.762</v>
      </c>
      <c r="H11" s="67"/>
      <c r="I11" s="67"/>
      <c r="J11" s="25" t="str">
        <f t="shared" ref="J11:K11" si="6">B6</f>
        <v>red hat enterprise linux server 1 año</v>
      </c>
      <c r="K11" s="29">
        <f t="shared" si="6"/>
        <v>1</v>
      </c>
      <c r="L11" s="53">
        <v>842731.3345407</v>
      </c>
      <c r="M11" s="53">
        <f t="shared" si="5"/>
        <v>842731.3345</v>
      </c>
      <c r="N11" s="67"/>
    </row>
    <row r="12">
      <c r="A12" s="68" t="s">
        <v>97</v>
      </c>
      <c r="B12" s="69" t="s">
        <v>98</v>
      </c>
      <c r="C12" s="72">
        <v>3.0</v>
      </c>
      <c r="D12" s="71">
        <v>700.0</v>
      </c>
      <c r="E12" s="71">
        <f>D12*B16</f>
        <v>2695840.63</v>
      </c>
      <c r="F12" s="71">
        <f t="shared" si="1"/>
        <v>2817153.458</v>
      </c>
      <c r="G12" s="71">
        <f t="shared" si="2"/>
        <v>8451460.375</v>
      </c>
      <c r="H12" s="67"/>
      <c r="I12" s="67"/>
      <c r="J12" s="25" t="str">
        <f t="shared" ref="J12:K12" si="7">B7</f>
        <v>AnyDesk</v>
      </c>
      <c r="K12" s="29">
        <f t="shared" si="7"/>
        <v>17</v>
      </c>
      <c r="L12" s="53">
        <v>816894.01282269</v>
      </c>
      <c r="M12" s="53">
        <f t="shared" si="5"/>
        <v>13887198.22</v>
      </c>
      <c r="N12" s="67"/>
    </row>
    <row r="13">
      <c r="A13" s="73"/>
      <c r="B13" s="69" t="s">
        <v>99</v>
      </c>
      <c r="C13" s="72">
        <v>4.0</v>
      </c>
      <c r="D13" s="71">
        <v>750.0</v>
      </c>
      <c r="E13" s="71">
        <f>D13*B16</f>
        <v>2888400.675</v>
      </c>
      <c r="F13" s="71">
        <f t="shared" si="1"/>
        <v>3018378.705</v>
      </c>
      <c r="G13" s="71">
        <f t="shared" si="2"/>
        <v>12073514.82</v>
      </c>
      <c r="H13" s="67"/>
      <c r="I13" s="67"/>
      <c r="J13" s="25" t="str">
        <f t="shared" ref="J13:K13" si="8">B8</f>
        <v>McAfee® Small Business Security 1 año</v>
      </c>
      <c r="K13" s="29">
        <f t="shared" si="8"/>
        <v>19</v>
      </c>
      <c r="L13" s="53">
        <v>2248088.4597632997</v>
      </c>
      <c r="M13" s="53">
        <f t="shared" si="5"/>
        <v>42713680.74</v>
      </c>
      <c r="N13" s="67"/>
    </row>
    <row r="14">
      <c r="A14" s="50"/>
      <c r="B14" s="74"/>
      <c r="C14" s="74"/>
      <c r="D14" s="74"/>
      <c r="E14" s="74"/>
      <c r="F14" s="74"/>
      <c r="G14" s="74"/>
      <c r="H14" s="67"/>
      <c r="I14" s="67"/>
      <c r="J14" s="25" t="str">
        <f t="shared" ref="J14:K14" si="9">B9</f>
        <v>VMware Workstation 16 Pro</v>
      </c>
      <c r="K14" s="29">
        <f t="shared" si="9"/>
        <v>2</v>
      </c>
      <c r="L14" s="53">
        <v>961051.7797913998</v>
      </c>
      <c r="M14" s="53">
        <f t="shared" si="5"/>
        <v>1922103.56</v>
      </c>
      <c r="N14" s="67"/>
    </row>
    <row r="15">
      <c r="A15" s="50"/>
      <c r="B15" s="75">
        <v>3739.03</v>
      </c>
      <c r="C15" s="74"/>
      <c r="D15" s="74"/>
      <c r="E15" s="74"/>
      <c r="F15" s="74"/>
      <c r="G15" s="74"/>
      <c r="H15" s="67"/>
      <c r="I15" s="67"/>
      <c r="J15" s="25" t="str">
        <f t="shared" ref="J15:K15" si="10">B10</f>
        <v>Licencia CAL de Servicios de Escritorio remoto de Windows Server</v>
      </c>
      <c r="K15" s="29">
        <f t="shared" si="10"/>
        <v>17</v>
      </c>
      <c r="L15" s="53">
        <v>9810938.1439509</v>
      </c>
      <c r="M15" s="53">
        <f t="shared" si="5"/>
        <v>166785948.4</v>
      </c>
      <c r="N15" s="67"/>
    </row>
    <row r="16">
      <c r="A16" s="50"/>
      <c r="B16" s="76">
        <f>B15*1.03</f>
        <v>3851.2009</v>
      </c>
      <c r="C16" s="74"/>
      <c r="D16" s="74"/>
      <c r="E16" s="74"/>
      <c r="F16" s="74"/>
      <c r="G16" s="74"/>
      <c r="H16" s="67"/>
      <c r="I16" s="67"/>
      <c r="J16" s="25" t="str">
        <f t="shared" ref="J16:K16" si="11">B11</f>
        <v>MX67C-HW Cisco Meraki, MX67C Meraki Cloud Managed Firewall con: LIC-SEC-1YR - Licencia de seguridad avanzada de Cisco Meraki de 1 año</v>
      </c>
      <c r="K16" s="29">
        <f t="shared" si="11"/>
        <v>2</v>
      </c>
      <c r="L16" s="53">
        <v>2994207.528702357</v>
      </c>
      <c r="M16" s="53">
        <f t="shared" si="5"/>
        <v>5988415.057</v>
      </c>
      <c r="N16" s="67"/>
    </row>
    <row r="17">
      <c r="A17" s="50"/>
      <c r="B17" s="74"/>
      <c r="C17" s="74"/>
      <c r="D17" s="74"/>
      <c r="E17" s="74"/>
      <c r="F17" s="74"/>
      <c r="G17" s="74"/>
      <c r="H17" s="67"/>
      <c r="I17" s="67"/>
      <c r="J17" s="25" t="str">
        <f t="shared" ref="J17:K17" si="12">B12</f>
        <v>Cisco licence</v>
      </c>
      <c r="K17" s="29">
        <f t="shared" si="12"/>
        <v>3</v>
      </c>
      <c r="L17" s="53">
        <v>3380584.15002</v>
      </c>
      <c r="M17" s="53">
        <f t="shared" si="5"/>
        <v>10141752.45</v>
      </c>
      <c r="N17" s="67"/>
    </row>
    <row r="18">
      <c r="A18" s="50"/>
      <c r="B18" s="74"/>
      <c r="C18" s="74"/>
      <c r="D18" s="74"/>
      <c r="E18" s="74"/>
      <c r="F18" s="74"/>
      <c r="G18" s="74"/>
      <c r="H18" s="67"/>
      <c r="I18" s="67"/>
      <c r="J18" s="25" t="str">
        <f t="shared" ref="J18:K18" si="13">B13</f>
        <v>Cisco Meraki MR42 Cloud Mng'd Wless AP + 3 años de licencia y soporte empresarial</v>
      </c>
      <c r="K18" s="29">
        <f t="shared" si="13"/>
        <v>4</v>
      </c>
      <c r="L18" s="53">
        <v>3622054.4464499997</v>
      </c>
      <c r="M18" s="53">
        <f t="shared" si="5"/>
        <v>14488217.79</v>
      </c>
      <c r="N18" s="67"/>
    </row>
    <row r="19">
      <c r="A19" s="50"/>
      <c r="B19" s="74"/>
      <c r="C19" s="74"/>
      <c r="D19" s="74"/>
      <c r="E19" s="74"/>
      <c r="F19" s="74"/>
      <c r="G19" s="74"/>
      <c r="H19" s="67"/>
      <c r="I19" s="67"/>
      <c r="J19" s="67"/>
      <c r="K19" s="67"/>
      <c r="L19" s="67"/>
      <c r="M19" s="67"/>
      <c r="N19" s="67"/>
    </row>
    <row r="20">
      <c r="A20" s="50"/>
      <c r="B20" s="74"/>
      <c r="C20" s="74"/>
      <c r="D20" s="74"/>
      <c r="E20" s="74"/>
      <c r="F20" s="74"/>
      <c r="G20" s="74"/>
      <c r="H20" s="67"/>
      <c r="I20" s="67"/>
      <c r="J20" s="67"/>
      <c r="K20" s="67"/>
      <c r="L20" s="67"/>
      <c r="M20" s="67"/>
      <c r="N20" s="67"/>
    </row>
    <row r="21">
      <c r="A21" s="50"/>
      <c r="B21" s="74"/>
      <c r="C21" s="74"/>
      <c r="D21" s="74"/>
      <c r="E21" s="74"/>
      <c r="F21" s="74"/>
      <c r="G21" s="74"/>
      <c r="H21" s="67"/>
      <c r="I21" s="67"/>
      <c r="J21" s="67"/>
      <c r="K21" s="67"/>
      <c r="L21" s="67"/>
      <c r="M21" s="77">
        <f>M9+M10+M11+M12+M13+M14+M15+M16+M17+M18</f>
        <v>277164628.8</v>
      </c>
      <c r="N21" s="67"/>
    </row>
    <row r="22">
      <c r="A22" s="50"/>
      <c r="B22" s="74"/>
      <c r="C22" s="74"/>
      <c r="D22" s="74"/>
      <c r="E22" s="74"/>
      <c r="F22" s="74"/>
      <c r="G22" s="74"/>
      <c r="H22" s="67"/>
      <c r="I22" s="67"/>
      <c r="J22" s="67"/>
      <c r="K22" s="67"/>
      <c r="L22" s="67"/>
      <c r="M22" s="67"/>
      <c r="N22" s="67"/>
    </row>
    <row r="23">
      <c r="A23" s="50"/>
      <c r="B23" s="74"/>
      <c r="C23" s="74"/>
      <c r="D23" s="74"/>
      <c r="E23" s="74"/>
      <c r="F23" s="74"/>
      <c r="G23" s="74"/>
      <c r="H23" s="67"/>
      <c r="I23" s="67"/>
      <c r="J23" s="67"/>
      <c r="K23" s="67"/>
      <c r="L23" s="67"/>
      <c r="M23" s="67"/>
      <c r="N23" s="67"/>
    </row>
    <row r="24">
      <c r="A24" s="50"/>
    </row>
  </sheetData>
  <mergeCells count="3">
    <mergeCell ref="A1:O1"/>
    <mergeCell ref="O2:O23"/>
    <mergeCell ref="A24:O25"/>
  </mergeCells>
  <hyperlinks>
    <hyperlink r:id="rId1" ref="A4"/>
    <hyperlink r:id="rId2" location="subnav" ref="A5"/>
    <hyperlink r:id="rId3" ref="A6"/>
    <hyperlink r:id="rId4" ref="A7"/>
    <hyperlink r:id="rId5" ref="A8"/>
    <hyperlink r:id="rId6" ref="A9"/>
    <hyperlink r:id="rId7" ref="A10"/>
    <hyperlink r:id="rId8" ref="A11"/>
    <hyperlink r:id="rId9" ref="A12"/>
  </hyperlinks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71"/>
    <col customWidth="1" min="5" max="5" width="24.29"/>
    <col customWidth="1" min="13" max="13" width="25.14"/>
  </cols>
  <sheetData>
    <row r="1" ht="66.75" customHeight="1">
      <c r="A1" s="49" t="s">
        <v>16</v>
      </c>
    </row>
    <row r="2">
      <c r="A2" s="50"/>
      <c r="B2" s="78" t="s">
        <v>100</v>
      </c>
      <c r="C2" s="79">
        <v>17.0</v>
      </c>
      <c r="D2" s="80">
        <v>5000000.0</v>
      </c>
      <c r="E2" s="80">
        <f>D2*C2</f>
        <v>85000000</v>
      </c>
      <c r="F2" s="80">
        <f>E2*12</f>
        <v>1020000000</v>
      </c>
      <c r="G2" s="2"/>
      <c r="H2" s="2"/>
      <c r="I2" s="2"/>
      <c r="J2" s="2"/>
      <c r="K2" s="2"/>
      <c r="L2" s="2"/>
      <c r="M2" s="2"/>
      <c r="N2" s="2"/>
      <c r="O2" s="50"/>
    </row>
    <row r="3">
      <c r="B3" s="81" t="s">
        <v>101</v>
      </c>
      <c r="C3" s="79">
        <v>49.0</v>
      </c>
      <c r="D3" s="80">
        <v>6000000.0</v>
      </c>
      <c r="E3" s="82">
        <f>D3/C3</f>
        <v>122448.9796</v>
      </c>
      <c r="F3" s="80">
        <f>D3</f>
        <v>6000000</v>
      </c>
      <c r="G3" s="2"/>
      <c r="H3" s="2"/>
      <c r="I3" s="2"/>
      <c r="J3" s="2"/>
      <c r="K3" s="2"/>
      <c r="L3" s="2"/>
      <c r="M3" s="2"/>
      <c r="N3" s="2"/>
    </row>
    <row r="4">
      <c r="B4" s="20" t="s">
        <v>52</v>
      </c>
      <c r="C4" s="20" t="s">
        <v>53</v>
      </c>
      <c r="D4" s="20" t="s">
        <v>55</v>
      </c>
      <c r="E4" s="20" t="s">
        <v>56</v>
      </c>
      <c r="F4" s="20" t="s">
        <v>57</v>
      </c>
      <c r="G4" s="2"/>
      <c r="H4" s="2"/>
      <c r="I4" s="2"/>
      <c r="J4" s="2"/>
      <c r="K4" s="2"/>
      <c r="L4" s="2"/>
      <c r="M4" s="2"/>
      <c r="N4" s="2"/>
    </row>
    <row r="5">
      <c r="B5" s="11" t="str">
        <f>Lista!R10</f>
        <v>Servicios tecnologo</v>
      </c>
      <c r="C5" s="83">
        <v>1.0</v>
      </c>
      <c r="D5" s="84">
        <f t="shared" ref="D5:D6" si="1">F2</f>
        <v>1020000000</v>
      </c>
      <c r="E5" s="85">
        <f t="shared" ref="E5:E9" si="2">D5*1.045</f>
        <v>1065900000</v>
      </c>
      <c r="F5" s="85">
        <f t="shared" ref="F5:F9" si="3">E5</f>
        <v>1065900000</v>
      </c>
      <c r="G5" s="2"/>
      <c r="H5" s="2"/>
      <c r="I5" s="2"/>
      <c r="J5" s="2"/>
      <c r="K5" s="2"/>
      <c r="L5" s="2"/>
      <c r="M5" s="2"/>
      <c r="N5" s="2"/>
    </row>
    <row r="6">
      <c r="B6" s="11" t="str">
        <f>Lista!R11</f>
        <v>Servicios Desarrollador</v>
      </c>
      <c r="C6" s="83">
        <v>1.0</v>
      </c>
      <c r="D6" s="85">
        <f t="shared" si="1"/>
        <v>6000000</v>
      </c>
      <c r="E6" s="85">
        <f t="shared" si="2"/>
        <v>6270000</v>
      </c>
      <c r="F6" s="85">
        <f t="shared" si="3"/>
        <v>6270000</v>
      </c>
      <c r="G6" s="2"/>
      <c r="H6" s="2"/>
      <c r="I6" s="2"/>
      <c r="J6" s="2"/>
      <c r="K6" s="2"/>
      <c r="L6" s="2"/>
      <c r="M6" s="2"/>
      <c r="N6" s="2"/>
    </row>
    <row r="7">
      <c r="B7" s="11" t="str">
        <f>Lista!R12</f>
        <v>Antencion al cliente</v>
      </c>
      <c r="C7" s="83">
        <f>Lista!S12</f>
        <v>1</v>
      </c>
      <c r="D7" s="85">
        <v>8000000.0</v>
      </c>
      <c r="E7" s="85">
        <f t="shared" si="2"/>
        <v>8360000</v>
      </c>
      <c r="F7" s="85">
        <f t="shared" si="3"/>
        <v>8360000</v>
      </c>
      <c r="G7" s="2"/>
      <c r="H7" s="2"/>
      <c r="I7" s="2"/>
      <c r="J7" s="2"/>
      <c r="K7" s="2"/>
      <c r="L7" s="2"/>
      <c r="M7" s="2"/>
      <c r="N7" s="2"/>
    </row>
    <row r="8">
      <c r="B8" s="11" t="str">
        <f>Lista!R13</f>
        <v>abogados</v>
      </c>
      <c r="C8" s="83">
        <f>Lista!S13</f>
        <v>1</v>
      </c>
      <c r="D8" s="85">
        <v>3000000.0</v>
      </c>
      <c r="E8" s="85">
        <f t="shared" si="2"/>
        <v>3135000</v>
      </c>
      <c r="F8" s="85">
        <f t="shared" si="3"/>
        <v>3135000</v>
      </c>
      <c r="G8" s="2"/>
      <c r="H8" s="2"/>
      <c r="I8" s="2"/>
      <c r="J8" s="2"/>
      <c r="K8" s="2"/>
      <c r="L8" s="2"/>
      <c r="M8" s="2"/>
      <c r="N8" s="2"/>
    </row>
    <row r="9">
      <c r="B9" s="11" t="str">
        <f>Lista!R14</f>
        <v>contador</v>
      </c>
      <c r="C9" s="83">
        <f>Lista!S14</f>
        <v>1</v>
      </c>
      <c r="D9" s="85">
        <v>2.0E7</v>
      </c>
      <c r="E9" s="85">
        <f t="shared" si="2"/>
        <v>20900000</v>
      </c>
      <c r="F9" s="85">
        <f t="shared" si="3"/>
        <v>20900000</v>
      </c>
      <c r="G9" s="2"/>
      <c r="H9" s="2"/>
      <c r="I9" s="2"/>
      <c r="J9" s="20" t="s">
        <v>52</v>
      </c>
      <c r="K9" s="20" t="s">
        <v>53</v>
      </c>
      <c r="L9" s="20" t="s">
        <v>63</v>
      </c>
      <c r="M9" s="20" t="s">
        <v>64</v>
      </c>
      <c r="N9" s="2"/>
    </row>
    <row r="10">
      <c r="B10" s="2"/>
      <c r="C10" s="2"/>
      <c r="D10" s="2"/>
      <c r="E10" s="2"/>
      <c r="F10" s="2"/>
      <c r="G10" s="2"/>
      <c r="H10" s="2"/>
      <c r="I10" s="2"/>
      <c r="J10" s="11" t="str">
        <f t="shared" ref="J10:J14" si="4">B5</f>
        <v>Servicios tecnologo</v>
      </c>
      <c r="K10" s="83">
        <v>2.0</v>
      </c>
      <c r="L10" s="85">
        <v>1.2790799999999998E9</v>
      </c>
      <c r="M10" s="85">
        <f t="shared" ref="M10:M14" si="5">L10*K10</f>
        <v>2558160000</v>
      </c>
      <c r="N10" s="2"/>
    </row>
    <row r="11">
      <c r="B11" s="2"/>
      <c r="C11" s="2"/>
      <c r="D11" s="2"/>
      <c r="E11" s="2"/>
      <c r="F11" s="2"/>
      <c r="G11" s="2"/>
      <c r="H11" s="2"/>
      <c r="I11" s="2"/>
      <c r="J11" s="11" t="str">
        <f t="shared" si="4"/>
        <v>Servicios Desarrollador</v>
      </c>
      <c r="K11" s="83">
        <f t="shared" ref="K11:K14" si="6">C6</f>
        <v>1</v>
      </c>
      <c r="L11" s="85">
        <v>3762000.0</v>
      </c>
      <c r="M11" s="85">
        <f t="shared" si="5"/>
        <v>3762000</v>
      </c>
      <c r="N11" s="2"/>
    </row>
    <row r="12">
      <c r="B12" s="2"/>
      <c r="C12" s="2"/>
      <c r="D12" s="2"/>
      <c r="E12" s="2"/>
      <c r="F12" s="2"/>
      <c r="G12" s="2"/>
      <c r="H12" s="2"/>
      <c r="I12" s="2"/>
      <c r="J12" s="11" t="str">
        <f t="shared" si="4"/>
        <v>Antencion al cliente</v>
      </c>
      <c r="K12" s="83">
        <f t="shared" si="6"/>
        <v>1</v>
      </c>
      <c r="L12" s="85">
        <v>5015999.999999999</v>
      </c>
      <c r="M12" s="85">
        <f t="shared" si="5"/>
        <v>5016000</v>
      </c>
      <c r="N12" s="2"/>
    </row>
    <row r="13">
      <c r="B13" s="2"/>
      <c r="C13" s="2"/>
      <c r="D13" s="2"/>
      <c r="E13" s="2"/>
      <c r="F13" s="2"/>
      <c r="G13" s="2"/>
      <c r="H13" s="2"/>
      <c r="I13" s="2"/>
      <c r="J13" s="11" t="str">
        <f t="shared" si="4"/>
        <v>abogados</v>
      </c>
      <c r="K13" s="83">
        <f t="shared" si="6"/>
        <v>1</v>
      </c>
      <c r="L13" s="85">
        <v>1881000.0</v>
      </c>
      <c r="M13" s="85">
        <f t="shared" si="5"/>
        <v>1881000</v>
      </c>
      <c r="N13" s="2"/>
    </row>
    <row r="14">
      <c r="B14" s="2"/>
      <c r="C14" s="2"/>
      <c r="D14" s="2"/>
      <c r="E14" s="2"/>
      <c r="F14" s="2"/>
      <c r="G14" s="2"/>
      <c r="H14" s="2"/>
      <c r="I14" s="2"/>
      <c r="J14" s="11" t="str">
        <f t="shared" si="4"/>
        <v>contador</v>
      </c>
      <c r="K14" s="83">
        <f t="shared" si="6"/>
        <v>1</v>
      </c>
      <c r="L14" s="85">
        <v>1.254E7</v>
      </c>
      <c r="M14" s="85">
        <f t="shared" si="5"/>
        <v>12540000</v>
      </c>
      <c r="N14" s="2"/>
    </row>
    <row r="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86">
        <f>SUM(M10:M14)</f>
        <v>2581359000</v>
      </c>
      <c r="N19" s="2"/>
    </row>
    <row r="20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>
      <c r="A21" s="50"/>
    </row>
  </sheetData>
  <mergeCells count="4">
    <mergeCell ref="A1:O1"/>
    <mergeCell ref="A2:A20"/>
    <mergeCell ref="O2:O22"/>
    <mergeCell ref="A21:N2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78.0" customHeight="1">
      <c r="A1" s="1" t="s">
        <v>102</v>
      </c>
    </row>
    <row r="2">
      <c r="A2" s="2"/>
      <c r="B2" s="87" t="s">
        <v>103</v>
      </c>
      <c r="C2" s="88" t="s">
        <v>104</v>
      </c>
      <c r="D2" s="89" t="s">
        <v>105</v>
      </c>
      <c r="E2" s="89" t="s">
        <v>106</v>
      </c>
      <c r="F2" s="88" t="s">
        <v>107</v>
      </c>
      <c r="G2" s="50"/>
      <c r="H2" s="90" t="s">
        <v>12</v>
      </c>
      <c r="I2" s="91"/>
      <c r="J2" s="91"/>
      <c r="K2" s="11"/>
      <c r="L2" s="11"/>
      <c r="M2" s="11"/>
      <c r="N2" s="50"/>
      <c r="O2" s="50"/>
      <c r="P2" s="92" t="s">
        <v>52</v>
      </c>
      <c r="Q2" s="92" t="s">
        <v>53</v>
      </c>
      <c r="R2" s="92" t="s">
        <v>63</v>
      </c>
      <c r="S2" s="92" t="s">
        <v>64</v>
      </c>
      <c r="T2" s="50"/>
      <c r="U2" s="2"/>
    </row>
    <row r="3">
      <c r="B3" s="93" t="s">
        <v>108</v>
      </c>
      <c r="C3" s="94"/>
      <c r="D3" s="95"/>
      <c r="E3" s="95"/>
      <c r="F3" s="96" t="s">
        <v>109</v>
      </c>
      <c r="G3" s="50"/>
      <c r="H3" s="91"/>
      <c r="I3" s="91" t="s">
        <v>17</v>
      </c>
      <c r="J3" s="91" t="s">
        <v>18</v>
      </c>
      <c r="K3" s="11" t="s">
        <v>110</v>
      </c>
      <c r="L3" s="11" t="s">
        <v>111</v>
      </c>
      <c r="M3" s="11" t="s">
        <v>112</v>
      </c>
      <c r="N3" s="50"/>
      <c r="O3" s="50"/>
      <c r="P3" s="11"/>
      <c r="Q3" s="11"/>
      <c r="R3" s="11"/>
      <c r="S3" s="11"/>
      <c r="T3" s="50"/>
    </row>
    <row r="4">
      <c r="B4" s="11"/>
      <c r="C4" s="11" t="s">
        <v>113</v>
      </c>
      <c r="D4" s="95" t="s">
        <v>114</v>
      </c>
      <c r="E4" s="97" t="s">
        <v>115</v>
      </c>
      <c r="F4" s="11"/>
      <c r="G4" s="50"/>
      <c r="H4" s="98" t="s">
        <v>116</v>
      </c>
      <c r="I4" s="21" t="s">
        <v>113</v>
      </c>
      <c r="J4" s="99">
        <v>1.0</v>
      </c>
      <c r="K4" s="100">
        <v>64417.0</v>
      </c>
      <c r="L4" s="71">
        <f>K4*B23</f>
        <v>248082750.4</v>
      </c>
      <c r="M4" s="71">
        <f t="shared" ref="M4:M14" si="2">L4*1.045</f>
        <v>259246474.2</v>
      </c>
      <c r="N4" s="50"/>
      <c r="O4" s="50"/>
      <c r="P4" s="101" t="str">
        <f t="shared" ref="P4:R4" si="1">H4</f>
        <v>4 servdores, 1 winserver 2019 base 16 ram xeon 4 nucleos, 1 sles 16 ram, xeon 4 nuclos,  1 windows 8ram, xeon 2 nucleos, 1 redhat 8 ram, xeon 2 nucleos </v>
      </c>
      <c r="Q4" s="11" t="str">
        <f t="shared" si="1"/>
        <v>Compute:</v>
      </c>
      <c r="R4" s="83">
        <f t="shared" si="1"/>
        <v>1</v>
      </c>
      <c r="S4" s="85">
        <f t="shared" ref="S4:S16" si="4">M4</f>
        <v>259246474.2</v>
      </c>
      <c r="T4" s="50"/>
    </row>
    <row r="5">
      <c r="B5" s="11"/>
      <c r="C5" s="11" t="s">
        <v>117</v>
      </c>
      <c r="D5" s="95" t="s">
        <v>114</v>
      </c>
      <c r="E5" s="96" t="s">
        <v>118</v>
      </c>
      <c r="F5" s="11"/>
      <c r="G5" s="50"/>
      <c r="H5" s="21"/>
      <c r="I5" s="21" t="s">
        <v>117</v>
      </c>
      <c r="J5" s="99">
        <v>1.0</v>
      </c>
      <c r="K5" s="102">
        <v>3.6</v>
      </c>
      <c r="L5" s="71">
        <f>K5*B23</f>
        <v>13864.32</v>
      </c>
      <c r="M5" s="71">
        <f t="shared" si="2"/>
        <v>14488.2144</v>
      </c>
      <c r="N5" s="50"/>
      <c r="O5" s="50"/>
      <c r="P5" s="11"/>
      <c r="Q5" s="11" t="str">
        <f t="shared" ref="Q5:R5" si="3">I5</f>
        <v>Intra-Region Data Transfer:</v>
      </c>
      <c r="R5" s="83">
        <f t="shared" si="3"/>
        <v>1</v>
      </c>
      <c r="S5" s="85">
        <f t="shared" si="4"/>
        <v>14488.2144</v>
      </c>
      <c r="T5" s="50"/>
    </row>
    <row r="6">
      <c r="B6" s="11"/>
      <c r="C6" s="11" t="s">
        <v>119</v>
      </c>
      <c r="D6" s="95" t="s">
        <v>114</v>
      </c>
      <c r="E6" s="97" t="s">
        <v>120</v>
      </c>
      <c r="F6" s="11"/>
      <c r="G6" s="50"/>
      <c r="H6" s="21"/>
      <c r="I6" s="21" t="s">
        <v>119</v>
      </c>
      <c r="J6" s="99">
        <v>1.0</v>
      </c>
      <c r="K6" s="100">
        <v>270.0</v>
      </c>
      <c r="L6" s="71">
        <f>K6*B23</f>
        <v>1039824</v>
      </c>
      <c r="M6" s="71">
        <f t="shared" si="2"/>
        <v>1086616.08</v>
      </c>
      <c r="N6" s="50"/>
      <c r="O6" s="50"/>
      <c r="P6" s="11"/>
      <c r="Q6" s="11" t="str">
        <f t="shared" ref="Q6:R6" si="5">I6</f>
        <v>EBS Volumes:</v>
      </c>
      <c r="R6" s="83">
        <f t="shared" si="5"/>
        <v>1</v>
      </c>
      <c r="S6" s="85">
        <f t="shared" si="4"/>
        <v>1086616.08</v>
      </c>
      <c r="T6" s="50"/>
    </row>
    <row r="7">
      <c r="B7" s="11"/>
      <c r="C7" s="11" t="s">
        <v>121</v>
      </c>
      <c r="D7" s="11" t="s">
        <v>114</v>
      </c>
      <c r="E7" s="96">
        <v>0.0</v>
      </c>
      <c r="F7" s="11"/>
      <c r="G7" s="50"/>
      <c r="H7" s="21"/>
      <c r="I7" s="21" t="s">
        <v>121</v>
      </c>
      <c r="J7" s="99">
        <v>1.0</v>
      </c>
      <c r="K7" s="102">
        <v>0.0</v>
      </c>
      <c r="L7" s="71">
        <f>K7*B23</f>
        <v>0</v>
      </c>
      <c r="M7" s="71">
        <f t="shared" si="2"/>
        <v>0</v>
      </c>
      <c r="N7" s="50"/>
      <c r="O7" s="50"/>
      <c r="P7" s="11"/>
      <c r="Q7" s="11" t="str">
        <f t="shared" ref="Q7:R7" si="6">I7</f>
        <v>EBS Throughput:</v>
      </c>
      <c r="R7" s="83">
        <f t="shared" si="6"/>
        <v>1</v>
      </c>
      <c r="S7" s="85">
        <f t="shared" si="4"/>
        <v>0</v>
      </c>
      <c r="T7" s="50"/>
    </row>
    <row r="8">
      <c r="B8" s="11"/>
      <c r="C8" s="11" t="s">
        <v>122</v>
      </c>
      <c r="D8" s="11" t="s">
        <v>114</v>
      </c>
      <c r="E8" s="96" t="s">
        <v>123</v>
      </c>
      <c r="F8" s="11"/>
      <c r="G8" s="50"/>
      <c r="H8" s="21"/>
      <c r="I8" s="21" t="s">
        <v>122</v>
      </c>
      <c r="J8" s="99">
        <v>1.0</v>
      </c>
      <c r="K8" s="102">
        <v>24.8</v>
      </c>
      <c r="L8" s="71">
        <f>K8*B23</f>
        <v>95509.76</v>
      </c>
      <c r="M8" s="71">
        <f t="shared" si="2"/>
        <v>99807.6992</v>
      </c>
      <c r="N8" s="50"/>
      <c r="O8" s="50"/>
      <c r="P8" s="11"/>
      <c r="Q8" s="11" t="str">
        <f t="shared" ref="Q8:R8" si="7">I8</f>
        <v>EBS Snapshots:</v>
      </c>
      <c r="R8" s="83">
        <f t="shared" si="7"/>
        <v>1</v>
      </c>
      <c r="S8" s="85">
        <f t="shared" si="4"/>
        <v>99807.6992</v>
      </c>
      <c r="T8" s="50"/>
    </row>
    <row r="9">
      <c r="B9" s="11"/>
      <c r="C9" s="11" t="s">
        <v>124</v>
      </c>
      <c r="D9" s="11" t="s">
        <v>114</v>
      </c>
      <c r="E9" s="96" t="s">
        <v>125</v>
      </c>
      <c r="F9" s="11"/>
      <c r="G9" s="50"/>
      <c r="H9" s="21"/>
      <c r="I9" s="21" t="s">
        <v>124</v>
      </c>
      <c r="J9" s="99">
        <v>1.0</v>
      </c>
      <c r="K9" s="27">
        <v>69.2</v>
      </c>
      <c r="L9" s="71">
        <f>K9*B23</f>
        <v>266503.04</v>
      </c>
      <c r="M9" s="71">
        <f t="shared" si="2"/>
        <v>278495.6768</v>
      </c>
      <c r="N9" s="50"/>
      <c r="O9" s="50"/>
      <c r="P9" s="11"/>
      <c r="Q9" s="11" t="str">
        <f t="shared" ref="Q9:R9" si="8">I9</f>
        <v>Elastic IPs:</v>
      </c>
      <c r="R9" s="83">
        <f t="shared" si="8"/>
        <v>1</v>
      </c>
      <c r="S9" s="85">
        <f t="shared" si="4"/>
        <v>278495.6768</v>
      </c>
      <c r="T9" s="50"/>
    </row>
    <row r="10">
      <c r="B10" s="11"/>
      <c r="C10" s="11" t="s">
        <v>126</v>
      </c>
      <c r="D10" s="11" t="s">
        <v>114</v>
      </c>
      <c r="E10" s="96" t="s">
        <v>118</v>
      </c>
      <c r="F10" s="11"/>
      <c r="G10" s="50"/>
      <c r="H10" s="21"/>
      <c r="I10" s="21" t="s">
        <v>126</v>
      </c>
      <c r="J10" s="99">
        <v>1.0</v>
      </c>
      <c r="K10" s="102">
        <v>3.6</v>
      </c>
      <c r="L10" s="71">
        <f>K10*B23</f>
        <v>13864.32</v>
      </c>
      <c r="M10" s="71">
        <f t="shared" si="2"/>
        <v>14488.2144</v>
      </c>
      <c r="N10" s="50"/>
      <c r="O10" s="50"/>
      <c r="P10" s="11"/>
      <c r="Q10" s="11" t="str">
        <f t="shared" ref="Q10:R10" si="9">I10</f>
        <v>Inter-Region Data Transfer Out:</v>
      </c>
      <c r="R10" s="83">
        <f t="shared" si="9"/>
        <v>1</v>
      </c>
      <c r="S10" s="85">
        <f t="shared" si="4"/>
        <v>14488.2144</v>
      </c>
      <c r="T10" s="50"/>
    </row>
    <row r="11">
      <c r="B11" s="103" t="s">
        <v>127</v>
      </c>
      <c r="C11" s="94"/>
      <c r="D11" s="11"/>
      <c r="E11" s="11"/>
      <c r="F11" s="96" t="s">
        <v>128</v>
      </c>
      <c r="G11" s="50"/>
      <c r="H11" s="21"/>
      <c r="I11" s="21" t="s">
        <v>129</v>
      </c>
      <c r="J11" s="99">
        <v>1.0</v>
      </c>
      <c r="K11" s="27">
        <v>16.11</v>
      </c>
      <c r="L11" s="71">
        <f>K11*B23</f>
        <v>62042.832</v>
      </c>
      <c r="M11" s="71">
        <f t="shared" si="2"/>
        <v>64834.75944</v>
      </c>
      <c r="N11" s="50"/>
      <c r="O11" s="50"/>
      <c r="P11" s="11"/>
      <c r="Q11" s="11" t="str">
        <f t="shared" ref="Q11:R11" si="10">I11</f>
        <v>Global</v>
      </c>
      <c r="R11" s="83">
        <f t="shared" si="10"/>
        <v>1</v>
      </c>
      <c r="S11" s="85">
        <f t="shared" si="4"/>
        <v>64834.75944</v>
      </c>
      <c r="T11" s="50"/>
    </row>
    <row r="12">
      <c r="B12" s="11"/>
      <c r="C12" s="11" t="s">
        <v>130</v>
      </c>
      <c r="D12" s="11" t="s">
        <v>129</v>
      </c>
      <c r="E12" s="96">
        <v>0.0</v>
      </c>
      <c r="F12" s="11"/>
      <c r="G12" s="50"/>
      <c r="H12" s="21"/>
      <c r="I12" s="21" t="s">
        <v>131</v>
      </c>
      <c r="J12" s="99">
        <v>1.0</v>
      </c>
      <c r="K12" s="102">
        <v>103.2</v>
      </c>
      <c r="L12" s="71">
        <f>K12*B23</f>
        <v>397443.84</v>
      </c>
      <c r="M12" s="71">
        <f t="shared" si="2"/>
        <v>415328.8128</v>
      </c>
      <c r="N12" s="50"/>
      <c r="O12" s="50"/>
      <c r="P12" s="11"/>
      <c r="Q12" s="11" t="str">
        <f t="shared" ref="Q12:R12" si="11">I12</f>
        <v>Support for all AWS services:</v>
      </c>
      <c r="R12" s="83">
        <f t="shared" si="11"/>
        <v>1</v>
      </c>
      <c r="S12" s="85">
        <f t="shared" si="4"/>
        <v>415328.8128</v>
      </c>
      <c r="T12" s="50"/>
    </row>
    <row r="13">
      <c r="B13" s="103" t="s">
        <v>132</v>
      </c>
      <c r="C13" s="94"/>
      <c r="D13" s="11"/>
      <c r="E13" s="11"/>
      <c r="F13" s="96" t="s">
        <v>133</v>
      </c>
      <c r="G13" s="50"/>
      <c r="H13" s="21"/>
      <c r="I13" s="21" t="s">
        <v>134</v>
      </c>
      <c r="J13" s="99">
        <v>1.0</v>
      </c>
      <c r="K13" s="104">
        <v>61.2</v>
      </c>
      <c r="L13" s="71">
        <f>K13*B23</f>
        <v>235693.44</v>
      </c>
      <c r="M13" s="71">
        <f t="shared" si="2"/>
        <v>246299.6448</v>
      </c>
      <c r="N13" s="50"/>
      <c r="O13" s="50"/>
      <c r="P13" s="11"/>
      <c r="Q13" s="11" t="str">
        <f t="shared" ref="Q13:R13" si="12">I13</f>
        <v>firewall</v>
      </c>
      <c r="R13" s="83">
        <f t="shared" si="12"/>
        <v>1</v>
      </c>
      <c r="S13" s="85">
        <f t="shared" si="4"/>
        <v>246299.6448</v>
      </c>
      <c r="T13" s="50"/>
    </row>
    <row r="14">
      <c r="B14" s="11"/>
      <c r="C14" s="11" t="s">
        <v>130</v>
      </c>
      <c r="D14" s="11" t="s">
        <v>129</v>
      </c>
      <c r="E14" s="96" t="s">
        <v>133</v>
      </c>
      <c r="F14" s="11"/>
      <c r="G14" s="50"/>
      <c r="H14" s="21"/>
      <c r="I14" s="105" t="s">
        <v>135</v>
      </c>
      <c r="J14" s="99">
        <v>1.0</v>
      </c>
      <c r="K14" s="104">
        <v>1032.0</v>
      </c>
      <c r="L14" s="71">
        <f>K14*B23</f>
        <v>3974438.4</v>
      </c>
      <c r="M14" s="71">
        <f t="shared" si="2"/>
        <v>4153288.128</v>
      </c>
      <c r="N14" s="50"/>
      <c r="O14" s="50"/>
      <c r="P14" s="11"/>
      <c r="Q14" s="11" t="str">
        <f t="shared" ref="Q14:R14" si="13">I14</f>
        <v>tranferencia firewall</v>
      </c>
      <c r="R14" s="83">
        <f t="shared" si="13"/>
        <v>1</v>
      </c>
      <c r="S14" s="85">
        <f t="shared" si="4"/>
        <v>4153288.128</v>
      </c>
      <c r="T14" s="50"/>
    </row>
    <row r="15">
      <c r="B15" s="103" t="s">
        <v>136</v>
      </c>
      <c r="C15" s="94"/>
      <c r="D15" s="11"/>
      <c r="E15" s="11"/>
      <c r="F15" s="96" t="s">
        <v>137</v>
      </c>
      <c r="G15" s="50"/>
      <c r="H15" s="21"/>
      <c r="I15" s="21"/>
      <c r="J15" s="21"/>
      <c r="K15" s="106"/>
      <c r="L15" s="21"/>
      <c r="M15" s="21"/>
      <c r="N15" s="50"/>
      <c r="O15" s="50"/>
      <c r="P15" s="11"/>
      <c r="Q15" s="11"/>
      <c r="R15" s="11"/>
      <c r="S15" s="83" t="str">
        <f t="shared" si="4"/>
        <v/>
      </c>
      <c r="T15" s="50"/>
    </row>
    <row r="16">
      <c r="B16" s="11"/>
      <c r="C16" s="11" t="s">
        <v>131</v>
      </c>
      <c r="D16" s="11"/>
      <c r="E16" s="96" t="s">
        <v>137</v>
      </c>
      <c r="F16" s="11"/>
      <c r="G16" s="50"/>
      <c r="H16" s="21"/>
      <c r="I16" s="21"/>
      <c r="J16" s="21"/>
      <c r="K16" s="104">
        <f>K4+K5+K6+K7+K8+K9+K10+K11+K12+K13+K14</f>
        <v>66000.71</v>
      </c>
      <c r="L16" s="71">
        <f>K16*B23</f>
        <v>254181934.4</v>
      </c>
      <c r="M16" s="71">
        <f>L16*1.043</f>
        <v>265111757.5</v>
      </c>
      <c r="N16" s="50"/>
      <c r="O16" s="50"/>
      <c r="P16" s="11"/>
      <c r="Q16" s="11"/>
      <c r="R16" s="11"/>
      <c r="S16" s="85">
        <f t="shared" si="4"/>
        <v>265111757.5</v>
      </c>
      <c r="T16" s="50"/>
    </row>
    <row r="17">
      <c r="B17" s="11"/>
      <c r="C17" s="11"/>
      <c r="D17" s="11" t="s">
        <v>138</v>
      </c>
      <c r="E17" s="11"/>
      <c r="F17" s="107" t="s">
        <v>139</v>
      </c>
      <c r="G17" s="50"/>
      <c r="H17" s="50"/>
      <c r="I17" s="50"/>
      <c r="J17" s="50"/>
      <c r="K17" s="50"/>
      <c r="L17" s="50"/>
      <c r="M17" s="50"/>
      <c r="N17" s="50"/>
      <c r="O17" s="50"/>
      <c r="P17" s="11"/>
      <c r="Q17" s="11"/>
      <c r="R17" s="11"/>
      <c r="S17" s="11"/>
      <c r="T17" s="50"/>
    </row>
    <row r="18">
      <c r="B18" s="11"/>
      <c r="C18" s="11"/>
      <c r="D18" s="11" t="s">
        <v>140</v>
      </c>
      <c r="E18" s="11"/>
      <c r="F18" s="108" t="s">
        <v>141</v>
      </c>
      <c r="G18" s="50"/>
      <c r="H18" s="50"/>
      <c r="I18" s="50"/>
      <c r="J18" s="50"/>
      <c r="K18" s="50"/>
      <c r="L18" s="50"/>
      <c r="M18" s="50"/>
      <c r="N18" s="50"/>
      <c r="O18" s="50"/>
      <c r="P18" s="11"/>
      <c r="Q18" s="11"/>
      <c r="R18" s="11"/>
      <c r="S18" s="11"/>
      <c r="T18" s="50"/>
    </row>
    <row r="19"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11"/>
      <c r="Q19" s="11"/>
      <c r="R19" s="11" t="s">
        <v>142</v>
      </c>
      <c r="S19" s="85">
        <f>S16*12</f>
        <v>3181341090</v>
      </c>
      <c r="T19" s="50"/>
    </row>
    <row r="2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</row>
    <row r="21"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</row>
    <row r="22">
      <c r="B22" s="109">
        <v>3739.03</v>
      </c>
      <c r="C22" s="110"/>
    </row>
    <row r="23">
      <c r="B23" s="109">
        <v>3851.2</v>
      </c>
    </row>
  </sheetData>
  <mergeCells count="8">
    <mergeCell ref="A1:U1"/>
    <mergeCell ref="A2:A23"/>
    <mergeCell ref="U2:U21"/>
    <mergeCell ref="B3:C3"/>
    <mergeCell ref="B11:C11"/>
    <mergeCell ref="B13:C13"/>
    <mergeCell ref="B15:C15"/>
    <mergeCell ref="C22:U2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</cols>
  <sheetData>
    <row r="1" ht="81.0" customHeight="1">
      <c r="A1" s="111" t="s">
        <v>143</v>
      </c>
    </row>
    <row r="2">
      <c r="A2" s="38"/>
      <c r="B2" s="21" t="s">
        <v>17</v>
      </c>
      <c r="C2" s="21" t="s">
        <v>18</v>
      </c>
      <c r="D2" s="21" t="s">
        <v>144</v>
      </c>
      <c r="E2" s="57"/>
      <c r="F2" s="38"/>
    </row>
    <row r="3">
      <c r="B3" s="112" t="s">
        <v>145</v>
      </c>
      <c r="C3" s="28">
        <v>1.0</v>
      </c>
      <c r="D3" s="113">
        <v>7951494.67</v>
      </c>
      <c r="E3" s="57"/>
    </row>
    <row r="4">
      <c r="B4" s="112" t="s">
        <v>146</v>
      </c>
      <c r="C4" s="28">
        <v>1.0</v>
      </c>
      <c r="D4" s="113">
        <v>3882787.93</v>
      </c>
      <c r="E4" s="57"/>
    </row>
    <row r="5">
      <c r="B5" s="112" t="s">
        <v>147</v>
      </c>
      <c r="C5" s="28">
        <v>1.0</v>
      </c>
      <c r="D5" s="113">
        <v>21152.79</v>
      </c>
      <c r="E5" s="57"/>
    </row>
    <row r="6">
      <c r="B6" s="112" t="s">
        <v>148</v>
      </c>
      <c r="C6" s="28">
        <v>1.0</v>
      </c>
      <c r="D6" s="113">
        <v>3672359.9</v>
      </c>
      <c r="E6" s="57"/>
    </row>
    <row r="7">
      <c r="B7" s="65"/>
      <c r="C7" s="65"/>
      <c r="D7" s="65"/>
      <c r="E7" s="57"/>
    </row>
    <row r="8">
      <c r="B8" s="65"/>
      <c r="C8" s="65"/>
      <c r="D8" s="65"/>
      <c r="E8" s="57"/>
    </row>
    <row r="9">
      <c r="B9" s="65"/>
      <c r="C9" s="65"/>
      <c r="D9" s="65"/>
      <c r="E9" s="57"/>
    </row>
    <row r="10">
      <c r="B10" s="65"/>
      <c r="C10" s="65"/>
      <c r="D10" s="114">
        <f>D3+D4+D5+D6</f>
        <v>15527795.29</v>
      </c>
      <c r="E10" s="57"/>
    </row>
    <row r="11">
      <c r="B11" s="65"/>
      <c r="C11" s="65"/>
      <c r="D11" s="19"/>
      <c r="E11" s="57"/>
    </row>
    <row r="12">
      <c r="B12" s="65"/>
      <c r="C12" s="65"/>
      <c r="D12" s="115">
        <f>D10*12</f>
        <v>186333543.5</v>
      </c>
      <c r="E12" s="57"/>
    </row>
    <row r="13">
      <c r="B13" s="57"/>
      <c r="C13" s="57"/>
      <c r="D13" s="57"/>
      <c r="E13" s="57"/>
    </row>
    <row r="14">
      <c r="A14" s="38"/>
    </row>
  </sheetData>
  <mergeCells count="4">
    <mergeCell ref="A1:F1"/>
    <mergeCell ref="A2:A13"/>
    <mergeCell ref="F2:F15"/>
    <mergeCell ref="A14:E1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71"/>
    <col customWidth="1" min="3" max="3" width="25.57"/>
    <col customWidth="1" min="4" max="4" width="20.71"/>
    <col customWidth="1" min="5" max="5" width="20.86"/>
    <col customWidth="1" min="6" max="6" width="18.86"/>
  </cols>
  <sheetData>
    <row r="1" ht="71.25" customHeight="1">
      <c r="A1" s="57"/>
    </row>
    <row r="2">
      <c r="A2" s="57"/>
      <c r="B2" s="116" t="s">
        <v>149</v>
      </c>
      <c r="C2" s="105" t="s">
        <v>150</v>
      </c>
      <c r="D2" s="105" t="s">
        <v>151</v>
      </c>
      <c r="E2" s="105" t="s">
        <v>152</v>
      </c>
      <c r="F2" s="105" t="s">
        <v>153</v>
      </c>
      <c r="G2" s="38"/>
      <c r="H2" s="57"/>
    </row>
    <row r="3">
      <c r="B3" s="117" t="s">
        <v>154</v>
      </c>
      <c r="C3" s="118">
        <f>F3/12</f>
        <v>294146177.8</v>
      </c>
      <c r="D3" s="118">
        <v>3.3676746338296313E9</v>
      </c>
      <c r="E3" s="118">
        <f>E5/2</f>
        <v>162079500</v>
      </c>
      <c r="F3" s="113">
        <f>D3+E3</f>
        <v>3529754134</v>
      </c>
      <c r="G3" s="38"/>
    </row>
    <row r="4">
      <c r="B4" s="117" t="s">
        <v>155</v>
      </c>
      <c r="C4" s="118">
        <f t="shared" ref="C4:C6" si="1">F4/2</f>
        <v>922958408.5</v>
      </c>
      <c r="D4" s="118">
        <f>D3/2</f>
        <v>1683837317</v>
      </c>
      <c r="E4" s="118">
        <f>E5/2</f>
        <v>162079500</v>
      </c>
      <c r="F4" s="118">
        <f>E4+D4</f>
        <v>1845916817</v>
      </c>
      <c r="G4" s="38"/>
    </row>
    <row r="5">
      <c r="B5" s="117" t="s">
        <v>156</v>
      </c>
      <c r="C5" s="118">
        <f t="shared" si="1"/>
        <v>326350602.2</v>
      </c>
      <c r="D5" s="119">
        <v>3.2854220434E8</v>
      </c>
      <c r="E5" s="118">
        <v>3.2415899999999994E8</v>
      </c>
      <c r="F5" s="118">
        <f>D5+E5</f>
        <v>652701204.3</v>
      </c>
      <c r="G5" s="38"/>
    </row>
    <row r="6">
      <c r="B6" s="117" t="s">
        <v>157</v>
      </c>
      <c r="C6" s="118">
        <f t="shared" si="1"/>
        <v>2091227669</v>
      </c>
      <c r="D6" s="120"/>
      <c r="E6" s="20"/>
      <c r="F6" s="118">
        <f>F3+F5</f>
        <v>4182455338</v>
      </c>
      <c r="G6" s="38"/>
    </row>
    <row r="7">
      <c r="B7" s="19"/>
      <c r="C7" s="19"/>
      <c r="D7" s="19"/>
      <c r="E7" s="19"/>
      <c r="F7" s="19"/>
      <c r="G7" s="38"/>
    </row>
    <row r="8">
      <c r="B8" s="19"/>
      <c r="C8" s="19"/>
      <c r="D8" s="19"/>
      <c r="E8" s="19"/>
      <c r="F8" s="19"/>
      <c r="G8" s="38"/>
    </row>
    <row r="9">
      <c r="B9" s="19"/>
      <c r="C9" s="19"/>
      <c r="D9" s="19"/>
      <c r="E9" s="19"/>
      <c r="F9" s="19"/>
      <c r="G9" s="38"/>
    </row>
    <row r="10">
      <c r="B10" s="19"/>
      <c r="C10" s="19"/>
      <c r="D10" s="19"/>
      <c r="E10" s="19"/>
      <c r="F10" s="19"/>
      <c r="G10" s="38"/>
    </row>
    <row r="11">
      <c r="B11" s="19"/>
      <c r="C11" s="19"/>
      <c r="D11" s="19"/>
      <c r="E11" s="19"/>
      <c r="F11" s="19"/>
      <c r="G11" s="38"/>
    </row>
    <row r="12">
      <c r="B12" s="19"/>
      <c r="C12" s="19"/>
      <c r="D12" s="19"/>
      <c r="E12" s="19"/>
      <c r="F12" s="19"/>
      <c r="G12" s="38"/>
    </row>
    <row r="13">
      <c r="B13" s="19"/>
      <c r="C13" s="19"/>
      <c r="D13" s="19"/>
      <c r="E13" s="19"/>
      <c r="F13" s="19"/>
      <c r="G13" s="38"/>
    </row>
    <row r="14">
      <c r="B14" s="19"/>
      <c r="C14" s="19"/>
      <c r="D14" s="19"/>
      <c r="E14" s="19"/>
      <c r="F14" s="19"/>
      <c r="G14" s="38"/>
    </row>
    <row r="15">
      <c r="B15" s="19"/>
      <c r="C15" s="19"/>
      <c r="D15" s="19"/>
      <c r="E15" s="19"/>
      <c r="F15" s="19"/>
      <c r="G15" s="38"/>
    </row>
    <row r="16">
      <c r="B16" s="121" t="s">
        <v>158</v>
      </c>
      <c r="C16" s="122">
        <v>5.3E12</v>
      </c>
      <c r="D16" s="123" t="s">
        <v>159</v>
      </c>
      <c r="E16" s="19"/>
      <c r="F16" s="19"/>
      <c r="G16" s="38"/>
    </row>
    <row r="17">
      <c r="B17" s="21" t="s">
        <v>160</v>
      </c>
      <c r="C17" s="118">
        <f>C16/12</f>
        <v>441666666667</v>
      </c>
      <c r="D17" s="20" t="s">
        <v>161</v>
      </c>
      <c r="E17" s="19"/>
      <c r="F17" s="19"/>
      <c r="G17" s="38"/>
    </row>
    <row r="18">
      <c r="B18" s="21" t="s">
        <v>162</v>
      </c>
      <c r="C18" s="118">
        <f>C17/30</f>
        <v>14722222222</v>
      </c>
      <c r="D18" s="20" t="s">
        <v>162</v>
      </c>
      <c r="E18" s="19"/>
      <c r="F18" s="19"/>
      <c r="G18" s="38"/>
    </row>
    <row r="19">
      <c r="B19" s="38"/>
      <c r="C19" s="38"/>
      <c r="D19" s="38"/>
      <c r="E19" s="38"/>
      <c r="F19" s="38"/>
      <c r="G19" s="38"/>
    </row>
    <row r="20">
      <c r="B20" s="57"/>
    </row>
  </sheetData>
  <mergeCells count="4">
    <mergeCell ref="A1:H1"/>
    <mergeCell ref="A2:A21"/>
    <mergeCell ref="H2:H19"/>
    <mergeCell ref="B20:H21"/>
  </mergeCells>
  <drawing r:id="rId1"/>
</worksheet>
</file>