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david/Library/CloudStorage/GoogleDrive-kamiloduvan@gmail.com/My Drive/Posgrado/Papers data/BNs and DGMs/"/>
    </mc:Choice>
  </mc:AlternateContent>
  <xr:revisionPtr revIDLastSave="0" documentId="13_ncr:1_{33A970EB-AD38-024C-8605-6024B958306D}" xr6:coauthVersionLast="47" xr6:coauthVersionMax="47" xr10:uidLastSave="{00000000-0000-0000-0000-000000000000}"/>
  <bookViews>
    <workbookView xWindow="0" yWindow="500" windowWidth="28800" windowHeight="16020" activeTab="2" xr2:uid="{4A1978AF-F529-3841-830F-77A89E56246C}"/>
  </bookViews>
  <sheets>
    <sheet name="prm" sheetId="9" r:id="rId1"/>
    <sheet name="Asia" sheetId="2" r:id="rId2"/>
    <sheet name="Sports" sheetId="7" r:id="rId3"/>
    <sheet name="Insurance" sheetId="1" r:id="rId4"/>
    <sheet name="Alarm" sheetId="4" r:id="rId5"/>
    <sheet name="Similarity" sheetId="19" r:id="rId6"/>
    <sheet name="Minero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9" l="1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2" i="19"/>
  <c r="G109" i="19"/>
  <c r="F109" i="19"/>
  <c r="G108" i="19"/>
  <c r="F108" i="19"/>
  <c r="G107" i="19"/>
  <c r="F107" i="19"/>
  <c r="G106" i="19"/>
  <c r="F106" i="19"/>
  <c r="G97" i="19"/>
  <c r="F97" i="19"/>
  <c r="G96" i="19"/>
  <c r="F96" i="19"/>
  <c r="G95" i="19"/>
  <c r="F95" i="19"/>
  <c r="G94" i="19"/>
  <c r="F94" i="19"/>
  <c r="G85" i="19"/>
  <c r="F85" i="19"/>
  <c r="G84" i="19"/>
  <c r="F84" i="19"/>
  <c r="G83" i="19"/>
  <c r="F83" i="19"/>
  <c r="G82" i="19"/>
  <c r="F82" i="19"/>
  <c r="G105" i="19"/>
  <c r="F105" i="19"/>
  <c r="G104" i="19"/>
  <c r="F104" i="19"/>
  <c r="G103" i="19"/>
  <c r="F103" i="19"/>
  <c r="G102" i="19"/>
  <c r="F102" i="19"/>
  <c r="G93" i="19"/>
  <c r="F93" i="19"/>
  <c r="G92" i="19"/>
  <c r="F92" i="19"/>
  <c r="G91" i="19"/>
  <c r="F91" i="19"/>
  <c r="G90" i="19"/>
  <c r="F90" i="19"/>
  <c r="G81" i="19"/>
  <c r="F81" i="19"/>
  <c r="G80" i="19"/>
  <c r="F80" i="19"/>
  <c r="G79" i="19"/>
  <c r="F79" i="19"/>
  <c r="G78" i="19"/>
  <c r="F78" i="19"/>
  <c r="G101" i="19"/>
  <c r="F101" i="19"/>
  <c r="G100" i="19"/>
  <c r="F100" i="19"/>
  <c r="G99" i="19"/>
  <c r="F99" i="19"/>
  <c r="G98" i="19"/>
  <c r="F98" i="19"/>
  <c r="G89" i="19"/>
  <c r="F89" i="19"/>
  <c r="G88" i="19"/>
  <c r="F88" i="19"/>
  <c r="G87" i="19"/>
  <c r="F87" i="19"/>
  <c r="G86" i="19"/>
  <c r="F86" i="19"/>
  <c r="G77" i="19"/>
  <c r="F77" i="19"/>
  <c r="G76" i="19"/>
  <c r="F76" i="19"/>
  <c r="G75" i="19"/>
  <c r="F75" i="19"/>
  <c r="G74" i="19"/>
  <c r="F74" i="19"/>
  <c r="M19" i="7"/>
  <c r="M18" i="7"/>
  <c r="M17" i="7"/>
  <c r="M16" i="7"/>
  <c r="M14" i="7"/>
  <c r="M13" i="7"/>
  <c r="M12" i="7"/>
  <c r="M11" i="7"/>
  <c r="M6" i="7"/>
  <c r="G29" i="19"/>
  <c r="F29" i="19"/>
  <c r="G28" i="19"/>
  <c r="F28" i="19"/>
  <c r="G27" i="19"/>
  <c r="F27" i="19"/>
  <c r="G26" i="19"/>
  <c r="F26" i="19"/>
  <c r="G17" i="19"/>
  <c r="F17" i="19"/>
  <c r="G16" i="19"/>
  <c r="F16" i="19"/>
  <c r="G15" i="19"/>
  <c r="F15" i="19"/>
  <c r="G14" i="19"/>
  <c r="F14" i="19"/>
  <c r="G5" i="19"/>
  <c r="F5" i="19"/>
  <c r="G4" i="19"/>
  <c r="F4" i="19"/>
  <c r="G3" i="19"/>
  <c r="F3" i="19"/>
  <c r="G2" i="19"/>
  <c r="F2" i="19"/>
  <c r="G37" i="19"/>
  <c r="F37" i="19"/>
  <c r="G36" i="19"/>
  <c r="F36" i="19"/>
  <c r="G35" i="19"/>
  <c r="F35" i="19"/>
  <c r="G34" i="19"/>
  <c r="F34" i="19"/>
  <c r="G25" i="19"/>
  <c r="F25" i="19"/>
  <c r="G24" i="19"/>
  <c r="F24" i="19"/>
  <c r="G23" i="19"/>
  <c r="F23" i="19"/>
  <c r="G22" i="19"/>
  <c r="F22" i="19"/>
  <c r="G13" i="19"/>
  <c r="F13" i="19"/>
  <c r="G12" i="19"/>
  <c r="F12" i="19"/>
  <c r="G11" i="19"/>
  <c r="F11" i="19"/>
  <c r="G10" i="19"/>
  <c r="F10" i="19"/>
  <c r="G33" i="19"/>
  <c r="F33" i="19"/>
  <c r="G32" i="19"/>
  <c r="F32" i="19"/>
  <c r="G31" i="19"/>
  <c r="F31" i="19"/>
  <c r="G30" i="19"/>
  <c r="F30" i="19"/>
  <c r="G21" i="19"/>
  <c r="F21" i="19"/>
  <c r="G20" i="19"/>
  <c r="F20" i="19"/>
  <c r="G19" i="19"/>
  <c r="F19" i="19"/>
  <c r="G18" i="19"/>
  <c r="F18" i="19"/>
  <c r="G9" i="19"/>
  <c r="F9" i="19"/>
  <c r="G8" i="19"/>
  <c r="F8" i="19"/>
  <c r="G7" i="19"/>
  <c r="F7" i="19"/>
  <c r="G6" i="19"/>
  <c r="F6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E4" i="19"/>
  <c r="E3" i="19"/>
  <c r="E2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G73" i="19"/>
  <c r="F73" i="19"/>
  <c r="G72" i="19"/>
  <c r="F72" i="19"/>
  <c r="G71" i="19"/>
  <c r="F71" i="19"/>
  <c r="G70" i="19"/>
  <c r="F70" i="19"/>
  <c r="G61" i="19"/>
  <c r="F61" i="19"/>
  <c r="G60" i="19"/>
  <c r="F60" i="19"/>
  <c r="G59" i="19"/>
  <c r="F59" i="19"/>
  <c r="G58" i="19"/>
  <c r="F58" i="19"/>
  <c r="G49" i="19"/>
  <c r="F49" i="19"/>
  <c r="G48" i="19"/>
  <c r="F48" i="19"/>
  <c r="G47" i="19"/>
  <c r="F47" i="19"/>
  <c r="G46" i="19"/>
  <c r="F46" i="19"/>
  <c r="E71" i="19"/>
  <c r="E72" i="19"/>
  <c r="E73" i="19"/>
  <c r="E59" i="19"/>
  <c r="E60" i="19"/>
  <c r="E61" i="19"/>
  <c r="E47" i="19"/>
  <c r="E48" i="19"/>
  <c r="E49" i="19"/>
  <c r="G69" i="19"/>
  <c r="F69" i="19"/>
  <c r="G68" i="19"/>
  <c r="F68" i="19"/>
  <c r="G67" i="19"/>
  <c r="F67" i="19"/>
  <c r="G66" i="19"/>
  <c r="F66" i="19"/>
  <c r="E67" i="19"/>
  <c r="E68" i="19"/>
  <c r="E69" i="19"/>
  <c r="E70" i="19"/>
  <c r="G57" i="19"/>
  <c r="F57" i="19"/>
  <c r="G56" i="19"/>
  <c r="F56" i="19"/>
  <c r="G55" i="19"/>
  <c r="F55" i="19"/>
  <c r="G54" i="19"/>
  <c r="F54" i="19"/>
  <c r="E55" i="19"/>
  <c r="E56" i="19"/>
  <c r="E57" i="19"/>
  <c r="G45" i="19"/>
  <c r="F45" i="19"/>
  <c r="G44" i="19"/>
  <c r="F44" i="19"/>
  <c r="G43" i="19"/>
  <c r="F43" i="19"/>
  <c r="G42" i="19"/>
  <c r="F42" i="19"/>
  <c r="E43" i="19"/>
  <c r="E44" i="19"/>
  <c r="E45" i="19"/>
  <c r="E42" i="19"/>
  <c r="E46" i="19"/>
  <c r="E50" i="19"/>
  <c r="E51" i="19"/>
  <c r="E52" i="19"/>
  <c r="E53" i="19"/>
  <c r="E54" i="19"/>
  <c r="E58" i="19"/>
  <c r="E62" i="19"/>
  <c r="E63" i="19"/>
  <c r="E64" i="19"/>
  <c r="E65" i="19"/>
  <c r="E66" i="19"/>
  <c r="E39" i="19"/>
  <c r="E40" i="19"/>
  <c r="E41" i="19"/>
  <c r="G65" i="19"/>
  <c r="F65" i="19"/>
  <c r="G64" i="19"/>
  <c r="F64" i="19"/>
  <c r="G63" i="19"/>
  <c r="F63" i="19"/>
  <c r="G62" i="19"/>
  <c r="F62" i="19"/>
  <c r="G53" i="19"/>
  <c r="F53" i="19"/>
  <c r="G52" i="19"/>
  <c r="F52" i="19"/>
  <c r="G51" i="19"/>
  <c r="F51" i="19"/>
  <c r="G50" i="19"/>
  <c r="F50" i="19"/>
  <c r="G41" i="19"/>
  <c r="F41" i="19"/>
  <c r="G40" i="19"/>
  <c r="F40" i="19"/>
  <c r="G39" i="19"/>
  <c r="F39" i="19"/>
  <c r="G38" i="19"/>
  <c r="F38" i="19"/>
  <c r="E38" i="19"/>
  <c r="M9" i="7"/>
  <c r="M8" i="7"/>
  <c r="M7" i="7"/>
  <c r="T15" i="9"/>
  <c r="T10" i="9"/>
  <c r="T5" i="9"/>
  <c r="T4" i="9"/>
  <c r="U12" i="7" l="1"/>
  <c r="I91" i="19" s="1"/>
  <c r="J91" i="19" s="1"/>
  <c r="U13" i="7"/>
  <c r="I92" i="19" s="1"/>
  <c r="J92" i="19" s="1"/>
  <c r="U14" i="7"/>
  <c r="M14" i="1"/>
  <c r="M13" i="1"/>
  <c r="M12" i="1"/>
  <c r="M11" i="1"/>
  <c r="L14" i="1"/>
  <c r="L13" i="1"/>
  <c r="L12" i="1"/>
  <c r="L11" i="1"/>
  <c r="N14" i="1"/>
  <c r="N13" i="1"/>
  <c r="N12" i="1"/>
  <c r="N11" i="1"/>
  <c r="L6" i="12"/>
  <c r="N14" i="4"/>
  <c r="M14" i="4"/>
  <c r="L14" i="4"/>
  <c r="N13" i="4"/>
  <c r="M13" i="4"/>
  <c r="L13" i="4"/>
  <c r="N12" i="4"/>
  <c r="M12" i="4"/>
  <c r="L12" i="4"/>
  <c r="M11" i="4"/>
  <c r="L5" i="12"/>
  <c r="L4" i="12"/>
  <c r="C6" i="1"/>
  <c r="D6" i="1"/>
  <c r="E6" i="1"/>
  <c r="F6" i="1"/>
  <c r="M19" i="2"/>
  <c r="M18" i="2"/>
  <c r="U18" i="2" s="1"/>
  <c r="I32" i="19" s="1"/>
  <c r="J32" i="19" s="1"/>
  <c r="M17" i="2"/>
  <c r="M16" i="2"/>
  <c r="E19" i="2"/>
  <c r="E18" i="2"/>
  <c r="E17" i="2"/>
  <c r="E16" i="2"/>
  <c r="M14" i="2"/>
  <c r="M13" i="2"/>
  <c r="M12" i="2"/>
  <c r="M11" i="2"/>
  <c r="E14" i="2"/>
  <c r="E13" i="2"/>
  <c r="E12" i="2"/>
  <c r="E11" i="2"/>
  <c r="M9" i="2"/>
  <c r="M8" i="2"/>
  <c r="M7" i="2"/>
  <c r="M6" i="2"/>
  <c r="E9" i="2"/>
  <c r="E8" i="2"/>
  <c r="E7" i="2"/>
  <c r="E6" i="2"/>
  <c r="L19" i="2"/>
  <c r="L18" i="2"/>
  <c r="T18" i="2" s="1"/>
  <c r="I28" i="19" s="1"/>
  <c r="J28" i="19" s="1"/>
  <c r="L17" i="2"/>
  <c r="L16" i="2"/>
  <c r="D19" i="2"/>
  <c r="D18" i="2"/>
  <c r="D17" i="2"/>
  <c r="D16" i="2"/>
  <c r="L14" i="2"/>
  <c r="L13" i="2"/>
  <c r="L12" i="2"/>
  <c r="L11" i="2"/>
  <c r="D14" i="2"/>
  <c r="D13" i="2"/>
  <c r="D12" i="2"/>
  <c r="D11" i="2"/>
  <c r="L9" i="2"/>
  <c r="L8" i="2"/>
  <c r="L7" i="2"/>
  <c r="L6" i="2"/>
  <c r="D9" i="2"/>
  <c r="D8" i="2"/>
  <c r="D7" i="2"/>
  <c r="D6" i="2"/>
  <c r="N19" i="2"/>
  <c r="N18" i="2"/>
  <c r="V18" i="2" s="1"/>
  <c r="I36" i="19" s="1"/>
  <c r="J36" i="19" s="1"/>
  <c r="N17" i="2"/>
  <c r="N16" i="2"/>
  <c r="F19" i="2"/>
  <c r="F18" i="2"/>
  <c r="F17" i="2"/>
  <c r="F16" i="2"/>
  <c r="N14" i="2"/>
  <c r="N13" i="2"/>
  <c r="N12" i="2"/>
  <c r="N11" i="2"/>
  <c r="F14" i="2"/>
  <c r="F13" i="2"/>
  <c r="F12" i="2"/>
  <c r="F11" i="2"/>
  <c r="N9" i="2"/>
  <c r="N8" i="2"/>
  <c r="N7" i="2"/>
  <c r="N6" i="2"/>
  <c r="F9" i="2"/>
  <c r="F8" i="2"/>
  <c r="F7" i="2"/>
  <c r="F6" i="2"/>
  <c r="K15" i="2"/>
  <c r="K18" i="2" s="1"/>
  <c r="K10" i="2"/>
  <c r="K11" i="2" s="1"/>
  <c r="K5" i="2"/>
  <c r="K7" i="2" s="1"/>
  <c r="C15" i="2"/>
  <c r="C19" i="2" s="1"/>
  <c r="C10" i="2"/>
  <c r="C13" i="2" s="1"/>
  <c r="C5" i="2"/>
  <c r="C7" i="2" s="1"/>
  <c r="C4" i="2"/>
  <c r="E16" i="9"/>
  <c r="M16" i="9"/>
  <c r="V16" i="9" s="1"/>
  <c r="D16" i="9"/>
  <c r="E11" i="9"/>
  <c r="D11" i="9"/>
  <c r="E6" i="9"/>
  <c r="M6" i="9"/>
  <c r="D6" i="9"/>
  <c r="E16" i="4"/>
  <c r="M16" i="4"/>
  <c r="D16" i="4"/>
  <c r="E11" i="4"/>
  <c r="D11" i="4"/>
  <c r="M6" i="4"/>
  <c r="E6" i="4"/>
  <c r="D6" i="4"/>
  <c r="E16" i="1"/>
  <c r="M16" i="1"/>
  <c r="E11" i="1"/>
  <c r="D16" i="1"/>
  <c r="D11" i="1"/>
  <c r="L16" i="7"/>
  <c r="D16" i="7"/>
  <c r="L11" i="7"/>
  <c r="T11" i="7" s="1"/>
  <c r="L6" i="7"/>
  <c r="T6" i="7" s="1"/>
  <c r="F16" i="9"/>
  <c r="N16" i="9"/>
  <c r="W16" i="9" s="1"/>
  <c r="F11" i="9"/>
  <c r="N11" i="9"/>
  <c r="W11" i="9" s="1"/>
  <c r="F16" i="4"/>
  <c r="F11" i="4"/>
  <c r="E9" i="4"/>
  <c r="F6" i="4"/>
  <c r="F16" i="1"/>
  <c r="N16" i="1"/>
  <c r="F11" i="1"/>
  <c r="C3" i="1"/>
  <c r="N6" i="1"/>
  <c r="F16" i="7"/>
  <c r="N16" i="7"/>
  <c r="F11" i="7"/>
  <c r="N11" i="7"/>
  <c r="N6" i="7"/>
  <c r="G11" i="7"/>
  <c r="G16" i="9"/>
  <c r="G11" i="9"/>
  <c r="G6" i="9"/>
  <c r="C16" i="9"/>
  <c r="C11" i="9"/>
  <c r="C6" i="9"/>
  <c r="G16" i="4"/>
  <c r="G11" i="4"/>
  <c r="G6" i="4"/>
  <c r="C16" i="4"/>
  <c r="C11" i="4"/>
  <c r="C6" i="4"/>
  <c r="G16" i="1"/>
  <c r="G11" i="1"/>
  <c r="G6" i="1"/>
  <c r="G16" i="7"/>
  <c r="G6" i="7"/>
  <c r="C16" i="1"/>
  <c r="C11" i="1"/>
  <c r="C16" i="7"/>
  <c r="C11" i="7"/>
  <c r="C6" i="7"/>
  <c r="G16" i="2"/>
  <c r="G11" i="2"/>
  <c r="G6" i="2"/>
  <c r="C11" i="2"/>
  <c r="C6" i="2"/>
  <c r="M19" i="4"/>
  <c r="M18" i="4"/>
  <c r="M17" i="4"/>
  <c r="M9" i="4"/>
  <c r="M8" i="4"/>
  <c r="M7" i="4"/>
  <c r="L19" i="4"/>
  <c r="L18" i="4"/>
  <c r="L17" i="4"/>
  <c r="L9" i="4"/>
  <c r="L8" i="4"/>
  <c r="L7" i="4"/>
  <c r="M19" i="1"/>
  <c r="M18" i="1"/>
  <c r="M17" i="1"/>
  <c r="M9" i="1"/>
  <c r="M8" i="1"/>
  <c r="M7" i="1"/>
  <c r="L19" i="1"/>
  <c r="L18" i="1"/>
  <c r="L17" i="1"/>
  <c r="L9" i="1"/>
  <c r="L8" i="1"/>
  <c r="L7" i="1"/>
  <c r="L19" i="9"/>
  <c r="U19" i="9" s="1"/>
  <c r="I65" i="19" s="1"/>
  <c r="J65" i="19" s="1"/>
  <c r="L18" i="9"/>
  <c r="U18" i="9" s="1"/>
  <c r="I64" i="19" s="1"/>
  <c r="J64" i="19" s="1"/>
  <c r="L17" i="9"/>
  <c r="U17" i="9" s="1"/>
  <c r="I63" i="19" s="1"/>
  <c r="J63" i="19" s="1"/>
  <c r="L14" i="9"/>
  <c r="U14" i="9" s="1"/>
  <c r="I53" i="19" s="1"/>
  <c r="J53" i="19" s="1"/>
  <c r="L13" i="9"/>
  <c r="U13" i="9" s="1"/>
  <c r="I52" i="19" s="1"/>
  <c r="J52" i="19" s="1"/>
  <c r="L12" i="9"/>
  <c r="L9" i="9"/>
  <c r="L8" i="9"/>
  <c r="L7" i="9"/>
  <c r="M19" i="9"/>
  <c r="V19" i="9" s="1"/>
  <c r="I69" i="19" s="1"/>
  <c r="J69" i="19" s="1"/>
  <c r="M18" i="9"/>
  <c r="V18" i="9" s="1"/>
  <c r="I68" i="19" s="1"/>
  <c r="J68" i="19" s="1"/>
  <c r="M17" i="9"/>
  <c r="V17" i="9" s="1"/>
  <c r="I67" i="19" s="1"/>
  <c r="J67" i="19" s="1"/>
  <c r="M14" i="9"/>
  <c r="V14" i="9" s="1"/>
  <c r="I57" i="19" s="1"/>
  <c r="J57" i="19" s="1"/>
  <c r="M13" i="9"/>
  <c r="M12" i="9"/>
  <c r="M9" i="9"/>
  <c r="M8" i="9"/>
  <c r="M7" i="9"/>
  <c r="V7" i="9" s="1"/>
  <c r="I43" i="19" s="1"/>
  <c r="J43" i="19" s="1"/>
  <c r="L19" i="7"/>
  <c r="T19" i="7" s="1"/>
  <c r="I101" i="19" s="1"/>
  <c r="J101" i="19" s="1"/>
  <c r="L18" i="7"/>
  <c r="T18" i="7" s="1"/>
  <c r="I100" i="19" s="1"/>
  <c r="J100" i="19" s="1"/>
  <c r="L17" i="7"/>
  <c r="L14" i="7"/>
  <c r="L13" i="7"/>
  <c r="T13" i="7" s="1"/>
  <c r="I88" i="19" s="1"/>
  <c r="J88" i="19" s="1"/>
  <c r="L12" i="7"/>
  <c r="T12" i="7" s="1"/>
  <c r="I87" i="19" s="1"/>
  <c r="J87" i="19" s="1"/>
  <c r="L9" i="7"/>
  <c r="T9" i="7" s="1"/>
  <c r="I77" i="19" s="1"/>
  <c r="J77" i="19" s="1"/>
  <c r="L8" i="7"/>
  <c r="T8" i="7" s="1"/>
  <c r="I76" i="19" s="1"/>
  <c r="J76" i="19" s="1"/>
  <c r="L7" i="7"/>
  <c r="T7" i="7" s="1"/>
  <c r="I75" i="19" s="1"/>
  <c r="J75" i="19" s="1"/>
  <c r="G19" i="9"/>
  <c r="G18" i="9"/>
  <c r="G17" i="9"/>
  <c r="G14" i="9"/>
  <c r="G13" i="9"/>
  <c r="G12" i="9"/>
  <c r="G9" i="9"/>
  <c r="G8" i="9"/>
  <c r="G7" i="9"/>
  <c r="C19" i="9"/>
  <c r="C18" i="9"/>
  <c r="C17" i="9"/>
  <c r="C14" i="9"/>
  <c r="C13" i="9"/>
  <c r="C12" i="9"/>
  <c r="C9" i="9"/>
  <c r="C8" i="9"/>
  <c r="C7" i="9"/>
  <c r="N19" i="9"/>
  <c r="W19" i="9" s="1"/>
  <c r="I73" i="19" s="1"/>
  <c r="J73" i="19" s="1"/>
  <c r="N18" i="9"/>
  <c r="N17" i="9"/>
  <c r="W17" i="9" s="1"/>
  <c r="I71" i="19" s="1"/>
  <c r="J71" i="19" s="1"/>
  <c r="N14" i="9"/>
  <c r="W14" i="9" s="1"/>
  <c r="I61" i="19" s="1"/>
  <c r="J61" i="19" s="1"/>
  <c r="N13" i="9"/>
  <c r="W13" i="9" s="1"/>
  <c r="I60" i="19" s="1"/>
  <c r="J60" i="19" s="1"/>
  <c r="N12" i="9"/>
  <c r="W12" i="9" s="1"/>
  <c r="I59" i="19" s="1"/>
  <c r="J59" i="19" s="1"/>
  <c r="N9" i="9"/>
  <c r="W9" i="9" s="1"/>
  <c r="I49" i="19" s="1"/>
  <c r="J49" i="19" s="1"/>
  <c r="N8" i="9"/>
  <c r="W8" i="9" s="1"/>
  <c r="I48" i="19" s="1"/>
  <c r="J48" i="19" s="1"/>
  <c r="N7" i="9"/>
  <c r="K15" i="9"/>
  <c r="K10" i="9"/>
  <c r="K5" i="9"/>
  <c r="K4" i="9"/>
  <c r="G9" i="4"/>
  <c r="G8" i="4"/>
  <c r="G7" i="4"/>
  <c r="G14" i="4"/>
  <c r="G13" i="4"/>
  <c r="G12" i="4"/>
  <c r="G19" i="4"/>
  <c r="G18" i="4"/>
  <c r="G17" i="4"/>
  <c r="C19" i="4"/>
  <c r="C18" i="4"/>
  <c r="C17" i="4"/>
  <c r="C14" i="4"/>
  <c r="C13" i="4"/>
  <c r="C12" i="4"/>
  <c r="C9" i="4"/>
  <c r="C8" i="4"/>
  <c r="C7" i="4"/>
  <c r="G19" i="1"/>
  <c r="G18" i="1"/>
  <c r="G17" i="1"/>
  <c r="G14" i="1"/>
  <c r="G13" i="1"/>
  <c r="G12" i="1"/>
  <c r="G9" i="1"/>
  <c r="G8" i="1"/>
  <c r="G7" i="1"/>
  <c r="C19" i="1"/>
  <c r="C18" i="1"/>
  <c r="C17" i="1"/>
  <c r="C14" i="1"/>
  <c r="C13" i="1"/>
  <c r="C12" i="1"/>
  <c r="C9" i="1"/>
  <c r="C8" i="1"/>
  <c r="C7" i="1"/>
  <c r="G9" i="7"/>
  <c r="G8" i="7"/>
  <c r="G7" i="7"/>
  <c r="G14" i="7"/>
  <c r="G13" i="7"/>
  <c r="G12" i="7"/>
  <c r="G19" i="7"/>
  <c r="G18" i="7"/>
  <c r="G17" i="7"/>
  <c r="C19" i="7"/>
  <c r="C18" i="7"/>
  <c r="C17" i="7"/>
  <c r="C14" i="7"/>
  <c r="C13" i="7"/>
  <c r="C12" i="7"/>
  <c r="C9" i="7"/>
  <c r="C8" i="7"/>
  <c r="C7" i="7"/>
  <c r="G19" i="2"/>
  <c r="G18" i="2"/>
  <c r="G17" i="2"/>
  <c r="G14" i="2"/>
  <c r="G13" i="2"/>
  <c r="G12" i="2"/>
  <c r="G9" i="2"/>
  <c r="G8" i="2"/>
  <c r="G7" i="2"/>
  <c r="C8" i="2"/>
  <c r="N19" i="4"/>
  <c r="N18" i="4"/>
  <c r="N17" i="4"/>
  <c r="N9" i="4"/>
  <c r="N8" i="4"/>
  <c r="N7" i="4"/>
  <c r="K15" i="4"/>
  <c r="K19" i="4" s="1"/>
  <c r="K10" i="4"/>
  <c r="K14" i="4" s="1"/>
  <c r="K5" i="4"/>
  <c r="K7" i="4" s="1"/>
  <c r="N19" i="7"/>
  <c r="V19" i="7" s="1"/>
  <c r="I109" i="19" s="1"/>
  <c r="J109" i="19" s="1"/>
  <c r="N18" i="7"/>
  <c r="N17" i="7"/>
  <c r="N14" i="7"/>
  <c r="V14" i="7" s="1"/>
  <c r="I97" i="19" s="1"/>
  <c r="J97" i="19" s="1"/>
  <c r="N13" i="7"/>
  <c r="V13" i="7" s="1"/>
  <c r="I96" i="19" s="1"/>
  <c r="J96" i="19" s="1"/>
  <c r="N12" i="7"/>
  <c r="V12" i="7" s="1"/>
  <c r="I95" i="19" s="1"/>
  <c r="J95" i="19" s="1"/>
  <c r="N9" i="7"/>
  <c r="V9" i="7" s="1"/>
  <c r="I85" i="19" s="1"/>
  <c r="J85" i="19" s="1"/>
  <c r="N8" i="7"/>
  <c r="V8" i="7" s="1"/>
  <c r="I84" i="19" s="1"/>
  <c r="J84" i="19" s="1"/>
  <c r="N7" i="7"/>
  <c r="V7" i="7" s="1"/>
  <c r="I83" i="19" s="1"/>
  <c r="J83" i="19" s="1"/>
  <c r="K15" i="7"/>
  <c r="K10" i="7"/>
  <c r="K5" i="7"/>
  <c r="U8" i="7" s="1"/>
  <c r="I80" i="19" s="1"/>
  <c r="J80" i="19" s="1"/>
  <c r="N19" i="1"/>
  <c r="N18" i="1"/>
  <c r="N17" i="1"/>
  <c r="N9" i="1"/>
  <c r="N8" i="1"/>
  <c r="N7" i="1"/>
  <c r="K15" i="1"/>
  <c r="K19" i="1" s="1"/>
  <c r="K10" i="1"/>
  <c r="K14" i="1" s="1"/>
  <c r="K5" i="1"/>
  <c r="K9" i="1" s="1"/>
  <c r="K4" i="1"/>
  <c r="K19" i="7" l="1"/>
  <c r="U16" i="7"/>
  <c r="I102" i="19" s="1"/>
  <c r="J102" i="19" s="1"/>
  <c r="U18" i="7"/>
  <c r="I104" i="19" s="1"/>
  <c r="J104" i="19" s="1"/>
  <c r="U17" i="7"/>
  <c r="V18" i="7"/>
  <c r="I108" i="19" s="1"/>
  <c r="J108" i="19" s="1"/>
  <c r="T17" i="7"/>
  <c r="I99" i="19" s="1"/>
  <c r="J99" i="19" s="1"/>
  <c r="N5" i="7"/>
  <c r="V6" i="7"/>
  <c r="V11" i="7"/>
  <c r="U10" i="7"/>
  <c r="I93" i="19"/>
  <c r="J93" i="19" s="1"/>
  <c r="I74" i="19"/>
  <c r="J74" i="19" s="1"/>
  <c r="T5" i="7"/>
  <c r="V16" i="7"/>
  <c r="I86" i="19"/>
  <c r="J86" i="19" s="1"/>
  <c r="K7" i="7"/>
  <c r="U7" i="7"/>
  <c r="I79" i="19" s="1"/>
  <c r="J79" i="19" s="1"/>
  <c r="U9" i="7"/>
  <c r="I81" i="19" s="1"/>
  <c r="J81" i="19" s="1"/>
  <c r="T16" i="7"/>
  <c r="U19" i="7"/>
  <c r="I105" i="19" s="1"/>
  <c r="J105" i="19" s="1"/>
  <c r="K13" i="7"/>
  <c r="U11" i="7"/>
  <c r="I90" i="19" s="1"/>
  <c r="J90" i="19" s="1"/>
  <c r="V17" i="7"/>
  <c r="I107" i="19" s="1"/>
  <c r="J107" i="19" s="1"/>
  <c r="T14" i="7"/>
  <c r="I89" i="19" s="1"/>
  <c r="J89" i="19" s="1"/>
  <c r="U6" i="7"/>
  <c r="U8" i="2"/>
  <c r="I8" i="19" s="1"/>
  <c r="J8" i="19" s="1"/>
  <c r="V8" i="2"/>
  <c r="I12" i="19" s="1"/>
  <c r="J12" i="19" s="1"/>
  <c r="T8" i="2"/>
  <c r="I4" i="19" s="1"/>
  <c r="J4" i="19" s="1"/>
  <c r="V9" i="2"/>
  <c r="I13" i="19" s="1"/>
  <c r="J13" i="19" s="1"/>
  <c r="T9" i="2"/>
  <c r="I5" i="19" s="1"/>
  <c r="J5" i="19" s="1"/>
  <c r="T19" i="2"/>
  <c r="I29" i="19" s="1"/>
  <c r="J29" i="19" s="1"/>
  <c r="U9" i="2"/>
  <c r="I9" i="19" s="1"/>
  <c r="J9" i="19" s="1"/>
  <c r="U19" i="2"/>
  <c r="I33" i="19" s="1"/>
  <c r="J33" i="19" s="1"/>
  <c r="C16" i="2"/>
  <c r="V8" i="9"/>
  <c r="I44" i="19" s="1"/>
  <c r="J44" i="19" s="1"/>
  <c r="U7" i="9"/>
  <c r="I39" i="19" s="1"/>
  <c r="J39" i="19" s="1"/>
  <c r="W7" i="9"/>
  <c r="I47" i="19" s="1"/>
  <c r="J47" i="19" s="1"/>
  <c r="V13" i="9"/>
  <c r="I56" i="19" s="1"/>
  <c r="J56" i="19" s="1"/>
  <c r="U12" i="9"/>
  <c r="I51" i="19" s="1"/>
  <c r="J51" i="19" s="1"/>
  <c r="I70" i="19"/>
  <c r="J70" i="19" s="1"/>
  <c r="W10" i="9"/>
  <c r="I58" i="19"/>
  <c r="J58" i="19" s="1"/>
  <c r="V15" i="9"/>
  <c r="I66" i="19"/>
  <c r="J66" i="19" s="1"/>
  <c r="K14" i="9"/>
  <c r="U11" i="9"/>
  <c r="V11" i="9"/>
  <c r="K7" i="9"/>
  <c r="U6" i="9"/>
  <c r="W6" i="9"/>
  <c r="V9" i="9"/>
  <c r="I45" i="19" s="1"/>
  <c r="J45" i="19" s="1"/>
  <c r="U8" i="9"/>
  <c r="I40" i="19" s="1"/>
  <c r="J40" i="19" s="1"/>
  <c r="K19" i="9"/>
  <c r="U16" i="9"/>
  <c r="W18" i="9"/>
  <c r="I72" i="19" s="1"/>
  <c r="J72" i="19" s="1"/>
  <c r="V12" i="9"/>
  <c r="I55" i="19" s="1"/>
  <c r="J55" i="19" s="1"/>
  <c r="U9" i="9"/>
  <c r="I41" i="19" s="1"/>
  <c r="J41" i="19" s="1"/>
  <c r="V6" i="9"/>
  <c r="V14" i="2"/>
  <c r="I25" i="19" s="1"/>
  <c r="J25" i="19" s="1"/>
  <c r="T14" i="2"/>
  <c r="V7" i="2"/>
  <c r="I11" i="19" s="1"/>
  <c r="J11" i="19" s="1"/>
  <c r="V12" i="2"/>
  <c r="I23" i="19" s="1"/>
  <c r="J23" i="19" s="1"/>
  <c r="V17" i="2"/>
  <c r="I35" i="19" s="1"/>
  <c r="J35" i="19" s="1"/>
  <c r="T7" i="2"/>
  <c r="I3" i="19" s="1"/>
  <c r="J3" i="19" s="1"/>
  <c r="T12" i="2"/>
  <c r="T17" i="2"/>
  <c r="I27" i="19" s="1"/>
  <c r="J27" i="19" s="1"/>
  <c r="U7" i="2"/>
  <c r="I7" i="19" s="1"/>
  <c r="J7" i="19" s="1"/>
  <c r="U12" i="2"/>
  <c r="U17" i="2"/>
  <c r="I31" i="19" s="1"/>
  <c r="J31" i="19" s="1"/>
  <c r="U13" i="2"/>
  <c r="U14" i="2"/>
  <c r="V13" i="2"/>
  <c r="I24" i="19" s="1"/>
  <c r="J24" i="19" s="1"/>
  <c r="T13" i="2"/>
  <c r="V19" i="2"/>
  <c r="I37" i="19" s="1"/>
  <c r="J37" i="19" s="1"/>
  <c r="V6" i="2"/>
  <c r="V11" i="2"/>
  <c r="V16" i="2"/>
  <c r="T6" i="2"/>
  <c r="T11" i="2"/>
  <c r="T16" i="2"/>
  <c r="U6" i="2"/>
  <c r="U11" i="2"/>
  <c r="U16" i="2"/>
  <c r="C12" i="2"/>
  <c r="C14" i="2"/>
  <c r="C9" i="2"/>
  <c r="C17" i="2"/>
  <c r="K13" i="4"/>
  <c r="K11" i="4"/>
  <c r="K12" i="4"/>
  <c r="K6" i="1"/>
  <c r="K13" i="1"/>
  <c r="K16" i="1"/>
  <c r="K11" i="1"/>
  <c r="K12" i="1"/>
  <c r="K9" i="7"/>
  <c r="K11" i="7"/>
  <c r="N10" i="7" s="1"/>
  <c r="K6" i="7"/>
  <c r="K16" i="7"/>
  <c r="N15" i="7" s="1"/>
  <c r="K8" i="7"/>
  <c r="K16" i="2"/>
  <c r="K12" i="2"/>
  <c r="C18" i="2"/>
  <c r="K6" i="2"/>
  <c r="K16" i="9"/>
  <c r="K6" i="9"/>
  <c r="K11" i="9"/>
  <c r="K6" i="4"/>
  <c r="K16" i="4"/>
  <c r="K18" i="1"/>
  <c r="K17" i="1"/>
  <c r="K13" i="2"/>
  <c r="K19" i="2"/>
  <c r="K14" i="2"/>
  <c r="K17" i="2"/>
  <c r="K8" i="9"/>
  <c r="K9" i="9"/>
  <c r="K12" i="9"/>
  <c r="K13" i="9"/>
  <c r="K17" i="9"/>
  <c r="K18" i="9"/>
  <c r="K14" i="7"/>
  <c r="K8" i="2"/>
  <c r="K17" i="7"/>
  <c r="K9" i="2"/>
  <c r="K18" i="7"/>
  <c r="K8" i="4"/>
  <c r="K9" i="4"/>
  <c r="K12" i="7"/>
  <c r="K7" i="1"/>
  <c r="K8" i="1"/>
  <c r="K17" i="4"/>
  <c r="K18" i="4"/>
  <c r="V15" i="7" l="1"/>
  <c r="I106" i="19"/>
  <c r="J106" i="19" s="1"/>
  <c r="I82" i="19"/>
  <c r="J82" i="19" s="1"/>
  <c r="V5" i="7"/>
  <c r="T15" i="7"/>
  <c r="I98" i="19"/>
  <c r="J98" i="19" s="1"/>
  <c r="U5" i="7"/>
  <c r="I78" i="19"/>
  <c r="J78" i="19" s="1"/>
  <c r="U15" i="7"/>
  <c r="I103" i="19"/>
  <c r="J103" i="19" s="1"/>
  <c r="V10" i="7"/>
  <c r="I94" i="19"/>
  <c r="J94" i="19" s="1"/>
  <c r="T10" i="7"/>
  <c r="I22" i="19"/>
  <c r="J22" i="19" s="1"/>
  <c r="V10" i="2"/>
  <c r="I20" i="19"/>
  <c r="J20" i="19" s="1"/>
  <c r="I16" i="19"/>
  <c r="J16" i="19" s="1"/>
  <c r="U15" i="2"/>
  <c r="I30" i="19"/>
  <c r="J30" i="19" s="1"/>
  <c r="I10" i="19"/>
  <c r="J10" i="19" s="1"/>
  <c r="V5" i="2"/>
  <c r="I18" i="19"/>
  <c r="J18" i="19" s="1"/>
  <c r="I14" i="19"/>
  <c r="J14" i="19" s="1"/>
  <c r="U10" i="2"/>
  <c r="I6" i="19"/>
  <c r="J6" i="19" s="1"/>
  <c r="U5" i="2"/>
  <c r="I19" i="19"/>
  <c r="J19" i="19" s="1"/>
  <c r="I15" i="19"/>
  <c r="J15" i="19" s="1"/>
  <c r="I26" i="19"/>
  <c r="J26" i="19" s="1"/>
  <c r="T15" i="2"/>
  <c r="T10" i="2"/>
  <c r="I2" i="19"/>
  <c r="J2" i="19" s="1"/>
  <c r="T5" i="2"/>
  <c r="I34" i="19"/>
  <c r="J34" i="19" s="1"/>
  <c r="V15" i="2"/>
  <c r="I21" i="19"/>
  <c r="J21" i="19" s="1"/>
  <c r="I17" i="19"/>
  <c r="J17" i="19" s="1"/>
  <c r="I50" i="19"/>
  <c r="J50" i="19" s="1"/>
  <c r="U10" i="9"/>
  <c r="V10" i="9"/>
  <c r="I54" i="19"/>
  <c r="J54" i="19" s="1"/>
  <c r="W15" i="9"/>
  <c r="U15" i="9"/>
  <c r="I62" i="19"/>
  <c r="J62" i="19" s="1"/>
  <c r="I42" i="19"/>
  <c r="J42" i="19" s="1"/>
  <c r="V5" i="9"/>
  <c r="I46" i="19"/>
  <c r="J46" i="19" s="1"/>
  <c r="W5" i="9"/>
  <c r="U5" i="9"/>
  <c r="I38" i="19"/>
  <c r="J38" i="19" s="1"/>
  <c r="N10" i="2"/>
  <c r="N15" i="9"/>
  <c r="N15" i="4"/>
  <c r="N10" i="4"/>
  <c r="N5" i="4"/>
  <c r="N10" i="1"/>
  <c r="N15" i="1"/>
  <c r="N5" i="1"/>
  <c r="N5" i="9"/>
  <c r="N10" i="9"/>
  <c r="N15" i="2"/>
  <c r="N5" i="2"/>
</calcChain>
</file>

<file path=xl/sharedStrings.xml><?xml version="1.0" encoding="utf-8"?>
<sst xmlns="http://schemas.openxmlformats.org/spreadsheetml/2006/main" count="508" uniqueCount="55">
  <si>
    <t>Dataset</t>
  </si>
  <si>
    <t>BIC</t>
  </si>
  <si>
    <t>SHD</t>
  </si>
  <si>
    <t>KL</t>
  </si>
  <si>
    <t>BN</t>
  </si>
  <si>
    <t>Full training</t>
  </si>
  <si>
    <t>100 samples</t>
  </si>
  <si>
    <t>100_samples</t>
  </si>
  <si>
    <t>500_samples</t>
  </si>
  <si>
    <t>1000_samples</t>
  </si>
  <si>
    <t>Mostly</t>
  </si>
  <si>
    <t>TVAE</t>
  </si>
  <si>
    <t>CTGAN</t>
  </si>
  <si>
    <t>100_samples_aug*5</t>
  </si>
  <si>
    <t>100_samples_aug*10</t>
  </si>
  <si>
    <t>100_samples_aug*20</t>
  </si>
  <si>
    <t>500_samples_aug*5</t>
  </si>
  <si>
    <t>500_samples_aug*10</t>
  </si>
  <si>
    <t>500_samples_aug*20</t>
  </si>
  <si>
    <t>1000_samples_aug*5</t>
  </si>
  <si>
    <t>1000_samples_aug*10</t>
  </si>
  <si>
    <t>1000_samples_aug*20</t>
  </si>
  <si>
    <t>500 samples</t>
  </si>
  <si>
    <t>1,000 samples</t>
  </si>
  <si>
    <t>Baseline</t>
  </si>
  <si>
    <t>Original</t>
  </si>
  <si>
    <t>100_samples_aug*2</t>
  </si>
  <si>
    <t>Benchmark</t>
  </si>
  <si>
    <t>Asia</t>
  </si>
  <si>
    <t>Sports</t>
  </si>
  <si>
    <t>Real</t>
  </si>
  <si>
    <t>Non-aug</t>
  </si>
  <si>
    <t>Aug 1:5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</si>
  <si>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</si>
  <si>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</si>
  <si>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</si>
  <si>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</si>
  <si>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</si>
  <si>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</si>
  <si>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</si>
  <si>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</si>
  <si>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</si>
  <si>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Accuracy</t>
  </si>
  <si>
    <t>Augmentation</t>
  </si>
  <si>
    <t>SMOTE</t>
  </si>
  <si>
    <t>Starter</t>
  </si>
  <si>
    <t>Column Shapes</t>
  </si>
  <si>
    <t>Column Pair Trends</t>
  </si>
  <si>
    <t>KL improvement</t>
  </si>
  <si>
    <t>Synthesizer</t>
  </si>
  <si>
    <t>Logical</t>
  </si>
  <si>
    <t>500_samples_aug*2</t>
  </si>
  <si>
    <t>1000_samples_aug*2</t>
  </si>
  <si>
    <t>Average</t>
  </si>
  <si>
    <t>The structures learned with CTGAN-augmented data did not include a single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</si>
</sst>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5B9BD5"/>
      </bottom>
      <diagonal/>
    </border>
    <border>
      <left/>
      <right/>
      <top style="medium">
        <color indexed="64"/>
      </top>
      <bottom style="medium">
        <color rgb="FF5B9BD5"/>
      </bottom>
      <diagonal/>
    </border>
    <border>
      <left/>
      <right style="medium">
        <color indexed="64"/>
      </right>
      <top style="medium">
        <color indexed="64"/>
      </top>
      <bottom style="medium">
        <color rgb="FF5B9BD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5B9BD5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5B9BD5"/>
      </top>
      <bottom style="medium">
        <color rgb="FF5B9BD5"/>
      </bottom>
      <diagonal/>
    </border>
    <border>
      <left/>
      <right style="medium">
        <color indexed="64"/>
      </right>
      <top style="medium">
        <color rgb="FF5B9BD5"/>
      </top>
      <bottom style="medium">
        <color rgb="FF5B9BD5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center" vertical="center" wrapText="1" readingOrder="1"/>
    </xf>
    <xf numFmtId="0" fontId="0" fillId="0" borderId="16" xfId="0" applyBorder="1"/>
    <xf numFmtId="0" fontId="0" fillId="0" borderId="14" xfId="0" applyBorder="1"/>
    <xf numFmtId="0" fontId="3" fillId="0" borderId="16" xfId="0" applyFont="1" applyBorder="1"/>
    <xf numFmtId="1" fontId="0" fillId="0" borderId="0" xfId="0" applyNumberFormat="1"/>
    <xf numFmtId="1" fontId="0" fillId="2" borderId="2" xfId="0" applyNumberFormat="1" applyFill="1" applyBorder="1"/>
    <xf numFmtId="1" fontId="0" fillId="2" borderId="3" xfId="0" applyNumberFormat="1" applyFill="1" applyBorder="1"/>
    <xf numFmtId="1" fontId="0" fillId="2" borderId="4" xfId="0" applyNumberForma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1" fontId="0" fillId="2" borderId="7" xfId="0" applyNumberFormat="1" applyFill="1" applyBorder="1"/>
    <xf numFmtId="1" fontId="0" fillId="2" borderId="8" xfId="0" applyNumberFormat="1" applyFill="1" applyBorder="1"/>
    <xf numFmtId="1" fontId="0" fillId="2" borderId="9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0" fontId="0" fillId="2" borderId="15" xfId="0" applyFill="1" applyBorder="1"/>
    <xf numFmtId="0" fontId="0" fillId="2" borderId="16" xfId="0" applyFill="1" applyBorder="1"/>
    <xf numFmtId="2" fontId="1" fillId="2" borderId="7" xfId="0" applyNumberFormat="1" applyFont="1" applyFill="1" applyBorder="1"/>
    <xf numFmtId="0" fontId="0" fillId="3" borderId="0" xfId="0" applyFill="1" applyAlignment="1">
      <alignment horizontal="center"/>
    </xf>
    <xf numFmtId="1" fontId="0" fillId="3" borderId="3" xfId="0" applyNumberFormat="1" applyFill="1" applyBorder="1"/>
    <xf numFmtId="1" fontId="0" fillId="3" borderId="8" xfId="0" applyNumberFormat="1" applyFill="1" applyBorder="1"/>
    <xf numFmtId="2" fontId="0" fillId="3" borderId="3" xfId="0" applyNumberFormat="1" applyFill="1" applyBorder="1"/>
    <xf numFmtId="2" fontId="0" fillId="3" borderId="8" xfId="0" applyNumberFormat="1" applyFill="1" applyBorder="1"/>
    <xf numFmtId="1" fontId="0" fillId="0" borderId="5" xfId="0" applyNumberFormat="1" applyBorder="1"/>
    <xf numFmtId="1" fontId="0" fillId="0" borderId="6" xfId="0" applyNumberFormat="1" applyBorder="1"/>
    <xf numFmtId="2" fontId="0" fillId="0" borderId="5" xfId="0" applyNumberFormat="1" applyBorder="1"/>
    <xf numFmtId="2" fontId="0" fillId="0" borderId="0" xfId="0" applyNumberFormat="1"/>
    <xf numFmtId="2" fontId="0" fillId="0" borderId="6" xfId="0" applyNumberFormat="1" applyBorder="1"/>
    <xf numFmtId="49" fontId="0" fillId="0" borderId="0" xfId="0" applyNumberFormat="1"/>
    <xf numFmtId="9" fontId="0" fillId="0" borderId="0" xfId="1" applyFont="1"/>
    <xf numFmtId="0" fontId="5" fillId="0" borderId="0" xfId="0" applyFont="1"/>
    <xf numFmtId="164" fontId="0" fillId="0" borderId="5" xfId="0" applyNumberFormat="1" applyBorder="1"/>
    <xf numFmtId="164" fontId="0" fillId="0" borderId="0" xfId="0" applyNumberFormat="1"/>
    <xf numFmtId="164" fontId="0" fillId="0" borderId="6" xfId="0" applyNumberFormat="1" applyBorder="1"/>
    <xf numFmtId="9" fontId="0" fillId="2" borderId="4" xfId="1" applyFont="1" applyFill="1" applyBorder="1"/>
    <xf numFmtId="2" fontId="5" fillId="0" borderId="0" xfId="0" applyNumberFormat="1" applyFont="1"/>
    <xf numFmtId="2" fontId="7" fillId="2" borderId="7" xfId="0" applyNumberFormat="1" applyFont="1" applyFill="1" applyBorder="1"/>
    <xf numFmtId="0" fontId="2" fillId="0" borderId="10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ASIA - Average Similarity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Similarity!$H$2:$H$13</c:f>
              <c:numCache>
                <c:formatCode>0.00</c:formatCode>
                <c:ptCount val="12"/>
                <c:pt idx="0">
                  <c:v>96.294999999999987</c:v>
                </c:pt>
                <c:pt idx="1">
                  <c:v>95.06</c:v>
                </c:pt>
                <c:pt idx="2">
                  <c:v>94.82</c:v>
                </c:pt>
                <c:pt idx="3">
                  <c:v>94.515000000000001</c:v>
                </c:pt>
                <c:pt idx="4">
                  <c:v>92.064999999999998</c:v>
                </c:pt>
                <c:pt idx="5">
                  <c:v>89.625</c:v>
                </c:pt>
                <c:pt idx="6">
                  <c:v>88.050000000000011</c:v>
                </c:pt>
                <c:pt idx="7">
                  <c:v>87.77</c:v>
                </c:pt>
                <c:pt idx="8">
                  <c:v>96.36</c:v>
                </c:pt>
                <c:pt idx="9">
                  <c:v>96.435000000000002</c:v>
                </c:pt>
                <c:pt idx="10">
                  <c:v>96.710000000000008</c:v>
                </c:pt>
                <c:pt idx="11">
                  <c:v>96.41</c:v>
                </c:pt>
              </c:numCache>
            </c:numRef>
          </c:xVal>
          <c:yVal>
            <c:numRef>
              <c:f>Similarity!$I$2:$I$13</c:f>
              <c:numCache>
                <c:formatCode>0.00</c:formatCode>
                <c:ptCount val="12"/>
                <c:pt idx="0">
                  <c:v>-0.17680461895859301</c:v>
                </c:pt>
                <c:pt idx="1">
                  <c:v>-0.37463233127703277</c:v>
                </c:pt>
                <c:pt idx="2">
                  <c:v>-0.4595260710012552</c:v>
                </c:pt>
                <c:pt idx="3">
                  <c:v>-0.63014728835807676</c:v>
                </c:pt>
                <c:pt idx="4">
                  <c:v>-2.4503977789694211</c:v>
                </c:pt>
                <c:pt idx="5">
                  <c:v>-5.6866682273610865</c:v>
                </c:pt>
                <c:pt idx="6">
                  <c:v>-6.8324896619449902</c:v>
                </c:pt>
                <c:pt idx="7">
                  <c:v>-7.1118685752548778</c:v>
                </c:pt>
                <c:pt idx="8">
                  <c:v>-0.17095833746760003</c:v>
                </c:pt>
                <c:pt idx="9">
                  <c:v>-0.87792087515335404</c:v>
                </c:pt>
                <c:pt idx="10">
                  <c:v>-1.4479202538542255</c:v>
                </c:pt>
                <c:pt idx="11">
                  <c:v>-2.512999778035196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49-814A-BB0E-D023B5945CDC}"/>
            </c:ext>
          </c:extLst>
        </c:ser>
        <c:ser>
          <c:idx val="1"/>
          <c:order val="1"/>
          <c:tx>
            <c:v>500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Similarity!$H$14:$H$25</c:f>
              <c:numCache>
                <c:formatCode>0.00</c:formatCode>
                <c:ptCount val="12"/>
                <c:pt idx="0">
                  <c:v>95.444999999999993</c:v>
                </c:pt>
                <c:pt idx="1">
                  <c:v>94.52</c:v>
                </c:pt>
                <c:pt idx="2">
                  <c:v>93.6</c:v>
                </c:pt>
                <c:pt idx="3">
                  <c:v>93.050000000000011</c:v>
                </c:pt>
                <c:pt idx="4">
                  <c:v>92.555000000000007</c:v>
                </c:pt>
                <c:pt idx="5">
                  <c:v>91.025000000000006</c:v>
                </c:pt>
                <c:pt idx="6">
                  <c:v>89.789999999999992</c:v>
                </c:pt>
                <c:pt idx="7">
                  <c:v>89.44</c:v>
                </c:pt>
                <c:pt idx="8">
                  <c:v>98.954999999999998</c:v>
                </c:pt>
                <c:pt idx="9">
                  <c:v>99.02000000000001</c:v>
                </c:pt>
                <c:pt idx="10">
                  <c:v>99.14500000000001</c:v>
                </c:pt>
                <c:pt idx="11">
                  <c:v>99.22</c:v>
                </c:pt>
              </c:numCache>
            </c:numRef>
          </c:xVal>
          <c:yVal>
            <c:numRef>
              <c:f>Similarity!$I$14:$I$25</c:f>
              <c:numCache>
                <c:formatCode>0.00</c:formatCode>
                <c:ptCount val="12"/>
                <c:pt idx="0">
                  <c:v>-6.3091263661898029</c:v>
                </c:pt>
                <c:pt idx="1">
                  <c:v>-8.2977178547948949</c:v>
                </c:pt>
                <c:pt idx="2">
                  <c:v>-8.1278468285540537</c:v>
                </c:pt>
                <c:pt idx="3">
                  <c:v>-7.9396095542960978</c:v>
                </c:pt>
                <c:pt idx="4">
                  <c:v>-6.3091263661898029</c:v>
                </c:pt>
                <c:pt idx="5">
                  <c:v>-8.2977178547948949</c:v>
                </c:pt>
                <c:pt idx="6">
                  <c:v>-8.1278468285540537</c:v>
                </c:pt>
                <c:pt idx="7">
                  <c:v>-7.9396095542960978</c:v>
                </c:pt>
                <c:pt idx="8">
                  <c:v>0.6813660347798246</c:v>
                </c:pt>
                <c:pt idx="9">
                  <c:v>0.81783334461740353</c:v>
                </c:pt>
                <c:pt idx="10">
                  <c:v>0.7686429819305125</c:v>
                </c:pt>
                <c:pt idx="11">
                  <c:v>0.79833978634509384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49-814A-BB0E-D023B5945CDC}"/>
            </c:ext>
          </c:extLst>
        </c:ser>
        <c:ser>
          <c:idx val="2"/>
          <c:order val="2"/>
          <c:tx>
            <c:v>1000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Similarity!$H$26:$H$37</c:f>
              <c:numCache>
                <c:formatCode>0.00</c:formatCode>
                <c:ptCount val="12"/>
                <c:pt idx="0">
                  <c:v>97.34</c:v>
                </c:pt>
                <c:pt idx="1">
                  <c:v>96.68</c:v>
                </c:pt>
                <c:pt idx="2">
                  <c:v>96.11</c:v>
                </c:pt>
                <c:pt idx="3">
                  <c:v>95.88</c:v>
                </c:pt>
                <c:pt idx="4">
                  <c:v>93.954999999999998</c:v>
                </c:pt>
                <c:pt idx="5">
                  <c:v>92.7</c:v>
                </c:pt>
                <c:pt idx="6">
                  <c:v>92.004999999999995</c:v>
                </c:pt>
                <c:pt idx="7">
                  <c:v>91.539999999999992</c:v>
                </c:pt>
                <c:pt idx="8">
                  <c:v>99.275000000000006</c:v>
                </c:pt>
                <c:pt idx="9">
                  <c:v>99.10499999999999</c:v>
                </c:pt>
                <c:pt idx="10">
                  <c:v>99.125</c:v>
                </c:pt>
                <c:pt idx="11">
                  <c:v>98.985000000000014</c:v>
                </c:pt>
              </c:numCache>
            </c:numRef>
          </c:xVal>
          <c:yVal>
            <c:numRef>
              <c:f>Similarity!$I$26:$I$37</c:f>
              <c:numCache>
                <c:formatCode>0.00</c:formatCode>
                <c:ptCount val="12"/>
                <c:pt idx="0">
                  <c:v>-9.3574207254358166E-2</c:v>
                </c:pt>
                <c:pt idx="1">
                  <c:v>-0.18972982935234728</c:v>
                </c:pt>
                <c:pt idx="2">
                  <c:v>-0.25141902510270353</c:v>
                </c:pt>
                <c:pt idx="3">
                  <c:v>-0.49218461099429844</c:v>
                </c:pt>
                <c:pt idx="4">
                  <c:v>-2.3514570084574067</c:v>
                </c:pt>
                <c:pt idx="5">
                  <c:v>-2.6378607510399177</c:v>
                </c:pt>
                <c:pt idx="6">
                  <c:v>-2.9928815890385985</c:v>
                </c:pt>
                <c:pt idx="7">
                  <c:v>-3.2288474000558844</c:v>
                </c:pt>
                <c:pt idx="8">
                  <c:v>0.67864047334526345</c:v>
                </c:pt>
                <c:pt idx="9">
                  <c:v>0.74847752805648748</c:v>
                </c:pt>
                <c:pt idx="10">
                  <c:v>0.71346255600893371</c:v>
                </c:pt>
                <c:pt idx="11">
                  <c:v>0.68005094393590793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49-814A-BB0E-D023B5945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489136"/>
        <c:axId val="408799632"/>
      </c:scatterChart>
      <c:valAx>
        <c:axId val="408489136"/>
        <c:scaling>
          <c:orientation val="minMax"/>
          <c:max val="100"/>
          <c:min val="8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Similarity augmented vs base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JP"/>
          </a:p>
        </c:txPr>
        <c:crossAx val="408799632"/>
        <c:crosses val="autoZero"/>
        <c:crossBetween val="midCat"/>
        <c:majorUnit val="4"/>
      </c:valAx>
      <c:valAx>
        <c:axId val="408799632"/>
        <c:scaling>
          <c:orientation val="minMax"/>
          <c:max val="1"/>
          <c:min val="-9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KL positive or negative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JP"/>
          </a:p>
        </c:txPr>
        <c:crossAx val="408489136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PRM - Average Similarity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Similarity!$H$38:$H$49</c:f>
              <c:numCache>
                <c:formatCode>0.00</c:formatCode>
                <c:ptCount val="12"/>
                <c:pt idx="0">
                  <c:v>87.24</c:v>
                </c:pt>
                <c:pt idx="1">
                  <c:v>84.789999999999992</c:v>
                </c:pt>
                <c:pt idx="2">
                  <c:v>83.22</c:v>
                </c:pt>
                <c:pt idx="3">
                  <c:v>82.594999999999999</c:v>
                </c:pt>
                <c:pt idx="4">
                  <c:v>94.085000000000008</c:v>
                </c:pt>
                <c:pt idx="5">
                  <c:v>92.259999999999991</c:v>
                </c:pt>
                <c:pt idx="6">
                  <c:v>92.009999999999991</c:v>
                </c:pt>
                <c:pt idx="7">
                  <c:v>91.705000000000013</c:v>
                </c:pt>
                <c:pt idx="8">
                  <c:v>97.17</c:v>
                </c:pt>
                <c:pt idx="9">
                  <c:v>96.17</c:v>
                </c:pt>
                <c:pt idx="10">
                  <c:v>96.205000000000013</c:v>
                </c:pt>
                <c:pt idx="11">
                  <c:v>96.169999999999987</c:v>
                </c:pt>
              </c:numCache>
            </c:numRef>
          </c:xVal>
          <c:yVal>
            <c:numRef>
              <c:f>Similarity!$I$38:$I$49</c:f>
              <c:numCache>
                <c:formatCode>0.00</c:formatCode>
                <c:ptCount val="12"/>
                <c:pt idx="0">
                  <c:v>-0.30609939928522611</c:v>
                </c:pt>
                <c:pt idx="1">
                  <c:v>-0.50422781382638182</c:v>
                </c:pt>
                <c:pt idx="2">
                  <c:v>-0.74786654728965996</c:v>
                </c:pt>
                <c:pt idx="3">
                  <c:v>-1.0242525510441864</c:v>
                </c:pt>
                <c:pt idx="4">
                  <c:v>8.759998942208691E-2</c:v>
                </c:pt>
                <c:pt idx="5">
                  <c:v>7.8941051405648444E-2</c:v>
                </c:pt>
                <c:pt idx="6">
                  <c:v>-0.19237190846815699</c:v>
                </c:pt>
                <c:pt idx="7">
                  <c:v>-9.2345561031202728E-2</c:v>
                </c:pt>
                <c:pt idx="8">
                  <c:v>0.3028086293263117</c:v>
                </c:pt>
                <c:pt idx="9">
                  <c:v>0.53043699674858558</c:v>
                </c:pt>
                <c:pt idx="10">
                  <c:v>0.58730257521582563</c:v>
                </c:pt>
                <c:pt idx="11">
                  <c:v>0.62981702925140781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E9-F741-911F-287EA60BCFEC}"/>
            </c:ext>
          </c:extLst>
        </c:ser>
        <c:ser>
          <c:idx val="1"/>
          <c:order val="1"/>
          <c:tx>
            <c:v>500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Similarity!$H$50:$H$61</c:f>
              <c:numCache>
                <c:formatCode>0.00</c:formatCode>
                <c:ptCount val="12"/>
                <c:pt idx="0">
                  <c:v>90.36</c:v>
                </c:pt>
                <c:pt idx="1">
                  <c:v>87.825000000000003</c:v>
                </c:pt>
                <c:pt idx="2">
                  <c:v>86.594999999999999</c:v>
                </c:pt>
                <c:pt idx="3">
                  <c:v>85.97999999999999</c:v>
                </c:pt>
                <c:pt idx="4">
                  <c:v>92.77000000000001</c:v>
                </c:pt>
                <c:pt idx="5">
                  <c:v>91.055000000000007</c:v>
                </c:pt>
                <c:pt idx="6">
                  <c:v>90.259999999999991</c:v>
                </c:pt>
                <c:pt idx="7">
                  <c:v>89.85499999999999</c:v>
                </c:pt>
                <c:pt idx="8">
                  <c:v>97.365000000000009</c:v>
                </c:pt>
                <c:pt idx="9">
                  <c:v>97.740000000000009</c:v>
                </c:pt>
                <c:pt idx="10">
                  <c:v>97.9</c:v>
                </c:pt>
                <c:pt idx="11">
                  <c:v>97.97999999999999</c:v>
                </c:pt>
              </c:numCache>
            </c:numRef>
          </c:xVal>
          <c:yVal>
            <c:numRef>
              <c:f>Similarity!$I$50:$I$61</c:f>
              <c:numCache>
                <c:formatCode>0.00</c:formatCode>
                <c:ptCount val="12"/>
                <c:pt idx="0">
                  <c:v>-1.3335390698951013</c:v>
                </c:pt>
                <c:pt idx="1">
                  <c:v>-2.3301253709065071</c:v>
                </c:pt>
                <c:pt idx="2">
                  <c:v>-3.4145153056361428</c:v>
                </c:pt>
                <c:pt idx="3">
                  <c:v>-4.7784391799678456</c:v>
                </c:pt>
                <c:pt idx="4">
                  <c:v>-3.3152734408684532</c:v>
                </c:pt>
                <c:pt idx="5">
                  <c:v>-5.9735031263491791</c:v>
                </c:pt>
                <c:pt idx="6">
                  <c:v>-6.874233400666844</c:v>
                </c:pt>
                <c:pt idx="7">
                  <c:v>-7.7972514940759616</c:v>
                </c:pt>
                <c:pt idx="8">
                  <c:v>0.22268686976877461</c:v>
                </c:pt>
                <c:pt idx="9">
                  <c:v>0.3036561604349528</c:v>
                </c:pt>
                <c:pt idx="10">
                  <c:v>0.23311999668558991</c:v>
                </c:pt>
                <c:pt idx="11">
                  <c:v>7.7015369500866737E-2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E9-F741-911F-287EA60BCFEC}"/>
            </c:ext>
          </c:extLst>
        </c:ser>
        <c:ser>
          <c:idx val="2"/>
          <c:order val="2"/>
          <c:tx>
            <c:v>1000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Similarity!$H$62:$H$73</c:f>
              <c:numCache>
                <c:formatCode>0.00</c:formatCode>
                <c:ptCount val="12"/>
                <c:pt idx="0">
                  <c:v>95.35</c:v>
                </c:pt>
                <c:pt idx="1">
                  <c:v>94.284999999999997</c:v>
                </c:pt>
                <c:pt idx="2">
                  <c:v>93.894999999999996</c:v>
                </c:pt>
                <c:pt idx="3">
                  <c:v>93.56</c:v>
                </c:pt>
                <c:pt idx="4">
                  <c:v>91.424999999999997</c:v>
                </c:pt>
                <c:pt idx="5">
                  <c:v>89.36</c:v>
                </c:pt>
                <c:pt idx="6">
                  <c:v>88.09</c:v>
                </c:pt>
                <c:pt idx="7">
                  <c:v>87.66</c:v>
                </c:pt>
                <c:pt idx="8">
                  <c:v>98.495000000000005</c:v>
                </c:pt>
                <c:pt idx="9">
                  <c:v>98.775000000000006</c:v>
                </c:pt>
                <c:pt idx="10">
                  <c:v>98.58</c:v>
                </c:pt>
                <c:pt idx="11">
                  <c:v>98.56</c:v>
                </c:pt>
              </c:numCache>
            </c:numRef>
          </c:xVal>
          <c:yVal>
            <c:numRef>
              <c:f>Similarity!$I$62:$I$73</c:f>
              <c:numCache>
                <c:formatCode>0.00</c:formatCode>
                <c:ptCount val="12"/>
                <c:pt idx="0">
                  <c:v>-0.35305486281866627</c:v>
                </c:pt>
                <c:pt idx="1">
                  <c:v>-1.0412807037082938</c:v>
                </c:pt>
                <c:pt idx="2">
                  <c:v>-1.3889880889582891</c:v>
                </c:pt>
                <c:pt idx="3">
                  <c:v>-1.8555843281387632</c:v>
                </c:pt>
                <c:pt idx="4">
                  <c:v>-2.7189749404076924</c:v>
                </c:pt>
                <c:pt idx="5">
                  <c:v>-4.1226611903574124</c:v>
                </c:pt>
                <c:pt idx="6">
                  <c:v>-4.6284801896365559</c:v>
                </c:pt>
                <c:pt idx="7">
                  <c:v>-5.0734199651883092</c:v>
                </c:pt>
                <c:pt idx="8">
                  <c:v>0.2542715236427987</c:v>
                </c:pt>
                <c:pt idx="9">
                  <c:v>0.35436503818241627</c:v>
                </c:pt>
                <c:pt idx="10">
                  <c:v>0.22890351977865186</c:v>
                </c:pt>
                <c:pt idx="11">
                  <c:v>0.19115674042326891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E9-F741-911F-287EA60BC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489136"/>
        <c:axId val="408799632"/>
      </c:scatterChart>
      <c:valAx>
        <c:axId val="408489136"/>
        <c:scaling>
          <c:orientation val="minMax"/>
          <c:max val="100"/>
          <c:min val="8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Similarity augmented vs base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JP"/>
          </a:p>
        </c:txPr>
        <c:crossAx val="408799632"/>
        <c:crosses val="autoZero"/>
        <c:crossBetween val="midCat"/>
        <c:majorUnit val="8"/>
      </c:valAx>
      <c:valAx>
        <c:axId val="408799632"/>
        <c:scaling>
          <c:orientation val="minMax"/>
          <c:max val="1"/>
          <c:min val="-8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KL positive or negative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JP"/>
          </a:p>
        </c:txPr>
        <c:crossAx val="408489136"/>
        <c:crosses val="autoZero"/>
        <c:crossBetween val="midCat"/>
        <c:majorUnit val="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SPORTS - Average Similarity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Similarity!$H$74:$H$85</c:f>
              <c:numCache>
                <c:formatCode>0.00</c:formatCode>
                <c:ptCount val="12"/>
                <c:pt idx="0">
                  <c:v>85.97999999999999</c:v>
                </c:pt>
                <c:pt idx="1">
                  <c:v>82.490000000000009</c:v>
                </c:pt>
                <c:pt idx="2">
                  <c:v>80.685000000000002</c:v>
                </c:pt>
                <c:pt idx="3">
                  <c:v>79.844999999999999</c:v>
                </c:pt>
                <c:pt idx="4">
                  <c:v>90.515000000000001</c:v>
                </c:pt>
                <c:pt idx="5">
                  <c:v>89.02000000000001</c:v>
                </c:pt>
                <c:pt idx="6">
                  <c:v>87.935000000000002</c:v>
                </c:pt>
                <c:pt idx="7">
                  <c:v>87.795000000000002</c:v>
                </c:pt>
                <c:pt idx="8">
                  <c:v>92.305000000000007</c:v>
                </c:pt>
                <c:pt idx="9">
                  <c:v>91.60499999999999</c:v>
                </c:pt>
                <c:pt idx="10">
                  <c:v>91.300000000000011</c:v>
                </c:pt>
                <c:pt idx="11">
                  <c:v>91.275000000000006</c:v>
                </c:pt>
              </c:numCache>
            </c:numRef>
          </c:xVal>
          <c:yVal>
            <c:numRef>
              <c:f>Similarity!$I$74:$I$85</c:f>
              <c:numCache>
                <c:formatCode>0.00</c:formatCode>
                <c:ptCount val="12"/>
                <c:pt idx="0">
                  <c:v>5.0981449560030034E-2</c:v>
                </c:pt>
                <c:pt idx="1">
                  <c:v>4.6804968976624006E-2</c:v>
                </c:pt>
                <c:pt idx="2">
                  <c:v>-2.7972935497453388E-2</c:v>
                </c:pt>
                <c:pt idx="3">
                  <c:v>-3.2697107441549189E-2</c:v>
                </c:pt>
                <c:pt idx="4">
                  <c:v>-8.9577860872501747E-2</c:v>
                </c:pt>
                <c:pt idx="5">
                  <c:v>0.15224223507233803</c:v>
                </c:pt>
                <c:pt idx="6">
                  <c:v>0.35046442891553897</c:v>
                </c:pt>
                <c:pt idx="7">
                  <c:v>0.46161872452567254</c:v>
                </c:pt>
                <c:pt idx="8">
                  <c:v>-5.7613724771465646E-2</c:v>
                </c:pt>
                <c:pt idx="9">
                  <c:v>0.16145246680188852</c:v>
                </c:pt>
                <c:pt idx="10">
                  <c:v>0.34999421584489809</c:v>
                </c:pt>
                <c:pt idx="11">
                  <c:v>0.49674978573245299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4-5D4F-9486-09D173834CA6}"/>
            </c:ext>
          </c:extLst>
        </c:ser>
        <c:ser>
          <c:idx val="1"/>
          <c:order val="1"/>
          <c:tx>
            <c:v>500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Similarity!$H$86:$H$97</c:f>
              <c:numCache>
                <c:formatCode>0.00</c:formatCode>
                <c:ptCount val="12"/>
                <c:pt idx="0">
                  <c:v>69.204999999999998</c:v>
                </c:pt>
                <c:pt idx="1">
                  <c:v>61.775000000000006</c:v>
                </c:pt>
                <c:pt idx="2">
                  <c:v>58.13</c:v>
                </c:pt>
                <c:pt idx="3">
                  <c:v>56.265000000000001</c:v>
                </c:pt>
                <c:pt idx="4">
                  <c:v>92.35499999999999</c:v>
                </c:pt>
                <c:pt idx="5">
                  <c:v>90.81</c:v>
                </c:pt>
                <c:pt idx="6">
                  <c:v>90.13</c:v>
                </c:pt>
                <c:pt idx="7">
                  <c:v>89.82</c:v>
                </c:pt>
                <c:pt idx="8">
                  <c:v>96.51</c:v>
                </c:pt>
                <c:pt idx="9">
                  <c:v>95.89500000000001</c:v>
                </c:pt>
                <c:pt idx="10">
                  <c:v>96.125</c:v>
                </c:pt>
                <c:pt idx="11">
                  <c:v>95.800000000000011</c:v>
                </c:pt>
              </c:numCache>
            </c:numRef>
          </c:xVal>
          <c:yVal>
            <c:numRef>
              <c:f>Similarity!$I$86:$I$97</c:f>
              <c:numCache>
                <c:formatCode>0.00</c:formatCode>
                <c:ptCount val="12"/>
                <c:pt idx="0">
                  <c:v>-9.6317570496321503E-2</c:v>
                </c:pt>
                <c:pt idx="1">
                  <c:v>-0.17195034093524764</c:v>
                </c:pt>
                <c:pt idx="2">
                  <c:v>-0.23012157682178391</c:v>
                </c:pt>
                <c:pt idx="3">
                  <c:v>-0.29633416138299218</c:v>
                </c:pt>
                <c:pt idx="4">
                  <c:v>0.14569862579628778</c:v>
                </c:pt>
                <c:pt idx="5">
                  <c:v>0.22618684626675167</c:v>
                </c:pt>
                <c:pt idx="6">
                  <c:v>0.20460524152444848</c:v>
                </c:pt>
                <c:pt idx="7">
                  <c:v>0.20288038718047607</c:v>
                </c:pt>
                <c:pt idx="8">
                  <c:v>0.15800779323271197</c:v>
                </c:pt>
                <c:pt idx="9">
                  <c:v>0.37521665306512897</c:v>
                </c:pt>
                <c:pt idx="10">
                  <c:v>0.49076859150845542</c:v>
                </c:pt>
                <c:pt idx="11">
                  <c:v>0.52239298878097351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14-5D4F-9486-09D173834CA6}"/>
            </c:ext>
          </c:extLst>
        </c:ser>
        <c:ser>
          <c:idx val="2"/>
          <c:order val="2"/>
          <c:tx>
            <c:v>1000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Similarity!$H$98:$H$109</c:f>
              <c:numCache>
                <c:formatCode>0.00</c:formatCode>
                <c:ptCount val="12"/>
                <c:pt idx="0">
                  <c:v>75.990000000000009</c:v>
                </c:pt>
                <c:pt idx="1">
                  <c:v>69.819999999999993</c:v>
                </c:pt>
                <c:pt idx="2">
                  <c:v>67.3</c:v>
                </c:pt>
                <c:pt idx="3">
                  <c:v>65.685000000000002</c:v>
                </c:pt>
                <c:pt idx="4">
                  <c:v>89.995000000000005</c:v>
                </c:pt>
                <c:pt idx="5">
                  <c:v>87.22</c:v>
                </c:pt>
                <c:pt idx="6">
                  <c:v>86.27</c:v>
                </c:pt>
                <c:pt idx="7">
                  <c:v>85.64</c:v>
                </c:pt>
                <c:pt idx="8">
                  <c:v>97.64</c:v>
                </c:pt>
                <c:pt idx="9">
                  <c:v>97.18</c:v>
                </c:pt>
                <c:pt idx="10">
                  <c:v>97.11</c:v>
                </c:pt>
                <c:pt idx="11">
                  <c:v>97.2</c:v>
                </c:pt>
              </c:numCache>
            </c:numRef>
          </c:xVal>
          <c:yVal>
            <c:numRef>
              <c:f>Similarity!$I$98:$I$109</c:f>
              <c:numCache>
                <c:formatCode>0.00</c:formatCode>
                <c:ptCount val="12"/>
                <c:pt idx="0">
                  <c:v>-0.20730958277174705</c:v>
                </c:pt>
                <c:pt idx="1">
                  <c:v>-0.36315596488579249</c:v>
                </c:pt>
                <c:pt idx="2">
                  <c:v>-0.50926159542819072</c:v>
                </c:pt>
                <c:pt idx="3">
                  <c:v>-0.70234735095999268</c:v>
                </c:pt>
                <c:pt idx="4">
                  <c:v>-0.13939719373257242</c:v>
                </c:pt>
                <c:pt idx="5">
                  <c:v>-0.16698873751071552</c:v>
                </c:pt>
                <c:pt idx="6">
                  <c:v>-0.24072398348923985</c:v>
                </c:pt>
                <c:pt idx="7">
                  <c:v>-0.34006367346856892</c:v>
                </c:pt>
                <c:pt idx="8">
                  <c:v>9.0075335735342321E-2</c:v>
                </c:pt>
                <c:pt idx="9">
                  <c:v>0.24909686402900466</c:v>
                </c:pt>
                <c:pt idx="10">
                  <c:v>0.34554794846933379</c:v>
                </c:pt>
                <c:pt idx="11">
                  <c:v>0.30632323088429081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14-5D4F-9486-09D173834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489136"/>
        <c:axId val="408799632"/>
      </c:scatterChart>
      <c:valAx>
        <c:axId val="408489136"/>
        <c:scaling>
          <c:orientation val="minMax"/>
          <c:max val="100"/>
          <c:min val="5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Similarity augmented vs base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JP"/>
          </a:p>
        </c:txPr>
        <c:crossAx val="408799632"/>
        <c:crosses val="autoZero"/>
        <c:crossBetween val="midCat"/>
        <c:majorUnit val="15"/>
      </c:valAx>
      <c:valAx>
        <c:axId val="4087996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KL positive or negative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JP"/>
          </a:p>
        </c:txPr>
        <c:crossAx val="40848913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ASIA - Average Similarity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Similarity!$H$2:$H$13</c:f>
              <c:numCache>
                <c:formatCode>0.00</c:formatCode>
                <c:ptCount val="12"/>
                <c:pt idx="0">
                  <c:v>96.294999999999987</c:v>
                </c:pt>
                <c:pt idx="1">
                  <c:v>95.06</c:v>
                </c:pt>
                <c:pt idx="2">
                  <c:v>94.82</c:v>
                </c:pt>
                <c:pt idx="3">
                  <c:v>94.515000000000001</c:v>
                </c:pt>
                <c:pt idx="4">
                  <c:v>92.064999999999998</c:v>
                </c:pt>
                <c:pt idx="5">
                  <c:v>89.625</c:v>
                </c:pt>
                <c:pt idx="6">
                  <c:v>88.050000000000011</c:v>
                </c:pt>
                <c:pt idx="7">
                  <c:v>87.77</c:v>
                </c:pt>
                <c:pt idx="8">
                  <c:v>96.36</c:v>
                </c:pt>
                <c:pt idx="9">
                  <c:v>96.435000000000002</c:v>
                </c:pt>
                <c:pt idx="10">
                  <c:v>96.710000000000008</c:v>
                </c:pt>
                <c:pt idx="11">
                  <c:v>96.41</c:v>
                </c:pt>
              </c:numCache>
            </c:numRef>
          </c:xVal>
          <c:yVal>
            <c:numRef>
              <c:f>Similarity!$J$2:$J$13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1C-5B45-96FA-886212950957}"/>
            </c:ext>
          </c:extLst>
        </c:ser>
        <c:ser>
          <c:idx val="1"/>
          <c:order val="1"/>
          <c:tx>
            <c:v>500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Similarity!$H$14:$H$25</c:f>
              <c:numCache>
                <c:formatCode>0.00</c:formatCode>
                <c:ptCount val="12"/>
                <c:pt idx="0">
                  <c:v>95.444999999999993</c:v>
                </c:pt>
                <c:pt idx="1">
                  <c:v>94.52</c:v>
                </c:pt>
                <c:pt idx="2">
                  <c:v>93.6</c:v>
                </c:pt>
                <c:pt idx="3">
                  <c:v>93.050000000000011</c:v>
                </c:pt>
                <c:pt idx="4">
                  <c:v>92.555000000000007</c:v>
                </c:pt>
                <c:pt idx="5">
                  <c:v>91.025000000000006</c:v>
                </c:pt>
                <c:pt idx="6">
                  <c:v>89.789999999999992</c:v>
                </c:pt>
                <c:pt idx="7">
                  <c:v>89.44</c:v>
                </c:pt>
                <c:pt idx="8">
                  <c:v>98.954999999999998</c:v>
                </c:pt>
                <c:pt idx="9">
                  <c:v>99.02000000000001</c:v>
                </c:pt>
                <c:pt idx="10">
                  <c:v>99.14500000000001</c:v>
                </c:pt>
                <c:pt idx="11">
                  <c:v>99.22</c:v>
                </c:pt>
              </c:numCache>
            </c:numRef>
          </c:xVal>
          <c:yVal>
            <c:numRef>
              <c:f>Similarity!$J$14:$J$25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1C-5B45-96FA-886212950957}"/>
            </c:ext>
          </c:extLst>
        </c:ser>
        <c:ser>
          <c:idx val="2"/>
          <c:order val="2"/>
          <c:tx>
            <c:v>1000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Similarity!$H$26:$H$37</c:f>
              <c:numCache>
                <c:formatCode>0.00</c:formatCode>
                <c:ptCount val="12"/>
                <c:pt idx="0">
                  <c:v>97.34</c:v>
                </c:pt>
                <c:pt idx="1">
                  <c:v>96.68</c:v>
                </c:pt>
                <c:pt idx="2">
                  <c:v>96.11</c:v>
                </c:pt>
                <c:pt idx="3">
                  <c:v>95.88</c:v>
                </c:pt>
                <c:pt idx="4">
                  <c:v>93.954999999999998</c:v>
                </c:pt>
                <c:pt idx="5">
                  <c:v>92.7</c:v>
                </c:pt>
                <c:pt idx="6">
                  <c:v>92.004999999999995</c:v>
                </c:pt>
                <c:pt idx="7">
                  <c:v>91.539999999999992</c:v>
                </c:pt>
                <c:pt idx="8">
                  <c:v>99.275000000000006</c:v>
                </c:pt>
                <c:pt idx="9">
                  <c:v>99.10499999999999</c:v>
                </c:pt>
                <c:pt idx="10">
                  <c:v>99.125</c:v>
                </c:pt>
                <c:pt idx="11">
                  <c:v>98.985000000000014</c:v>
                </c:pt>
              </c:numCache>
            </c:numRef>
          </c:xVal>
          <c:yVal>
            <c:numRef>
              <c:f>Similarity!$J$26:$J$37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1C-5B45-96FA-886212950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489136"/>
        <c:axId val="408799632"/>
      </c:scatterChart>
      <c:valAx>
        <c:axId val="408489136"/>
        <c:scaling>
          <c:orientation val="minMax"/>
          <c:max val="100"/>
          <c:min val="8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Similarity augmented vs base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JP"/>
          </a:p>
        </c:txPr>
        <c:crossAx val="408799632"/>
        <c:crosses val="autoZero"/>
        <c:crossBetween val="midCat"/>
      </c:valAx>
      <c:valAx>
        <c:axId val="4087996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KL improvement?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JP"/>
          </a:p>
        </c:txPr>
        <c:crossAx val="4084891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PRM - Average Similarity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Similarity!$H$38:$H$49</c:f>
              <c:numCache>
                <c:formatCode>0.00</c:formatCode>
                <c:ptCount val="12"/>
                <c:pt idx="0">
                  <c:v>87.24</c:v>
                </c:pt>
                <c:pt idx="1">
                  <c:v>84.789999999999992</c:v>
                </c:pt>
                <c:pt idx="2">
                  <c:v>83.22</c:v>
                </c:pt>
                <c:pt idx="3">
                  <c:v>82.594999999999999</c:v>
                </c:pt>
                <c:pt idx="4">
                  <c:v>94.085000000000008</c:v>
                </c:pt>
                <c:pt idx="5">
                  <c:v>92.259999999999991</c:v>
                </c:pt>
                <c:pt idx="6">
                  <c:v>92.009999999999991</c:v>
                </c:pt>
                <c:pt idx="7">
                  <c:v>91.705000000000013</c:v>
                </c:pt>
                <c:pt idx="8">
                  <c:v>97.17</c:v>
                </c:pt>
                <c:pt idx="9">
                  <c:v>96.17</c:v>
                </c:pt>
                <c:pt idx="10">
                  <c:v>96.205000000000013</c:v>
                </c:pt>
                <c:pt idx="11">
                  <c:v>96.169999999999987</c:v>
                </c:pt>
              </c:numCache>
            </c:numRef>
          </c:xVal>
          <c:yVal>
            <c:numRef>
              <c:f>Similarity!$J$38:$J$49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DC-D545-BBB5-D39FC6EDC8BA}"/>
            </c:ext>
          </c:extLst>
        </c:ser>
        <c:ser>
          <c:idx val="1"/>
          <c:order val="1"/>
          <c:tx>
            <c:v>500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Similarity!$H$50:$H$61</c:f>
              <c:numCache>
                <c:formatCode>0.00</c:formatCode>
                <c:ptCount val="12"/>
                <c:pt idx="0">
                  <c:v>90.36</c:v>
                </c:pt>
                <c:pt idx="1">
                  <c:v>87.825000000000003</c:v>
                </c:pt>
                <c:pt idx="2">
                  <c:v>86.594999999999999</c:v>
                </c:pt>
                <c:pt idx="3">
                  <c:v>85.97999999999999</c:v>
                </c:pt>
                <c:pt idx="4">
                  <c:v>92.77000000000001</c:v>
                </c:pt>
                <c:pt idx="5">
                  <c:v>91.055000000000007</c:v>
                </c:pt>
                <c:pt idx="6">
                  <c:v>90.259999999999991</c:v>
                </c:pt>
                <c:pt idx="7">
                  <c:v>89.85499999999999</c:v>
                </c:pt>
                <c:pt idx="8">
                  <c:v>97.365000000000009</c:v>
                </c:pt>
                <c:pt idx="9">
                  <c:v>97.740000000000009</c:v>
                </c:pt>
                <c:pt idx="10">
                  <c:v>97.9</c:v>
                </c:pt>
                <c:pt idx="11">
                  <c:v>97.97999999999999</c:v>
                </c:pt>
              </c:numCache>
            </c:numRef>
          </c:xVal>
          <c:yVal>
            <c:numRef>
              <c:f>Similarity!$J$50:$J$61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DC-D545-BBB5-D39FC6EDC8BA}"/>
            </c:ext>
          </c:extLst>
        </c:ser>
        <c:ser>
          <c:idx val="2"/>
          <c:order val="2"/>
          <c:tx>
            <c:v>1000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Similarity!$H$62:$H$73</c:f>
              <c:numCache>
                <c:formatCode>0.00</c:formatCode>
                <c:ptCount val="12"/>
                <c:pt idx="0">
                  <c:v>95.35</c:v>
                </c:pt>
                <c:pt idx="1">
                  <c:v>94.284999999999997</c:v>
                </c:pt>
                <c:pt idx="2">
                  <c:v>93.894999999999996</c:v>
                </c:pt>
                <c:pt idx="3">
                  <c:v>93.56</c:v>
                </c:pt>
                <c:pt idx="4">
                  <c:v>91.424999999999997</c:v>
                </c:pt>
                <c:pt idx="5">
                  <c:v>89.36</c:v>
                </c:pt>
                <c:pt idx="6">
                  <c:v>88.09</c:v>
                </c:pt>
                <c:pt idx="7">
                  <c:v>87.66</c:v>
                </c:pt>
                <c:pt idx="8">
                  <c:v>98.495000000000005</c:v>
                </c:pt>
                <c:pt idx="9">
                  <c:v>98.775000000000006</c:v>
                </c:pt>
                <c:pt idx="10">
                  <c:v>98.58</c:v>
                </c:pt>
                <c:pt idx="11">
                  <c:v>98.56</c:v>
                </c:pt>
              </c:numCache>
            </c:numRef>
          </c:xVal>
          <c:yVal>
            <c:numRef>
              <c:f>Similarity!$J$62:$J$73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DC-D545-BBB5-D39FC6EDC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489136"/>
        <c:axId val="408799632"/>
      </c:scatterChart>
      <c:valAx>
        <c:axId val="408489136"/>
        <c:scaling>
          <c:orientation val="minMax"/>
          <c:max val="100"/>
          <c:min val="8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Similarity augmented vs base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JP"/>
          </a:p>
        </c:txPr>
        <c:crossAx val="408799632"/>
        <c:crosses val="autoZero"/>
        <c:crossBetween val="midCat"/>
        <c:majorUnit val="6"/>
      </c:valAx>
      <c:valAx>
        <c:axId val="4087996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KL improvement?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JP"/>
          </a:p>
        </c:txPr>
        <c:crossAx val="4084891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SPORTS - Average Similarity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Similarity!$H$74:$H$85</c:f>
              <c:numCache>
                <c:formatCode>0.00</c:formatCode>
                <c:ptCount val="12"/>
                <c:pt idx="0">
                  <c:v>85.97999999999999</c:v>
                </c:pt>
                <c:pt idx="1">
                  <c:v>82.490000000000009</c:v>
                </c:pt>
                <c:pt idx="2">
                  <c:v>80.685000000000002</c:v>
                </c:pt>
                <c:pt idx="3">
                  <c:v>79.844999999999999</c:v>
                </c:pt>
                <c:pt idx="4">
                  <c:v>90.515000000000001</c:v>
                </c:pt>
                <c:pt idx="5">
                  <c:v>89.02000000000001</c:v>
                </c:pt>
                <c:pt idx="6">
                  <c:v>87.935000000000002</c:v>
                </c:pt>
                <c:pt idx="7">
                  <c:v>87.795000000000002</c:v>
                </c:pt>
                <c:pt idx="8">
                  <c:v>92.305000000000007</c:v>
                </c:pt>
                <c:pt idx="9">
                  <c:v>91.60499999999999</c:v>
                </c:pt>
                <c:pt idx="10">
                  <c:v>91.300000000000011</c:v>
                </c:pt>
                <c:pt idx="11">
                  <c:v>91.275000000000006</c:v>
                </c:pt>
              </c:numCache>
            </c:numRef>
          </c:xVal>
          <c:yVal>
            <c:numRef>
              <c:f>Similarity!$J$74:$J$859</c:f>
              <c:numCache>
                <c:formatCode>General</c:formatCode>
                <c:ptCount val="78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87-4243-8C09-FEA8139B57BA}"/>
            </c:ext>
          </c:extLst>
        </c:ser>
        <c:ser>
          <c:idx val="1"/>
          <c:order val="1"/>
          <c:tx>
            <c:v>500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Similarity!$H$86:$H$97</c:f>
              <c:numCache>
                <c:formatCode>0.00</c:formatCode>
                <c:ptCount val="12"/>
                <c:pt idx="0">
                  <c:v>69.204999999999998</c:v>
                </c:pt>
                <c:pt idx="1">
                  <c:v>61.775000000000006</c:v>
                </c:pt>
                <c:pt idx="2">
                  <c:v>58.13</c:v>
                </c:pt>
                <c:pt idx="3">
                  <c:v>56.265000000000001</c:v>
                </c:pt>
                <c:pt idx="4">
                  <c:v>92.35499999999999</c:v>
                </c:pt>
                <c:pt idx="5">
                  <c:v>90.81</c:v>
                </c:pt>
                <c:pt idx="6">
                  <c:v>90.13</c:v>
                </c:pt>
                <c:pt idx="7">
                  <c:v>89.82</c:v>
                </c:pt>
                <c:pt idx="8">
                  <c:v>96.51</c:v>
                </c:pt>
                <c:pt idx="9">
                  <c:v>95.89500000000001</c:v>
                </c:pt>
                <c:pt idx="10">
                  <c:v>96.125</c:v>
                </c:pt>
                <c:pt idx="11">
                  <c:v>95.800000000000011</c:v>
                </c:pt>
              </c:numCache>
            </c:numRef>
          </c:xVal>
          <c:yVal>
            <c:numRef>
              <c:f>Similarity!$J$86:$J$97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87-4243-8C09-FEA8139B57BA}"/>
            </c:ext>
          </c:extLst>
        </c:ser>
        <c:ser>
          <c:idx val="2"/>
          <c:order val="2"/>
          <c:tx>
            <c:v>1000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Similarity!$H$98:$H$109</c:f>
              <c:numCache>
                <c:formatCode>0.00</c:formatCode>
                <c:ptCount val="12"/>
                <c:pt idx="0">
                  <c:v>75.990000000000009</c:v>
                </c:pt>
                <c:pt idx="1">
                  <c:v>69.819999999999993</c:v>
                </c:pt>
                <c:pt idx="2">
                  <c:v>67.3</c:v>
                </c:pt>
                <c:pt idx="3">
                  <c:v>65.685000000000002</c:v>
                </c:pt>
                <c:pt idx="4">
                  <c:v>89.995000000000005</c:v>
                </c:pt>
                <c:pt idx="5">
                  <c:v>87.22</c:v>
                </c:pt>
                <c:pt idx="6">
                  <c:v>86.27</c:v>
                </c:pt>
                <c:pt idx="7">
                  <c:v>85.64</c:v>
                </c:pt>
                <c:pt idx="8">
                  <c:v>97.64</c:v>
                </c:pt>
                <c:pt idx="9">
                  <c:v>97.18</c:v>
                </c:pt>
                <c:pt idx="10">
                  <c:v>97.11</c:v>
                </c:pt>
                <c:pt idx="11">
                  <c:v>97.2</c:v>
                </c:pt>
              </c:numCache>
            </c:numRef>
          </c:xVal>
          <c:yVal>
            <c:numRef>
              <c:f>Similarity!$J$98:$J$109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87-4243-8C09-FEA8139B5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489136"/>
        <c:axId val="408799632"/>
      </c:scatterChart>
      <c:valAx>
        <c:axId val="408489136"/>
        <c:scaling>
          <c:orientation val="minMax"/>
          <c:max val="100"/>
          <c:min val="8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Similarity augmented vs base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JP"/>
          </a:p>
        </c:txPr>
        <c:crossAx val="408799632"/>
        <c:crosses val="autoZero"/>
        <c:crossBetween val="midCat"/>
        <c:majorUnit val="6"/>
      </c:valAx>
      <c:valAx>
        <c:axId val="4087996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KL improvement?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JP"/>
          </a:p>
        </c:txPr>
        <c:crossAx val="4084891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Predicted vs Real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Mineros!$B$3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 cmpd="tri" algn="ctr">
              <a:solidFill>
                <a:srgbClr val="0070C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accent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Mineros!$C$2:$K$2</c:f>
              <c:strCache>
                <c:ptCount val="9"/>
                <c:pt idx="0">
                  <c:v>P 1</c:v>
                </c:pt>
                <c:pt idx="1">
                  <c:v>P 2</c:v>
                </c:pt>
                <c:pt idx="2">
                  <c:v>P 3</c:v>
                </c:pt>
                <c:pt idx="3">
                  <c:v>P 4</c:v>
                </c:pt>
                <c:pt idx="4">
                  <c:v>P 5</c:v>
                </c:pt>
                <c:pt idx="5">
                  <c:v>P 6</c:v>
                </c:pt>
                <c:pt idx="6">
                  <c:v>P 7</c:v>
                </c:pt>
                <c:pt idx="7">
                  <c:v>P 8</c:v>
                </c:pt>
                <c:pt idx="8">
                  <c:v>P 9</c:v>
                </c:pt>
              </c:strCache>
            </c:strRef>
          </c:cat>
          <c:val>
            <c:numRef>
              <c:f>Mineros!$C$3:$K$3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ED-0A41-B802-6C9D4F223E72}"/>
            </c:ext>
          </c:extLst>
        </c:ser>
        <c:ser>
          <c:idx val="1"/>
          <c:order val="1"/>
          <c:tx>
            <c:strRef>
              <c:f>Mineros!$B$4</c:f>
              <c:strCache>
                <c:ptCount val="1"/>
                <c:pt idx="0">
                  <c:v>Non-aug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prstDash val="dashDot"/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Mineros!$C$2:$K$2</c:f>
              <c:strCache>
                <c:ptCount val="9"/>
                <c:pt idx="0">
                  <c:v>P 1</c:v>
                </c:pt>
                <c:pt idx="1">
                  <c:v>P 2</c:v>
                </c:pt>
                <c:pt idx="2">
                  <c:v>P 3</c:v>
                </c:pt>
                <c:pt idx="3">
                  <c:v>P 4</c:v>
                </c:pt>
                <c:pt idx="4">
                  <c:v>P 5</c:v>
                </c:pt>
                <c:pt idx="5">
                  <c:v>P 6</c:v>
                </c:pt>
                <c:pt idx="6">
                  <c:v>P 7</c:v>
                </c:pt>
                <c:pt idx="7">
                  <c:v>P 8</c:v>
                </c:pt>
                <c:pt idx="8">
                  <c:v>P 9</c:v>
                </c:pt>
              </c:strCache>
            </c:strRef>
          </c:cat>
          <c:val>
            <c:numRef>
              <c:f>Mineros!$C$4:$K$4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ED-0A41-B802-6C9D4F223E72}"/>
            </c:ext>
          </c:extLst>
        </c:ser>
        <c:ser>
          <c:idx val="3"/>
          <c:order val="2"/>
          <c:tx>
            <c:strRef>
              <c:f>Mineros!$B$5</c:f>
              <c:strCache>
                <c:ptCount val="1"/>
                <c:pt idx="0">
                  <c:v>Aug 1:5</c:v>
                </c:pt>
              </c:strCache>
            </c:strRef>
          </c:tx>
          <c:spPr>
            <a:ln w="19050" cap="rnd" cmpd="sng" algn="ctr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B05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Mineros!$C$2:$K$2</c:f>
              <c:strCache>
                <c:ptCount val="9"/>
                <c:pt idx="0">
                  <c:v>P 1</c:v>
                </c:pt>
                <c:pt idx="1">
                  <c:v>P 2</c:v>
                </c:pt>
                <c:pt idx="2">
                  <c:v>P 3</c:v>
                </c:pt>
                <c:pt idx="3">
                  <c:v>P 4</c:v>
                </c:pt>
                <c:pt idx="4">
                  <c:v>P 5</c:v>
                </c:pt>
                <c:pt idx="5">
                  <c:v>P 6</c:v>
                </c:pt>
                <c:pt idx="6">
                  <c:v>P 7</c:v>
                </c:pt>
                <c:pt idx="7">
                  <c:v>P 8</c:v>
                </c:pt>
                <c:pt idx="8">
                  <c:v>P 9</c:v>
                </c:pt>
              </c:strCache>
            </c:strRef>
          </c:cat>
          <c:val>
            <c:numRef>
              <c:f>Mineros!$C$5:$K$5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ED-0A41-B802-6C9D4F223E72}"/>
            </c:ext>
          </c:extLst>
        </c:ser>
        <c:ser>
          <c:idx val="2"/>
          <c:order val="3"/>
          <c:tx>
            <c:strRef>
              <c:f>Mineros!$B$6</c:f>
              <c:strCache>
                <c:ptCount val="1"/>
                <c:pt idx="0">
                  <c:v>SMOTE</c:v>
                </c:pt>
              </c:strCache>
            </c:strRef>
          </c:tx>
          <c:spPr>
            <a:ln w="19050" cap="rnd" cmpd="sng" algn="ctr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Mineros!$C$2:$K$2</c:f>
              <c:strCache>
                <c:ptCount val="9"/>
                <c:pt idx="0">
                  <c:v>P 1</c:v>
                </c:pt>
                <c:pt idx="1">
                  <c:v>P 2</c:v>
                </c:pt>
                <c:pt idx="2">
                  <c:v>P 3</c:v>
                </c:pt>
                <c:pt idx="3">
                  <c:v>P 4</c:v>
                </c:pt>
                <c:pt idx="4">
                  <c:v>P 5</c:v>
                </c:pt>
                <c:pt idx="5">
                  <c:v>P 6</c:v>
                </c:pt>
                <c:pt idx="6">
                  <c:v>P 7</c:v>
                </c:pt>
                <c:pt idx="7">
                  <c:v>P 8</c:v>
                </c:pt>
                <c:pt idx="8">
                  <c:v>P 9</c:v>
                </c:pt>
              </c:strCache>
            </c:strRef>
          </c:cat>
          <c:val>
            <c:numRef>
              <c:f>Mineros!$C$6:$K$6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29-9143-98FD-13D6907A210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2353935"/>
        <c:axId val="502828431"/>
      </c:lineChart>
      <c:catAx>
        <c:axId val="50235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JP"/>
          </a:p>
        </c:txPr>
        <c:crossAx val="502828431"/>
        <c:crosses val="autoZero"/>
        <c:auto val="1"/>
        <c:lblAlgn val="ctr"/>
        <c:lblOffset val="100"/>
        <c:noMultiLvlLbl val="0"/>
      </c:catAx>
      <c:valAx>
        <c:axId val="5028284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0235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JP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473807</xdr:colOff>
      <xdr:row>2</xdr:row>
      <xdr:rowOff>15630</xdr:rowOff>
    </xdr:from>
    <xdr:to>
      <xdr:col>17</xdr:col>
      <xdr:colOff>63500</xdr:colOff>
      <xdr:row>15</xdr:row>
      <xdr:rowOff>91830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B2B456D-5CFB-CC14-9983-7423A08FB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468923</xdr:colOff>
      <xdr:row>16</xdr:row>
      <xdr:rowOff>29308</xdr:rowOff>
    </xdr:from>
    <xdr:to>
      <xdr:col>17</xdr:col>
      <xdr:colOff>58616</xdr:colOff>
      <xdr:row>29</xdr:row>
      <xdr:rowOff>105508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46DD9AEB-95B7-E144-ADE2-5C313594E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615462</xdr:colOff>
      <xdr:row>30</xdr:row>
      <xdr:rowOff>195384</xdr:rowOff>
    </xdr:from>
    <xdr:to>
      <xdr:col>17</xdr:col>
      <xdr:colOff>205155</xdr:colOff>
      <xdr:row>44</xdr:row>
      <xdr:rowOff>66430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BF1991E-F956-744F-A625-31EA54D73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605691</xdr:colOff>
      <xdr:row>45</xdr:row>
      <xdr:rowOff>127000</xdr:rowOff>
    </xdr:from>
    <xdr:to>
      <xdr:col>17</xdr:col>
      <xdr:colOff>195384</xdr:colOff>
      <xdr:row>58</xdr:row>
      <xdr:rowOff>203200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A58A2EDF-BD41-8C40-AC80-BA838D119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595923</xdr:colOff>
      <xdr:row>59</xdr:row>
      <xdr:rowOff>127000</xdr:rowOff>
    </xdr:from>
    <xdr:to>
      <xdr:col>17</xdr:col>
      <xdr:colOff>185616</xdr:colOff>
      <xdr:row>72</xdr:row>
      <xdr:rowOff>203200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84DD34E8-11C5-224C-B9BF-DB04D302C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74</xdr:row>
      <xdr:rowOff>205153</xdr:rowOff>
    </xdr:from>
    <xdr:to>
      <xdr:col>17</xdr:col>
      <xdr:colOff>420077</xdr:colOff>
      <xdr:row>88</xdr:row>
      <xdr:rowOff>76200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370E6C36-0EC1-894E-910E-AB30BF136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499386</xdr:colOff>
      <xdr:row>6</xdr:row>
      <xdr:rowOff>89507</xdr:rowOff>
    </xdr:from>
    <xdr:to>
      <xdr:col>8</xdr:col>
      <xdr:colOff>118386</xdr:colOff>
      <xdr:row>19</xdr:row>
      <xdr:rowOff>191107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BBE3F2-8F73-9135-5CF5-2D5176731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5F010-BCBB-854F-BA84-9014616334E2}" name="Table1" displayName="Table1" ref="A1:J109" totalsRowShown="0" headerRowDxfId="11" dataDxfId="10">
  <autoFilter ref="A1:J109" xr:uid="{62B5F010-BCBB-854F-BA84-9014616334E2}"/>
  <tableColumns count="10">
    <tableColumn id="1" xr3:uid="{FE25F495-C250-194E-B805-98E357A7E340}" name="BN" dataDxfId="9"/>
    <tableColumn id="2" xr3:uid="{662BA016-A748-8E43-B582-6B127533605B}" name="Starter" dataDxfId="8"/>
    <tableColumn id="3" xr3:uid="{ABC4247A-0FBD-C646-A071-0773F85AC1C7}" name="Synthesizer" dataDxfId="7"/>
    <tableColumn id="4" xr3:uid="{52470BA9-A1D7-644C-A14A-FBC9CE0A184D}" name="Augmentation" dataDxfId="6"/>
    <tableColumn id="5" xr3:uid="{7F71B68D-8103-F74C-8BD3-DA9B0F10EF95}" name="Dataset" dataDxfId="5">
      <calculatedColumnFormula>_xlfn.CONCAT(A2,"-",B2,"-",C2,"-",D2)</calculatedColumnFormula>
    </tableColumn>
    <tableColumn id="6" xr3:uid="{01131427-3FCF-B049-8962-96E88590428E}" name="Column Shapes" dataDxfId="4"/>
    <tableColumn id="7" xr3:uid="{89797906-5F1B-894E-836C-446139596C18}" name="Column Pair Trends" dataDxfId="3"/>
    <tableColumn id="10" xr3:uid="{1201B1F2-ADE0-FD43-8557-75F43B8FD9BF}" name="Average" dataDxfId="2">
      <calculatedColumnFormula>AVERAGE(Table1[[#This Row],[Column Shapes]],Table1[[#This Row],[Column Pair Trends]])</calculatedColumnFormula>
    </tableColumn>
    <tableColumn id="8" xr3:uid="{D2190B93-DF19-B645-B7EC-35600B9AA5DA}" name="KL improvement" dataDxfId="1"/>
    <tableColumn id="9" xr3:uid="{9412C150-7526-8743-905E-2AD6298AAA4D}" name="Logical" dataDxfId="0">
      <calculatedColumnFormula>IF(I2&gt;0,1,0)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05CD-A889-A047-9F56-C46ACF775A53}">
  <dimension ref="A1:W19"/>
  <sheetViews>
    <sheetView zoomScale="150" zoomScaleNormal="110" workbookViewId="0">
      <selection activeCell="K4" sqref="K4"/>
    </sheetView>
  </sheetViews>
  <sheetFormatPr baseColWidth="10" defaultRowHeight="16" x14ac:dyDescent="0.2"/>
  <cols>
    <col min="1" max="1" width="13" bestFit="1" customWidth="1"/>
    <col min="2" max="2" width="20.1640625" bestFit="1" customWidth="1"/>
    <col min="3" max="12" width="10.83203125" customWidth="1"/>
  </cols>
  <sheetData>
    <row r="1" spans="1:23" ht="51" thickBot="1" x14ac:dyDescent="0.25">
      <c r="B1" s="4" t="s">
        <v>0</v>
      </c>
      <c r="C1" s="43" t="s">
        <v>1</v>
      </c>
      <c r="D1" s="44"/>
      <c r="E1" s="44"/>
      <c r="F1" s="45"/>
      <c r="G1" s="46" t="s">
        <v>2</v>
      </c>
      <c r="H1" s="47"/>
      <c r="I1" s="47"/>
      <c r="J1" s="48"/>
      <c r="K1" s="43" t="s">
        <v>3</v>
      </c>
      <c r="L1" s="44"/>
      <c r="M1" s="44"/>
      <c r="N1" s="45"/>
      <c r="S1" s="4" t="s">
        <v>0</v>
      </c>
      <c r="T1" s="43" t="s">
        <v>3</v>
      </c>
      <c r="U1" s="44"/>
      <c r="V1" s="44"/>
      <c r="W1" s="45"/>
    </row>
    <row r="2" spans="1:23" ht="25" thickBot="1" x14ac:dyDescent="0.25">
      <c r="B2" s="5"/>
      <c r="C2" s="1" t="s">
        <v>25</v>
      </c>
      <c r="D2" s="1" t="s">
        <v>11</v>
      </c>
      <c r="E2" s="1" t="s">
        <v>12</v>
      </c>
      <c r="F2" s="3" t="s">
        <v>10</v>
      </c>
      <c r="G2" s="1" t="s">
        <v>25</v>
      </c>
      <c r="H2" s="1" t="s">
        <v>11</v>
      </c>
      <c r="I2" s="1" t="s">
        <v>12</v>
      </c>
      <c r="J2" s="1" t="s">
        <v>10</v>
      </c>
      <c r="K2" s="2" t="s">
        <v>25</v>
      </c>
      <c r="L2" s="1" t="s">
        <v>11</v>
      </c>
      <c r="M2" s="1" t="s">
        <v>12</v>
      </c>
      <c r="N2" s="3" t="s">
        <v>10</v>
      </c>
      <c r="S2" s="5"/>
      <c r="T2" s="2" t="s">
        <v>25</v>
      </c>
      <c r="U2" s="1" t="s">
        <v>11</v>
      </c>
      <c r="V2" s="1" t="s">
        <v>12</v>
      </c>
      <c r="W2" s="3" t="s">
        <v>10</v>
      </c>
    </row>
    <row r="3" spans="1:23" x14ac:dyDescent="0.2">
      <c r="A3" s="49" t="s">
        <v>24</v>
      </c>
      <c r="B3" s="21" t="s">
        <v>4</v>
      </c>
      <c r="C3" s="10">
        <v>495292</v>
      </c>
      <c r="D3" s="11"/>
      <c r="E3" s="11"/>
      <c r="F3" s="12"/>
      <c r="G3" s="11"/>
      <c r="H3" s="11"/>
      <c r="I3" s="11"/>
      <c r="J3" s="11"/>
      <c r="K3" s="13"/>
      <c r="L3" s="14"/>
      <c r="M3" s="14"/>
      <c r="N3" s="15"/>
      <c r="R3" s="49" t="s">
        <v>24</v>
      </c>
      <c r="S3" s="21" t="s">
        <v>4</v>
      </c>
      <c r="T3" s="13"/>
      <c r="U3" s="14"/>
      <c r="V3" s="14"/>
      <c r="W3" s="15"/>
    </row>
    <row r="4" spans="1:23" ht="17" thickBot="1" x14ac:dyDescent="0.25">
      <c r="A4" s="50"/>
      <c r="B4" s="22" t="s">
        <v>5</v>
      </c>
      <c r="C4" s="16">
        <v>495313.3</v>
      </c>
      <c r="D4" s="17"/>
      <c r="E4" s="17"/>
      <c r="F4" s="18"/>
      <c r="G4" s="17">
        <v>10</v>
      </c>
      <c r="H4" s="17"/>
      <c r="I4" s="17"/>
      <c r="J4" s="17"/>
      <c r="K4" s="42">
        <f>0.004431672</f>
        <v>4.4316720000000002E-3</v>
      </c>
      <c r="L4" s="19"/>
      <c r="M4" s="19"/>
      <c r="N4" s="20"/>
      <c r="R4" s="50"/>
      <c r="S4" s="22" t="s">
        <v>5</v>
      </c>
      <c r="T4" s="23">
        <f>0.004431672</f>
        <v>4.4316720000000002E-3</v>
      </c>
      <c r="U4" s="19"/>
      <c r="V4" s="19"/>
      <c r="W4" s="20"/>
    </row>
    <row r="5" spans="1:23" x14ac:dyDescent="0.2">
      <c r="A5" s="49" t="s">
        <v>6</v>
      </c>
      <c r="B5" s="21" t="s">
        <v>7</v>
      </c>
      <c r="C5" s="10">
        <v>507131.3</v>
      </c>
      <c r="D5" s="11"/>
      <c r="E5" s="11"/>
      <c r="F5" s="12"/>
      <c r="G5" s="11">
        <v>10</v>
      </c>
      <c r="H5" s="11"/>
      <c r="I5" s="11"/>
      <c r="J5" s="11"/>
      <c r="K5" s="13">
        <f>4.637058254</f>
        <v>4.6370582540000003</v>
      </c>
      <c r="L5" s="14"/>
      <c r="M5" s="14"/>
      <c r="N5" s="40">
        <f>((1-N6/K6)+(1-N7/K7)+(1-N8/K8)+(1-N9/K9))/4</f>
        <v>0.51259130763553262</v>
      </c>
      <c r="R5" s="49" t="s">
        <v>6</v>
      </c>
      <c r="S5" s="21" t="s">
        <v>7</v>
      </c>
      <c r="T5" s="13">
        <f>4.637058254</f>
        <v>4.6370582540000003</v>
      </c>
      <c r="U5" s="14">
        <f>AVERAGE(U6:U9)</f>
        <v>-0.64561157786136358</v>
      </c>
      <c r="V5" s="14">
        <f t="shared" ref="V5:W5" si="0">AVERAGE(V6:V9)</f>
        <v>-2.9544107167906092E-2</v>
      </c>
      <c r="W5" s="14">
        <f t="shared" si="0"/>
        <v>0.51259130763553262</v>
      </c>
    </row>
    <row r="6" spans="1:23" x14ac:dyDescent="0.2">
      <c r="A6" s="51"/>
      <c r="B6" s="7" t="s">
        <v>26</v>
      </c>
      <c r="C6" s="29">
        <f>C5</f>
        <v>507131.3</v>
      </c>
      <c r="D6" s="9">
        <f>503599.2</f>
        <v>503599.2</v>
      </c>
      <c r="E6" s="9">
        <f>529392.4</f>
        <v>529392.4</v>
      </c>
      <c r="F6" s="30">
        <v>507352.1</v>
      </c>
      <c r="G6" s="29">
        <f>G5</f>
        <v>10</v>
      </c>
      <c r="H6" s="9">
        <v>8</v>
      </c>
      <c r="I6" s="9">
        <v>14</v>
      </c>
      <c r="J6" s="30">
        <v>13</v>
      </c>
      <c r="K6" s="37">
        <f>K5</f>
        <v>4.6370582540000003</v>
      </c>
      <c r="L6" s="38">
        <v>6.0564590000000003</v>
      </c>
      <c r="M6" s="38">
        <f>4.230852</f>
        <v>4.2308519999999996</v>
      </c>
      <c r="N6" s="39">
        <v>3.232917</v>
      </c>
      <c r="R6" s="51"/>
      <c r="S6" s="7" t="s">
        <v>26</v>
      </c>
      <c r="T6" s="37"/>
      <c r="U6" s="38">
        <f>1-L6/$K$5</f>
        <v>-0.30609939928522611</v>
      </c>
      <c r="V6" s="38">
        <f t="shared" ref="V6:W6" si="1">1-M6/$K$5</f>
        <v>8.759998942208691E-2</v>
      </c>
      <c r="W6" s="38">
        <f t="shared" si="1"/>
        <v>0.3028086293263117</v>
      </c>
    </row>
    <row r="7" spans="1:23" x14ac:dyDescent="0.2">
      <c r="A7" s="51"/>
      <c r="B7" s="7" t="s">
        <v>13</v>
      </c>
      <c r="C7" s="29">
        <f>C5</f>
        <v>507131.3</v>
      </c>
      <c r="D7" s="9">
        <v>505360.6</v>
      </c>
      <c r="E7" s="9">
        <v>570949.80000000005</v>
      </c>
      <c r="F7" s="30">
        <v>507410.9</v>
      </c>
      <c r="G7" s="29">
        <f>G5</f>
        <v>10</v>
      </c>
      <c r="H7" s="9">
        <v>12</v>
      </c>
      <c r="I7" s="9">
        <v>12</v>
      </c>
      <c r="J7" s="30">
        <v>13</v>
      </c>
      <c r="K7" s="37">
        <f>K5</f>
        <v>4.6370582540000003</v>
      </c>
      <c r="L7" s="38">
        <f>6.975192</f>
        <v>6.9751919999999998</v>
      </c>
      <c r="M7" s="38">
        <f>4.271004</f>
        <v>4.2710039999999996</v>
      </c>
      <c r="N7" s="39">
        <f>2.177391</f>
        <v>2.1773910000000001</v>
      </c>
      <c r="R7" s="51"/>
      <c r="S7" s="7" t="s">
        <v>13</v>
      </c>
      <c r="T7" s="37"/>
      <c r="U7" s="38">
        <f t="shared" ref="U7:U9" si="2">1-L7/$K$5</f>
        <v>-0.50422781382638182</v>
      </c>
      <c r="V7" s="38">
        <f t="shared" ref="V7:V9" si="3">1-M7/$K$5</f>
        <v>7.8941051405648444E-2</v>
      </c>
      <c r="W7" s="38">
        <f t="shared" ref="W7:W9" si="4">1-N7/$K$5</f>
        <v>0.53043699674858558</v>
      </c>
    </row>
    <row r="8" spans="1:23" x14ac:dyDescent="0.2">
      <c r="A8" s="51"/>
      <c r="B8" s="7" t="s">
        <v>14</v>
      </c>
      <c r="C8" s="29">
        <f>C5</f>
        <v>507131.3</v>
      </c>
      <c r="D8" s="9">
        <v>501434.7</v>
      </c>
      <c r="E8" s="9">
        <v>561437.69999999995</v>
      </c>
      <c r="F8" s="30">
        <v>507418.2</v>
      </c>
      <c r="G8" s="29">
        <f>G5</f>
        <v>10</v>
      </c>
      <c r="H8" s="9">
        <v>12</v>
      </c>
      <c r="I8" s="9">
        <v>12</v>
      </c>
      <c r="J8" s="30">
        <v>13</v>
      </c>
      <c r="K8" s="37">
        <f>K5</f>
        <v>4.6370582540000003</v>
      </c>
      <c r="L8" s="38">
        <f>8.104959</f>
        <v>8.1049589999999991</v>
      </c>
      <c r="M8" s="38">
        <f>5.529098</f>
        <v>5.5290980000000003</v>
      </c>
      <c r="N8" s="39">
        <f>1.913702</f>
        <v>1.913702</v>
      </c>
      <c r="R8" s="51"/>
      <c r="S8" s="7" t="s">
        <v>14</v>
      </c>
      <c r="T8" s="37"/>
      <c r="U8" s="38">
        <f t="shared" si="2"/>
        <v>-0.74786654728965996</v>
      </c>
      <c r="V8" s="38">
        <f t="shared" si="3"/>
        <v>-0.19237190846815699</v>
      </c>
      <c r="W8" s="38">
        <f t="shared" si="4"/>
        <v>0.58730257521582563</v>
      </c>
    </row>
    <row r="9" spans="1:23" ht="17" thickBot="1" x14ac:dyDescent="0.25">
      <c r="A9" s="50"/>
      <c r="B9" s="8" t="s">
        <v>15</v>
      </c>
      <c r="C9" s="29">
        <f>C5</f>
        <v>507131.3</v>
      </c>
      <c r="D9" s="9">
        <v>501451.2</v>
      </c>
      <c r="E9" s="9">
        <v>559348</v>
      </c>
      <c r="F9" s="30">
        <v>513304.9</v>
      </c>
      <c r="G9" s="29">
        <f>G5</f>
        <v>10</v>
      </c>
      <c r="H9" s="9">
        <v>13</v>
      </c>
      <c r="I9" s="9">
        <v>12</v>
      </c>
      <c r="J9" s="30">
        <v>15</v>
      </c>
      <c r="K9" s="37">
        <f>K5</f>
        <v>4.6370582540000003</v>
      </c>
      <c r="L9" s="38">
        <f>9.386577</f>
        <v>9.3865770000000008</v>
      </c>
      <c r="M9" s="38">
        <f>5.06527</f>
        <v>5.0652699999999999</v>
      </c>
      <c r="N9" s="39">
        <f>1.71656</f>
        <v>1.7165600000000001</v>
      </c>
      <c r="R9" s="50"/>
      <c r="S9" s="8" t="s">
        <v>15</v>
      </c>
      <c r="T9" s="37"/>
      <c r="U9" s="38">
        <f t="shared" si="2"/>
        <v>-1.0242525510441864</v>
      </c>
      <c r="V9" s="38">
        <f t="shared" si="3"/>
        <v>-9.2345561031202728E-2</v>
      </c>
      <c r="W9" s="38">
        <f t="shared" si="4"/>
        <v>0.62981702925140781</v>
      </c>
    </row>
    <row r="10" spans="1:23" x14ac:dyDescent="0.2">
      <c r="A10" s="49" t="s">
        <v>22</v>
      </c>
      <c r="B10" s="21" t="s">
        <v>8</v>
      </c>
      <c r="C10" s="10">
        <v>502547.7</v>
      </c>
      <c r="D10" s="11"/>
      <c r="E10" s="11"/>
      <c r="F10" s="12"/>
      <c r="G10" s="11">
        <v>13</v>
      </c>
      <c r="H10" s="11"/>
      <c r="I10" s="11"/>
      <c r="J10" s="11"/>
      <c r="K10" s="13">
        <f>0.657444317</f>
        <v>0.65744431699999994</v>
      </c>
      <c r="L10" s="14"/>
      <c r="M10" s="14"/>
      <c r="N10" s="40">
        <f>((1-N11/K11)+(1-N12/K12)+(1-N13/K13)+(1-N14/K14))/4</f>
        <v>0.20911959909754602</v>
      </c>
      <c r="R10" s="49" t="s">
        <v>22</v>
      </c>
      <c r="S10" s="21" t="s">
        <v>8</v>
      </c>
      <c r="T10" s="13">
        <f>0.657444317</f>
        <v>0.65744431699999994</v>
      </c>
      <c r="U10" s="14">
        <f>AVERAGE(U11:U14)</f>
        <v>-2.9641547316013992</v>
      </c>
      <c r="V10" s="14">
        <f t="shared" ref="V10" si="5">AVERAGE(V11:V14)</f>
        <v>-5.9900653654901097</v>
      </c>
      <c r="W10" s="14">
        <f t="shared" ref="W10" si="6">AVERAGE(W11:W14)</f>
        <v>0.20911959909754602</v>
      </c>
    </row>
    <row r="11" spans="1:23" x14ac:dyDescent="0.2">
      <c r="A11" s="51"/>
      <c r="B11" s="7" t="s">
        <v>26</v>
      </c>
      <c r="C11" s="29">
        <f>C10</f>
        <v>502547.7</v>
      </c>
      <c r="D11" s="9">
        <f>496862.9</f>
        <v>496862.9</v>
      </c>
      <c r="E11" s="9">
        <f>503006.3</f>
        <v>503006.3</v>
      </c>
      <c r="F11" s="30">
        <f>498324.2</f>
        <v>498324.2</v>
      </c>
      <c r="G11" s="29">
        <f>G10</f>
        <v>13</v>
      </c>
      <c r="H11" s="9">
        <v>17</v>
      </c>
      <c r="I11" s="9">
        <v>7</v>
      </c>
      <c r="J11" s="30">
        <v>7</v>
      </c>
      <c r="K11" s="37">
        <f>K10</f>
        <v>0.65744431699999994</v>
      </c>
      <c r="L11" s="38">
        <v>1.5341720000000001</v>
      </c>
      <c r="M11" s="38">
        <v>2.8370519999999999</v>
      </c>
      <c r="N11" s="39">
        <f>0.5110401</f>
        <v>0.5110401</v>
      </c>
      <c r="R11" s="51"/>
      <c r="S11" s="7" t="s">
        <v>26</v>
      </c>
      <c r="T11" s="37"/>
      <c r="U11" s="38">
        <f>1-L11/$K$10</f>
        <v>-1.3335390698951013</v>
      </c>
      <c r="V11" s="38">
        <f t="shared" ref="V11:W11" si="7">1-M11/$K$10</f>
        <v>-3.3152734408684532</v>
      </c>
      <c r="W11" s="38">
        <f t="shared" si="7"/>
        <v>0.22268686976877461</v>
      </c>
    </row>
    <row r="12" spans="1:23" x14ac:dyDescent="0.2">
      <c r="A12" s="51"/>
      <c r="B12" s="7" t="s">
        <v>16</v>
      </c>
      <c r="C12" s="29">
        <f>C10</f>
        <v>502547.7</v>
      </c>
      <c r="D12" s="9">
        <v>498543.8</v>
      </c>
      <c r="E12" s="9">
        <v>513260.79999999999</v>
      </c>
      <c r="F12" s="30">
        <v>498350.4</v>
      </c>
      <c r="G12" s="29">
        <f>G10</f>
        <v>13</v>
      </c>
      <c r="H12" s="9">
        <v>21</v>
      </c>
      <c r="I12" s="9">
        <v>11</v>
      </c>
      <c r="J12" s="30">
        <v>13</v>
      </c>
      <c r="K12" s="37">
        <f>K10</f>
        <v>0.65744431699999994</v>
      </c>
      <c r="L12" s="38">
        <f>2.189372</f>
        <v>2.1893720000000001</v>
      </c>
      <c r="M12" s="38">
        <f>4.58469</f>
        <v>4.5846900000000002</v>
      </c>
      <c r="N12" s="39">
        <f>0.4578073</f>
        <v>0.45780729999999997</v>
      </c>
      <c r="R12" s="51"/>
      <c r="S12" s="7" t="s">
        <v>16</v>
      </c>
      <c r="T12" s="37"/>
      <c r="U12" s="38">
        <f t="shared" ref="U12:U14" si="8">1-L12/$K$10</f>
        <v>-2.3301253709065071</v>
      </c>
      <c r="V12" s="38">
        <f t="shared" ref="V12:V14" si="9">1-M12/$K$10</f>
        <v>-5.9735031263491791</v>
      </c>
      <c r="W12" s="38">
        <f t="shared" ref="W12:W14" si="10">1-N12/$K$10</f>
        <v>0.3036561604349528</v>
      </c>
    </row>
    <row r="13" spans="1:23" x14ac:dyDescent="0.2">
      <c r="A13" s="51"/>
      <c r="B13" s="7" t="s">
        <v>17</v>
      </c>
      <c r="C13" s="29">
        <f>C10</f>
        <v>502547.7</v>
      </c>
      <c r="D13" s="9">
        <v>497355.6</v>
      </c>
      <c r="E13" s="9">
        <v>527655.19999999995</v>
      </c>
      <c r="F13" s="30">
        <v>498980.9</v>
      </c>
      <c r="G13" s="29">
        <f>G10</f>
        <v>13</v>
      </c>
      <c r="H13" s="9">
        <v>23</v>
      </c>
      <c r="I13" s="9">
        <v>14</v>
      </c>
      <c r="J13" s="30">
        <v>15</v>
      </c>
      <c r="K13" s="37">
        <f>K10</f>
        <v>0.65744431699999994</v>
      </c>
      <c r="L13" s="38">
        <f>2.902298</f>
        <v>2.902298</v>
      </c>
      <c r="M13" s="38">
        <f>5.17687</f>
        <v>5.1768700000000001</v>
      </c>
      <c r="N13" s="39">
        <f>0.5041809</f>
        <v>0.50418090000000004</v>
      </c>
      <c r="R13" s="51"/>
      <c r="S13" s="7" t="s">
        <v>17</v>
      </c>
      <c r="T13" s="37"/>
      <c r="U13" s="38">
        <f t="shared" si="8"/>
        <v>-3.4145153056361428</v>
      </c>
      <c r="V13" s="38">
        <f t="shared" si="9"/>
        <v>-6.874233400666844</v>
      </c>
      <c r="W13" s="38">
        <f t="shared" si="10"/>
        <v>0.23311999668558991</v>
      </c>
    </row>
    <row r="14" spans="1:23" ht="17" thickBot="1" x14ac:dyDescent="0.25">
      <c r="A14" s="50"/>
      <c r="B14" s="6" t="s">
        <v>18</v>
      </c>
      <c r="C14" s="29">
        <f>C10</f>
        <v>502547.7</v>
      </c>
      <c r="D14" s="9">
        <v>496282.4</v>
      </c>
      <c r="E14" s="9">
        <v>556612.19999999995</v>
      </c>
      <c r="F14" s="30">
        <v>497715.20000000001</v>
      </c>
      <c r="G14" s="29">
        <f>G10</f>
        <v>13</v>
      </c>
      <c r="H14" s="9">
        <v>19</v>
      </c>
      <c r="I14" s="9">
        <v>15</v>
      </c>
      <c r="J14" s="30">
        <v>18</v>
      </c>
      <c r="K14" s="37">
        <f>K10</f>
        <v>0.65744431699999994</v>
      </c>
      <c r="L14" s="38">
        <f>3.799002</f>
        <v>3.7990020000000002</v>
      </c>
      <c r="M14" s="38">
        <f>5.783703</f>
        <v>5.783703</v>
      </c>
      <c r="N14" s="39">
        <f>0.606811</f>
        <v>0.60681099999999999</v>
      </c>
      <c r="R14" s="50"/>
      <c r="S14" s="6" t="s">
        <v>18</v>
      </c>
      <c r="T14" s="37"/>
      <c r="U14" s="38">
        <f t="shared" si="8"/>
        <v>-4.7784391799678456</v>
      </c>
      <c r="V14" s="38">
        <f t="shared" si="9"/>
        <v>-7.7972514940759616</v>
      </c>
      <c r="W14" s="38">
        <f t="shared" si="10"/>
        <v>7.7015369500866737E-2</v>
      </c>
    </row>
    <row r="15" spans="1:23" x14ac:dyDescent="0.2">
      <c r="A15" s="49" t="s">
        <v>23</v>
      </c>
      <c r="B15" s="21" t="s">
        <v>9</v>
      </c>
      <c r="C15" s="10">
        <v>497971.6</v>
      </c>
      <c r="D15" s="11"/>
      <c r="E15" s="11"/>
      <c r="F15" s="12"/>
      <c r="G15" s="11">
        <v>5</v>
      </c>
      <c r="H15" s="11"/>
      <c r="I15" s="11"/>
      <c r="J15" s="11"/>
      <c r="K15" s="13">
        <f>0.602175878</f>
        <v>0.60217587800000005</v>
      </c>
      <c r="L15" s="14"/>
      <c r="M15" s="14"/>
      <c r="N15" s="40">
        <f>((1-N16/K16)+(1-N17/K17)+(1-N18/K18)+(1-N19/K19))/4</f>
        <v>0.25717420550678394</v>
      </c>
      <c r="R15" s="49" t="s">
        <v>23</v>
      </c>
      <c r="S15" s="21" t="s">
        <v>9</v>
      </c>
      <c r="T15" s="13">
        <f>0.602175878</f>
        <v>0.60217587800000005</v>
      </c>
      <c r="U15" s="14">
        <f>AVERAGE(U16:U19)</f>
        <v>-1.159726995906003</v>
      </c>
      <c r="V15" s="14">
        <f t="shared" ref="V15" si="11">AVERAGE(V16:V19)</f>
        <v>-4.1358840713974931</v>
      </c>
      <c r="W15" s="14">
        <f t="shared" ref="W15" si="12">AVERAGE(W16:W19)</f>
        <v>0.25717420550678394</v>
      </c>
    </row>
    <row r="16" spans="1:23" x14ac:dyDescent="0.2">
      <c r="A16" s="51"/>
      <c r="B16" s="7" t="s">
        <v>26</v>
      </c>
      <c r="C16" s="29">
        <f>C15</f>
        <v>497971.6</v>
      </c>
      <c r="D16" s="9">
        <f>497131.5</f>
        <v>497131.5</v>
      </c>
      <c r="E16" s="9">
        <f>498324.3</f>
        <v>498324.3</v>
      </c>
      <c r="F16" s="30">
        <f>498342.6</f>
        <v>498342.6</v>
      </c>
      <c r="G16" s="29">
        <f>G15</f>
        <v>5</v>
      </c>
      <c r="H16" s="9">
        <v>10</v>
      </c>
      <c r="I16" s="9">
        <v>15</v>
      </c>
      <c r="J16" s="30">
        <v>6</v>
      </c>
      <c r="K16" s="37">
        <f>K15</f>
        <v>0.60217587800000005</v>
      </c>
      <c r="L16" s="38">
        <v>0.81477699999999997</v>
      </c>
      <c r="M16" s="38">
        <f>2.239477</f>
        <v>2.2394769999999999</v>
      </c>
      <c r="N16" s="39">
        <f>0.4490597</f>
        <v>0.44905970000000001</v>
      </c>
      <c r="R16" s="51"/>
      <c r="S16" s="7" t="s">
        <v>26</v>
      </c>
      <c r="T16" s="37"/>
      <c r="U16" s="38">
        <f>1-L16/$K$15</f>
        <v>-0.35305486281866627</v>
      </c>
      <c r="V16" s="38">
        <f t="shared" ref="V16:W16" si="13">1-M16/$K$15</f>
        <v>-2.7189749404076924</v>
      </c>
      <c r="W16" s="38">
        <f t="shared" si="13"/>
        <v>0.2542715236427987</v>
      </c>
    </row>
    <row r="17" spans="1:23" x14ac:dyDescent="0.2">
      <c r="A17" s="51"/>
      <c r="B17" s="7" t="s">
        <v>19</v>
      </c>
      <c r="C17" s="29">
        <f>C15</f>
        <v>497971.6</v>
      </c>
      <c r="D17" s="9">
        <v>495367.6</v>
      </c>
      <c r="E17" s="9">
        <v>500795.5</v>
      </c>
      <c r="F17" s="30">
        <v>497170</v>
      </c>
      <c r="G17" s="29">
        <f>G15</f>
        <v>5</v>
      </c>
      <c r="H17" s="9">
        <v>12</v>
      </c>
      <c r="I17" s="9">
        <v>16</v>
      </c>
      <c r="J17" s="30">
        <v>13</v>
      </c>
      <c r="K17" s="37">
        <f>K15</f>
        <v>0.60217587800000005</v>
      </c>
      <c r="L17" s="38">
        <f>1.22921</f>
        <v>1.2292099999999999</v>
      </c>
      <c r="M17" s="38">
        <f>3.084743</f>
        <v>3.084743</v>
      </c>
      <c r="N17" s="39">
        <f>0.3887858</f>
        <v>0.38878580000000001</v>
      </c>
      <c r="R17" s="51"/>
      <c r="S17" s="7" t="s">
        <v>19</v>
      </c>
      <c r="T17" s="37"/>
      <c r="U17" s="38">
        <f t="shared" ref="U17:U19" si="14">1-L17/$K$15</f>
        <v>-1.0412807037082938</v>
      </c>
      <c r="V17" s="38">
        <f t="shared" ref="V17:V19" si="15">1-M17/$K$15</f>
        <v>-4.1226611903574124</v>
      </c>
      <c r="W17" s="38">
        <f t="shared" ref="W17:W19" si="16">1-N17/$K$15</f>
        <v>0.35436503818241627</v>
      </c>
    </row>
    <row r="18" spans="1:23" x14ac:dyDescent="0.2">
      <c r="A18" s="51"/>
      <c r="B18" s="7" t="s">
        <v>20</v>
      </c>
      <c r="C18" s="29">
        <f>C15</f>
        <v>497971.6</v>
      </c>
      <c r="D18" s="9">
        <v>495445.9</v>
      </c>
      <c r="E18" s="9">
        <v>501330.2</v>
      </c>
      <c r="F18" s="30">
        <v>496966.8</v>
      </c>
      <c r="G18" s="29">
        <f>G15</f>
        <v>5</v>
      </c>
      <c r="H18" s="9">
        <v>16</v>
      </c>
      <c r="I18" s="9">
        <v>21</v>
      </c>
      <c r="J18" s="30">
        <v>6</v>
      </c>
      <c r="K18" s="37">
        <f>K15</f>
        <v>0.60217587800000005</v>
      </c>
      <c r="L18" s="38">
        <f>1.438591</f>
        <v>1.438591</v>
      </c>
      <c r="M18" s="38">
        <f>3.389335</f>
        <v>3.389335</v>
      </c>
      <c r="N18" s="39">
        <f>0.4643357</f>
        <v>0.46433570000000002</v>
      </c>
      <c r="R18" s="51"/>
      <c r="S18" s="7" t="s">
        <v>20</v>
      </c>
      <c r="T18" s="37"/>
      <c r="U18" s="38">
        <f t="shared" si="14"/>
        <v>-1.3889880889582891</v>
      </c>
      <c r="V18" s="38">
        <f t="shared" si="15"/>
        <v>-4.6284801896365559</v>
      </c>
      <c r="W18" s="38">
        <f t="shared" si="16"/>
        <v>0.22890351977865186</v>
      </c>
    </row>
    <row r="19" spans="1:23" ht="17" thickBot="1" x14ac:dyDescent="0.25">
      <c r="A19" s="50"/>
      <c r="B19" s="6" t="s">
        <v>21</v>
      </c>
      <c r="C19" s="29">
        <f>C15</f>
        <v>497971.6</v>
      </c>
      <c r="D19" s="9">
        <v>495999.7</v>
      </c>
      <c r="E19" s="9">
        <v>501334.1</v>
      </c>
      <c r="F19" s="30">
        <v>497021</v>
      </c>
      <c r="G19" s="29">
        <f>G15</f>
        <v>5</v>
      </c>
      <c r="H19" s="9">
        <v>21</v>
      </c>
      <c r="I19" s="9">
        <v>22</v>
      </c>
      <c r="J19" s="30">
        <v>11</v>
      </c>
      <c r="K19" s="37">
        <f>K15</f>
        <v>0.60217587800000005</v>
      </c>
      <c r="L19" s="38">
        <f>1.719564</f>
        <v>1.7195640000000001</v>
      </c>
      <c r="M19" s="38">
        <f>3.657267</f>
        <v>3.657267</v>
      </c>
      <c r="N19" s="39">
        <f>0.4870659</f>
        <v>0.4870659</v>
      </c>
      <c r="R19" s="50"/>
      <c r="S19" s="6" t="s">
        <v>21</v>
      </c>
      <c r="T19" s="37"/>
      <c r="U19" s="38">
        <f t="shared" si="14"/>
        <v>-1.8555843281387632</v>
      </c>
      <c r="V19" s="38">
        <f t="shared" si="15"/>
        <v>-5.0734199651883092</v>
      </c>
      <c r="W19" s="38">
        <f t="shared" si="16"/>
        <v>0.19115674042326891</v>
      </c>
    </row>
  </sheetData>
  <mergeCells count="12">
    <mergeCell ref="A10:A14"/>
    <mergeCell ref="A15:A19"/>
    <mergeCell ref="R10:R14"/>
    <mergeCell ref="R15:R19"/>
    <mergeCell ref="T1:W1"/>
    <mergeCell ref="R3:R4"/>
    <mergeCell ref="R5:R9"/>
    <mergeCell ref="C1:F1"/>
    <mergeCell ref="G1:J1"/>
    <mergeCell ref="K1:N1"/>
    <mergeCell ref="A3:A4"/>
    <mergeCell ref="A5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A68C-A4F8-DB49-AB28-48401E49C564}">
  <dimension ref="A1:V19"/>
  <sheetViews>
    <sheetView zoomScale="119" zoomScaleNormal="110" workbookViewId="0">
      <selection activeCell="I10" sqref="I10"/>
    </sheetView>
  </sheetViews>
  <sheetFormatPr baseColWidth="10" defaultRowHeight="16" x14ac:dyDescent="0.2"/>
  <cols>
    <col min="1" max="1" width="13" bestFit="1" customWidth="1"/>
    <col min="2" max="2" width="20.1640625" bestFit="1" customWidth="1"/>
    <col min="8" max="12" width="10.83203125" customWidth="1"/>
  </cols>
  <sheetData>
    <row r="1" spans="1:22" ht="51" thickBot="1" x14ac:dyDescent="0.25">
      <c r="B1" s="4" t="s">
        <v>0</v>
      </c>
      <c r="C1" s="43" t="s">
        <v>1</v>
      </c>
      <c r="D1" s="44"/>
      <c r="E1" s="44"/>
      <c r="F1" s="45"/>
      <c r="G1" s="46" t="s">
        <v>2</v>
      </c>
      <c r="H1" s="47"/>
      <c r="I1" s="47"/>
      <c r="J1" s="48"/>
      <c r="K1" s="43" t="s">
        <v>3</v>
      </c>
      <c r="L1" s="44"/>
      <c r="M1" s="44"/>
      <c r="N1" s="45"/>
      <c r="R1" s="4" t="s">
        <v>0</v>
      </c>
      <c r="S1" s="43" t="s">
        <v>3</v>
      </c>
      <c r="T1" s="44"/>
      <c r="U1" s="44"/>
      <c r="V1" s="45"/>
    </row>
    <row r="2" spans="1:22" ht="25" thickBot="1" x14ac:dyDescent="0.25">
      <c r="B2" s="5"/>
      <c r="C2" s="1" t="s">
        <v>25</v>
      </c>
      <c r="D2" s="1" t="s">
        <v>11</v>
      </c>
      <c r="E2" s="1" t="s">
        <v>12</v>
      </c>
      <c r="F2" s="3" t="s">
        <v>10</v>
      </c>
      <c r="G2" s="1" t="s">
        <v>25</v>
      </c>
      <c r="H2" s="1" t="s">
        <v>11</v>
      </c>
      <c r="I2" s="1" t="s">
        <v>12</v>
      </c>
      <c r="J2" s="1" t="s">
        <v>10</v>
      </c>
      <c r="K2" s="2" t="s">
        <v>25</v>
      </c>
      <c r="L2" s="1" t="s">
        <v>11</v>
      </c>
      <c r="M2" s="1" t="s">
        <v>12</v>
      </c>
      <c r="N2" s="3" t="s">
        <v>10</v>
      </c>
      <c r="R2" s="5"/>
      <c r="S2" s="2" t="s">
        <v>25</v>
      </c>
      <c r="T2" s="1" t="s">
        <v>11</v>
      </c>
      <c r="U2" s="1" t="s">
        <v>12</v>
      </c>
      <c r="V2" s="3" t="s">
        <v>10</v>
      </c>
    </row>
    <row r="3" spans="1:22" x14ac:dyDescent="0.2">
      <c r="A3" s="49" t="s">
        <v>24</v>
      </c>
      <c r="B3" s="21" t="s">
        <v>4</v>
      </c>
      <c r="C3" s="10"/>
      <c r="D3" s="11"/>
      <c r="E3" s="11"/>
      <c r="F3" s="12"/>
      <c r="G3" s="11"/>
      <c r="H3" s="11"/>
      <c r="I3" s="11"/>
      <c r="J3" s="11"/>
      <c r="K3" s="13"/>
      <c r="L3" s="14"/>
      <c r="M3" s="14"/>
      <c r="N3" s="15"/>
      <c r="Q3" s="49" t="s">
        <v>24</v>
      </c>
      <c r="R3" s="21" t="s">
        <v>4</v>
      </c>
      <c r="S3" s="13"/>
      <c r="T3" s="14"/>
      <c r="U3" s="14"/>
      <c r="V3" s="15"/>
    </row>
    <row r="4" spans="1:22" ht="17" thickBot="1" x14ac:dyDescent="0.25">
      <c r="A4" s="50"/>
      <c r="B4" s="22" t="s">
        <v>5</v>
      </c>
      <c r="C4" s="16">
        <f>223478.8</f>
        <v>223478.8</v>
      </c>
      <c r="D4" s="17"/>
      <c r="E4" s="17"/>
      <c r="F4" s="18"/>
      <c r="G4" s="17">
        <v>0</v>
      </c>
      <c r="H4" s="17"/>
      <c r="I4" s="17"/>
      <c r="J4" s="17"/>
      <c r="K4" s="23">
        <v>0</v>
      </c>
      <c r="L4" s="19"/>
      <c r="M4" s="19"/>
      <c r="N4" s="20"/>
      <c r="Q4" s="50"/>
      <c r="R4" s="22" t="s">
        <v>5</v>
      </c>
      <c r="S4" s="23">
        <v>0</v>
      </c>
      <c r="T4" s="19"/>
      <c r="U4" s="19"/>
      <c r="V4" s="20"/>
    </row>
    <row r="5" spans="1:22" x14ac:dyDescent="0.2">
      <c r="A5" s="49" t="s">
        <v>6</v>
      </c>
      <c r="B5" s="21" t="s">
        <v>7</v>
      </c>
      <c r="C5" s="10">
        <f>226804.1</f>
        <v>226804.1</v>
      </c>
      <c r="D5" s="11"/>
      <c r="E5" s="11"/>
      <c r="F5" s="12"/>
      <c r="G5" s="11">
        <v>5</v>
      </c>
      <c r="H5" s="11"/>
      <c r="I5" s="11"/>
      <c r="J5" s="11"/>
      <c r="K5" s="13">
        <f>1.1862241</f>
        <v>1.1862241</v>
      </c>
      <c r="L5" s="14"/>
      <c r="M5" s="14"/>
      <c r="N5" s="40">
        <f>((1-N6/K6)+(1-N7/K7)+(1-N8/K8)+(1-N9/K9))/4</f>
        <v>-1.2524498111275939</v>
      </c>
      <c r="Q5" s="49" t="s">
        <v>6</v>
      </c>
      <c r="R5" s="21" t="s">
        <v>7</v>
      </c>
      <c r="S5" s="13">
        <v>1.1862241</v>
      </c>
      <c r="T5" s="14">
        <f>AVERAGE(T6:T9)</f>
        <v>-0.41027757739873943</v>
      </c>
      <c r="U5" s="14">
        <f t="shared" ref="U5:V5" si="0">AVERAGE(U6:U9)</f>
        <v>-5.5203560608825937</v>
      </c>
      <c r="V5" s="14">
        <f t="shared" si="0"/>
        <v>-1.2524498111275939</v>
      </c>
    </row>
    <row r="6" spans="1:22" x14ac:dyDescent="0.2">
      <c r="A6" s="51"/>
      <c r="B6" s="7" t="s">
        <v>26</v>
      </c>
      <c r="C6" s="29">
        <f>C5</f>
        <v>226804.1</v>
      </c>
      <c r="D6" s="9">
        <f>226502</f>
        <v>226502</v>
      </c>
      <c r="E6" s="9">
        <f>233140.1</f>
        <v>233140.1</v>
      </c>
      <c r="F6" s="30">
        <f>234660.5</f>
        <v>234660.5</v>
      </c>
      <c r="G6" s="29">
        <f>G5</f>
        <v>5</v>
      </c>
      <c r="H6" s="9">
        <v>6</v>
      </c>
      <c r="I6" s="9">
        <v>8</v>
      </c>
      <c r="J6" s="30">
        <v>10</v>
      </c>
      <c r="K6" s="31">
        <f>K5</f>
        <v>1.1862241</v>
      </c>
      <c r="L6" s="32">
        <f>1.395954</f>
        <v>1.3959539999999999</v>
      </c>
      <c r="M6" s="32">
        <f>4.092945</f>
        <v>4.0929450000000003</v>
      </c>
      <c r="N6" s="33">
        <f>1.389019</f>
        <v>1.389019</v>
      </c>
      <c r="Q6" s="51"/>
      <c r="R6" s="7" t="s">
        <v>26</v>
      </c>
      <c r="S6" s="31"/>
      <c r="T6" s="32">
        <f>1-L6/$K$5</f>
        <v>-0.17680461895859301</v>
      </c>
      <c r="U6" s="32">
        <f t="shared" ref="U6:V6" si="1">1-M6/$K$5</f>
        <v>-2.4503977789694211</v>
      </c>
      <c r="V6" s="32">
        <f t="shared" si="1"/>
        <v>-0.17095833746760003</v>
      </c>
    </row>
    <row r="7" spans="1:22" x14ac:dyDescent="0.2">
      <c r="A7" s="51"/>
      <c r="B7" s="7" t="s">
        <v>13</v>
      </c>
      <c r="C7" s="29">
        <f>C5</f>
        <v>226804.1</v>
      </c>
      <c r="D7" s="9">
        <f>230061.5</f>
        <v>230061.5</v>
      </c>
      <c r="E7" s="9">
        <f>252145.7</f>
        <v>252145.7</v>
      </c>
      <c r="F7" s="30">
        <f>240358</f>
        <v>240358</v>
      </c>
      <c r="G7" s="29">
        <f>G5</f>
        <v>5</v>
      </c>
      <c r="H7" s="9">
        <v>9</v>
      </c>
      <c r="I7" s="9">
        <v>9</v>
      </c>
      <c r="J7" s="30">
        <v>11</v>
      </c>
      <c r="K7" s="31">
        <f>K5</f>
        <v>1.1862241</v>
      </c>
      <c r="L7" s="32">
        <f>1.630622</f>
        <v>1.630622</v>
      </c>
      <c r="M7" s="32">
        <f>7.931887</f>
        <v>7.9318869999999997</v>
      </c>
      <c r="N7" s="33">
        <f>2.227635</f>
        <v>2.2276349999999998</v>
      </c>
      <c r="Q7" s="51"/>
      <c r="R7" s="7" t="s">
        <v>13</v>
      </c>
      <c r="S7" s="31"/>
      <c r="T7" s="32">
        <f t="shared" ref="T7:T9" si="2">1-L7/$K$5</f>
        <v>-0.37463233127703277</v>
      </c>
      <c r="U7" s="32">
        <f t="shared" ref="U7:U9" si="3">1-M7/$K$5</f>
        <v>-5.6866682273610865</v>
      </c>
      <c r="V7" s="32">
        <f t="shared" ref="V7:V9" si="4">1-N7/$K$5</f>
        <v>-0.87792087515335404</v>
      </c>
    </row>
    <row r="8" spans="1:22" x14ac:dyDescent="0.2">
      <c r="A8" s="51"/>
      <c r="B8" s="7" t="s">
        <v>14</v>
      </c>
      <c r="C8" s="29">
        <f>C5</f>
        <v>226804.1</v>
      </c>
      <c r="D8" s="9">
        <f>230066.3</f>
        <v>230066.3</v>
      </c>
      <c r="E8" s="9">
        <f>276178.8</f>
        <v>276178.8</v>
      </c>
      <c r="F8" s="30">
        <f>235331.2</f>
        <v>235331.20000000001</v>
      </c>
      <c r="G8" s="29">
        <f>G5</f>
        <v>5</v>
      </c>
      <c r="H8" s="9">
        <v>9</v>
      </c>
      <c r="I8" s="9">
        <v>10</v>
      </c>
      <c r="J8" s="30">
        <v>11</v>
      </c>
      <c r="K8" s="31">
        <f>K5</f>
        <v>1.1862241</v>
      </c>
      <c r="L8" s="32">
        <f>1.731325</f>
        <v>1.731325</v>
      </c>
      <c r="M8" s="32">
        <f>9.291088</f>
        <v>9.2910880000000002</v>
      </c>
      <c r="N8" s="33">
        <f>2.903782</f>
        <v>2.9037820000000001</v>
      </c>
      <c r="Q8" s="51"/>
      <c r="R8" s="7" t="s">
        <v>14</v>
      </c>
      <c r="S8" s="31"/>
      <c r="T8" s="32">
        <f t="shared" si="2"/>
        <v>-0.4595260710012552</v>
      </c>
      <c r="U8" s="32">
        <f t="shared" si="3"/>
        <v>-6.8324896619449902</v>
      </c>
      <c r="V8" s="32">
        <f t="shared" si="4"/>
        <v>-1.4479202538542255</v>
      </c>
    </row>
    <row r="9" spans="1:22" ht="17" thickBot="1" x14ac:dyDescent="0.25">
      <c r="A9" s="50"/>
      <c r="B9" s="8" t="s">
        <v>15</v>
      </c>
      <c r="C9" s="29">
        <f>C5</f>
        <v>226804.1</v>
      </c>
      <c r="D9" s="9">
        <f>230071.5</f>
        <v>230071.5</v>
      </c>
      <c r="E9" s="9">
        <f>281999</f>
        <v>281999</v>
      </c>
      <c r="F9" s="30">
        <f>235918.6</f>
        <v>235918.6</v>
      </c>
      <c r="G9" s="29">
        <f>G5</f>
        <v>5</v>
      </c>
      <c r="H9" s="9">
        <v>9</v>
      </c>
      <c r="I9" s="9">
        <v>8</v>
      </c>
      <c r="J9" s="30">
        <v>11</v>
      </c>
      <c r="K9" s="31">
        <f>K5</f>
        <v>1.1862241</v>
      </c>
      <c r="L9" s="32">
        <f>1.93372</f>
        <v>1.9337200000000001</v>
      </c>
      <c r="M9" s="32">
        <f>9.622494</f>
        <v>9.6224939999999997</v>
      </c>
      <c r="N9" s="33">
        <f>4.167205</f>
        <v>4.167205</v>
      </c>
      <c r="Q9" s="50"/>
      <c r="R9" s="8" t="s">
        <v>15</v>
      </c>
      <c r="S9" s="31"/>
      <c r="T9" s="32">
        <f t="shared" si="2"/>
        <v>-0.63014728835807676</v>
      </c>
      <c r="U9" s="32">
        <f t="shared" si="3"/>
        <v>-7.1118685752548778</v>
      </c>
      <c r="V9" s="32">
        <f t="shared" si="4"/>
        <v>-2.512999778035196</v>
      </c>
    </row>
    <row r="10" spans="1:22" x14ac:dyDescent="0.2">
      <c r="A10" s="49" t="s">
        <v>22</v>
      </c>
      <c r="B10" s="21" t="s">
        <v>8</v>
      </c>
      <c r="C10" s="10">
        <f>223467.3</f>
        <v>223467.3</v>
      </c>
      <c r="D10" s="11"/>
      <c r="E10" s="11"/>
      <c r="F10" s="12"/>
      <c r="G10" s="11">
        <v>2</v>
      </c>
      <c r="H10" s="11"/>
      <c r="I10" s="11"/>
      <c r="J10" s="11"/>
      <c r="K10" s="13">
        <f>0.7901995</f>
        <v>0.79019950000000005</v>
      </c>
      <c r="L10" s="14"/>
      <c r="M10" s="14"/>
      <c r="N10" s="40">
        <f>((1-N11/K11)+(1-N12/K12)+(1-N13/K13)+(1-N14/K14))/4</f>
        <v>0.7665455369182087</v>
      </c>
      <c r="Q10" s="49" t="s">
        <v>22</v>
      </c>
      <c r="R10" s="21" t="s">
        <v>8</v>
      </c>
      <c r="S10" s="13">
        <v>0.79019950000000005</v>
      </c>
      <c r="T10" s="14">
        <f>AVERAGE(T11:T14)</f>
        <v>-0.39775309905916162</v>
      </c>
      <c r="U10" s="14">
        <f t="shared" ref="U10" si="5">AVERAGE(U11:U14)</f>
        <v>-7.6685751509587128</v>
      </c>
      <c r="V10" s="14">
        <f t="shared" ref="V10" si="6">AVERAGE(V11:V14)</f>
        <v>0.7665455369182087</v>
      </c>
    </row>
    <row r="11" spans="1:22" x14ac:dyDescent="0.2">
      <c r="A11" s="51"/>
      <c r="B11" s="7" t="s">
        <v>26</v>
      </c>
      <c r="C11" s="29">
        <f>C10</f>
        <v>223467.3</v>
      </c>
      <c r="D11" s="9">
        <f>223494.9</f>
        <v>223494.9</v>
      </c>
      <c r="E11" s="9">
        <f>229249.5</f>
        <v>229249.5</v>
      </c>
      <c r="F11" s="30">
        <f>223474.4</f>
        <v>223474.4</v>
      </c>
      <c r="G11" s="29">
        <f>G10</f>
        <v>2</v>
      </c>
      <c r="H11" s="9">
        <v>5</v>
      </c>
      <c r="I11" s="9">
        <v>10</v>
      </c>
      <c r="J11" s="30">
        <v>1</v>
      </c>
      <c r="K11" s="31">
        <f>K10</f>
        <v>0.79019950000000005</v>
      </c>
      <c r="L11" s="32">
        <f>0.8946382</f>
        <v>0.89463820000000005</v>
      </c>
      <c r="M11" s="32">
        <f>5.775668</f>
        <v>5.7756679999999996</v>
      </c>
      <c r="N11" s="33">
        <f>0.2517844</f>
        <v>0.25178440000000002</v>
      </c>
      <c r="Q11" s="51"/>
      <c r="R11" s="7" t="s">
        <v>51</v>
      </c>
      <c r="S11" s="31"/>
      <c r="T11" s="32">
        <f>1-L11/$K$10</f>
        <v>-0.13216750959725987</v>
      </c>
      <c r="U11" s="32">
        <f t="shared" ref="U11:V11" si="7">1-M11/$K$10</f>
        <v>-6.3091263661898029</v>
      </c>
      <c r="V11" s="32">
        <f t="shared" si="7"/>
        <v>0.6813660347798246</v>
      </c>
    </row>
    <row r="12" spans="1:22" x14ac:dyDescent="0.2">
      <c r="A12" s="51"/>
      <c r="B12" s="7" t="s">
        <v>16</v>
      </c>
      <c r="C12" s="29">
        <f>C10</f>
        <v>223467.3</v>
      </c>
      <c r="D12" s="9">
        <f>223486.5</f>
        <v>223486.5</v>
      </c>
      <c r="E12" s="9">
        <f>234299</f>
        <v>234299</v>
      </c>
      <c r="F12" s="30">
        <f>223480.3</f>
        <v>223480.3</v>
      </c>
      <c r="G12" s="29">
        <f>G10</f>
        <v>2</v>
      </c>
      <c r="H12" s="9">
        <v>4</v>
      </c>
      <c r="I12" s="9">
        <v>11</v>
      </c>
      <c r="J12" s="30">
        <v>1</v>
      </c>
      <c r="K12" s="31">
        <f>K10</f>
        <v>0.79019950000000005</v>
      </c>
      <c r="L12" s="32">
        <f>1.0379807</f>
        <v>1.0379807000000001</v>
      </c>
      <c r="M12" s="32">
        <f>7.347052</f>
        <v>7.3470519999999997</v>
      </c>
      <c r="N12" s="33">
        <f>0.143948</f>
        <v>0.14394799999999999</v>
      </c>
      <c r="Q12" s="51"/>
      <c r="R12" s="7" t="s">
        <v>16</v>
      </c>
      <c r="S12" s="31"/>
      <c r="T12" s="32">
        <f t="shared" ref="T12:T14" si="8">1-L12/$K$10</f>
        <v>-0.31356790278910585</v>
      </c>
      <c r="U12" s="32">
        <f t="shared" ref="U12:U14" si="9">1-M12/$K$10</f>
        <v>-8.2977178547948949</v>
      </c>
      <c r="V12" s="32">
        <f t="shared" ref="V12:V14" si="10">1-N12/$K$10</f>
        <v>0.81783334461740353</v>
      </c>
    </row>
    <row r="13" spans="1:22" x14ac:dyDescent="0.2">
      <c r="A13" s="51"/>
      <c r="B13" s="7" t="s">
        <v>17</v>
      </c>
      <c r="C13" s="29">
        <f>C10</f>
        <v>223467.3</v>
      </c>
      <c r="D13" s="9">
        <f>225038.1</f>
        <v>225038.1</v>
      </c>
      <c r="E13" s="9">
        <f>237470</f>
        <v>237470</v>
      </c>
      <c r="F13" s="30">
        <f>223525.7</f>
        <v>223525.7</v>
      </c>
      <c r="G13" s="29">
        <f>G10</f>
        <v>2</v>
      </c>
      <c r="H13" s="9">
        <v>6</v>
      </c>
      <c r="I13" s="9">
        <v>13</v>
      </c>
      <c r="J13" s="30">
        <v>5</v>
      </c>
      <c r="K13" s="31">
        <f>K10</f>
        <v>0.79019950000000005</v>
      </c>
      <c r="L13" s="32">
        <f>1.1638774</f>
        <v>1.1638774000000001</v>
      </c>
      <c r="M13" s="32">
        <f>7.21282</f>
        <v>7.2128199999999998</v>
      </c>
      <c r="N13" s="33">
        <f>0.1828182</f>
        <v>0.18281819999999999</v>
      </c>
      <c r="Q13" s="51"/>
      <c r="R13" s="7" t="s">
        <v>17</v>
      </c>
      <c r="S13" s="31"/>
      <c r="T13" s="32">
        <f t="shared" si="8"/>
        <v>-0.47289058016361696</v>
      </c>
      <c r="U13" s="32">
        <f t="shared" si="9"/>
        <v>-8.1278468285540537</v>
      </c>
      <c r="V13" s="32">
        <f t="shared" si="10"/>
        <v>0.7686429819305125</v>
      </c>
    </row>
    <row r="14" spans="1:22" ht="17" thickBot="1" x14ac:dyDescent="0.25">
      <c r="A14" s="50"/>
      <c r="B14" s="6" t="s">
        <v>18</v>
      </c>
      <c r="C14" s="29">
        <f>C10</f>
        <v>223467.3</v>
      </c>
      <c r="D14" s="9">
        <f>226846.1</f>
        <v>226846.1</v>
      </c>
      <c r="E14" s="9">
        <f>237555.9</f>
        <v>237555.9</v>
      </c>
      <c r="F14" s="30">
        <f>223531.8</f>
        <v>223531.8</v>
      </c>
      <c r="G14" s="29">
        <f>G10</f>
        <v>2</v>
      </c>
      <c r="H14" s="9">
        <v>11</v>
      </c>
      <c r="I14" s="9">
        <v>13</v>
      </c>
      <c r="J14" s="30">
        <v>5</v>
      </c>
      <c r="K14" s="31">
        <f>K10</f>
        <v>0.79019950000000005</v>
      </c>
      <c r="L14" s="32">
        <f>1.3215189</f>
        <v>1.3215189000000001</v>
      </c>
      <c r="M14" s="32">
        <f>7.064075</f>
        <v>7.0640749999999999</v>
      </c>
      <c r="N14" s="33">
        <f>0.1593518</f>
        <v>0.15935179999999999</v>
      </c>
      <c r="Q14" s="50"/>
      <c r="R14" s="6" t="s">
        <v>18</v>
      </c>
      <c r="S14" s="31"/>
      <c r="T14" s="32">
        <f t="shared" si="8"/>
        <v>-0.6723864036866638</v>
      </c>
      <c r="U14" s="32">
        <f t="shared" si="9"/>
        <v>-7.9396095542960978</v>
      </c>
      <c r="V14" s="32">
        <f t="shared" si="10"/>
        <v>0.79833978634509384</v>
      </c>
    </row>
    <row r="15" spans="1:22" x14ac:dyDescent="0.2">
      <c r="A15" s="49" t="s">
        <v>23</v>
      </c>
      <c r="B15" s="21" t="s">
        <v>9</v>
      </c>
      <c r="C15" s="10">
        <f>223471</f>
        <v>223471</v>
      </c>
      <c r="D15" s="11"/>
      <c r="E15" s="11"/>
      <c r="F15" s="12"/>
      <c r="G15" s="11">
        <v>1</v>
      </c>
      <c r="H15" s="11"/>
      <c r="I15" s="11"/>
      <c r="J15" s="11"/>
      <c r="K15" s="13">
        <f>0.7569105</f>
        <v>0.75691050000000004</v>
      </c>
      <c r="L15" s="14"/>
      <c r="M15" s="14"/>
      <c r="N15" s="40">
        <f>((1-N16/K16)+(1-N17/K17)+(1-N18/K18)+(1-N19/K19))/4</f>
        <v>0.70515787533664809</v>
      </c>
      <c r="Q15" s="49" t="s">
        <v>23</v>
      </c>
      <c r="R15" s="21" t="s">
        <v>9</v>
      </c>
      <c r="S15" s="13">
        <v>0.75691050000000004</v>
      </c>
      <c r="T15" s="14">
        <f>AVERAGE(T16:T19)</f>
        <v>-0.25672691817592685</v>
      </c>
      <c r="U15" s="14">
        <f t="shared" ref="U15" si="11">AVERAGE(U16:U19)</f>
        <v>-2.8027616871479522</v>
      </c>
      <c r="V15" s="14">
        <f t="shared" ref="V15" si="12">AVERAGE(V16:V19)</f>
        <v>0.70515787533664809</v>
      </c>
    </row>
    <row r="16" spans="1:22" x14ac:dyDescent="0.2">
      <c r="A16" s="51"/>
      <c r="B16" s="7" t="s">
        <v>26</v>
      </c>
      <c r="C16" s="29">
        <f>C15</f>
        <v>223471</v>
      </c>
      <c r="D16" s="9">
        <f>223495.8</f>
        <v>223495.8</v>
      </c>
      <c r="E16" s="9">
        <f>226768.6</f>
        <v>226768.6</v>
      </c>
      <c r="F16" s="30">
        <f>223487.4</f>
        <v>223487.4</v>
      </c>
      <c r="G16" s="29">
        <f>G15</f>
        <v>1</v>
      </c>
      <c r="H16" s="9">
        <v>2</v>
      </c>
      <c r="I16" s="9">
        <v>14</v>
      </c>
      <c r="J16" s="30">
        <v>3</v>
      </c>
      <c r="K16" s="31">
        <f>K15</f>
        <v>0.75691050000000004</v>
      </c>
      <c r="L16" s="32">
        <f>0.8277378</f>
        <v>0.82773779999999997</v>
      </c>
      <c r="M16" s="32">
        <f>2.536753</f>
        <v>2.536753</v>
      </c>
      <c r="N16" s="33">
        <f>0.2432404</f>
        <v>0.2432404</v>
      </c>
      <c r="Q16" s="51"/>
      <c r="R16" s="7" t="s">
        <v>52</v>
      </c>
      <c r="S16" s="31"/>
      <c r="T16" s="32">
        <f>1-L16/$K$15</f>
        <v>-9.3574207254358166E-2</v>
      </c>
      <c r="U16" s="32">
        <f t="shared" ref="U16:V16" si="13">1-M16/$K$15</f>
        <v>-2.3514570084574067</v>
      </c>
      <c r="V16" s="32">
        <f t="shared" si="13"/>
        <v>0.67864047334526345</v>
      </c>
    </row>
    <row r="17" spans="1:22" x14ac:dyDescent="0.2">
      <c r="A17" s="51"/>
      <c r="B17" s="7" t="s">
        <v>19</v>
      </c>
      <c r="C17" s="29">
        <f>C15</f>
        <v>223471</v>
      </c>
      <c r="D17" s="9">
        <f>223510.8</f>
        <v>223510.8</v>
      </c>
      <c r="E17" s="9">
        <f>226595.9</f>
        <v>226595.9</v>
      </c>
      <c r="F17" s="30">
        <f>223493.9</f>
        <v>223493.9</v>
      </c>
      <c r="G17" s="29">
        <f>G15</f>
        <v>1</v>
      </c>
      <c r="H17" s="9">
        <v>3</v>
      </c>
      <c r="I17" s="9">
        <v>18</v>
      </c>
      <c r="J17" s="30">
        <v>3</v>
      </c>
      <c r="K17" s="31">
        <f>K15</f>
        <v>0.75691050000000004</v>
      </c>
      <c r="L17" s="32">
        <f>0.900519</f>
        <v>0.90051899999999996</v>
      </c>
      <c r="M17" s="32">
        <f>2.753535</f>
        <v>2.7535349999999998</v>
      </c>
      <c r="N17" s="33">
        <f>0.19038</f>
        <v>0.19037999999999999</v>
      </c>
      <c r="Q17" s="51"/>
      <c r="R17" s="7" t="s">
        <v>19</v>
      </c>
      <c r="S17" s="31"/>
      <c r="T17" s="32">
        <f t="shared" ref="T17:T19" si="14">1-L17/$K$15</f>
        <v>-0.18972982935234728</v>
      </c>
      <c r="U17" s="32">
        <f t="shared" ref="U17:U19" si="15">1-M17/$K$15</f>
        <v>-2.6378607510399177</v>
      </c>
      <c r="V17" s="32">
        <f t="shared" ref="V17:V19" si="16">1-N17/$K$15</f>
        <v>0.74847752805648748</v>
      </c>
    </row>
    <row r="18" spans="1:22" x14ac:dyDescent="0.2">
      <c r="A18" s="51"/>
      <c r="B18" s="7" t="s">
        <v>20</v>
      </c>
      <c r="C18" s="29">
        <f>C15</f>
        <v>223471</v>
      </c>
      <c r="D18" s="9">
        <f>223551.4</f>
        <v>223551.4</v>
      </c>
      <c r="E18" s="9">
        <f>226234.3</f>
        <v>226234.3</v>
      </c>
      <c r="F18" s="30">
        <f>223499.7</f>
        <v>223499.7</v>
      </c>
      <c r="G18" s="29">
        <f>G15</f>
        <v>1</v>
      </c>
      <c r="H18" s="9">
        <v>4</v>
      </c>
      <c r="I18" s="9">
        <v>16</v>
      </c>
      <c r="J18" s="30">
        <v>2</v>
      </c>
      <c r="K18" s="31">
        <f>K15</f>
        <v>0.75691050000000004</v>
      </c>
      <c r="L18" s="32">
        <f>0.9472122</f>
        <v>0.94721219999999995</v>
      </c>
      <c r="M18" s="32">
        <f>3.022254</f>
        <v>3.0222540000000002</v>
      </c>
      <c r="N18" s="33">
        <f>0.2168832</f>
        <v>0.2168832</v>
      </c>
      <c r="Q18" s="51"/>
      <c r="R18" s="7" t="s">
        <v>20</v>
      </c>
      <c r="S18" s="31"/>
      <c r="T18" s="32">
        <f t="shared" si="14"/>
        <v>-0.25141902510270353</v>
      </c>
      <c r="U18" s="32">
        <f t="shared" si="15"/>
        <v>-2.9928815890385985</v>
      </c>
      <c r="V18" s="32">
        <f t="shared" si="16"/>
        <v>0.71346255600893371</v>
      </c>
    </row>
    <row r="19" spans="1:22" ht="17" thickBot="1" x14ac:dyDescent="0.25">
      <c r="A19" s="50"/>
      <c r="B19" s="6" t="s">
        <v>21</v>
      </c>
      <c r="C19" s="29">
        <f>C15</f>
        <v>223471</v>
      </c>
      <c r="D19" s="9">
        <f>223578.7</f>
        <v>223578.7</v>
      </c>
      <c r="E19" s="9">
        <f>226331.2</f>
        <v>226331.2</v>
      </c>
      <c r="F19" s="30">
        <f>223505.9</f>
        <v>223505.9</v>
      </c>
      <c r="G19" s="29">
        <f>G15</f>
        <v>1</v>
      </c>
      <c r="H19" s="9">
        <v>8</v>
      </c>
      <c r="I19" s="9">
        <v>17</v>
      </c>
      <c r="J19" s="30">
        <v>2</v>
      </c>
      <c r="K19" s="31">
        <f>K15</f>
        <v>0.75691050000000004</v>
      </c>
      <c r="L19" s="32">
        <f>1.1294502</f>
        <v>1.1294502</v>
      </c>
      <c r="M19" s="32">
        <f>3.200859</f>
        <v>3.2008589999999999</v>
      </c>
      <c r="N19" s="33">
        <f>0.2421728</f>
        <v>0.24217279999999999</v>
      </c>
      <c r="Q19" s="50"/>
      <c r="R19" s="6" t="s">
        <v>21</v>
      </c>
      <c r="S19" s="31"/>
      <c r="T19" s="32">
        <f t="shared" si="14"/>
        <v>-0.49218461099429844</v>
      </c>
      <c r="U19" s="32">
        <f t="shared" si="15"/>
        <v>-3.2288474000558844</v>
      </c>
      <c r="V19" s="32">
        <f t="shared" si="16"/>
        <v>0.68005094393590793</v>
      </c>
    </row>
  </sheetData>
  <mergeCells count="12">
    <mergeCell ref="Q3:Q4"/>
    <mergeCell ref="Q5:Q9"/>
    <mergeCell ref="Q10:Q14"/>
    <mergeCell ref="Q15:Q19"/>
    <mergeCell ref="S1:V1"/>
    <mergeCell ref="G1:J1"/>
    <mergeCell ref="K1:N1"/>
    <mergeCell ref="A10:A14"/>
    <mergeCell ref="A15:A19"/>
    <mergeCell ref="A3:A4"/>
    <mergeCell ref="A5:A9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D9B1-BF64-1141-9B0C-2A2B5C84E7AD}">
  <dimension ref="A1:V21"/>
  <sheetViews>
    <sheetView tabSelected="1" zoomScale="118" zoomScaleNormal="118" workbookViewId="0">
      <selection activeCell="E22" sqref="E22"/>
    </sheetView>
  </sheetViews>
  <sheetFormatPr baseColWidth="10" defaultRowHeight="16" x14ac:dyDescent="0.2"/>
  <cols>
    <col min="1" max="1" width="13" bestFit="1" customWidth="1"/>
    <col min="2" max="2" width="20.1640625" bestFit="1" customWidth="1"/>
    <col min="8" max="12" width="10.83203125" customWidth="1"/>
  </cols>
  <sheetData>
    <row r="1" spans="1:22" ht="51" thickBot="1" x14ac:dyDescent="0.25">
      <c r="B1" s="4" t="s">
        <v>0</v>
      </c>
      <c r="C1" s="43" t="s">
        <v>1</v>
      </c>
      <c r="D1" s="44"/>
      <c r="E1" s="44"/>
      <c r="F1" s="45"/>
      <c r="G1" s="46" t="s">
        <v>2</v>
      </c>
      <c r="H1" s="47"/>
      <c r="I1" s="47"/>
      <c r="J1" s="48"/>
      <c r="K1" s="43" t="s">
        <v>3</v>
      </c>
      <c r="L1" s="44"/>
      <c r="M1" s="44"/>
      <c r="N1" s="45"/>
      <c r="R1" s="4" t="s">
        <v>0</v>
      </c>
      <c r="S1" s="43" t="s">
        <v>3</v>
      </c>
      <c r="T1" s="44"/>
      <c r="U1" s="44"/>
      <c r="V1" s="45"/>
    </row>
    <row r="2" spans="1:22" ht="25" thickBot="1" x14ac:dyDescent="0.25">
      <c r="B2" s="5"/>
      <c r="C2" s="1" t="s">
        <v>25</v>
      </c>
      <c r="D2" s="1" t="s">
        <v>11</v>
      </c>
      <c r="E2" s="24" t="s">
        <v>12</v>
      </c>
      <c r="F2" s="3" t="s">
        <v>10</v>
      </c>
      <c r="G2" s="1" t="s">
        <v>25</v>
      </c>
      <c r="H2" s="1" t="s">
        <v>11</v>
      </c>
      <c r="I2" s="24" t="s">
        <v>12</v>
      </c>
      <c r="J2" s="1" t="s">
        <v>10</v>
      </c>
      <c r="K2" s="2" t="s">
        <v>25</v>
      </c>
      <c r="L2" s="1" t="s">
        <v>11</v>
      </c>
      <c r="M2" s="24" t="s">
        <v>12</v>
      </c>
      <c r="N2" s="3" t="s">
        <v>10</v>
      </c>
      <c r="R2" s="5"/>
      <c r="S2" s="2" t="s">
        <v>25</v>
      </c>
      <c r="T2" s="1" t="s">
        <v>11</v>
      </c>
      <c r="U2" s="24" t="s">
        <v>12</v>
      </c>
      <c r="V2" s="3" t="s">
        <v>10</v>
      </c>
    </row>
    <row r="3" spans="1:22" x14ac:dyDescent="0.2">
      <c r="A3" s="49" t="s">
        <v>24</v>
      </c>
      <c r="B3" s="21" t="s">
        <v>4</v>
      </c>
      <c r="C3" s="10"/>
      <c r="D3" s="11"/>
      <c r="E3" s="25"/>
      <c r="F3" s="12"/>
      <c r="G3" s="11"/>
      <c r="H3" s="11"/>
      <c r="I3" s="25"/>
      <c r="J3" s="11"/>
      <c r="K3" s="13"/>
      <c r="L3" s="14"/>
      <c r="M3" s="27"/>
      <c r="N3" s="15"/>
      <c r="Q3" s="49" t="s">
        <v>24</v>
      </c>
      <c r="R3" s="21" t="s">
        <v>4</v>
      </c>
      <c r="S3" s="13"/>
      <c r="T3" s="14"/>
      <c r="U3" s="27"/>
      <c r="V3" s="15"/>
    </row>
    <row r="4" spans="1:22" ht="17" thickBot="1" x14ac:dyDescent="0.25">
      <c r="A4" s="50"/>
      <c r="B4" s="22" t="s">
        <v>5</v>
      </c>
      <c r="C4" s="16">
        <v>1074780</v>
      </c>
      <c r="D4" s="17"/>
      <c r="E4" s="26"/>
      <c r="F4" s="18"/>
      <c r="G4" s="17">
        <v>0</v>
      </c>
      <c r="H4" s="17"/>
      <c r="I4" s="26"/>
      <c r="J4" s="17"/>
      <c r="K4" s="23">
        <v>0</v>
      </c>
      <c r="L4" s="19"/>
      <c r="M4" s="28"/>
      <c r="N4" s="20"/>
      <c r="Q4" s="50"/>
      <c r="R4" s="22" t="s">
        <v>5</v>
      </c>
      <c r="S4" s="23">
        <v>0</v>
      </c>
      <c r="T4" s="19"/>
      <c r="U4" s="28"/>
      <c r="V4" s="20"/>
    </row>
    <row r="5" spans="1:22" x14ac:dyDescent="0.2">
      <c r="A5" s="49" t="s">
        <v>6</v>
      </c>
      <c r="B5" s="21" t="s">
        <v>7</v>
      </c>
      <c r="C5" s="10">
        <v>1265184</v>
      </c>
      <c r="D5" s="11"/>
      <c r="E5" s="25"/>
      <c r="F5" s="12"/>
      <c r="G5" s="11">
        <v>15</v>
      </c>
      <c r="H5" s="11"/>
      <c r="I5" s="25"/>
      <c r="J5" s="11"/>
      <c r="K5" s="10">
        <f>299.43872</f>
        <v>299.43871999999999</v>
      </c>
      <c r="L5" s="14"/>
      <c r="M5" s="27"/>
      <c r="N5" s="40">
        <f>((1-N6/K6)+(1-N7/K7)+(1-N8/K8)+(1-N9/K9))/4</f>
        <v>0.23764568590194349</v>
      </c>
      <c r="Q5" s="49" t="s">
        <v>6</v>
      </c>
      <c r="R5" s="21" t="s">
        <v>7</v>
      </c>
      <c r="S5" s="10">
        <v>299.43871999999999</v>
      </c>
      <c r="T5" s="14">
        <f>AVERAGE(T6:T9)</f>
        <v>9.2790938994128658E-3</v>
      </c>
      <c r="U5" s="14">
        <f>AVERAGE(U6:U9)</f>
        <v>0.21868688191026195</v>
      </c>
      <c r="V5" s="14">
        <f>AVERAGE(V6:V9)</f>
        <v>0.23764568590194349</v>
      </c>
    </row>
    <row r="6" spans="1:22" x14ac:dyDescent="0.2">
      <c r="A6" s="51"/>
      <c r="B6" s="7" t="s">
        <v>26</v>
      </c>
      <c r="C6" s="29">
        <f>C5</f>
        <v>1265184</v>
      </c>
      <c r="D6" s="9">
        <v>1198262</v>
      </c>
      <c r="E6" s="9"/>
      <c r="F6" s="30">
        <v>1265212</v>
      </c>
      <c r="G6" s="29">
        <f>G5</f>
        <v>15</v>
      </c>
      <c r="H6" s="9">
        <v>12</v>
      </c>
      <c r="I6" s="9"/>
      <c r="J6" s="30">
        <v>15</v>
      </c>
      <c r="K6" s="29">
        <f>K5</f>
        <v>299.43871999999999</v>
      </c>
      <c r="L6" s="9">
        <f>284.1729</f>
        <v>284.17290000000003</v>
      </c>
      <c r="M6" s="9">
        <f>326.2618</f>
        <v>326.26179999999999</v>
      </c>
      <c r="N6" s="30">
        <f>316.6905</f>
        <v>316.69049999999999</v>
      </c>
      <c r="Q6" s="51"/>
      <c r="R6" s="7" t="s">
        <v>26</v>
      </c>
      <c r="S6" s="29"/>
      <c r="T6" s="38">
        <f>1-L6/$K$5</f>
        <v>5.0981449560030034E-2</v>
      </c>
      <c r="U6" s="38">
        <f t="shared" ref="U6:U9" si="0">1-M6/$K$5</f>
        <v>-8.9577860872501747E-2</v>
      </c>
      <c r="V6" s="38">
        <f t="shared" ref="V6" si="1">1-N6/$K$5</f>
        <v>-5.7613724771465646E-2</v>
      </c>
    </row>
    <row r="7" spans="1:22" x14ac:dyDescent="0.2">
      <c r="A7" s="51"/>
      <c r="B7" s="7" t="s">
        <v>13</v>
      </c>
      <c r="C7" s="29">
        <f>C5</f>
        <v>1265184</v>
      </c>
      <c r="D7" s="9">
        <v>1198318</v>
      </c>
      <c r="E7" s="9"/>
      <c r="F7" s="30">
        <v>1259174</v>
      </c>
      <c r="G7" s="29">
        <f>G5</f>
        <v>15</v>
      </c>
      <c r="H7" s="9">
        <v>12</v>
      </c>
      <c r="I7" s="9"/>
      <c r="J7" s="30">
        <v>16</v>
      </c>
      <c r="K7" s="29">
        <f>K5</f>
        <v>299.43871999999999</v>
      </c>
      <c r="L7" s="9">
        <f>285.4235</f>
        <v>285.42349999999999</v>
      </c>
      <c r="M7" s="9">
        <f>253.8515</f>
        <v>253.85149999999999</v>
      </c>
      <c r="N7" s="30">
        <f>251.0936</f>
        <v>251.09360000000001</v>
      </c>
      <c r="Q7" s="51"/>
      <c r="R7" s="7" t="s">
        <v>13</v>
      </c>
      <c r="S7" s="29"/>
      <c r="T7" s="38">
        <f t="shared" ref="T7:T9" si="2">1-L7/$K$5</f>
        <v>4.6804968976624006E-2</v>
      </c>
      <c r="U7" s="38">
        <f t="shared" si="0"/>
        <v>0.15224223507233803</v>
      </c>
      <c r="V7" s="38">
        <f t="shared" ref="V7:V9" si="3">1-N7/$K$5</f>
        <v>0.16145246680188852</v>
      </c>
    </row>
    <row r="8" spans="1:22" x14ac:dyDescent="0.2">
      <c r="A8" s="51"/>
      <c r="B8" s="7" t="s">
        <v>14</v>
      </c>
      <c r="C8" s="29">
        <f>C5</f>
        <v>1265184</v>
      </c>
      <c r="D8" s="9">
        <v>1103786</v>
      </c>
      <c r="E8" s="9"/>
      <c r="F8" s="30">
        <v>1254879</v>
      </c>
      <c r="G8" s="29">
        <f>G5</f>
        <v>15</v>
      </c>
      <c r="H8" s="9">
        <v>8</v>
      </c>
      <c r="I8" s="9"/>
      <c r="J8" s="30">
        <v>17</v>
      </c>
      <c r="K8" s="29">
        <f>K5</f>
        <v>299.43871999999999</v>
      </c>
      <c r="L8" s="9">
        <f>307.8149</f>
        <v>307.81490000000002</v>
      </c>
      <c r="M8" s="9">
        <f>194.4961</f>
        <v>194.49610000000001</v>
      </c>
      <c r="N8" s="30">
        <f>194.6369</f>
        <v>194.6369</v>
      </c>
      <c r="Q8" s="51"/>
      <c r="R8" s="7" t="s">
        <v>14</v>
      </c>
      <c r="S8" s="29"/>
      <c r="T8" s="38">
        <f t="shared" si="2"/>
        <v>-2.7972935497453388E-2</v>
      </c>
      <c r="U8" s="38">
        <f t="shared" si="0"/>
        <v>0.35046442891553897</v>
      </c>
      <c r="V8" s="38">
        <f t="shared" si="3"/>
        <v>0.34999421584489809</v>
      </c>
    </row>
    <row r="9" spans="1:22" ht="17" thickBot="1" x14ac:dyDescent="0.25">
      <c r="A9" s="50"/>
      <c r="B9" s="8" t="s">
        <v>15</v>
      </c>
      <c r="C9" s="29">
        <f>C5</f>
        <v>1265184</v>
      </c>
      <c r="D9" s="9">
        <v>1147971</v>
      </c>
      <c r="E9" s="9"/>
      <c r="F9" s="30">
        <v>1234203</v>
      </c>
      <c r="G9" s="29">
        <f>G5</f>
        <v>15</v>
      </c>
      <c r="H9" s="9">
        <v>16</v>
      </c>
      <c r="I9" s="9"/>
      <c r="J9" s="30">
        <v>17</v>
      </c>
      <c r="K9" s="29">
        <f>K5</f>
        <v>299.43871999999999</v>
      </c>
      <c r="L9" s="9">
        <f>309.2295</f>
        <v>309.22949999999997</v>
      </c>
      <c r="M9" s="9">
        <f>161.2122</f>
        <v>161.2122</v>
      </c>
      <c r="N9" s="30">
        <f>150.6926</f>
        <v>150.6926</v>
      </c>
      <c r="Q9" s="50"/>
      <c r="R9" s="8" t="s">
        <v>15</v>
      </c>
      <c r="S9" s="29"/>
      <c r="T9" s="38">
        <f t="shared" si="2"/>
        <v>-3.2697107441549189E-2</v>
      </c>
      <c r="U9" s="38">
        <f t="shared" si="0"/>
        <v>0.46161872452567254</v>
      </c>
      <c r="V9" s="38">
        <f t="shared" si="3"/>
        <v>0.49674978573245299</v>
      </c>
    </row>
    <row r="10" spans="1:22" x14ac:dyDescent="0.2">
      <c r="A10" s="49" t="s">
        <v>22</v>
      </c>
      <c r="B10" s="21" t="s">
        <v>8</v>
      </c>
      <c r="C10" s="10">
        <v>1088583</v>
      </c>
      <c r="D10" s="11"/>
      <c r="E10" s="25"/>
      <c r="F10" s="12"/>
      <c r="G10" s="11">
        <v>6</v>
      </c>
      <c r="H10" s="11"/>
      <c r="I10" s="25"/>
      <c r="J10" s="11"/>
      <c r="K10" s="10">
        <f>133.8084</f>
        <v>133.80840000000001</v>
      </c>
      <c r="L10" s="14"/>
      <c r="M10" s="27"/>
      <c r="N10" s="40">
        <f>((1-N11/K11)+(1-N12/K12)+(1-N13/K13)+(1-N14/K14))/4</f>
        <v>0.38659650664681744</v>
      </c>
      <c r="Q10" s="49" t="s">
        <v>22</v>
      </c>
      <c r="R10" s="21" t="s">
        <v>8</v>
      </c>
      <c r="S10" s="10">
        <v>133.80840000000001</v>
      </c>
      <c r="T10" s="14">
        <f>AVERAGE(T11:T14)</f>
        <v>-0.19868091240908631</v>
      </c>
      <c r="U10" s="14">
        <f>AVERAGE(U11:U14)</f>
        <v>0.194842775191991</v>
      </c>
      <c r="V10" s="14">
        <f>AVERAGE(V11:V14)</f>
        <v>0.38659650664681744</v>
      </c>
    </row>
    <row r="11" spans="1:22" x14ac:dyDescent="0.2">
      <c r="A11" s="51"/>
      <c r="B11" s="7" t="s">
        <v>26</v>
      </c>
      <c r="C11" s="29">
        <f>C10</f>
        <v>1088583</v>
      </c>
      <c r="D11" s="9">
        <v>1100020</v>
      </c>
      <c r="E11" s="9"/>
      <c r="F11" s="30">
        <f>1088697</f>
        <v>1088697</v>
      </c>
      <c r="G11" s="29">
        <f>G10</f>
        <v>6</v>
      </c>
      <c r="H11" s="9">
        <v>16</v>
      </c>
      <c r="I11" s="9"/>
      <c r="J11" s="30">
        <v>6</v>
      </c>
      <c r="K11" s="29">
        <f>K10</f>
        <v>133.80840000000001</v>
      </c>
      <c r="L11" s="9">
        <f>146.6965</f>
        <v>146.69649999999999</v>
      </c>
      <c r="M11" s="9">
        <f>114.3127</f>
        <v>114.31270000000001</v>
      </c>
      <c r="N11" s="30">
        <f>112.66563</f>
        <v>112.66562999999999</v>
      </c>
      <c r="Q11" s="51"/>
      <c r="R11" s="7" t="s">
        <v>26</v>
      </c>
      <c r="S11" s="29"/>
      <c r="T11" s="38">
        <f>1-L11/$K$10</f>
        <v>-9.6317570496321503E-2</v>
      </c>
      <c r="U11" s="38">
        <f t="shared" ref="T11:U14" si="4">1-M11/$K$10</f>
        <v>0.14569862579628778</v>
      </c>
      <c r="V11" s="38">
        <f t="shared" ref="V11" si="5">1-N11/$K$10</f>
        <v>0.15800779323271197</v>
      </c>
    </row>
    <row r="12" spans="1:22" x14ac:dyDescent="0.2">
      <c r="A12" s="51"/>
      <c r="B12" s="7" t="s">
        <v>16</v>
      </c>
      <c r="C12" s="29">
        <f>C10</f>
        <v>1088583</v>
      </c>
      <c r="D12" s="9">
        <v>1097413</v>
      </c>
      <c r="E12" s="9"/>
      <c r="F12" s="30">
        <v>1095669</v>
      </c>
      <c r="G12" s="29">
        <f>G10</f>
        <v>6</v>
      </c>
      <c r="H12" s="9">
        <v>19</v>
      </c>
      <c r="I12" s="9"/>
      <c r="J12" s="30">
        <v>8</v>
      </c>
      <c r="K12" s="29">
        <f>K10</f>
        <v>133.80840000000001</v>
      </c>
      <c r="L12" s="9">
        <f>156.8168</f>
        <v>156.8168</v>
      </c>
      <c r="M12" s="9">
        <f>103.5427</f>
        <v>103.5427</v>
      </c>
      <c r="N12" s="30">
        <f>83.60126</f>
        <v>83.601259999999996</v>
      </c>
      <c r="Q12" s="51"/>
      <c r="R12" s="7" t="s">
        <v>16</v>
      </c>
      <c r="S12" s="29"/>
      <c r="T12" s="38">
        <f t="shared" si="4"/>
        <v>-0.17195034093524764</v>
      </c>
      <c r="U12" s="38">
        <f t="shared" si="4"/>
        <v>0.22618684626675167</v>
      </c>
      <c r="V12" s="38">
        <f t="shared" ref="V12:V14" si="6">1-N12/$K$10</f>
        <v>0.37521665306512897</v>
      </c>
    </row>
    <row r="13" spans="1:22" x14ac:dyDescent="0.2">
      <c r="A13" s="51"/>
      <c r="B13" s="7" t="s">
        <v>17</v>
      </c>
      <c r="C13" s="29">
        <f>C10</f>
        <v>1088583</v>
      </c>
      <c r="D13" s="9">
        <v>1123747</v>
      </c>
      <c r="E13" s="9"/>
      <c r="F13" s="30">
        <v>1088833</v>
      </c>
      <c r="G13" s="29">
        <f>G10</f>
        <v>6</v>
      </c>
      <c r="H13" s="9">
        <v>24</v>
      </c>
      <c r="I13" s="9"/>
      <c r="J13" s="30">
        <v>6</v>
      </c>
      <c r="K13" s="29">
        <f>K10</f>
        <v>133.80840000000001</v>
      </c>
      <c r="L13" s="9">
        <f>164.6006</f>
        <v>164.60059999999999</v>
      </c>
      <c r="M13" s="9">
        <f>106.4305</f>
        <v>106.43049999999999</v>
      </c>
      <c r="N13" s="30">
        <f>68.13944</f>
        <v>68.139439999999993</v>
      </c>
      <c r="Q13" s="51"/>
      <c r="R13" s="7" t="s">
        <v>17</v>
      </c>
      <c r="S13" s="29"/>
      <c r="T13" s="38">
        <f t="shared" si="4"/>
        <v>-0.23012157682178391</v>
      </c>
      <c r="U13" s="38">
        <f t="shared" si="4"/>
        <v>0.20460524152444848</v>
      </c>
      <c r="V13" s="38">
        <f t="shared" si="6"/>
        <v>0.49076859150845542</v>
      </c>
    </row>
    <row r="14" spans="1:22" ht="17" thickBot="1" x14ac:dyDescent="0.25">
      <c r="A14" s="50"/>
      <c r="B14" s="6" t="s">
        <v>18</v>
      </c>
      <c r="C14" s="29">
        <f>C10</f>
        <v>1088583</v>
      </c>
      <c r="D14" s="9">
        <v>1104788</v>
      </c>
      <c r="E14" s="9"/>
      <c r="F14" s="30">
        <v>1095800</v>
      </c>
      <c r="G14" s="29">
        <f>G10</f>
        <v>6</v>
      </c>
      <c r="H14" s="9">
        <v>16</v>
      </c>
      <c r="I14" s="9"/>
      <c r="J14" s="30">
        <v>8</v>
      </c>
      <c r="K14" s="29">
        <f>K10</f>
        <v>133.80840000000001</v>
      </c>
      <c r="L14" s="9">
        <f>173.4604</f>
        <v>173.46039999999999</v>
      </c>
      <c r="M14" s="9">
        <f>106.6613</f>
        <v>106.6613</v>
      </c>
      <c r="N14" s="30">
        <f>63.90783</f>
        <v>63.907829999999997</v>
      </c>
      <c r="Q14" s="50"/>
      <c r="R14" s="6" t="s">
        <v>18</v>
      </c>
      <c r="S14" s="29"/>
      <c r="T14" s="38">
        <f t="shared" si="4"/>
        <v>-0.29633416138299218</v>
      </c>
      <c r="U14" s="38">
        <f t="shared" si="4"/>
        <v>0.20288038718047607</v>
      </c>
      <c r="V14" s="38">
        <f t="shared" si="6"/>
        <v>0.52239298878097351</v>
      </c>
    </row>
    <row r="15" spans="1:22" x14ac:dyDescent="0.2">
      <c r="A15" s="49" t="s">
        <v>23</v>
      </c>
      <c r="B15" s="21" t="s">
        <v>9</v>
      </c>
      <c r="C15" s="10">
        <v>1088655</v>
      </c>
      <c r="D15" s="11"/>
      <c r="E15" s="25"/>
      <c r="F15" s="12"/>
      <c r="G15" s="11">
        <v>6</v>
      </c>
      <c r="H15" s="11"/>
      <c r="I15" s="25"/>
      <c r="J15" s="11"/>
      <c r="K15" s="10">
        <f>79.74436</f>
        <v>79.74436</v>
      </c>
      <c r="L15" s="14"/>
      <c r="M15" s="27"/>
      <c r="N15" s="40">
        <f>((1-N16/K16)+(1-N17/K17)+(1-N18/K18)+(1-N19/K19))/4</f>
        <v>0.24776084477949289</v>
      </c>
      <c r="Q15" s="49" t="s">
        <v>23</v>
      </c>
      <c r="R15" s="21" t="s">
        <v>9</v>
      </c>
      <c r="S15" s="10">
        <v>79.74436</v>
      </c>
      <c r="T15" s="14">
        <f>AVERAGE(T16:T19)</f>
        <v>-0.44551862351143073</v>
      </c>
      <c r="U15" s="14">
        <f>AVERAGE(U16:U19)</f>
        <v>-0.22179339705027418</v>
      </c>
      <c r="V15" s="14">
        <f>AVERAGE(V16:V19)</f>
        <v>0.24776084477949289</v>
      </c>
    </row>
    <row r="16" spans="1:22" x14ac:dyDescent="0.2">
      <c r="A16" s="51"/>
      <c r="B16" s="7" t="s">
        <v>26</v>
      </c>
      <c r="C16" s="29">
        <f>C15</f>
        <v>1088655</v>
      </c>
      <c r="D16" s="9">
        <f>1097104</f>
        <v>1097104</v>
      </c>
      <c r="E16" s="9"/>
      <c r="F16" s="30">
        <f>1088770</f>
        <v>1088770</v>
      </c>
      <c r="G16" s="29">
        <f>G15</f>
        <v>6</v>
      </c>
      <c r="H16" s="9">
        <v>18</v>
      </c>
      <c r="I16" s="9"/>
      <c r="J16" s="30">
        <v>6</v>
      </c>
      <c r="K16" s="29">
        <f>K15</f>
        <v>79.74436</v>
      </c>
      <c r="L16" s="9">
        <f>96.27613</f>
        <v>96.276129999999995</v>
      </c>
      <c r="M16" s="9">
        <f>90.8605</f>
        <v>90.860500000000002</v>
      </c>
      <c r="N16" s="30">
        <f>72.56136</f>
        <v>72.561359999999993</v>
      </c>
      <c r="Q16" s="51"/>
      <c r="R16" s="7" t="s">
        <v>26</v>
      </c>
      <c r="S16" s="29"/>
      <c r="T16" s="38">
        <f>1-L16/$K$15</f>
        <v>-0.20730958277174705</v>
      </c>
      <c r="U16" s="38">
        <f t="shared" ref="T16:U19" si="7">1-M16/$K$15</f>
        <v>-0.13939719373257242</v>
      </c>
      <c r="V16" s="38">
        <f t="shared" ref="V16" si="8">1-N16/$K$15</f>
        <v>9.0075335735342321E-2</v>
      </c>
    </row>
    <row r="17" spans="1:22" x14ac:dyDescent="0.2">
      <c r="A17" s="51"/>
      <c r="B17" s="7" t="s">
        <v>19</v>
      </c>
      <c r="C17" s="29">
        <f>C15</f>
        <v>1088655</v>
      </c>
      <c r="D17" s="9">
        <v>1105907</v>
      </c>
      <c r="E17" s="9"/>
      <c r="F17" s="30">
        <v>1088842</v>
      </c>
      <c r="G17" s="29">
        <f>G15</f>
        <v>6</v>
      </c>
      <c r="H17" s="9">
        <v>17</v>
      </c>
      <c r="I17" s="9"/>
      <c r="J17" s="30">
        <v>6</v>
      </c>
      <c r="K17" s="29">
        <f>K15</f>
        <v>79.74436</v>
      </c>
      <c r="L17" s="9">
        <f>108.704</f>
        <v>108.70399999999999</v>
      </c>
      <c r="M17" s="9">
        <f>93.06077</f>
        <v>93.060770000000005</v>
      </c>
      <c r="N17" s="30">
        <f>59.88029</f>
        <v>59.880290000000002</v>
      </c>
      <c r="Q17" s="51"/>
      <c r="R17" s="7" t="s">
        <v>19</v>
      </c>
      <c r="S17" s="29"/>
      <c r="T17" s="38">
        <f t="shared" si="7"/>
        <v>-0.36315596488579249</v>
      </c>
      <c r="U17" s="38">
        <f t="shared" si="7"/>
        <v>-0.16698873751071552</v>
      </c>
      <c r="V17" s="38">
        <f t="shared" ref="V17:V19" si="9">1-N17/$K$15</f>
        <v>0.24909686402900466</v>
      </c>
    </row>
    <row r="18" spans="1:22" x14ac:dyDescent="0.2">
      <c r="A18" s="51"/>
      <c r="B18" s="7" t="s">
        <v>20</v>
      </c>
      <c r="C18" s="29">
        <f>C15</f>
        <v>1088655</v>
      </c>
      <c r="D18" s="9">
        <v>1106617</v>
      </c>
      <c r="E18" s="9"/>
      <c r="F18" s="30">
        <v>1088906</v>
      </c>
      <c r="G18" s="29">
        <f>G15</f>
        <v>6</v>
      </c>
      <c r="H18" s="9">
        <v>17</v>
      </c>
      <c r="I18" s="9"/>
      <c r="J18" s="30">
        <v>6</v>
      </c>
      <c r="K18" s="29">
        <f>K15</f>
        <v>79.74436</v>
      </c>
      <c r="L18" s="9">
        <f>120.3551</f>
        <v>120.35509999999999</v>
      </c>
      <c r="M18" s="9">
        <f>98.94074</f>
        <v>98.940740000000005</v>
      </c>
      <c r="N18" s="30">
        <f>52.18886</f>
        <v>52.188859999999998</v>
      </c>
      <c r="Q18" s="51"/>
      <c r="R18" s="7" t="s">
        <v>20</v>
      </c>
      <c r="S18" s="29"/>
      <c r="T18" s="38">
        <f t="shared" si="7"/>
        <v>-0.50926159542819072</v>
      </c>
      <c r="U18" s="38">
        <f t="shared" si="7"/>
        <v>-0.24072398348923985</v>
      </c>
      <c r="V18" s="38">
        <f t="shared" si="9"/>
        <v>0.34554794846933379</v>
      </c>
    </row>
    <row r="19" spans="1:22" ht="17" thickBot="1" x14ac:dyDescent="0.25">
      <c r="A19" s="50"/>
      <c r="B19" s="6" t="s">
        <v>21</v>
      </c>
      <c r="C19" s="29">
        <f>C15</f>
        <v>1088655</v>
      </c>
      <c r="D19" s="9">
        <v>1126163</v>
      </c>
      <c r="E19" s="9"/>
      <c r="F19" s="30">
        <v>1086307</v>
      </c>
      <c r="G19" s="29">
        <f>G15</f>
        <v>6</v>
      </c>
      <c r="H19" s="9">
        <v>21</v>
      </c>
      <c r="I19" s="9"/>
      <c r="J19" s="30">
        <v>5</v>
      </c>
      <c r="K19" s="29">
        <f>K15</f>
        <v>79.74436</v>
      </c>
      <c r="L19" s="9">
        <f>135.7526</f>
        <v>135.7526</v>
      </c>
      <c r="M19" s="9">
        <f>106.86252</f>
        <v>106.86252</v>
      </c>
      <c r="N19" s="30">
        <f>55.31681</f>
        <v>55.316809999999997</v>
      </c>
      <c r="Q19" s="50"/>
      <c r="R19" s="6" t="s">
        <v>21</v>
      </c>
      <c r="S19" s="29"/>
      <c r="T19" s="38">
        <f t="shared" si="7"/>
        <v>-0.70234735095999268</v>
      </c>
      <c r="U19" s="38">
        <f t="shared" si="7"/>
        <v>-0.34006367346856892</v>
      </c>
      <c r="V19" s="38">
        <f t="shared" si="9"/>
        <v>0.30632323088429081</v>
      </c>
    </row>
    <row r="21" spans="1:22" x14ac:dyDescent="0.2">
      <c r="E21" t="s">
        <v>54</v>
      </c>
    </row>
  </sheetData>
  <mergeCells count="12">
    <mergeCell ref="Q3:Q4"/>
    <mergeCell ref="Q5:Q9"/>
    <mergeCell ref="Q10:Q14"/>
    <mergeCell ref="Q15:Q19"/>
    <mergeCell ref="S1:V1"/>
    <mergeCell ref="G1:J1"/>
    <mergeCell ref="K1:N1"/>
    <mergeCell ref="A10:A14"/>
    <mergeCell ref="A15:A19"/>
    <mergeCell ref="A3:A4"/>
    <mergeCell ref="A5:A9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8999-B5B9-B549-A79F-5BF27EECC379}">
  <dimension ref="A1:N19"/>
  <sheetViews>
    <sheetView zoomScale="125" zoomScaleNormal="100" workbookViewId="0">
      <selection activeCell="J17" sqref="J17"/>
    </sheetView>
  </sheetViews>
  <sheetFormatPr baseColWidth="10" defaultRowHeight="16" x14ac:dyDescent="0.2"/>
  <cols>
    <col min="1" max="1" width="13" bestFit="1" customWidth="1"/>
    <col min="2" max="2" width="20.1640625" bestFit="1" customWidth="1"/>
    <col min="8" max="12" width="10.83203125" customWidth="1"/>
  </cols>
  <sheetData>
    <row r="1" spans="1:14" ht="26" thickBot="1" x14ac:dyDescent="0.25">
      <c r="B1" s="4" t="s">
        <v>0</v>
      </c>
      <c r="C1" s="43" t="s">
        <v>1</v>
      </c>
      <c r="D1" s="44"/>
      <c r="E1" s="44"/>
      <c r="F1" s="45"/>
      <c r="G1" s="46" t="s">
        <v>2</v>
      </c>
      <c r="H1" s="47"/>
      <c r="I1" s="47"/>
      <c r="J1" s="48"/>
      <c r="K1" s="43" t="s">
        <v>3</v>
      </c>
      <c r="L1" s="44"/>
      <c r="M1" s="44"/>
      <c r="N1" s="45"/>
    </row>
    <row r="2" spans="1:14" ht="25" thickBot="1" x14ac:dyDescent="0.25">
      <c r="B2" s="5"/>
      <c r="C2" s="1" t="s">
        <v>25</v>
      </c>
      <c r="D2" s="1" t="s">
        <v>11</v>
      </c>
      <c r="E2" s="1" t="s">
        <v>12</v>
      </c>
      <c r="F2" s="3" t="s">
        <v>10</v>
      </c>
      <c r="G2" s="1" t="s">
        <v>25</v>
      </c>
      <c r="H2" s="1" t="s">
        <v>11</v>
      </c>
      <c r="I2" s="1" t="s">
        <v>12</v>
      </c>
      <c r="J2" s="1" t="s">
        <v>10</v>
      </c>
      <c r="K2" s="2" t="s">
        <v>25</v>
      </c>
      <c r="L2" s="1" t="s">
        <v>11</v>
      </c>
      <c r="M2" s="1" t="s">
        <v>12</v>
      </c>
      <c r="N2" s="3" t="s">
        <v>10</v>
      </c>
    </row>
    <row r="3" spans="1:14" x14ac:dyDescent="0.2">
      <c r="A3" s="49" t="s">
        <v>24</v>
      </c>
      <c r="B3" s="21" t="s">
        <v>4</v>
      </c>
      <c r="C3" s="10">
        <f>265858.6</f>
        <v>265858.59999999998</v>
      </c>
      <c r="D3" s="11"/>
      <c r="E3" s="11"/>
      <c r="F3" s="12"/>
      <c r="G3" s="11"/>
      <c r="H3" s="11"/>
      <c r="I3" s="11"/>
      <c r="J3" s="11"/>
      <c r="K3" s="13"/>
      <c r="L3" s="14"/>
      <c r="M3" s="14"/>
      <c r="N3" s="15"/>
    </row>
    <row r="4" spans="1:14" ht="17" thickBot="1" x14ac:dyDescent="0.25">
      <c r="A4" s="50"/>
      <c r="B4" s="22" t="s">
        <v>5</v>
      </c>
      <c r="C4" s="16">
        <v>265500.90000000002</v>
      </c>
      <c r="D4" s="17"/>
      <c r="E4" s="17"/>
      <c r="F4" s="18"/>
      <c r="G4" s="17">
        <v>44</v>
      </c>
      <c r="H4" s="17"/>
      <c r="I4" s="17"/>
      <c r="J4" s="17"/>
      <c r="K4" s="23">
        <f>5.103272</f>
        <v>5.1032719999999996</v>
      </c>
      <c r="L4" s="19"/>
      <c r="M4" s="19"/>
      <c r="N4" s="20"/>
    </row>
    <row r="5" spans="1:14" x14ac:dyDescent="0.2">
      <c r="A5" s="49" t="s">
        <v>6</v>
      </c>
      <c r="B5" s="21" t="s">
        <v>7</v>
      </c>
      <c r="C5" s="10">
        <v>309010.8</v>
      </c>
      <c r="D5" s="11"/>
      <c r="E5" s="11"/>
      <c r="F5" s="12"/>
      <c r="G5" s="11">
        <v>50</v>
      </c>
      <c r="H5" s="11"/>
      <c r="I5" s="11"/>
      <c r="J5" s="11"/>
      <c r="K5" s="13">
        <f>161.12084</f>
        <v>161.12083999999999</v>
      </c>
      <c r="L5" s="14"/>
      <c r="M5" s="14"/>
      <c r="N5" s="15">
        <f>((1-N6/K6)+(1-N7/K7)+(1-N8/K8)+(1-N9/K9))/4</f>
        <v>-8.5425634573405573E-3</v>
      </c>
    </row>
    <row r="6" spans="1:14" x14ac:dyDescent="0.2">
      <c r="A6" s="51"/>
      <c r="B6" s="7" t="s">
        <v>26</v>
      </c>
      <c r="C6" s="29">
        <f>C5</f>
        <v>309010.8</v>
      </c>
      <c r="D6" s="9">
        <f>306076.8</f>
        <v>306076.79999999999</v>
      </c>
      <c r="E6" s="9">
        <f>371341</f>
        <v>371341</v>
      </c>
      <c r="F6" s="30">
        <f>302068</f>
        <v>302068</v>
      </c>
      <c r="G6" s="29">
        <f>G5</f>
        <v>50</v>
      </c>
      <c r="H6" s="9">
        <v>54</v>
      </c>
      <c r="I6" s="9">
        <v>51</v>
      </c>
      <c r="J6" s="30">
        <v>54</v>
      </c>
      <c r="K6" s="29">
        <f>K5</f>
        <v>161.12083999999999</v>
      </c>
      <c r="L6" s="9">
        <v>158.9683</v>
      </c>
      <c r="M6" s="9">
        <v>235.84899999999999</v>
      </c>
      <c r="N6" s="30">
        <f>165.7261</f>
        <v>165.7261</v>
      </c>
    </row>
    <row r="7" spans="1:14" x14ac:dyDescent="0.2">
      <c r="A7" s="51"/>
      <c r="B7" s="7" t="s">
        <v>13</v>
      </c>
      <c r="C7" s="29">
        <f>C5</f>
        <v>309010.8</v>
      </c>
      <c r="D7" s="9">
        <v>302780.40000000002</v>
      </c>
      <c r="E7" s="9">
        <v>407531.8</v>
      </c>
      <c r="F7" s="30">
        <v>303763.59999999998</v>
      </c>
      <c r="G7" s="29">
        <f>G5</f>
        <v>50</v>
      </c>
      <c r="H7" s="9">
        <v>55</v>
      </c>
      <c r="I7" s="9">
        <v>53</v>
      </c>
      <c r="J7" s="30">
        <v>60</v>
      </c>
      <c r="K7" s="29">
        <f>K5</f>
        <v>161.12083999999999</v>
      </c>
      <c r="L7" s="9">
        <f>161.7437</f>
        <v>161.74369999999999</v>
      </c>
      <c r="M7" s="9">
        <f>246.9138</f>
        <v>246.91380000000001</v>
      </c>
      <c r="N7" s="30">
        <f>163.8037</f>
        <v>163.80369999999999</v>
      </c>
    </row>
    <row r="8" spans="1:14" x14ac:dyDescent="0.2">
      <c r="A8" s="51"/>
      <c r="B8" s="7" t="s">
        <v>14</v>
      </c>
      <c r="C8" s="29">
        <f>C5</f>
        <v>309010.8</v>
      </c>
      <c r="D8" s="9">
        <v>293944.3</v>
      </c>
      <c r="E8" s="9">
        <v>421300.6</v>
      </c>
      <c r="F8" s="30">
        <v>297169.8</v>
      </c>
      <c r="G8" s="29">
        <f>G5</f>
        <v>50</v>
      </c>
      <c r="H8" s="9">
        <v>59</v>
      </c>
      <c r="I8" s="9">
        <v>53</v>
      </c>
      <c r="J8" s="30">
        <v>60</v>
      </c>
      <c r="K8" s="29">
        <f>K5</f>
        <v>161.12083999999999</v>
      </c>
      <c r="L8" s="9">
        <f>171.0522</f>
        <v>171.0522</v>
      </c>
      <c r="M8" s="9">
        <f>246.7284</f>
        <v>246.72839999999999</v>
      </c>
      <c r="N8" s="30">
        <f>159.6607</f>
        <v>159.66069999999999</v>
      </c>
    </row>
    <row r="9" spans="1:14" ht="17" thickBot="1" x14ac:dyDescent="0.25">
      <c r="A9" s="50"/>
      <c r="B9" s="8" t="s">
        <v>15</v>
      </c>
      <c r="C9" s="29">
        <f>C5</f>
        <v>309010.8</v>
      </c>
      <c r="D9" s="9">
        <v>294598.09999999998</v>
      </c>
      <c r="E9" s="9">
        <v>430055.2</v>
      </c>
      <c r="F9" s="30">
        <v>288040</v>
      </c>
      <c r="G9" s="29">
        <f>G5</f>
        <v>50</v>
      </c>
      <c r="H9" s="9">
        <v>69</v>
      </c>
      <c r="I9" s="9">
        <v>52</v>
      </c>
      <c r="J9" s="30">
        <v>57</v>
      </c>
      <c r="K9" s="29">
        <f>K5</f>
        <v>161.12083999999999</v>
      </c>
      <c r="L9" s="9">
        <f>179.2789</f>
        <v>179.27889999999999</v>
      </c>
      <c r="M9" s="9">
        <f>260.6774</f>
        <v>260.67739999999998</v>
      </c>
      <c r="N9" s="33">
        <f>160.7984</f>
        <v>160.79839999999999</v>
      </c>
    </row>
    <row r="10" spans="1:14" x14ac:dyDescent="0.2">
      <c r="A10" s="49" t="s">
        <v>22</v>
      </c>
      <c r="B10" s="21" t="s">
        <v>8</v>
      </c>
      <c r="C10" s="10">
        <v>280583.59999999998</v>
      </c>
      <c r="D10" s="11"/>
      <c r="E10" s="11"/>
      <c r="F10" s="12"/>
      <c r="G10" s="11">
        <v>45</v>
      </c>
      <c r="H10" s="11"/>
      <c r="I10" s="11"/>
      <c r="J10" s="11"/>
      <c r="K10" s="13">
        <f>97.57038</f>
        <v>97.57038</v>
      </c>
      <c r="L10" s="14"/>
      <c r="M10" s="14"/>
      <c r="N10" s="15">
        <f>((1-N11/K11)+(1-N12/K12)+(1-N13/K13)+(1-N14/K14))/4</f>
        <v>-4.7034714838663172E-2</v>
      </c>
    </row>
    <row r="11" spans="1:14" x14ac:dyDescent="0.2">
      <c r="A11" s="51"/>
      <c r="B11" s="7" t="s">
        <v>26</v>
      </c>
      <c r="C11" s="29">
        <f>C10</f>
        <v>280583.59999999998</v>
      </c>
      <c r="D11" s="9">
        <f>279840.9</f>
        <v>279840.90000000002</v>
      </c>
      <c r="E11" s="9">
        <f>304915.6</f>
        <v>304915.59999999998</v>
      </c>
      <c r="F11" s="30">
        <f>274999</f>
        <v>274999</v>
      </c>
      <c r="G11" s="29">
        <f>G10</f>
        <v>45</v>
      </c>
      <c r="H11" s="9">
        <v>46</v>
      </c>
      <c r="I11" s="9">
        <v>57</v>
      </c>
      <c r="J11" s="30">
        <v>52</v>
      </c>
      <c r="K11" s="29">
        <f>K10</f>
        <v>97.57038</v>
      </c>
      <c r="L11" s="9">
        <f>104.388</f>
        <v>104.38800000000001</v>
      </c>
      <c r="M11" s="9">
        <f>165.9326</f>
        <v>165.93260000000001</v>
      </c>
      <c r="N11" s="30">
        <f>95.7838</f>
        <v>95.783799999999999</v>
      </c>
    </row>
    <row r="12" spans="1:14" x14ac:dyDescent="0.2">
      <c r="A12" s="51"/>
      <c r="B12" s="7" t="s">
        <v>16</v>
      </c>
      <c r="C12" s="29">
        <f>C10</f>
        <v>280583.59999999998</v>
      </c>
      <c r="D12" s="9">
        <v>282554.8</v>
      </c>
      <c r="E12" s="9">
        <v>329374.3</v>
      </c>
      <c r="F12" s="30">
        <v>271326.8</v>
      </c>
      <c r="G12" s="29">
        <f>G10</f>
        <v>45</v>
      </c>
      <c r="H12" s="9">
        <v>57</v>
      </c>
      <c r="I12" s="9">
        <v>57</v>
      </c>
      <c r="J12" s="30">
        <v>46</v>
      </c>
      <c r="K12" s="29">
        <f>K10</f>
        <v>97.57038</v>
      </c>
      <c r="L12" s="9">
        <f>114.3793</f>
        <v>114.3793</v>
      </c>
      <c r="M12" s="9">
        <f>191.8193</f>
        <v>191.8193</v>
      </c>
      <c r="N12" s="30">
        <f>101.0727</f>
        <v>101.0727</v>
      </c>
    </row>
    <row r="13" spans="1:14" x14ac:dyDescent="0.2">
      <c r="A13" s="51"/>
      <c r="B13" s="7" t="s">
        <v>17</v>
      </c>
      <c r="C13" s="29">
        <f>C10</f>
        <v>280583.59999999998</v>
      </c>
      <c r="D13" s="9">
        <v>290122.40000000002</v>
      </c>
      <c r="E13" s="9">
        <v>353557.4</v>
      </c>
      <c r="F13" s="30">
        <v>269332.59999999998</v>
      </c>
      <c r="G13" s="29">
        <f>G10</f>
        <v>45</v>
      </c>
      <c r="H13" s="9">
        <v>71</v>
      </c>
      <c r="I13" s="9">
        <v>61</v>
      </c>
      <c r="J13" s="30">
        <v>45</v>
      </c>
      <c r="K13" s="29">
        <f>K10</f>
        <v>97.57038</v>
      </c>
      <c r="L13" s="9">
        <f>120.2447</f>
        <v>120.24469999999999</v>
      </c>
      <c r="M13" s="9">
        <f>217.7941</f>
        <v>217.79409999999999</v>
      </c>
      <c r="N13" s="30">
        <f>107.2388</f>
        <v>107.2388</v>
      </c>
    </row>
    <row r="14" spans="1:14" ht="17" thickBot="1" x14ac:dyDescent="0.25">
      <c r="A14" s="50"/>
      <c r="B14" s="6" t="s">
        <v>18</v>
      </c>
      <c r="C14" s="29">
        <f>C10</f>
        <v>280583.59999999998</v>
      </c>
      <c r="D14" s="9">
        <v>291771.90000000002</v>
      </c>
      <c r="E14" s="9">
        <v>360692.5</v>
      </c>
      <c r="F14" s="30">
        <v>267877.90000000002</v>
      </c>
      <c r="G14" s="29">
        <f>G10</f>
        <v>45</v>
      </c>
      <c r="H14" s="9">
        <v>78</v>
      </c>
      <c r="I14" s="9">
        <v>63</v>
      </c>
      <c r="J14" s="30">
        <v>56</v>
      </c>
      <c r="K14" s="29">
        <f>K10</f>
        <v>97.57038</v>
      </c>
      <c r="L14" s="9">
        <f>124.9647</f>
        <v>124.96469999999999</v>
      </c>
      <c r="M14" s="9">
        <f>228.3075</f>
        <v>228.3075</v>
      </c>
      <c r="N14" s="30">
        <f>104.543</f>
        <v>104.54300000000001</v>
      </c>
    </row>
    <row r="15" spans="1:14" x14ac:dyDescent="0.2">
      <c r="A15" s="49" t="s">
        <v>23</v>
      </c>
      <c r="B15" s="21" t="s">
        <v>9</v>
      </c>
      <c r="C15" s="10">
        <v>271804.40000000002</v>
      </c>
      <c r="D15" s="11"/>
      <c r="E15" s="11"/>
      <c r="F15" s="12"/>
      <c r="G15" s="11">
        <v>43</v>
      </c>
      <c r="H15" s="11"/>
      <c r="I15" s="11"/>
      <c r="J15" s="11"/>
      <c r="K15" s="13">
        <f>71.87497</f>
        <v>71.874970000000005</v>
      </c>
      <c r="L15" s="14"/>
      <c r="M15" s="14"/>
      <c r="N15" s="15">
        <f>((1-N16/K16)+(1-N17/K17)+(1-N18/K18)+(1-N19/K19))/4</f>
        <v>-0.38245198571908956</v>
      </c>
    </row>
    <row r="16" spans="1:14" x14ac:dyDescent="0.2">
      <c r="A16" s="51"/>
      <c r="B16" s="7" t="s">
        <v>26</v>
      </c>
      <c r="C16" s="29">
        <f>C15</f>
        <v>271804.40000000002</v>
      </c>
      <c r="D16" s="9">
        <f>277337.1</f>
        <v>277337.09999999998</v>
      </c>
      <c r="E16" s="9">
        <f>288683.8</f>
        <v>288683.8</v>
      </c>
      <c r="F16" s="30">
        <f>269810.2</f>
        <v>269810.2</v>
      </c>
      <c r="G16" s="29">
        <f>G15</f>
        <v>43</v>
      </c>
      <c r="H16" s="9">
        <v>62</v>
      </c>
      <c r="I16" s="9">
        <v>56</v>
      </c>
      <c r="J16" s="30">
        <v>49</v>
      </c>
      <c r="K16" s="29">
        <f>K15</f>
        <v>71.874970000000005</v>
      </c>
      <c r="L16" s="9">
        <v>88.11618</v>
      </c>
      <c r="M16" s="9">
        <f>141.5048</f>
        <v>141.50479999999999</v>
      </c>
      <c r="N16" s="30">
        <f>88.51598</f>
        <v>88.515979999999999</v>
      </c>
    </row>
    <row r="17" spans="1:14" x14ac:dyDescent="0.2">
      <c r="A17" s="51"/>
      <c r="B17" s="7" t="s">
        <v>19</v>
      </c>
      <c r="C17" s="29">
        <f>C15</f>
        <v>271804.40000000002</v>
      </c>
      <c r="D17" s="9">
        <v>279596.90000000002</v>
      </c>
      <c r="E17" s="9">
        <v>295689.3</v>
      </c>
      <c r="F17" s="30">
        <v>268209.2</v>
      </c>
      <c r="G17" s="29">
        <f>G15</f>
        <v>43</v>
      </c>
      <c r="H17" s="9">
        <v>59</v>
      </c>
      <c r="I17" s="9">
        <v>53</v>
      </c>
      <c r="J17" s="30">
        <v>43</v>
      </c>
      <c r="K17" s="29">
        <f>K15</f>
        <v>71.874970000000005</v>
      </c>
      <c r="L17" s="9">
        <f>96.48331</f>
        <v>96.483310000000003</v>
      </c>
      <c r="M17" s="9">
        <f>193.7138</f>
        <v>193.71379999999999</v>
      </c>
      <c r="N17" s="30">
        <f>100.3748</f>
        <v>100.37479999999999</v>
      </c>
    </row>
    <row r="18" spans="1:14" x14ac:dyDescent="0.2">
      <c r="A18" s="51"/>
      <c r="B18" s="7" t="s">
        <v>20</v>
      </c>
      <c r="C18" s="29">
        <f>C15</f>
        <v>271804.40000000002</v>
      </c>
      <c r="D18" s="9">
        <v>282342.3</v>
      </c>
      <c r="E18" s="9">
        <v>313151.8</v>
      </c>
      <c r="F18" s="30">
        <v>268229.90000000002</v>
      </c>
      <c r="G18" s="29">
        <f>G15</f>
        <v>43</v>
      </c>
      <c r="H18" s="9">
        <v>70</v>
      </c>
      <c r="I18" s="9">
        <v>61</v>
      </c>
      <c r="J18" s="30">
        <v>45</v>
      </c>
      <c r="K18" s="29">
        <f>K15</f>
        <v>71.874970000000005</v>
      </c>
      <c r="L18" s="9">
        <f>101.36885</f>
        <v>101.36884999999999</v>
      </c>
      <c r="M18" s="9">
        <f>230.7222</f>
        <v>230.72219999999999</v>
      </c>
      <c r="N18" s="30">
        <f>103.0678</f>
        <v>103.06780000000001</v>
      </c>
    </row>
    <row r="19" spans="1:14" ht="17" thickBot="1" x14ac:dyDescent="0.25">
      <c r="A19" s="50"/>
      <c r="B19" s="6" t="s">
        <v>21</v>
      </c>
      <c r="C19" s="29">
        <f>C15</f>
        <v>271804.40000000002</v>
      </c>
      <c r="D19" s="9">
        <v>284347.40000000002</v>
      </c>
      <c r="E19" s="9">
        <v>319509.8</v>
      </c>
      <c r="F19" s="30">
        <v>268099.09999999998</v>
      </c>
      <c r="G19" s="29">
        <f>G15</f>
        <v>43</v>
      </c>
      <c r="H19" s="9">
        <v>81</v>
      </c>
      <c r="I19" s="9">
        <v>65</v>
      </c>
      <c r="J19" s="30">
        <v>58</v>
      </c>
      <c r="K19" s="29">
        <f>K15</f>
        <v>71.874970000000005</v>
      </c>
      <c r="L19" s="9">
        <f>111.96045</f>
        <v>111.96044999999999</v>
      </c>
      <c r="M19" s="9">
        <f>257.1621</f>
        <v>257.16210000000001</v>
      </c>
      <c r="N19" s="30">
        <f>105.4962</f>
        <v>105.4962</v>
      </c>
    </row>
  </sheetData>
  <mergeCells count="7">
    <mergeCell ref="G1:J1"/>
    <mergeCell ref="K1:N1"/>
    <mergeCell ref="A15:A19"/>
    <mergeCell ref="A3:A4"/>
    <mergeCell ref="A5:A9"/>
    <mergeCell ref="A10:A14"/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BC02-C12E-7141-99FB-07FBC97C56C1}">
  <dimension ref="A1:N19"/>
  <sheetViews>
    <sheetView zoomScale="125" zoomScaleNormal="100" workbookViewId="0">
      <selection activeCell="B14" sqref="B14"/>
    </sheetView>
  </sheetViews>
  <sheetFormatPr baseColWidth="10" defaultRowHeight="16" x14ac:dyDescent="0.2"/>
  <cols>
    <col min="1" max="1" width="13" bestFit="1" customWidth="1"/>
    <col min="2" max="2" width="20.1640625" bestFit="1" customWidth="1"/>
    <col min="8" max="12" width="10.83203125" customWidth="1"/>
  </cols>
  <sheetData>
    <row r="1" spans="1:14" ht="26" thickBot="1" x14ac:dyDescent="0.25">
      <c r="B1" s="4" t="s">
        <v>0</v>
      </c>
      <c r="C1" s="43" t="s">
        <v>1</v>
      </c>
      <c r="D1" s="44"/>
      <c r="E1" s="44"/>
      <c r="F1" s="45"/>
      <c r="G1" s="46" t="s">
        <v>2</v>
      </c>
      <c r="H1" s="47"/>
      <c r="I1" s="47"/>
      <c r="J1" s="48"/>
      <c r="K1" s="43" t="s">
        <v>3</v>
      </c>
      <c r="L1" s="44"/>
      <c r="M1" s="44"/>
      <c r="N1" s="45"/>
    </row>
    <row r="2" spans="1:14" ht="25" thickBot="1" x14ac:dyDescent="0.25">
      <c r="B2" s="5"/>
      <c r="C2" s="1" t="s">
        <v>25</v>
      </c>
      <c r="D2" s="1" t="s">
        <v>11</v>
      </c>
      <c r="E2" s="1" t="s">
        <v>12</v>
      </c>
      <c r="F2" s="3" t="s">
        <v>10</v>
      </c>
      <c r="G2" s="1" t="s">
        <v>25</v>
      </c>
      <c r="H2" s="1" t="s">
        <v>11</v>
      </c>
      <c r="I2" s="1" t="s">
        <v>12</v>
      </c>
      <c r="J2" s="1" t="s">
        <v>10</v>
      </c>
      <c r="K2" s="2" t="s">
        <v>25</v>
      </c>
      <c r="L2" s="1" t="s">
        <v>11</v>
      </c>
      <c r="M2" s="1" t="s">
        <v>12</v>
      </c>
      <c r="N2" s="3" t="s">
        <v>10</v>
      </c>
    </row>
    <row r="3" spans="1:14" x14ac:dyDescent="0.2">
      <c r="A3" s="49" t="s">
        <v>24</v>
      </c>
      <c r="B3" s="21" t="s">
        <v>4</v>
      </c>
      <c r="C3" s="10">
        <v>1046730</v>
      </c>
      <c r="D3" s="11"/>
      <c r="E3" s="11"/>
      <c r="F3" s="12"/>
      <c r="G3" s="11"/>
      <c r="H3" s="11"/>
      <c r="I3" s="11"/>
      <c r="J3" s="11"/>
      <c r="K3" s="13"/>
      <c r="L3" s="14"/>
      <c r="M3" s="14"/>
      <c r="N3" s="15"/>
    </row>
    <row r="4" spans="1:14" ht="17" thickBot="1" x14ac:dyDescent="0.25">
      <c r="A4" s="50"/>
      <c r="B4" s="22" t="s">
        <v>5</v>
      </c>
      <c r="C4" s="16">
        <v>1046630</v>
      </c>
      <c r="D4" s="17"/>
      <c r="E4" s="17"/>
      <c r="F4" s="18"/>
      <c r="G4" s="17">
        <v>1</v>
      </c>
      <c r="H4" s="17"/>
      <c r="I4" s="17"/>
      <c r="J4" s="17"/>
      <c r="K4" s="23">
        <v>0</v>
      </c>
      <c r="L4" s="19"/>
      <c r="M4" s="19"/>
      <c r="N4" s="20"/>
    </row>
    <row r="5" spans="1:14" x14ac:dyDescent="0.2">
      <c r="A5" s="49" t="s">
        <v>6</v>
      </c>
      <c r="B5" s="21" t="s">
        <v>7</v>
      </c>
      <c r="C5" s="10">
        <v>1237774</v>
      </c>
      <c r="D5" s="11"/>
      <c r="E5" s="11"/>
      <c r="F5" s="12"/>
      <c r="G5" s="11">
        <v>51</v>
      </c>
      <c r="H5" s="11"/>
      <c r="I5" s="11"/>
      <c r="J5" s="11"/>
      <c r="K5" s="13">
        <f>94.97542</f>
        <v>94.97542</v>
      </c>
      <c r="L5" s="14"/>
      <c r="M5" s="14"/>
      <c r="N5" s="15">
        <f>((1-N6/K6)+(1-N7/K7)+(1-N8/K8)+(1-N9/K9))/4</f>
        <v>-0.71558941250272967</v>
      </c>
    </row>
    <row r="6" spans="1:14" x14ac:dyDescent="0.2">
      <c r="A6" s="51"/>
      <c r="B6" s="7" t="s">
        <v>26</v>
      </c>
      <c r="C6" s="29">
        <f>C5</f>
        <v>1237774</v>
      </c>
      <c r="D6" s="9">
        <f>1277971</f>
        <v>1277971</v>
      </c>
      <c r="E6" s="9">
        <f>1555392</f>
        <v>1555392</v>
      </c>
      <c r="F6" s="30">
        <f>1247923</f>
        <v>1247923</v>
      </c>
      <c r="G6" s="29">
        <f>G5</f>
        <v>51</v>
      </c>
      <c r="H6" s="9">
        <v>57</v>
      </c>
      <c r="I6" s="9">
        <v>53</v>
      </c>
      <c r="J6" s="30">
        <v>54</v>
      </c>
      <c r="K6" s="29">
        <f>K5</f>
        <v>94.97542</v>
      </c>
      <c r="L6" s="9">
        <v>111.3018</v>
      </c>
      <c r="M6" s="9">
        <f>169.9041</f>
        <v>169.9041</v>
      </c>
      <c r="N6" s="30">
        <v>152.96440000000001</v>
      </c>
    </row>
    <row r="7" spans="1:14" x14ac:dyDescent="0.2">
      <c r="A7" s="51"/>
      <c r="B7" s="7" t="s">
        <v>13</v>
      </c>
      <c r="C7" s="29">
        <f>C5</f>
        <v>1237774</v>
      </c>
      <c r="D7" s="9">
        <v>1264016</v>
      </c>
      <c r="E7" s="9">
        <v>1701713</v>
      </c>
      <c r="F7" s="30">
        <v>1237335</v>
      </c>
      <c r="G7" s="29">
        <f>G5</f>
        <v>51</v>
      </c>
      <c r="H7" s="9">
        <v>63</v>
      </c>
      <c r="I7" s="9">
        <v>54</v>
      </c>
      <c r="J7" s="30">
        <v>54</v>
      </c>
      <c r="K7" s="29">
        <f>K5</f>
        <v>94.97542</v>
      </c>
      <c r="L7" s="9">
        <f>123.4803</f>
        <v>123.4803</v>
      </c>
      <c r="M7" s="9">
        <f>205.0176</f>
        <v>205.01759999999999</v>
      </c>
      <c r="N7" s="30">
        <f>163.0689</f>
        <v>163.06890000000001</v>
      </c>
    </row>
    <row r="8" spans="1:14" x14ac:dyDescent="0.2">
      <c r="A8" s="51"/>
      <c r="B8" s="7" t="s">
        <v>14</v>
      </c>
      <c r="C8" s="29">
        <f>C5</f>
        <v>1237774</v>
      </c>
      <c r="D8" s="9">
        <v>1286028</v>
      </c>
      <c r="E8" s="9">
        <v>1919948</v>
      </c>
      <c r="F8" s="30">
        <v>1233268</v>
      </c>
      <c r="G8" s="29">
        <f>G5</f>
        <v>51</v>
      </c>
      <c r="H8" s="9">
        <v>69</v>
      </c>
      <c r="I8" s="9">
        <v>50</v>
      </c>
      <c r="J8" s="30">
        <v>61</v>
      </c>
      <c r="K8" s="29">
        <f>K5</f>
        <v>94.97542</v>
      </c>
      <c r="L8" s="9">
        <f>136.3884</f>
        <v>136.38839999999999</v>
      </c>
      <c r="M8" s="9">
        <f>227.4853</f>
        <v>227.4853</v>
      </c>
      <c r="N8" s="30">
        <f>162.5597</f>
        <v>162.55969999999999</v>
      </c>
    </row>
    <row r="9" spans="1:14" ht="17" thickBot="1" x14ac:dyDescent="0.25">
      <c r="A9" s="50"/>
      <c r="B9" s="8" t="s">
        <v>15</v>
      </c>
      <c r="C9" s="29">
        <f>C5</f>
        <v>1237774</v>
      </c>
      <c r="D9" s="9">
        <v>1284232</v>
      </c>
      <c r="E9" s="9">
        <f>1952061</f>
        <v>1952061</v>
      </c>
      <c r="F9" s="30">
        <v>1227892</v>
      </c>
      <c r="G9" s="29">
        <f>G5</f>
        <v>51</v>
      </c>
      <c r="H9" s="9">
        <v>71</v>
      </c>
      <c r="I9" s="9">
        <v>50</v>
      </c>
      <c r="J9" s="30">
        <v>62</v>
      </c>
      <c r="K9" s="29">
        <f>K5</f>
        <v>94.97542</v>
      </c>
      <c r="L9" s="9">
        <f>149.9094</f>
        <v>149.90940000000001</v>
      </c>
      <c r="M9" s="9">
        <f>271.1814</f>
        <v>271.1814</v>
      </c>
      <c r="N9" s="30">
        <f>173.1623</f>
        <v>173.16229999999999</v>
      </c>
    </row>
    <row r="10" spans="1:14" x14ac:dyDescent="0.2">
      <c r="A10" s="49" t="s">
        <v>22</v>
      </c>
      <c r="B10" s="21" t="s">
        <v>8</v>
      </c>
      <c r="C10" s="10">
        <v>1095343</v>
      </c>
      <c r="D10" s="11"/>
      <c r="E10" s="11"/>
      <c r="F10" s="12"/>
      <c r="G10" s="11">
        <v>25</v>
      </c>
      <c r="H10" s="11"/>
      <c r="I10" s="11"/>
      <c r="J10" s="11"/>
      <c r="K10" s="13">
        <f>64.93901</f>
        <v>64.939009999999996</v>
      </c>
      <c r="L10" s="14"/>
      <c r="M10" s="14"/>
      <c r="N10" s="15">
        <f>((1-N11/K11)+(1-N12/K12)+(1-N13/K13)+(1-N14/K14))/4</f>
        <v>-1.5091054668064698</v>
      </c>
    </row>
    <row r="11" spans="1:14" x14ac:dyDescent="0.2">
      <c r="A11" s="51"/>
      <c r="B11" s="7" t="s">
        <v>26</v>
      </c>
      <c r="C11" s="29">
        <f>C10</f>
        <v>1095343</v>
      </c>
      <c r="D11" s="9">
        <f>1159325</f>
        <v>1159325</v>
      </c>
      <c r="E11" s="9">
        <f>1228368</f>
        <v>1228368</v>
      </c>
      <c r="F11" s="30">
        <f>1083579</f>
        <v>1083579</v>
      </c>
      <c r="G11" s="29">
        <f>G10</f>
        <v>25</v>
      </c>
      <c r="H11" s="9">
        <v>46</v>
      </c>
      <c r="I11" s="9">
        <v>58</v>
      </c>
      <c r="J11" s="30">
        <v>38</v>
      </c>
      <c r="K11" s="29">
        <f>K10</f>
        <v>64.939009999999996</v>
      </c>
      <c r="L11" s="9">
        <v>111.3018</v>
      </c>
      <c r="M11" s="9">
        <f>169.9041</f>
        <v>169.9041</v>
      </c>
      <c r="N11" s="30">
        <v>152.96440000000001</v>
      </c>
    </row>
    <row r="12" spans="1:14" x14ac:dyDescent="0.2">
      <c r="A12" s="51"/>
      <c r="B12" s="7" t="s">
        <v>16</v>
      </c>
      <c r="C12" s="29">
        <f>C10</f>
        <v>1095343</v>
      </c>
      <c r="D12" s="9">
        <v>1209940</v>
      </c>
      <c r="E12" s="9">
        <v>1275046</v>
      </c>
      <c r="F12" s="30">
        <v>1082466</v>
      </c>
      <c r="G12" s="29">
        <f>G10</f>
        <v>25</v>
      </c>
      <c r="H12" s="9">
        <v>53</v>
      </c>
      <c r="I12" s="9">
        <v>61</v>
      </c>
      <c r="J12" s="30">
        <v>48</v>
      </c>
      <c r="K12" s="29">
        <f>K10</f>
        <v>64.939009999999996</v>
      </c>
      <c r="L12" s="9">
        <f>123.4803</f>
        <v>123.4803</v>
      </c>
      <c r="M12" s="9">
        <f>205.0176</f>
        <v>205.01759999999999</v>
      </c>
      <c r="N12" s="30">
        <f>163.0689</f>
        <v>163.06890000000001</v>
      </c>
    </row>
    <row r="13" spans="1:14" x14ac:dyDescent="0.2">
      <c r="A13" s="51"/>
      <c r="B13" s="7" t="s">
        <v>17</v>
      </c>
      <c r="C13" s="29">
        <f>C10</f>
        <v>1095343</v>
      </c>
      <c r="D13" s="9">
        <v>1222650</v>
      </c>
      <c r="E13" s="9">
        <v>1353253</v>
      </c>
      <c r="F13" s="30">
        <v>1087545</v>
      </c>
      <c r="G13" s="29">
        <f>G10</f>
        <v>25</v>
      </c>
      <c r="H13" s="9">
        <v>54</v>
      </c>
      <c r="I13" s="9">
        <v>65</v>
      </c>
      <c r="J13" s="30">
        <v>48</v>
      </c>
      <c r="K13" s="29">
        <f>K10</f>
        <v>64.939009999999996</v>
      </c>
      <c r="L13" s="9">
        <f>136.3884</f>
        <v>136.38839999999999</v>
      </c>
      <c r="M13" s="9">
        <f>227.4853</f>
        <v>227.4853</v>
      </c>
      <c r="N13" s="30">
        <f>162.5597</f>
        <v>162.55969999999999</v>
      </c>
    </row>
    <row r="14" spans="1:14" ht="17" thickBot="1" x14ac:dyDescent="0.25">
      <c r="A14" s="50"/>
      <c r="B14" s="6" t="s">
        <v>18</v>
      </c>
      <c r="C14" s="29">
        <f>C10</f>
        <v>1095343</v>
      </c>
      <c r="D14" s="9">
        <v>1210242</v>
      </c>
      <c r="E14" s="9">
        <v>1445724</v>
      </c>
      <c r="F14" s="30">
        <v>1079757</v>
      </c>
      <c r="G14" s="29">
        <f>G10</f>
        <v>25</v>
      </c>
      <c r="H14" s="9">
        <v>58</v>
      </c>
      <c r="I14" s="9">
        <v>74</v>
      </c>
      <c r="J14" s="30">
        <v>53</v>
      </c>
      <c r="K14" s="29">
        <f>K10</f>
        <v>64.939009999999996</v>
      </c>
      <c r="L14" s="9">
        <f>149.9094</f>
        <v>149.90940000000001</v>
      </c>
      <c r="M14" s="9">
        <f>271.1814</f>
        <v>271.1814</v>
      </c>
      <c r="N14" s="30">
        <f>173.1623</f>
        <v>173.16229999999999</v>
      </c>
    </row>
    <row r="15" spans="1:14" x14ac:dyDescent="0.2">
      <c r="A15" s="49" t="s">
        <v>23</v>
      </c>
      <c r="B15" s="21" t="s">
        <v>9</v>
      </c>
      <c r="C15" s="10">
        <v>1080956</v>
      </c>
      <c r="D15" s="11"/>
      <c r="E15" s="11"/>
      <c r="F15" s="12"/>
      <c r="G15" s="11">
        <v>35</v>
      </c>
      <c r="H15" s="11"/>
      <c r="I15" s="11"/>
      <c r="J15" s="11"/>
      <c r="K15" s="13">
        <f>56.0989</f>
        <v>56.0989</v>
      </c>
      <c r="L15" s="14"/>
      <c r="M15" s="14"/>
      <c r="N15" s="15">
        <f>((1-N16/K16)+(1-N17/K17)+(1-N18/K18)+(1-N19/K19))/4</f>
        <v>-1.0675748544089099</v>
      </c>
    </row>
    <row r="16" spans="1:14" x14ac:dyDescent="0.2">
      <c r="A16" s="51"/>
      <c r="B16" s="7" t="s">
        <v>26</v>
      </c>
      <c r="C16" s="29">
        <f>C15</f>
        <v>1080956</v>
      </c>
      <c r="D16" s="9">
        <f>1079594</f>
        <v>1079594</v>
      </c>
      <c r="E16" s="9">
        <f>1117222</f>
        <v>1117222</v>
      </c>
      <c r="F16" s="30">
        <f>1079295</f>
        <v>1079295</v>
      </c>
      <c r="G16" s="29">
        <f>G15</f>
        <v>35</v>
      </c>
      <c r="H16" s="9">
        <v>55</v>
      </c>
      <c r="I16" s="9">
        <v>60</v>
      </c>
      <c r="J16" s="30">
        <v>36</v>
      </c>
      <c r="K16" s="29">
        <f>K15</f>
        <v>56.0989</v>
      </c>
      <c r="L16" s="9">
        <v>70.177149999999997</v>
      </c>
      <c r="M16" s="9">
        <f>145.9185</f>
        <v>145.91849999999999</v>
      </c>
      <c r="N16" s="30">
        <v>95.614400000000003</v>
      </c>
    </row>
    <row r="17" spans="1:14" x14ac:dyDescent="0.2">
      <c r="A17" s="51"/>
      <c r="B17" s="7" t="s">
        <v>19</v>
      </c>
      <c r="C17" s="29">
        <f>C15</f>
        <v>1080956</v>
      </c>
      <c r="D17" s="9">
        <v>1096804</v>
      </c>
      <c r="E17" s="9">
        <v>1161971</v>
      </c>
      <c r="F17" s="30">
        <v>1076329</v>
      </c>
      <c r="G17" s="29">
        <f>G15</f>
        <v>35</v>
      </c>
      <c r="H17" s="9">
        <v>75</v>
      </c>
      <c r="I17" s="9">
        <v>64</v>
      </c>
      <c r="J17" s="30">
        <v>47</v>
      </c>
      <c r="K17" s="29">
        <f>K15</f>
        <v>56.0989</v>
      </c>
      <c r="L17" s="9">
        <f>85.1346</f>
        <v>85.134600000000006</v>
      </c>
      <c r="M17" s="9">
        <f>170.4139</f>
        <v>170.41390000000001</v>
      </c>
      <c r="N17" s="30">
        <f>117.202</f>
        <v>117.202</v>
      </c>
    </row>
    <row r="18" spans="1:14" x14ac:dyDescent="0.2">
      <c r="A18" s="51"/>
      <c r="B18" s="7" t="s">
        <v>20</v>
      </c>
      <c r="C18" s="29">
        <f>C15</f>
        <v>1080956</v>
      </c>
      <c r="D18" s="9">
        <v>1119323</v>
      </c>
      <c r="E18" s="9">
        <v>1209412</v>
      </c>
      <c r="F18" s="30">
        <v>1081421</v>
      </c>
      <c r="G18" s="29">
        <f>G15</f>
        <v>35</v>
      </c>
      <c r="H18" s="9">
        <v>79</v>
      </c>
      <c r="I18" s="9">
        <v>73</v>
      </c>
      <c r="J18" s="30">
        <v>47</v>
      </c>
      <c r="K18" s="29">
        <f>K15</f>
        <v>56.0989</v>
      </c>
      <c r="L18" s="9">
        <f>91.31585</f>
        <v>91.315849999999998</v>
      </c>
      <c r="M18" s="9">
        <f>198.8117</f>
        <v>198.8117</v>
      </c>
      <c r="N18" s="30">
        <f>123.244</f>
        <v>123.244</v>
      </c>
    </row>
    <row r="19" spans="1:14" ht="17" thickBot="1" x14ac:dyDescent="0.25">
      <c r="A19" s="50"/>
      <c r="B19" s="6" t="s">
        <v>21</v>
      </c>
      <c r="C19" s="29">
        <f>C15</f>
        <v>1080956</v>
      </c>
      <c r="D19" s="9">
        <v>1134821</v>
      </c>
      <c r="E19" s="9">
        <v>1312346</v>
      </c>
      <c r="F19" s="30">
        <v>1068810</v>
      </c>
      <c r="G19" s="29">
        <f>G15</f>
        <v>35</v>
      </c>
      <c r="H19" s="9">
        <v>94</v>
      </c>
      <c r="I19" s="9">
        <v>88</v>
      </c>
      <c r="J19" s="30">
        <v>57</v>
      </c>
      <c r="K19" s="29">
        <f>K15</f>
        <v>56.0989</v>
      </c>
      <c r="L19" s="9">
        <f>100.20965</f>
        <v>100.20965</v>
      </c>
      <c r="M19" s="9">
        <f>202.8597</f>
        <v>202.8597</v>
      </c>
      <c r="N19" s="30">
        <f>127.8943</f>
        <v>127.8943</v>
      </c>
    </row>
  </sheetData>
  <mergeCells count="7">
    <mergeCell ref="G1:J1"/>
    <mergeCell ref="K1:N1"/>
    <mergeCell ref="A10:A14"/>
    <mergeCell ref="A15:A19"/>
    <mergeCell ref="A3:A4"/>
    <mergeCell ref="A5:A9"/>
    <mergeCell ref="C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40E3-6D4F-1545-AF8E-D0D5CB1E8D90}">
  <dimension ref="A1:J109"/>
  <sheetViews>
    <sheetView topLeftCell="E1" zoomScale="163" zoomScaleNormal="130" workbookViewId="0">
      <pane ySplit="1" topLeftCell="A2" activePane="bottomLeft" state="frozen"/>
      <selection pane="bottomLeft" activeCell="K72" sqref="K72"/>
    </sheetView>
  </sheetViews>
  <sheetFormatPr baseColWidth="10" defaultRowHeight="16" x14ac:dyDescent="0.2"/>
  <cols>
    <col min="1" max="2" width="10.83203125" style="36"/>
    <col min="3" max="3" width="12.83203125" style="36" customWidth="1"/>
    <col min="4" max="4" width="15.1640625" style="36" customWidth="1"/>
    <col min="5" max="5" width="24.33203125" style="36" bestFit="1" customWidth="1"/>
    <col min="6" max="6" width="16.33203125" style="36" customWidth="1"/>
    <col min="7" max="7" width="20.83203125" style="36" customWidth="1"/>
    <col min="8" max="8" width="10.6640625" style="36" bestFit="1" customWidth="1"/>
    <col min="9" max="9" width="17.6640625" style="36" customWidth="1"/>
    <col min="10" max="16384" width="10.83203125" style="36"/>
  </cols>
  <sheetData>
    <row r="1" spans="1:10" x14ac:dyDescent="0.2">
      <c r="A1" s="36" t="s">
        <v>4</v>
      </c>
      <c r="B1" s="36" t="s">
        <v>45</v>
      </c>
      <c r="C1" s="36" t="s">
        <v>49</v>
      </c>
      <c r="D1" s="36" t="s">
        <v>43</v>
      </c>
      <c r="E1" s="36" t="s">
        <v>0</v>
      </c>
      <c r="F1" s="36" t="s">
        <v>46</v>
      </c>
      <c r="G1" s="36" t="s">
        <v>47</v>
      </c>
      <c r="H1" s="36" t="s">
        <v>53</v>
      </c>
      <c r="I1" s="36" t="s">
        <v>48</v>
      </c>
      <c r="J1" s="36" t="s">
        <v>50</v>
      </c>
    </row>
    <row r="2" spans="1:10" x14ac:dyDescent="0.2">
      <c r="A2" s="36" t="s">
        <v>28</v>
      </c>
      <c r="B2" s="36">
        <v>100</v>
      </c>
      <c r="C2" s="36" t="s">
        <v>11</v>
      </c>
      <c r="D2" s="36">
        <v>2</v>
      </c>
      <c r="E2" s="36" t="str">
        <f t="shared" ref="E2:E17" si="0">_xlfn.CONCAT(A2,"-",B2,"-",C2,"-",D2)</f>
        <v>Asia-100-TVAE-2</v>
      </c>
      <c r="F2" s="36">
        <f>97.21</f>
        <v>97.21</v>
      </c>
      <c r="G2" s="36">
        <f>95.38</f>
        <v>95.38</v>
      </c>
      <c r="H2" s="41">
        <f>AVERAGE(Table1[[#This Row],[Column Shapes]],Table1[[#This Row],[Column Pair Trends]])</f>
        <v>96.294999999999987</v>
      </c>
      <c r="I2" s="41">
        <f>Asia!T6</f>
        <v>-0.17680461895859301</v>
      </c>
      <c r="J2" s="36">
        <f t="shared" ref="J2:J37" si="1">IF(I2&gt;0,1,0)</f>
        <v>0</v>
      </c>
    </row>
    <row r="3" spans="1:10" x14ac:dyDescent="0.2">
      <c r="A3" s="36" t="s">
        <v>28</v>
      </c>
      <c r="B3" s="36">
        <v>100</v>
      </c>
      <c r="C3" s="36" t="s">
        <v>11</v>
      </c>
      <c r="D3" s="36">
        <v>5</v>
      </c>
      <c r="E3" s="36" t="str">
        <f t="shared" si="0"/>
        <v>Asia-100-TVAE-5</v>
      </c>
      <c r="F3" s="36">
        <f>96.33</f>
        <v>96.33</v>
      </c>
      <c r="G3" s="36">
        <f>93.79</f>
        <v>93.79</v>
      </c>
      <c r="H3" s="41">
        <f>AVERAGE(Table1[[#This Row],[Column Shapes]],Table1[[#This Row],[Column Pair Trends]])</f>
        <v>95.06</v>
      </c>
      <c r="I3" s="41">
        <f>Asia!T7</f>
        <v>-0.37463233127703277</v>
      </c>
      <c r="J3" s="36">
        <f t="shared" si="1"/>
        <v>0</v>
      </c>
    </row>
    <row r="4" spans="1:10" x14ac:dyDescent="0.2">
      <c r="A4" s="36" t="s">
        <v>28</v>
      </c>
      <c r="B4" s="36">
        <v>100</v>
      </c>
      <c r="C4" s="36" t="s">
        <v>11</v>
      </c>
      <c r="D4" s="36">
        <v>10</v>
      </c>
      <c r="E4" s="36" t="str">
        <f t="shared" si="0"/>
        <v>Asia-100-TVAE-10</v>
      </c>
      <c r="F4" s="36">
        <f>96.09</f>
        <v>96.09</v>
      </c>
      <c r="G4" s="36">
        <f>93.55</f>
        <v>93.55</v>
      </c>
      <c r="H4" s="41">
        <f>AVERAGE(Table1[[#This Row],[Column Shapes]],Table1[[#This Row],[Column Pair Trends]])</f>
        <v>94.82</v>
      </c>
      <c r="I4" s="41">
        <f>Asia!T8</f>
        <v>-0.4595260710012552</v>
      </c>
      <c r="J4" s="36">
        <f t="shared" si="1"/>
        <v>0</v>
      </c>
    </row>
    <row r="5" spans="1:10" x14ac:dyDescent="0.2">
      <c r="A5" s="36" t="s">
        <v>28</v>
      </c>
      <c r="B5" s="36">
        <v>100</v>
      </c>
      <c r="C5" s="36" t="s">
        <v>11</v>
      </c>
      <c r="D5" s="36">
        <v>20</v>
      </c>
      <c r="E5" s="36" t="str">
        <f t="shared" si="0"/>
        <v>Asia-100-TVAE-20</v>
      </c>
      <c r="F5" s="36">
        <f>95.92</f>
        <v>95.92</v>
      </c>
      <c r="G5" s="36">
        <f>93.11</f>
        <v>93.11</v>
      </c>
      <c r="H5" s="41">
        <f>AVERAGE(Table1[[#This Row],[Column Shapes]],Table1[[#This Row],[Column Pair Trends]])</f>
        <v>94.515000000000001</v>
      </c>
      <c r="I5" s="41">
        <f>Asia!T9</f>
        <v>-0.63014728835807676</v>
      </c>
      <c r="J5" s="36">
        <f t="shared" si="1"/>
        <v>0</v>
      </c>
    </row>
    <row r="6" spans="1:10" x14ac:dyDescent="0.2">
      <c r="A6" s="36" t="s">
        <v>28</v>
      </c>
      <c r="B6" s="36">
        <v>100</v>
      </c>
      <c r="C6" s="36" t="s">
        <v>12</v>
      </c>
      <c r="D6" s="36">
        <v>2</v>
      </c>
      <c r="E6" s="36" t="str">
        <f t="shared" si="0"/>
        <v>Asia-100-CTGAN-2</v>
      </c>
      <c r="F6" s="36">
        <f>94.62</f>
        <v>94.62</v>
      </c>
      <c r="G6" s="36">
        <f>89.51</f>
        <v>89.51</v>
      </c>
      <c r="H6" s="41">
        <f>AVERAGE(Table1[[#This Row],[Column Shapes]],Table1[[#This Row],[Column Pair Trends]])</f>
        <v>92.064999999999998</v>
      </c>
      <c r="I6" s="41">
        <f>Asia!U6</f>
        <v>-2.4503977789694211</v>
      </c>
      <c r="J6" s="36">
        <f t="shared" si="1"/>
        <v>0</v>
      </c>
    </row>
    <row r="7" spans="1:10" x14ac:dyDescent="0.2">
      <c r="A7" s="36" t="s">
        <v>28</v>
      </c>
      <c r="B7" s="36">
        <v>100</v>
      </c>
      <c r="C7" s="36" t="s">
        <v>12</v>
      </c>
      <c r="D7" s="36">
        <v>5</v>
      </c>
      <c r="E7" s="36" t="str">
        <f t="shared" si="0"/>
        <v>Asia-100-CTGAN-5</v>
      </c>
      <c r="F7" s="36">
        <f>92.83</f>
        <v>92.83</v>
      </c>
      <c r="G7" s="36">
        <f>86.42</f>
        <v>86.42</v>
      </c>
      <c r="H7" s="41">
        <f>AVERAGE(Table1[[#This Row],[Column Shapes]],Table1[[#This Row],[Column Pair Trends]])</f>
        <v>89.625</v>
      </c>
      <c r="I7" s="41">
        <f>Asia!U7</f>
        <v>-5.6866682273610865</v>
      </c>
      <c r="J7" s="36">
        <f t="shared" si="1"/>
        <v>0</v>
      </c>
    </row>
    <row r="8" spans="1:10" x14ac:dyDescent="0.2">
      <c r="A8" s="36" t="s">
        <v>28</v>
      </c>
      <c r="B8" s="36">
        <v>100</v>
      </c>
      <c r="C8" s="36" t="s">
        <v>12</v>
      </c>
      <c r="D8" s="36">
        <v>10</v>
      </c>
      <c r="E8" s="36" t="str">
        <f t="shared" si="0"/>
        <v>Asia-100-CTGAN-10</v>
      </c>
      <c r="F8" s="36">
        <f>91.7</f>
        <v>91.7</v>
      </c>
      <c r="G8" s="36">
        <f>84.4</f>
        <v>84.4</v>
      </c>
      <c r="H8" s="41">
        <f>AVERAGE(Table1[[#This Row],[Column Shapes]],Table1[[#This Row],[Column Pair Trends]])</f>
        <v>88.050000000000011</v>
      </c>
      <c r="I8" s="41">
        <f>Asia!U8</f>
        <v>-6.8324896619449902</v>
      </c>
      <c r="J8" s="36">
        <f t="shared" si="1"/>
        <v>0</v>
      </c>
    </row>
    <row r="9" spans="1:10" x14ac:dyDescent="0.2">
      <c r="A9" s="36" t="s">
        <v>28</v>
      </c>
      <c r="B9" s="36">
        <v>100</v>
      </c>
      <c r="C9" s="36" t="s">
        <v>12</v>
      </c>
      <c r="D9" s="36">
        <v>20</v>
      </c>
      <c r="E9" s="36" t="str">
        <f t="shared" si="0"/>
        <v>Asia-100-CTGAN-20</v>
      </c>
      <c r="F9" s="36">
        <f>91.52</f>
        <v>91.52</v>
      </c>
      <c r="G9" s="36">
        <f>84.02</f>
        <v>84.02</v>
      </c>
      <c r="H9" s="41">
        <f>AVERAGE(Table1[[#This Row],[Column Shapes]],Table1[[#This Row],[Column Pair Trends]])</f>
        <v>87.77</v>
      </c>
      <c r="I9" s="41">
        <f>Asia!U9</f>
        <v>-7.1118685752548778</v>
      </c>
      <c r="J9" s="36">
        <f t="shared" si="1"/>
        <v>0</v>
      </c>
    </row>
    <row r="10" spans="1:10" x14ac:dyDescent="0.2">
      <c r="A10" s="36" t="s">
        <v>28</v>
      </c>
      <c r="B10" s="36">
        <v>100</v>
      </c>
      <c r="C10" s="36" t="s">
        <v>10</v>
      </c>
      <c r="D10" s="36">
        <v>2</v>
      </c>
      <c r="E10" s="36" t="str">
        <f t="shared" si="0"/>
        <v>Asia-100-Mostly-2</v>
      </c>
      <c r="F10" s="36">
        <f>97.58</f>
        <v>97.58</v>
      </c>
      <c r="G10" s="36">
        <f>95.14</f>
        <v>95.14</v>
      </c>
      <c r="H10" s="41">
        <f>AVERAGE(Table1[[#This Row],[Column Shapes]],Table1[[#This Row],[Column Pair Trends]])</f>
        <v>96.36</v>
      </c>
      <c r="I10" s="41">
        <f>Asia!V6</f>
        <v>-0.17095833746760003</v>
      </c>
      <c r="J10" s="36">
        <f t="shared" si="1"/>
        <v>0</v>
      </c>
    </row>
    <row r="11" spans="1:10" x14ac:dyDescent="0.2">
      <c r="A11" s="36" t="s">
        <v>28</v>
      </c>
      <c r="B11" s="36">
        <v>100</v>
      </c>
      <c r="C11" s="36" t="s">
        <v>10</v>
      </c>
      <c r="D11" s="36">
        <v>5</v>
      </c>
      <c r="E11" s="36" t="str">
        <f t="shared" si="0"/>
        <v>Asia-100-Mostly-5</v>
      </c>
      <c r="F11" s="36">
        <f>97.73</f>
        <v>97.73</v>
      </c>
      <c r="G11" s="36">
        <f>95.14</f>
        <v>95.14</v>
      </c>
      <c r="H11" s="41">
        <f>AVERAGE(Table1[[#This Row],[Column Shapes]],Table1[[#This Row],[Column Pair Trends]])</f>
        <v>96.435000000000002</v>
      </c>
      <c r="I11" s="41">
        <f>Asia!V7</f>
        <v>-0.87792087515335404</v>
      </c>
      <c r="J11" s="36">
        <f t="shared" si="1"/>
        <v>0</v>
      </c>
    </row>
    <row r="12" spans="1:10" x14ac:dyDescent="0.2">
      <c r="A12" s="36" t="s">
        <v>28</v>
      </c>
      <c r="B12" s="36">
        <v>100</v>
      </c>
      <c r="C12" s="36" t="s">
        <v>10</v>
      </c>
      <c r="D12" s="36">
        <v>10</v>
      </c>
      <c r="E12" s="36" t="str">
        <f t="shared" si="0"/>
        <v>Asia-100-Mostly-10</v>
      </c>
      <c r="F12" s="36">
        <f>98</f>
        <v>98</v>
      </c>
      <c r="G12" s="36">
        <f>95.42</f>
        <v>95.42</v>
      </c>
      <c r="H12" s="41">
        <f>AVERAGE(Table1[[#This Row],[Column Shapes]],Table1[[#This Row],[Column Pair Trends]])</f>
        <v>96.710000000000008</v>
      </c>
      <c r="I12" s="41">
        <f>Asia!V8</f>
        <v>-1.4479202538542255</v>
      </c>
      <c r="J12" s="36">
        <f t="shared" si="1"/>
        <v>0</v>
      </c>
    </row>
    <row r="13" spans="1:10" x14ac:dyDescent="0.2">
      <c r="A13" s="36" t="s">
        <v>28</v>
      </c>
      <c r="B13" s="36">
        <v>100</v>
      </c>
      <c r="C13" s="36" t="s">
        <v>10</v>
      </c>
      <c r="D13" s="36">
        <v>20</v>
      </c>
      <c r="E13" s="36" t="str">
        <f t="shared" si="0"/>
        <v>Asia-100-Mostly-20</v>
      </c>
      <c r="F13" s="36">
        <f>97.9</f>
        <v>97.9</v>
      </c>
      <c r="G13" s="36">
        <f>94.92</f>
        <v>94.92</v>
      </c>
      <c r="H13" s="41">
        <f>AVERAGE(Table1[[#This Row],[Column Shapes]],Table1[[#This Row],[Column Pair Trends]])</f>
        <v>96.41</v>
      </c>
      <c r="I13" s="41">
        <f>Asia!V9</f>
        <v>-2.512999778035196</v>
      </c>
      <c r="J13" s="36">
        <f t="shared" si="1"/>
        <v>0</v>
      </c>
    </row>
    <row r="14" spans="1:10" x14ac:dyDescent="0.2">
      <c r="A14" s="36" t="s">
        <v>28</v>
      </c>
      <c r="B14" s="36">
        <v>500</v>
      </c>
      <c r="C14" s="36" t="s">
        <v>11</v>
      </c>
      <c r="D14" s="36">
        <v>2</v>
      </c>
      <c r="E14" s="36" t="str">
        <f t="shared" si="0"/>
        <v>Asia-500-TVAE-2</v>
      </c>
      <c r="F14" s="36">
        <f>96.32</f>
        <v>96.32</v>
      </c>
      <c r="G14" s="36">
        <f>94.57</f>
        <v>94.57</v>
      </c>
      <c r="H14" s="41">
        <f>AVERAGE(Table1[[#This Row],[Column Shapes]],Table1[[#This Row],[Column Pair Trends]])</f>
        <v>95.444999999999993</v>
      </c>
      <c r="I14" s="41">
        <f>Asia!U11</f>
        <v>-6.3091263661898029</v>
      </c>
      <c r="J14" s="36">
        <f t="shared" si="1"/>
        <v>0</v>
      </c>
    </row>
    <row r="15" spans="1:10" x14ac:dyDescent="0.2">
      <c r="A15" s="36" t="s">
        <v>28</v>
      </c>
      <c r="B15" s="36">
        <v>500</v>
      </c>
      <c r="C15" s="36" t="s">
        <v>11</v>
      </c>
      <c r="D15" s="36">
        <v>5</v>
      </c>
      <c r="E15" s="36" t="str">
        <f t="shared" si="0"/>
        <v>Asia-500-TVAE-5</v>
      </c>
      <c r="F15" s="36">
        <f>95.55</f>
        <v>95.55</v>
      </c>
      <c r="G15" s="36">
        <f>93.49</f>
        <v>93.49</v>
      </c>
      <c r="H15" s="41">
        <f>AVERAGE(Table1[[#This Row],[Column Shapes]],Table1[[#This Row],[Column Pair Trends]])</f>
        <v>94.52</v>
      </c>
      <c r="I15" s="41">
        <f>Asia!U12</f>
        <v>-8.2977178547948949</v>
      </c>
      <c r="J15" s="36">
        <f t="shared" si="1"/>
        <v>0</v>
      </c>
    </row>
    <row r="16" spans="1:10" x14ac:dyDescent="0.2">
      <c r="A16" s="36" t="s">
        <v>28</v>
      </c>
      <c r="B16" s="36">
        <v>500</v>
      </c>
      <c r="C16" s="36" t="s">
        <v>11</v>
      </c>
      <c r="D16" s="36">
        <v>10</v>
      </c>
      <c r="E16" s="36" t="str">
        <f t="shared" si="0"/>
        <v>Asia-500-TVAE-10</v>
      </c>
      <c r="F16" s="36">
        <f>94.82</f>
        <v>94.82</v>
      </c>
      <c r="G16" s="36">
        <f>92.38</f>
        <v>92.38</v>
      </c>
      <c r="H16" s="41">
        <f>AVERAGE(Table1[[#This Row],[Column Shapes]],Table1[[#This Row],[Column Pair Trends]])</f>
        <v>93.6</v>
      </c>
      <c r="I16" s="41">
        <f>Asia!U13</f>
        <v>-8.1278468285540537</v>
      </c>
      <c r="J16" s="36">
        <f t="shared" si="1"/>
        <v>0</v>
      </c>
    </row>
    <row r="17" spans="1:10" x14ac:dyDescent="0.2">
      <c r="A17" s="36" t="s">
        <v>28</v>
      </c>
      <c r="B17" s="36">
        <v>500</v>
      </c>
      <c r="C17" s="36" t="s">
        <v>11</v>
      </c>
      <c r="D17" s="36">
        <v>20</v>
      </c>
      <c r="E17" s="36" t="str">
        <f t="shared" si="0"/>
        <v>Asia-500-TVAE-20</v>
      </c>
      <c r="F17" s="36">
        <f>94.4</f>
        <v>94.4</v>
      </c>
      <c r="G17" s="36">
        <f>91.7</f>
        <v>91.7</v>
      </c>
      <c r="H17" s="41">
        <f>AVERAGE(Table1[[#This Row],[Column Shapes]],Table1[[#This Row],[Column Pair Trends]])</f>
        <v>93.050000000000011</v>
      </c>
      <c r="I17" s="41">
        <f>Asia!U14</f>
        <v>-7.9396095542960978</v>
      </c>
      <c r="J17" s="36">
        <f t="shared" si="1"/>
        <v>0</v>
      </c>
    </row>
    <row r="18" spans="1:10" x14ac:dyDescent="0.2">
      <c r="A18" s="36" t="s">
        <v>28</v>
      </c>
      <c r="B18" s="36">
        <v>500</v>
      </c>
      <c r="C18" s="36" t="s">
        <v>12</v>
      </c>
      <c r="D18" s="36">
        <v>2</v>
      </c>
      <c r="E18" s="36" t="str">
        <f>_xlfn.CONCAT(A18,"-",B18,"-",C18,"-",D18)</f>
        <v>Asia-500-CTGAN-2</v>
      </c>
      <c r="F18" s="36">
        <f>94.92</f>
        <v>94.92</v>
      </c>
      <c r="G18" s="36">
        <f>90.19</f>
        <v>90.19</v>
      </c>
      <c r="H18" s="41">
        <f>AVERAGE(Table1[[#This Row],[Column Shapes]],Table1[[#This Row],[Column Pair Trends]])</f>
        <v>92.555000000000007</v>
      </c>
      <c r="I18" s="41">
        <f>Asia!U11</f>
        <v>-6.3091263661898029</v>
      </c>
      <c r="J18" s="36">
        <f t="shared" si="1"/>
        <v>0</v>
      </c>
    </row>
    <row r="19" spans="1:10" x14ac:dyDescent="0.2">
      <c r="A19" s="36" t="s">
        <v>28</v>
      </c>
      <c r="B19" s="36">
        <v>500</v>
      </c>
      <c r="C19" s="36" t="s">
        <v>12</v>
      </c>
      <c r="D19" s="36">
        <v>5</v>
      </c>
      <c r="E19" s="36" t="str">
        <f t="shared" ref="E19:E37" si="2">_xlfn.CONCAT(A19,"-",B19,"-",C19,"-",D19)</f>
        <v>Asia-500-CTGAN-5</v>
      </c>
      <c r="F19" s="36">
        <f>93.87</f>
        <v>93.87</v>
      </c>
      <c r="G19" s="36">
        <f>88.18</f>
        <v>88.18</v>
      </c>
      <c r="H19" s="41">
        <f>AVERAGE(Table1[[#This Row],[Column Shapes]],Table1[[#This Row],[Column Pair Trends]])</f>
        <v>91.025000000000006</v>
      </c>
      <c r="I19" s="41">
        <f>Asia!U12</f>
        <v>-8.2977178547948949</v>
      </c>
      <c r="J19" s="36">
        <f t="shared" si="1"/>
        <v>0</v>
      </c>
    </row>
    <row r="20" spans="1:10" x14ac:dyDescent="0.2">
      <c r="A20" s="36" t="s">
        <v>28</v>
      </c>
      <c r="B20" s="36">
        <v>500</v>
      </c>
      <c r="C20" s="36" t="s">
        <v>12</v>
      </c>
      <c r="D20" s="36">
        <v>10</v>
      </c>
      <c r="E20" s="36" t="str">
        <f t="shared" si="2"/>
        <v>Asia-500-CTGAN-10</v>
      </c>
      <c r="F20" s="36">
        <f>92.97</f>
        <v>92.97</v>
      </c>
      <c r="G20" s="36">
        <f>86.61</f>
        <v>86.61</v>
      </c>
      <c r="H20" s="41">
        <f>AVERAGE(Table1[[#This Row],[Column Shapes]],Table1[[#This Row],[Column Pair Trends]])</f>
        <v>89.789999999999992</v>
      </c>
      <c r="I20" s="41">
        <f>Asia!U13</f>
        <v>-8.1278468285540537</v>
      </c>
      <c r="J20" s="36">
        <f t="shared" si="1"/>
        <v>0</v>
      </c>
    </row>
    <row r="21" spans="1:10" x14ac:dyDescent="0.2">
      <c r="A21" s="36" t="s">
        <v>28</v>
      </c>
      <c r="B21" s="36">
        <v>500</v>
      </c>
      <c r="C21" s="36" t="s">
        <v>12</v>
      </c>
      <c r="D21" s="36">
        <v>20</v>
      </c>
      <c r="E21" s="36" t="str">
        <f t="shared" si="2"/>
        <v>Asia-500-CTGAN-20</v>
      </c>
      <c r="F21" s="36">
        <f>92.72</f>
        <v>92.72</v>
      </c>
      <c r="G21" s="36">
        <f>86.16</f>
        <v>86.16</v>
      </c>
      <c r="H21" s="41">
        <f>AVERAGE(Table1[[#This Row],[Column Shapes]],Table1[[#This Row],[Column Pair Trends]])</f>
        <v>89.44</v>
      </c>
      <c r="I21" s="41">
        <f>Asia!U14</f>
        <v>-7.9396095542960978</v>
      </c>
      <c r="J21" s="36">
        <f t="shared" si="1"/>
        <v>0</v>
      </c>
    </row>
    <row r="22" spans="1:10" x14ac:dyDescent="0.2">
      <c r="A22" s="36" t="s">
        <v>28</v>
      </c>
      <c r="B22" s="36">
        <v>500</v>
      </c>
      <c r="C22" s="36" t="s">
        <v>10</v>
      </c>
      <c r="D22" s="36">
        <v>2</v>
      </c>
      <c r="E22" s="36" t="str">
        <f t="shared" si="2"/>
        <v>Asia-500-Mostly-2</v>
      </c>
      <c r="F22" s="36">
        <f>99.22</f>
        <v>99.22</v>
      </c>
      <c r="G22" s="36">
        <f>98.69</f>
        <v>98.69</v>
      </c>
      <c r="H22" s="41">
        <f>AVERAGE(Table1[[#This Row],[Column Shapes]],Table1[[#This Row],[Column Pair Trends]])</f>
        <v>98.954999999999998</v>
      </c>
      <c r="I22" s="41">
        <f>Asia!V11</f>
        <v>0.6813660347798246</v>
      </c>
      <c r="J22" s="36">
        <f t="shared" si="1"/>
        <v>1</v>
      </c>
    </row>
    <row r="23" spans="1:10" x14ac:dyDescent="0.2">
      <c r="A23" s="36" t="s">
        <v>28</v>
      </c>
      <c r="B23" s="36">
        <v>500</v>
      </c>
      <c r="C23" s="36" t="s">
        <v>10</v>
      </c>
      <c r="D23" s="36">
        <v>5</v>
      </c>
      <c r="E23" s="36" t="str">
        <f t="shared" si="2"/>
        <v>Asia-500-Mostly-5</v>
      </c>
      <c r="F23" s="36">
        <f>99.26</f>
        <v>99.26</v>
      </c>
      <c r="G23" s="36">
        <f>98.78</f>
        <v>98.78</v>
      </c>
      <c r="H23" s="41">
        <f>AVERAGE(Table1[[#This Row],[Column Shapes]],Table1[[#This Row],[Column Pair Trends]])</f>
        <v>99.02000000000001</v>
      </c>
      <c r="I23" s="41">
        <f>Asia!V12</f>
        <v>0.81783334461740353</v>
      </c>
      <c r="J23" s="36">
        <f t="shared" si="1"/>
        <v>1</v>
      </c>
    </row>
    <row r="24" spans="1:10" x14ac:dyDescent="0.2">
      <c r="A24" s="36" t="s">
        <v>28</v>
      </c>
      <c r="B24" s="36">
        <v>500</v>
      </c>
      <c r="C24" s="36" t="s">
        <v>10</v>
      </c>
      <c r="D24" s="36">
        <v>10</v>
      </c>
      <c r="E24" s="36" t="str">
        <f t="shared" si="2"/>
        <v>Asia-500-Mostly-10</v>
      </c>
      <c r="F24" s="36">
        <f>99.4</f>
        <v>99.4</v>
      </c>
      <c r="G24" s="36">
        <f>98.89</f>
        <v>98.89</v>
      </c>
      <c r="H24" s="41">
        <f>AVERAGE(Table1[[#This Row],[Column Shapes]],Table1[[#This Row],[Column Pair Trends]])</f>
        <v>99.14500000000001</v>
      </c>
      <c r="I24" s="41">
        <f>Asia!V13</f>
        <v>0.7686429819305125</v>
      </c>
      <c r="J24" s="36">
        <f t="shared" si="1"/>
        <v>1</v>
      </c>
    </row>
    <row r="25" spans="1:10" x14ac:dyDescent="0.2">
      <c r="A25" s="36" t="s">
        <v>28</v>
      </c>
      <c r="B25" s="36">
        <v>500</v>
      </c>
      <c r="C25" s="36" t="s">
        <v>10</v>
      </c>
      <c r="D25" s="36">
        <v>20</v>
      </c>
      <c r="E25" s="36" t="str">
        <f t="shared" si="2"/>
        <v>Asia-500-Mostly-20</v>
      </c>
      <c r="F25" s="36">
        <f>99.45</f>
        <v>99.45</v>
      </c>
      <c r="G25" s="36">
        <f>98.99</f>
        <v>98.99</v>
      </c>
      <c r="H25" s="41">
        <f>AVERAGE(Table1[[#This Row],[Column Shapes]],Table1[[#This Row],[Column Pair Trends]])</f>
        <v>99.22</v>
      </c>
      <c r="I25" s="41">
        <f>Asia!V14</f>
        <v>0.79833978634509384</v>
      </c>
      <c r="J25" s="36">
        <f t="shared" si="1"/>
        <v>1</v>
      </c>
    </row>
    <row r="26" spans="1:10" x14ac:dyDescent="0.2">
      <c r="A26" s="36" t="s">
        <v>28</v>
      </c>
      <c r="B26" s="36">
        <v>1000</v>
      </c>
      <c r="C26" s="36" t="s">
        <v>11</v>
      </c>
      <c r="D26" s="36">
        <v>2</v>
      </c>
      <c r="E26" s="36" t="str">
        <f t="shared" si="2"/>
        <v>Asia-1000-TVAE-2</v>
      </c>
      <c r="F26" s="36">
        <f>97.93</f>
        <v>97.93</v>
      </c>
      <c r="G26" s="36">
        <f>96.75</f>
        <v>96.75</v>
      </c>
      <c r="H26" s="41">
        <f>AVERAGE(Table1[[#This Row],[Column Shapes]],Table1[[#This Row],[Column Pair Trends]])</f>
        <v>97.34</v>
      </c>
      <c r="I26" s="41">
        <f>Asia!T16</f>
        <v>-9.3574207254358166E-2</v>
      </c>
      <c r="J26" s="36">
        <f t="shared" si="1"/>
        <v>0</v>
      </c>
    </row>
    <row r="27" spans="1:10" x14ac:dyDescent="0.2">
      <c r="A27" s="36" t="s">
        <v>28</v>
      </c>
      <c r="B27" s="36">
        <v>1000</v>
      </c>
      <c r="C27" s="36" t="s">
        <v>11</v>
      </c>
      <c r="D27" s="36">
        <v>5</v>
      </c>
      <c r="E27" s="36" t="str">
        <f t="shared" si="2"/>
        <v>Asia-1000-TVAE-5</v>
      </c>
      <c r="F27" s="36">
        <f>97.43</f>
        <v>97.43</v>
      </c>
      <c r="G27" s="36">
        <f>95.93</f>
        <v>95.93</v>
      </c>
      <c r="H27" s="41">
        <f>AVERAGE(Table1[[#This Row],[Column Shapes]],Table1[[#This Row],[Column Pair Trends]])</f>
        <v>96.68</v>
      </c>
      <c r="I27" s="41">
        <f>Asia!T17</f>
        <v>-0.18972982935234728</v>
      </c>
      <c r="J27" s="36">
        <f t="shared" si="1"/>
        <v>0</v>
      </c>
    </row>
    <row r="28" spans="1:10" x14ac:dyDescent="0.2">
      <c r="A28" s="36" t="s">
        <v>28</v>
      </c>
      <c r="B28" s="36">
        <v>1000</v>
      </c>
      <c r="C28" s="36" t="s">
        <v>11</v>
      </c>
      <c r="D28" s="36">
        <v>10</v>
      </c>
      <c r="E28" s="36" t="str">
        <f t="shared" si="2"/>
        <v>Asia-1000-TVAE-10</v>
      </c>
      <c r="F28" s="36">
        <f>96.97</f>
        <v>96.97</v>
      </c>
      <c r="G28" s="36">
        <f>95.25</f>
        <v>95.25</v>
      </c>
      <c r="H28" s="41">
        <f>AVERAGE(Table1[[#This Row],[Column Shapes]],Table1[[#This Row],[Column Pair Trends]])</f>
        <v>96.11</v>
      </c>
      <c r="I28" s="41">
        <f>Asia!T18</f>
        <v>-0.25141902510270353</v>
      </c>
      <c r="J28" s="36">
        <f t="shared" si="1"/>
        <v>0</v>
      </c>
    </row>
    <row r="29" spans="1:10" x14ac:dyDescent="0.2">
      <c r="A29" s="36" t="s">
        <v>28</v>
      </c>
      <c r="B29" s="36">
        <v>1000</v>
      </c>
      <c r="C29" s="36" t="s">
        <v>11</v>
      </c>
      <c r="D29" s="36">
        <v>20</v>
      </c>
      <c r="E29" s="36" t="str">
        <f t="shared" si="2"/>
        <v>Asia-1000-TVAE-20</v>
      </c>
      <c r="F29" s="36">
        <f>96.78</f>
        <v>96.78</v>
      </c>
      <c r="G29" s="36">
        <f>94.98</f>
        <v>94.98</v>
      </c>
      <c r="H29" s="41">
        <f>AVERAGE(Table1[[#This Row],[Column Shapes]],Table1[[#This Row],[Column Pair Trends]])</f>
        <v>95.88</v>
      </c>
      <c r="I29" s="41">
        <f>Asia!T19</f>
        <v>-0.49218461099429844</v>
      </c>
      <c r="J29" s="36">
        <f t="shared" si="1"/>
        <v>0</v>
      </c>
    </row>
    <row r="30" spans="1:10" x14ac:dyDescent="0.2">
      <c r="A30" s="36" t="s">
        <v>28</v>
      </c>
      <c r="B30" s="36">
        <v>1000</v>
      </c>
      <c r="C30" s="36" t="s">
        <v>12</v>
      </c>
      <c r="D30" s="36">
        <v>2</v>
      </c>
      <c r="E30" s="36" t="str">
        <f t="shared" si="2"/>
        <v>Asia-1000-CTGAN-2</v>
      </c>
      <c r="F30" s="36">
        <f>95.72</f>
        <v>95.72</v>
      </c>
      <c r="G30" s="36">
        <f>92.19</f>
        <v>92.19</v>
      </c>
      <c r="H30" s="41">
        <f>AVERAGE(Table1[[#This Row],[Column Shapes]],Table1[[#This Row],[Column Pair Trends]])</f>
        <v>93.954999999999998</v>
      </c>
      <c r="I30" s="41">
        <f>Asia!U16</f>
        <v>-2.3514570084574067</v>
      </c>
      <c r="J30" s="36">
        <f t="shared" si="1"/>
        <v>0</v>
      </c>
    </row>
    <row r="31" spans="1:10" x14ac:dyDescent="0.2">
      <c r="A31" s="36" t="s">
        <v>28</v>
      </c>
      <c r="B31" s="36">
        <v>1000</v>
      </c>
      <c r="C31" s="36" t="s">
        <v>12</v>
      </c>
      <c r="D31" s="36">
        <v>5</v>
      </c>
      <c r="E31" s="36" t="str">
        <f t="shared" si="2"/>
        <v>Asia-1000-CTGAN-5</v>
      </c>
      <c r="F31" s="36">
        <f>94.84</f>
        <v>94.84</v>
      </c>
      <c r="G31" s="36">
        <f>90.56</f>
        <v>90.56</v>
      </c>
      <c r="H31" s="41">
        <f>AVERAGE(Table1[[#This Row],[Column Shapes]],Table1[[#This Row],[Column Pair Trends]])</f>
        <v>92.7</v>
      </c>
      <c r="I31" s="41">
        <f>Asia!U17</f>
        <v>-2.6378607510399177</v>
      </c>
      <c r="J31" s="36">
        <f t="shared" si="1"/>
        <v>0</v>
      </c>
    </row>
    <row r="32" spans="1:10" x14ac:dyDescent="0.2">
      <c r="A32" s="36" t="s">
        <v>28</v>
      </c>
      <c r="B32" s="36">
        <v>1000</v>
      </c>
      <c r="C32" s="36" t="s">
        <v>12</v>
      </c>
      <c r="D32" s="36">
        <v>10</v>
      </c>
      <c r="E32" s="36" t="str">
        <f t="shared" si="2"/>
        <v>Asia-1000-CTGAN-10</v>
      </c>
      <c r="F32" s="36">
        <f>94.36</f>
        <v>94.36</v>
      </c>
      <c r="G32" s="36">
        <f>89.65</f>
        <v>89.65</v>
      </c>
      <c r="H32" s="41">
        <f>AVERAGE(Table1[[#This Row],[Column Shapes]],Table1[[#This Row],[Column Pair Trends]])</f>
        <v>92.004999999999995</v>
      </c>
      <c r="I32" s="41">
        <f>Asia!U18</f>
        <v>-2.9928815890385985</v>
      </c>
      <c r="J32" s="36">
        <f t="shared" si="1"/>
        <v>0</v>
      </c>
    </row>
    <row r="33" spans="1:10" x14ac:dyDescent="0.2">
      <c r="A33" s="36" t="s">
        <v>28</v>
      </c>
      <c r="B33" s="36">
        <v>1000</v>
      </c>
      <c r="C33" s="36" t="s">
        <v>12</v>
      </c>
      <c r="D33" s="36">
        <v>20</v>
      </c>
      <c r="E33" s="36" t="str">
        <f t="shared" si="2"/>
        <v>Asia-1000-CTGAN-20</v>
      </c>
      <c r="F33" s="36">
        <f>94</f>
        <v>94</v>
      </c>
      <c r="G33" s="36">
        <f>89.08</f>
        <v>89.08</v>
      </c>
      <c r="H33" s="41">
        <f>AVERAGE(Table1[[#This Row],[Column Shapes]],Table1[[#This Row],[Column Pair Trends]])</f>
        <v>91.539999999999992</v>
      </c>
      <c r="I33" s="41">
        <f>Asia!U19</f>
        <v>-3.2288474000558844</v>
      </c>
      <c r="J33" s="36">
        <f t="shared" si="1"/>
        <v>0</v>
      </c>
    </row>
    <row r="34" spans="1:10" x14ac:dyDescent="0.2">
      <c r="A34" s="36" t="s">
        <v>28</v>
      </c>
      <c r="B34" s="36">
        <v>1000</v>
      </c>
      <c r="C34" s="36" t="s">
        <v>10</v>
      </c>
      <c r="D34" s="36">
        <v>2</v>
      </c>
      <c r="E34" s="36" t="str">
        <f t="shared" si="2"/>
        <v>Asia-1000-Mostly-2</v>
      </c>
      <c r="F34" s="36">
        <f>99.49</f>
        <v>99.49</v>
      </c>
      <c r="G34" s="36">
        <f>99.06</f>
        <v>99.06</v>
      </c>
      <c r="H34" s="41">
        <f>AVERAGE(Table1[[#This Row],[Column Shapes]],Table1[[#This Row],[Column Pair Trends]])</f>
        <v>99.275000000000006</v>
      </c>
      <c r="I34" s="41">
        <f>Asia!V16</f>
        <v>0.67864047334526345</v>
      </c>
      <c r="J34" s="36">
        <f t="shared" si="1"/>
        <v>1</v>
      </c>
    </row>
    <row r="35" spans="1:10" x14ac:dyDescent="0.2">
      <c r="A35" s="36" t="s">
        <v>28</v>
      </c>
      <c r="B35" s="36">
        <v>1000</v>
      </c>
      <c r="C35" s="36" t="s">
        <v>10</v>
      </c>
      <c r="D35" s="36">
        <v>5</v>
      </c>
      <c r="E35" s="36" t="str">
        <f t="shared" si="2"/>
        <v>Asia-1000-Mostly-5</v>
      </c>
      <c r="F35" s="36">
        <f>99.36</f>
        <v>99.36</v>
      </c>
      <c r="G35" s="36">
        <f>98.85</f>
        <v>98.85</v>
      </c>
      <c r="H35" s="41">
        <f>AVERAGE(Table1[[#This Row],[Column Shapes]],Table1[[#This Row],[Column Pair Trends]])</f>
        <v>99.10499999999999</v>
      </c>
      <c r="I35" s="41">
        <f>Asia!V17</f>
        <v>0.74847752805648748</v>
      </c>
      <c r="J35" s="36">
        <f t="shared" si="1"/>
        <v>1</v>
      </c>
    </row>
    <row r="36" spans="1:10" x14ac:dyDescent="0.2">
      <c r="A36" s="36" t="s">
        <v>28</v>
      </c>
      <c r="B36" s="36">
        <v>1000</v>
      </c>
      <c r="C36" s="36" t="s">
        <v>10</v>
      </c>
      <c r="D36" s="36">
        <v>10</v>
      </c>
      <c r="E36" s="36" t="str">
        <f t="shared" si="2"/>
        <v>Asia-1000-Mostly-10</v>
      </c>
      <c r="F36" s="36">
        <f>99.39</f>
        <v>99.39</v>
      </c>
      <c r="G36" s="36">
        <f>98.86</f>
        <v>98.86</v>
      </c>
      <c r="H36" s="41">
        <f>AVERAGE(Table1[[#This Row],[Column Shapes]],Table1[[#This Row],[Column Pair Trends]])</f>
        <v>99.125</v>
      </c>
      <c r="I36" s="41">
        <f>Asia!V18</f>
        <v>0.71346255600893371</v>
      </c>
      <c r="J36" s="36">
        <f t="shared" si="1"/>
        <v>1</v>
      </c>
    </row>
    <row r="37" spans="1:10" x14ac:dyDescent="0.2">
      <c r="A37" s="36" t="s">
        <v>28</v>
      </c>
      <c r="B37" s="36">
        <v>1000</v>
      </c>
      <c r="C37" s="36" t="s">
        <v>10</v>
      </c>
      <c r="D37" s="36">
        <v>20</v>
      </c>
      <c r="E37" s="36" t="str">
        <f t="shared" si="2"/>
        <v>Asia-1000-Mostly-20</v>
      </c>
      <c r="F37" s="36">
        <f>99.29</f>
        <v>99.29</v>
      </c>
      <c r="G37" s="36">
        <f>98.68</f>
        <v>98.68</v>
      </c>
      <c r="H37" s="41">
        <f>AVERAGE(Table1[[#This Row],[Column Shapes]],Table1[[#This Row],[Column Pair Trends]])</f>
        <v>98.985000000000014</v>
      </c>
      <c r="I37" s="41">
        <f>Asia!V19</f>
        <v>0.68005094393590793</v>
      </c>
      <c r="J37" s="36">
        <f t="shared" si="1"/>
        <v>1</v>
      </c>
    </row>
    <row r="38" spans="1:10" x14ac:dyDescent="0.2">
      <c r="A38" s="36" t="s">
        <v>27</v>
      </c>
      <c r="B38" s="36">
        <v>100</v>
      </c>
      <c r="C38" s="36" t="s">
        <v>11</v>
      </c>
      <c r="D38" s="36">
        <v>2</v>
      </c>
      <c r="E38" s="36" t="str">
        <f t="shared" ref="E38:E73" si="3">_xlfn.CONCAT(A38,"-",B38,"-",C38,"-",D38)</f>
        <v>Benchmark-100-TVAE-2</v>
      </c>
      <c r="F38" s="36">
        <f>90.63</f>
        <v>90.63</v>
      </c>
      <c r="G38" s="36">
        <f>83.85</f>
        <v>83.85</v>
      </c>
      <c r="H38" s="41">
        <f>AVERAGE(Table1[[#This Row],[Column Shapes]],Table1[[#This Row],[Column Pair Trends]])</f>
        <v>87.24</v>
      </c>
      <c r="I38" s="41">
        <f>prm!U6</f>
        <v>-0.30609939928522611</v>
      </c>
      <c r="J38" s="36">
        <f t="shared" ref="J38:J101" si="4">IF(I38&gt;0,1,0)</f>
        <v>0</v>
      </c>
    </row>
    <row r="39" spans="1:10" x14ac:dyDescent="0.2">
      <c r="A39" s="36" t="s">
        <v>27</v>
      </c>
      <c r="B39" s="36">
        <v>100</v>
      </c>
      <c r="C39" s="36" t="s">
        <v>11</v>
      </c>
      <c r="D39" s="36">
        <v>5</v>
      </c>
      <c r="E39" s="36" t="str">
        <f t="shared" si="3"/>
        <v>Benchmark-100-TVAE-5</v>
      </c>
      <c r="F39" s="36">
        <f>88.67</f>
        <v>88.67</v>
      </c>
      <c r="G39" s="36">
        <f>80.91</f>
        <v>80.91</v>
      </c>
      <c r="H39" s="41">
        <f>AVERAGE(Table1[[#This Row],[Column Shapes]],Table1[[#This Row],[Column Pair Trends]])</f>
        <v>84.789999999999992</v>
      </c>
      <c r="I39" s="41">
        <f>prm!U7</f>
        <v>-0.50422781382638182</v>
      </c>
      <c r="J39" s="36">
        <f t="shared" si="4"/>
        <v>0</v>
      </c>
    </row>
    <row r="40" spans="1:10" x14ac:dyDescent="0.2">
      <c r="A40" s="36" t="s">
        <v>27</v>
      </c>
      <c r="B40" s="36">
        <v>100</v>
      </c>
      <c r="C40" s="36" t="s">
        <v>11</v>
      </c>
      <c r="D40" s="36">
        <v>10</v>
      </c>
      <c r="E40" s="36" t="str">
        <f t="shared" si="3"/>
        <v>Benchmark-100-TVAE-10</v>
      </c>
      <c r="F40" s="36">
        <f>87.57</f>
        <v>87.57</v>
      </c>
      <c r="G40" s="36">
        <f>78.87</f>
        <v>78.87</v>
      </c>
      <c r="H40" s="41">
        <f>AVERAGE(Table1[[#This Row],[Column Shapes]],Table1[[#This Row],[Column Pair Trends]])</f>
        <v>83.22</v>
      </c>
      <c r="I40" s="41">
        <f>prm!U8</f>
        <v>-0.74786654728965996</v>
      </c>
      <c r="J40" s="36">
        <f t="shared" si="4"/>
        <v>0</v>
      </c>
    </row>
    <row r="41" spans="1:10" x14ac:dyDescent="0.2">
      <c r="A41" s="36" t="s">
        <v>27</v>
      </c>
      <c r="B41" s="36">
        <v>100</v>
      </c>
      <c r="C41" s="36" t="s">
        <v>11</v>
      </c>
      <c r="D41" s="36">
        <v>20</v>
      </c>
      <c r="E41" s="36" t="str">
        <f t="shared" si="3"/>
        <v>Benchmark-100-TVAE-20</v>
      </c>
      <c r="F41" s="36">
        <f>87.32</f>
        <v>87.32</v>
      </c>
      <c r="G41" s="36">
        <f>77.87</f>
        <v>77.87</v>
      </c>
      <c r="H41" s="41">
        <f>AVERAGE(Table1[[#This Row],[Column Shapes]],Table1[[#This Row],[Column Pair Trends]])</f>
        <v>82.594999999999999</v>
      </c>
      <c r="I41" s="41">
        <f>prm!U9</f>
        <v>-1.0242525510441864</v>
      </c>
      <c r="J41" s="36">
        <f t="shared" si="4"/>
        <v>0</v>
      </c>
    </row>
    <row r="42" spans="1:10" x14ac:dyDescent="0.2">
      <c r="A42" s="36" t="s">
        <v>27</v>
      </c>
      <c r="B42" s="36">
        <v>100</v>
      </c>
      <c r="C42" s="36" t="s">
        <v>12</v>
      </c>
      <c r="D42" s="36">
        <v>2</v>
      </c>
      <c r="E42" s="36" t="str">
        <f t="shared" si="3"/>
        <v>Benchmark-100-CTGAN-2</v>
      </c>
      <c r="F42" s="36">
        <f>96.44</f>
        <v>96.44</v>
      </c>
      <c r="G42" s="36">
        <f>91.73</f>
        <v>91.73</v>
      </c>
      <c r="H42" s="41">
        <f>AVERAGE(Table1[[#This Row],[Column Shapes]],Table1[[#This Row],[Column Pair Trends]])</f>
        <v>94.085000000000008</v>
      </c>
      <c r="I42" s="41">
        <f>prm!V6</f>
        <v>8.759998942208691E-2</v>
      </c>
      <c r="J42" s="36">
        <f t="shared" si="4"/>
        <v>1</v>
      </c>
    </row>
    <row r="43" spans="1:10" x14ac:dyDescent="0.2">
      <c r="A43" s="36" t="s">
        <v>27</v>
      </c>
      <c r="B43" s="36">
        <v>100</v>
      </c>
      <c r="C43" s="36" t="s">
        <v>12</v>
      </c>
      <c r="D43" s="36">
        <v>5</v>
      </c>
      <c r="E43" s="36" t="str">
        <f t="shared" si="3"/>
        <v>Benchmark-100-CTGAN-5</v>
      </c>
      <c r="F43" s="36">
        <f>95.24</f>
        <v>95.24</v>
      </c>
      <c r="G43" s="36">
        <f>89.28</f>
        <v>89.28</v>
      </c>
      <c r="H43" s="41">
        <f>AVERAGE(Table1[[#This Row],[Column Shapes]],Table1[[#This Row],[Column Pair Trends]])</f>
        <v>92.259999999999991</v>
      </c>
      <c r="I43" s="41">
        <f>prm!V7</f>
        <v>7.8941051405648444E-2</v>
      </c>
      <c r="J43" s="36">
        <f t="shared" si="4"/>
        <v>1</v>
      </c>
    </row>
    <row r="44" spans="1:10" x14ac:dyDescent="0.2">
      <c r="A44" s="36" t="s">
        <v>27</v>
      </c>
      <c r="B44" s="36">
        <v>100</v>
      </c>
      <c r="C44" s="36" t="s">
        <v>12</v>
      </c>
      <c r="D44" s="36">
        <v>10</v>
      </c>
      <c r="E44" s="36" t="str">
        <f t="shared" si="3"/>
        <v>Benchmark-100-CTGAN-10</v>
      </c>
      <c r="F44" s="36">
        <f>95.08</f>
        <v>95.08</v>
      </c>
      <c r="G44" s="36">
        <f>88.94</f>
        <v>88.94</v>
      </c>
      <c r="H44" s="41">
        <f>AVERAGE(Table1[[#This Row],[Column Shapes]],Table1[[#This Row],[Column Pair Trends]])</f>
        <v>92.009999999999991</v>
      </c>
      <c r="I44" s="41">
        <f>prm!V8</f>
        <v>-0.19237190846815699</v>
      </c>
      <c r="J44" s="36">
        <f t="shared" si="4"/>
        <v>0</v>
      </c>
    </row>
    <row r="45" spans="1:10" x14ac:dyDescent="0.2">
      <c r="A45" s="36" t="s">
        <v>27</v>
      </c>
      <c r="B45" s="36">
        <v>100</v>
      </c>
      <c r="C45" s="36" t="s">
        <v>12</v>
      </c>
      <c r="D45" s="36">
        <v>20</v>
      </c>
      <c r="E45" s="36" t="str">
        <f t="shared" si="3"/>
        <v>Benchmark-100-CTGAN-20</v>
      </c>
      <c r="F45" s="36">
        <f>94.93</f>
        <v>94.93</v>
      </c>
      <c r="G45" s="36">
        <f>88.48</f>
        <v>88.48</v>
      </c>
      <c r="H45" s="41">
        <f>AVERAGE(Table1[[#This Row],[Column Shapes]],Table1[[#This Row],[Column Pair Trends]])</f>
        <v>91.705000000000013</v>
      </c>
      <c r="I45" s="41">
        <f>prm!V9</f>
        <v>-9.2345561031202728E-2</v>
      </c>
      <c r="J45" s="36">
        <f t="shared" si="4"/>
        <v>0</v>
      </c>
    </row>
    <row r="46" spans="1:10" x14ac:dyDescent="0.2">
      <c r="A46" s="36" t="s">
        <v>27</v>
      </c>
      <c r="B46" s="36">
        <v>100</v>
      </c>
      <c r="C46" s="36" t="s">
        <v>10</v>
      </c>
      <c r="D46" s="36">
        <v>2</v>
      </c>
      <c r="E46" s="36" t="str">
        <f t="shared" si="3"/>
        <v>Benchmark-100-Mostly-2</v>
      </c>
      <c r="F46" s="36">
        <f>98.11</f>
        <v>98.11</v>
      </c>
      <c r="G46" s="36">
        <f>96.23</f>
        <v>96.23</v>
      </c>
      <c r="H46" s="41">
        <f>AVERAGE(Table1[[#This Row],[Column Shapes]],Table1[[#This Row],[Column Pair Trends]])</f>
        <v>97.17</v>
      </c>
      <c r="I46" s="41">
        <f>prm!W6</f>
        <v>0.3028086293263117</v>
      </c>
      <c r="J46" s="36">
        <f t="shared" si="4"/>
        <v>1</v>
      </c>
    </row>
    <row r="47" spans="1:10" x14ac:dyDescent="0.2">
      <c r="A47" s="36" t="s">
        <v>27</v>
      </c>
      <c r="B47" s="36">
        <v>100</v>
      </c>
      <c r="C47" s="36" t="s">
        <v>10</v>
      </c>
      <c r="D47" s="36">
        <v>5</v>
      </c>
      <c r="E47" s="36" t="str">
        <f t="shared" si="3"/>
        <v>Benchmark-100-Mostly-5</v>
      </c>
      <c r="F47" s="36">
        <f>97.69</f>
        <v>97.69</v>
      </c>
      <c r="G47" s="36">
        <f>94.65</f>
        <v>94.65</v>
      </c>
      <c r="H47" s="41">
        <f>AVERAGE(Table1[[#This Row],[Column Shapes]],Table1[[#This Row],[Column Pair Trends]])</f>
        <v>96.17</v>
      </c>
      <c r="I47" s="41">
        <f>prm!W7</f>
        <v>0.53043699674858558</v>
      </c>
      <c r="J47" s="36">
        <f t="shared" si="4"/>
        <v>1</v>
      </c>
    </row>
    <row r="48" spans="1:10" x14ac:dyDescent="0.2">
      <c r="A48" s="36" t="s">
        <v>27</v>
      </c>
      <c r="B48" s="36">
        <v>100</v>
      </c>
      <c r="C48" s="36" t="s">
        <v>10</v>
      </c>
      <c r="D48" s="36">
        <v>10</v>
      </c>
      <c r="E48" s="36" t="str">
        <f t="shared" si="3"/>
        <v>Benchmark-100-Mostly-10</v>
      </c>
      <c r="F48" s="36">
        <f>97.93</f>
        <v>97.93</v>
      </c>
      <c r="G48" s="36">
        <f>94.48</f>
        <v>94.48</v>
      </c>
      <c r="H48" s="41">
        <f>AVERAGE(Table1[[#This Row],[Column Shapes]],Table1[[#This Row],[Column Pair Trends]])</f>
        <v>96.205000000000013</v>
      </c>
      <c r="I48" s="41">
        <f>prm!W8</f>
        <v>0.58730257521582563</v>
      </c>
      <c r="J48" s="36">
        <f t="shared" si="4"/>
        <v>1</v>
      </c>
    </row>
    <row r="49" spans="1:10" x14ac:dyDescent="0.2">
      <c r="A49" s="36" t="s">
        <v>27</v>
      </c>
      <c r="B49" s="36">
        <v>100</v>
      </c>
      <c r="C49" s="36" t="s">
        <v>10</v>
      </c>
      <c r="D49" s="36">
        <v>20</v>
      </c>
      <c r="E49" s="36" t="str">
        <f t="shared" si="3"/>
        <v>Benchmark-100-Mostly-20</v>
      </c>
      <c r="F49" s="36">
        <f>97.88</f>
        <v>97.88</v>
      </c>
      <c r="G49" s="36">
        <f>94.46</f>
        <v>94.46</v>
      </c>
      <c r="H49" s="41">
        <f>AVERAGE(Table1[[#This Row],[Column Shapes]],Table1[[#This Row],[Column Pair Trends]])</f>
        <v>96.169999999999987</v>
      </c>
      <c r="I49" s="41">
        <f>prm!W9</f>
        <v>0.62981702925140781</v>
      </c>
      <c r="J49" s="36">
        <f t="shared" si="4"/>
        <v>1</v>
      </c>
    </row>
    <row r="50" spans="1:10" x14ac:dyDescent="0.2">
      <c r="A50" s="36" t="s">
        <v>27</v>
      </c>
      <c r="B50" s="36">
        <v>500</v>
      </c>
      <c r="C50" s="36" t="s">
        <v>11</v>
      </c>
      <c r="D50" s="36">
        <v>2</v>
      </c>
      <c r="E50" s="36" t="str">
        <f t="shared" si="3"/>
        <v>Benchmark-500-TVAE-2</v>
      </c>
      <c r="F50" s="36">
        <f>92.71</f>
        <v>92.71</v>
      </c>
      <c r="G50" s="36">
        <f>88.01</f>
        <v>88.01</v>
      </c>
      <c r="H50" s="41">
        <f>AVERAGE(Table1[[#This Row],[Column Shapes]],Table1[[#This Row],[Column Pair Trends]])</f>
        <v>90.36</v>
      </c>
      <c r="I50" s="41">
        <f>prm!U11</f>
        <v>-1.3335390698951013</v>
      </c>
      <c r="J50" s="36">
        <f t="shared" si="4"/>
        <v>0</v>
      </c>
    </row>
    <row r="51" spans="1:10" x14ac:dyDescent="0.2">
      <c r="A51" s="36" t="s">
        <v>27</v>
      </c>
      <c r="B51" s="36">
        <v>500</v>
      </c>
      <c r="C51" s="36" t="s">
        <v>11</v>
      </c>
      <c r="D51" s="36">
        <v>5</v>
      </c>
      <c r="E51" s="36" t="str">
        <f t="shared" si="3"/>
        <v>Benchmark-500-TVAE-5</v>
      </c>
      <c r="F51" s="36">
        <f>90.73</f>
        <v>90.73</v>
      </c>
      <c r="G51" s="36">
        <f>84.92</f>
        <v>84.92</v>
      </c>
      <c r="H51" s="41">
        <f>AVERAGE(Table1[[#This Row],[Column Shapes]],Table1[[#This Row],[Column Pair Trends]])</f>
        <v>87.825000000000003</v>
      </c>
      <c r="I51" s="41">
        <f>prm!U12</f>
        <v>-2.3301253709065071</v>
      </c>
      <c r="J51" s="36">
        <f t="shared" si="4"/>
        <v>0</v>
      </c>
    </row>
    <row r="52" spans="1:10" x14ac:dyDescent="0.2">
      <c r="A52" s="36" t="s">
        <v>27</v>
      </c>
      <c r="B52" s="36">
        <v>500</v>
      </c>
      <c r="C52" s="36" t="s">
        <v>11</v>
      </c>
      <c r="D52" s="36">
        <v>10</v>
      </c>
      <c r="E52" s="36" t="str">
        <f t="shared" si="3"/>
        <v>Benchmark-500-TVAE-10</v>
      </c>
      <c r="F52" s="36">
        <f>89.76</f>
        <v>89.76</v>
      </c>
      <c r="G52" s="36">
        <f>83.43</f>
        <v>83.43</v>
      </c>
      <c r="H52" s="41">
        <f>AVERAGE(Table1[[#This Row],[Column Shapes]],Table1[[#This Row],[Column Pair Trends]])</f>
        <v>86.594999999999999</v>
      </c>
      <c r="I52" s="41">
        <f>prm!U13</f>
        <v>-3.4145153056361428</v>
      </c>
      <c r="J52" s="36">
        <f t="shared" si="4"/>
        <v>0</v>
      </c>
    </row>
    <row r="53" spans="1:10" x14ac:dyDescent="0.2">
      <c r="A53" s="36" t="s">
        <v>27</v>
      </c>
      <c r="B53" s="36">
        <v>500</v>
      </c>
      <c r="C53" s="36" t="s">
        <v>11</v>
      </c>
      <c r="D53" s="36">
        <v>20</v>
      </c>
      <c r="E53" s="36" t="str">
        <f t="shared" si="3"/>
        <v>Benchmark-500-TVAE-20</v>
      </c>
      <c r="F53" s="36">
        <f>89.27</f>
        <v>89.27</v>
      </c>
      <c r="G53" s="36">
        <f>82.69</f>
        <v>82.69</v>
      </c>
      <c r="H53" s="41">
        <f>AVERAGE(Table1[[#This Row],[Column Shapes]],Table1[[#This Row],[Column Pair Trends]])</f>
        <v>85.97999999999999</v>
      </c>
      <c r="I53" s="41">
        <f>prm!U14</f>
        <v>-4.7784391799678456</v>
      </c>
      <c r="J53" s="36">
        <f t="shared" si="4"/>
        <v>0</v>
      </c>
    </row>
    <row r="54" spans="1:10" x14ac:dyDescent="0.2">
      <c r="A54" s="36" t="s">
        <v>27</v>
      </c>
      <c r="B54" s="36">
        <v>500</v>
      </c>
      <c r="C54" s="36" t="s">
        <v>12</v>
      </c>
      <c r="D54" s="36">
        <v>2</v>
      </c>
      <c r="E54" s="36" t="str">
        <f>_xlfn.CONCAT(A54,"-",B54,"-",C54,"-",D54)</f>
        <v>Benchmark-500-CTGAN-2</v>
      </c>
      <c r="F54" s="36">
        <f>94.54</f>
        <v>94.54</v>
      </c>
      <c r="G54" s="36">
        <f>91</f>
        <v>91</v>
      </c>
      <c r="H54" s="41">
        <f>AVERAGE(Table1[[#This Row],[Column Shapes]],Table1[[#This Row],[Column Pair Trends]])</f>
        <v>92.77000000000001</v>
      </c>
      <c r="I54" s="41">
        <f>prm!V11</f>
        <v>-3.3152734408684532</v>
      </c>
      <c r="J54" s="36">
        <f t="shared" si="4"/>
        <v>0</v>
      </c>
    </row>
    <row r="55" spans="1:10" x14ac:dyDescent="0.2">
      <c r="A55" s="36" t="s">
        <v>27</v>
      </c>
      <c r="B55" s="36">
        <v>500</v>
      </c>
      <c r="C55" s="36" t="s">
        <v>12</v>
      </c>
      <c r="D55" s="36">
        <v>5</v>
      </c>
      <c r="E55" s="36" t="str">
        <f t="shared" ref="E55:E57" si="5">_xlfn.CONCAT(A55,"-",B55,"-",C55,"-",D55)</f>
        <v>Benchmark-500-CTGAN-5</v>
      </c>
      <c r="F55" s="36">
        <f>93.25</f>
        <v>93.25</v>
      </c>
      <c r="G55" s="36">
        <f>88.86</f>
        <v>88.86</v>
      </c>
      <c r="H55" s="41">
        <f>AVERAGE(Table1[[#This Row],[Column Shapes]],Table1[[#This Row],[Column Pair Trends]])</f>
        <v>91.055000000000007</v>
      </c>
      <c r="I55" s="41">
        <f>prm!V12</f>
        <v>-5.9735031263491791</v>
      </c>
      <c r="J55" s="36">
        <f t="shared" si="4"/>
        <v>0</v>
      </c>
    </row>
    <row r="56" spans="1:10" x14ac:dyDescent="0.2">
      <c r="A56" s="36" t="s">
        <v>27</v>
      </c>
      <c r="B56" s="36">
        <v>500</v>
      </c>
      <c r="C56" s="36" t="s">
        <v>12</v>
      </c>
      <c r="D56" s="36">
        <v>10</v>
      </c>
      <c r="E56" s="36" t="str">
        <f t="shared" si="5"/>
        <v>Benchmark-500-CTGAN-10</v>
      </c>
      <c r="F56" s="36">
        <f>92.66</f>
        <v>92.66</v>
      </c>
      <c r="G56" s="36">
        <f>87.86</f>
        <v>87.86</v>
      </c>
      <c r="H56" s="41">
        <f>AVERAGE(Table1[[#This Row],[Column Shapes]],Table1[[#This Row],[Column Pair Trends]])</f>
        <v>90.259999999999991</v>
      </c>
      <c r="I56" s="41">
        <f>prm!V13</f>
        <v>-6.874233400666844</v>
      </c>
      <c r="J56" s="36">
        <f t="shared" si="4"/>
        <v>0</v>
      </c>
    </row>
    <row r="57" spans="1:10" x14ac:dyDescent="0.2">
      <c r="A57" s="36" t="s">
        <v>27</v>
      </c>
      <c r="B57" s="36">
        <v>500</v>
      </c>
      <c r="C57" s="36" t="s">
        <v>12</v>
      </c>
      <c r="D57" s="36">
        <v>20</v>
      </c>
      <c r="E57" s="36" t="str">
        <f t="shared" si="5"/>
        <v>Benchmark-500-CTGAN-20</v>
      </c>
      <c r="F57" s="36">
        <f>92.41</f>
        <v>92.41</v>
      </c>
      <c r="G57" s="36">
        <f>87.3</f>
        <v>87.3</v>
      </c>
      <c r="H57" s="41">
        <f>AVERAGE(Table1[[#This Row],[Column Shapes]],Table1[[#This Row],[Column Pair Trends]])</f>
        <v>89.85499999999999</v>
      </c>
      <c r="I57" s="41">
        <f>prm!V14</f>
        <v>-7.7972514940759616</v>
      </c>
      <c r="J57" s="36">
        <f t="shared" si="4"/>
        <v>0</v>
      </c>
    </row>
    <row r="58" spans="1:10" x14ac:dyDescent="0.2">
      <c r="A58" s="36" t="s">
        <v>27</v>
      </c>
      <c r="B58" s="36">
        <v>500</v>
      </c>
      <c r="C58" s="36" t="s">
        <v>10</v>
      </c>
      <c r="D58" s="36">
        <v>2</v>
      </c>
      <c r="E58" s="36" t="str">
        <f t="shared" si="3"/>
        <v>Benchmark-500-Mostly-2</v>
      </c>
      <c r="F58" s="36">
        <f>97.92</f>
        <v>97.92</v>
      </c>
      <c r="G58" s="36">
        <f>96.81</f>
        <v>96.81</v>
      </c>
      <c r="H58" s="41">
        <f>AVERAGE(Table1[[#This Row],[Column Shapes]],Table1[[#This Row],[Column Pair Trends]])</f>
        <v>97.365000000000009</v>
      </c>
      <c r="I58" s="41">
        <f>prm!W11</f>
        <v>0.22268686976877461</v>
      </c>
      <c r="J58" s="36">
        <f t="shared" si="4"/>
        <v>1</v>
      </c>
    </row>
    <row r="59" spans="1:10" x14ac:dyDescent="0.2">
      <c r="A59" s="36" t="s">
        <v>27</v>
      </c>
      <c r="B59" s="36">
        <v>500</v>
      </c>
      <c r="C59" s="36" t="s">
        <v>10</v>
      </c>
      <c r="D59" s="36">
        <v>5</v>
      </c>
      <c r="E59" s="36" t="str">
        <f t="shared" si="3"/>
        <v>Benchmark-500-Mostly-5</v>
      </c>
      <c r="F59" s="36">
        <f>98.26</f>
        <v>98.26</v>
      </c>
      <c r="G59" s="36">
        <f>97.22</f>
        <v>97.22</v>
      </c>
      <c r="H59" s="41">
        <f>AVERAGE(Table1[[#This Row],[Column Shapes]],Table1[[#This Row],[Column Pair Trends]])</f>
        <v>97.740000000000009</v>
      </c>
      <c r="I59" s="41">
        <f>prm!W12</f>
        <v>0.3036561604349528</v>
      </c>
      <c r="J59" s="36">
        <f t="shared" si="4"/>
        <v>1</v>
      </c>
    </row>
    <row r="60" spans="1:10" x14ac:dyDescent="0.2">
      <c r="A60" s="36" t="s">
        <v>27</v>
      </c>
      <c r="B60" s="36">
        <v>500</v>
      </c>
      <c r="C60" s="36" t="s">
        <v>10</v>
      </c>
      <c r="D60" s="36">
        <v>10</v>
      </c>
      <c r="E60" s="36" t="str">
        <f t="shared" si="3"/>
        <v>Benchmark-500-Mostly-10</v>
      </c>
      <c r="F60" s="36">
        <f>98.43</f>
        <v>98.43</v>
      </c>
      <c r="G60" s="36">
        <f>97.37</f>
        <v>97.37</v>
      </c>
      <c r="H60" s="41">
        <f>AVERAGE(Table1[[#This Row],[Column Shapes]],Table1[[#This Row],[Column Pair Trends]])</f>
        <v>97.9</v>
      </c>
      <c r="I60" s="41">
        <f>prm!W13</f>
        <v>0.23311999668558991</v>
      </c>
      <c r="J60" s="36">
        <f t="shared" si="4"/>
        <v>1</v>
      </c>
    </row>
    <row r="61" spans="1:10" x14ac:dyDescent="0.2">
      <c r="A61" s="36" t="s">
        <v>27</v>
      </c>
      <c r="B61" s="36">
        <v>500</v>
      </c>
      <c r="C61" s="36" t="s">
        <v>10</v>
      </c>
      <c r="D61" s="36">
        <v>20</v>
      </c>
      <c r="E61" s="36" t="str">
        <f t="shared" si="3"/>
        <v>Benchmark-500-Mostly-20</v>
      </c>
      <c r="F61" s="36">
        <f>98.5</f>
        <v>98.5</v>
      </c>
      <c r="G61" s="36">
        <f>97.46</f>
        <v>97.46</v>
      </c>
      <c r="H61" s="41">
        <f>AVERAGE(Table1[[#This Row],[Column Shapes]],Table1[[#This Row],[Column Pair Trends]])</f>
        <v>97.97999999999999</v>
      </c>
      <c r="I61" s="41">
        <f>prm!W14</f>
        <v>7.7015369500866737E-2</v>
      </c>
      <c r="J61" s="36">
        <f t="shared" si="4"/>
        <v>1</v>
      </c>
    </row>
    <row r="62" spans="1:10" x14ac:dyDescent="0.2">
      <c r="A62" s="36" t="s">
        <v>27</v>
      </c>
      <c r="B62" s="36">
        <v>1000</v>
      </c>
      <c r="C62" s="36" t="s">
        <v>11</v>
      </c>
      <c r="D62" s="36">
        <v>2</v>
      </c>
      <c r="E62" s="36" t="str">
        <f t="shared" si="3"/>
        <v>Benchmark-1000-TVAE-2</v>
      </c>
      <c r="F62" s="36">
        <f>96.55</f>
        <v>96.55</v>
      </c>
      <c r="G62" s="36">
        <f>94.15</f>
        <v>94.15</v>
      </c>
      <c r="H62" s="41">
        <f>AVERAGE(Table1[[#This Row],[Column Shapes]],Table1[[#This Row],[Column Pair Trends]])</f>
        <v>95.35</v>
      </c>
      <c r="I62" s="41">
        <f>prm!U16</f>
        <v>-0.35305486281866627</v>
      </c>
      <c r="J62" s="36">
        <f t="shared" si="4"/>
        <v>0</v>
      </c>
    </row>
    <row r="63" spans="1:10" x14ac:dyDescent="0.2">
      <c r="A63" s="36" t="s">
        <v>27</v>
      </c>
      <c r="B63" s="36">
        <v>1000</v>
      </c>
      <c r="C63" s="36" t="s">
        <v>11</v>
      </c>
      <c r="D63" s="36">
        <v>5</v>
      </c>
      <c r="E63" s="36" t="str">
        <f t="shared" si="3"/>
        <v>Benchmark-1000-TVAE-5</v>
      </c>
      <c r="F63" s="36">
        <f>95.71</f>
        <v>95.71</v>
      </c>
      <c r="G63" s="36">
        <f>92.86</f>
        <v>92.86</v>
      </c>
      <c r="H63" s="41">
        <f>AVERAGE(Table1[[#This Row],[Column Shapes]],Table1[[#This Row],[Column Pair Trends]])</f>
        <v>94.284999999999997</v>
      </c>
      <c r="I63" s="41">
        <f>prm!U17</f>
        <v>-1.0412807037082938</v>
      </c>
      <c r="J63" s="36">
        <f t="shared" si="4"/>
        <v>0</v>
      </c>
    </row>
    <row r="64" spans="1:10" x14ac:dyDescent="0.2">
      <c r="A64" s="36" t="s">
        <v>27</v>
      </c>
      <c r="B64" s="36">
        <v>1000</v>
      </c>
      <c r="C64" s="36" t="s">
        <v>11</v>
      </c>
      <c r="D64" s="36">
        <v>10</v>
      </c>
      <c r="E64" s="36" t="str">
        <f t="shared" si="3"/>
        <v>Benchmark-1000-TVAE-10</v>
      </c>
      <c r="F64" s="36">
        <f>95.47</f>
        <v>95.47</v>
      </c>
      <c r="G64" s="36">
        <f>92.32</f>
        <v>92.32</v>
      </c>
      <c r="H64" s="41">
        <f>AVERAGE(Table1[[#This Row],[Column Shapes]],Table1[[#This Row],[Column Pair Trends]])</f>
        <v>93.894999999999996</v>
      </c>
      <c r="I64" s="41">
        <f>prm!U18</f>
        <v>-1.3889880889582891</v>
      </c>
      <c r="J64" s="36">
        <f t="shared" si="4"/>
        <v>0</v>
      </c>
    </row>
    <row r="65" spans="1:10" x14ac:dyDescent="0.2">
      <c r="A65" s="36" t="s">
        <v>27</v>
      </c>
      <c r="B65" s="36">
        <v>1000</v>
      </c>
      <c r="C65" s="36" t="s">
        <v>11</v>
      </c>
      <c r="D65" s="36">
        <v>20</v>
      </c>
      <c r="E65" s="36" t="str">
        <f t="shared" si="3"/>
        <v>Benchmark-1000-TVAE-20</v>
      </c>
      <c r="F65" s="36">
        <f>95.3</f>
        <v>95.3</v>
      </c>
      <c r="G65" s="36">
        <f>91.82</f>
        <v>91.82</v>
      </c>
      <c r="H65" s="41">
        <f>AVERAGE(Table1[[#This Row],[Column Shapes]],Table1[[#This Row],[Column Pair Trends]])</f>
        <v>93.56</v>
      </c>
      <c r="I65" s="41">
        <f>prm!U19</f>
        <v>-1.8555843281387632</v>
      </c>
      <c r="J65" s="36">
        <f t="shared" si="4"/>
        <v>0</v>
      </c>
    </row>
    <row r="66" spans="1:10" x14ac:dyDescent="0.2">
      <c r="A66" s="36" t="s">
        <v>27</v>
      </c>
      <c r="B66" s="36">
        <v>1000</v>
      </c>
      <c r="C66" s="36" t="s">
        <v>12</v>
      </c>
      <c r="D66" s="36">
        <v>2</v>
      </c>
      <c r="E66" s="36" t="str">
        <f t="shared" si="3"/>
        <v>Benchmark-1000-CTGAN-2</v>
      </c>
      <c r="F66" s="36">
        <f>93.05</f>
        <v>93.05</v>
      </c>
      <c r="G66" s="36">
        <f>89.8</f>
        <v>89.8</v>
      </c>
      <c r="H66" s="41">
        <f>AVERAGE(Table1[[#This Row],[Column Shapes]],Table1[[#This Row],[Column Pair Trends]])</f>
        <v>91.424999999999997</v>
      </c>
      <c r="I66" s="41">
        <f>prm!V16</f>
        <v>-2.7189749404076924</v>
      </c>
      <c r="J66" s="36">
        <f t="shared" si="4"/>
        <v>0</v>
      </c>
    </row>
    <row r="67" spans="1:10" x14ac:dyDescent="0.2">
      <c r="A67" s="36" t="s">
        <v>27</v>
      </c>
      <c r="B67" s="36">
        <v>1000</v>
      </c>
      <c r="C67" s="36" t="s">
        <v>12</v>
      </c>
      <c r="D67" s="36">
        <v>5</v>
      </c>
      <c r="E67" s="36" t="str">
        <f t="shared" si="3"/>
        <v>Benchmark-1000-CTGAN-5</v>
      </c>
      <c r="F67" s="36">
        <f>91.26</f>
        <v>91.26</v>
      </c>
      <c r="G67" s="36">
        <f>87.46</f>
        <v>87.46</v>
      </c>
      <c r="H67" s="41">
        <f>AVERAGE(Table1[[#This Row],[Column Shapes]],Table1[[#This Row],[Column Pair Trends]])</f>
        <v>89.36</v>
      </c>
      <c r="I67" s="41">
        <f>prm!V17</f>
        <v>-4.1226611903574124</v>
      </c>
      <c r="J67" s="36">
        <f t="shared" si="4"/>
        <v>0</v>
      </c>
    </row>
    <row r="68" spans="1:10" x14ac:dyDescent="0.2">
      <c r="A68" s="36" t="s">
        <v>27</v>
      </c>
      <c r="B68" s="36">
        <v>1000</v>
      </c>
      <c r="C68" s="36" t="s">
        <v>12</v>
      </c>
      <c r="D68" s="36">
        <v>10</v>
      </c>
      <c r="E68" s="36" t="str">
        <f t="shared" si="3"/>
        <v>Benchmark-1000-CTGAN-10</v>
      </c>
      <c r="F68" s="36">
        <f>90.2</f>
        <v>90.2</v>
      </c>
      <c r="G68" s="36">
        <f>85.98</f>
        <v>85.98</v>
      </c>
      <c r="H68" s="41">
        <f>AVERAGE(Table1[[#This Row],[Column Shapes]],Table1[[#This Row],[Column Pair Trends]])</f>
        <v>88.09</v>
      </c>
      <c r="I68" s="41">
        <f>prm!V18</f>
        <v>-4.6284801896365559</v>
      </c>
      <c r="J68" s="36">
        <f t="shared" si="4"/>
        <v>0</v>
      </c>
    </row>
    <row r="69" spans="1:10" x14ac:dyDescent="0.2">
      <c r="A69" s="36" t="s">
        <v>27</v>
      </c>
      <c r="B69" s="36">
        <v>1000</v>
      </c>
      <c r="C69" s="36" t="s">
        <v>12</v>
      </c>
      <c r="D69" s="36">
        <v>20</v>
      </c>
      <c r="E69" s="36" t="str">
        <f t="shared" si="3"/>
        <v>Benchmark-1000-CTGAN-20</v>
      </c>
      <c r="F69" s="36">
        <f>89.88</f>
        <v>89.88</v>
      </c>
      <c r="G69" s="36">
        <f>85.44</f>
        <v>85.44</v>
      </c>
      <c r="H69" s="41">
        <f>AVERAGE(Table1[[#This Row],[Column Shapes]],Table1[[#This Row],[Column Pair Trends]])</f>
        <v>87.66</v>
      </c>
      <c r="I69" s="41">
        <f>prm!V19</f>
        <v>-5.0734199651883092</v>
      </c>
      <c r="J69" s="36">
        <f t="shared" si="4"/>
        <v>0</v>
      </c>
    </row>
    <row r="70" spans="1:10" x14ac:dyDescent="0.2">
      <c r="A70" s="36" t="s">
        <v>27</v>
      </c>
      <c r="B70" s="36">
        <v>1000</v>
      </c>
      <c r="C70" s="36" t="s">
        <v>10</v>
      </c>
      <c r="D70" s="36">
        <v>2</v>
      </c>
      <c r="E70" s="36" t="str">
        <f t="shared" si="3"/>
        <v>Benchmark-1000-Mostly-2</v>
      </c>
      <c r="F70" s="36">
        <f>98.97</f>
        <v>98.97</v>
      </c>
      <c r="G70" s="36">
        <f>98.02</f>
        <v>98.02</v>
      </c>
      <c r="H70" s="41">
        <f>AVERAGE(Table1[[#This Row],[Column Shapes]],Table1[[#This Row],[Column Pair Trends]])</f>
        <v>98.495000000000005</v>
      </c>
      <c r="I70" s="41">
        <f>prm!W16</f>
        <v>0.2542715236427987</v>
      </c>
      <c r="J70" s="36">
        <f t="shared" si="4"/>
        <v>1</v>
      </c>
    </row>
    <row r="71" spans="1:10" x14ac:dyDescent="0.2">
      <c r="A71" s="36" t="s">
        <v>27</v>
      </c>
      <c r="B71" s="36">
        <v>1000</v>
      </c>
      <c r="C71" s="36" t="s">
        <v>10</v>
      </c>
      <c r="D71" s="36">
        <v>5</v>
      </c>
      <c r="E71" s="36" t="str">
        <f t="shared" si="3"/>
        <v>Benchmark-1000-Mostly-5</v>
      </c>
      <c r="F71" s="36">
        <f>99.29</f>
        <v>99.29</v>
      </c>
      <c r="G71" s="36">
        <f>98.26</f>
        <v>98.26</v>
      </c>
      <c r="H71" s="41">
        <f>AVERAGE(Table1[[#This Row],[Column Shapes]],Table1[[#This Row],[Column Pair Trends]])</f>
        <v>98.775000000000006</v>
      </c>
      <c r="I71" s="41">
        <f>prm!W17</f>
        <v>0.35436503818241627</v>
      </c>
      <c r="J71" s="36">
        <f t="shared" si="4"/>
        <v>1</v>
      </c>
    </row>
    <row r="72" spans="1:10" x14ac:dyDescent="0.2">
      <c r="A72" s="36" t="s">
        <v>27</v>
      </c>
      <c r="B72" s="36">
        <v>1000</v>
      </c>
      <c r="C72" s="36" t="s">
        <v>10</v>
      </c>
      <c r="D72" s="36">
        <v>10</v>
      </c>
      <c r="E72" s="36" t="str">
        <f t="shared" si="3"/>
        <v>Benchmark-1000-Mostly-10</v>
      </c>
      <c r="F72" s="36">
        <f>99.08</f>
        <v>99.08</v>
      </c>
      <c r="G72" s="36">
        <f>98.08</f>
        <v>98.08</v>
      </c>
      <c r="H72" s="41">
        <f>AVERAGE(Table1[[#This Row],[Column Shapes]],Table1[[#This Row],[Column Pair Trends]])</f>
        <v>98.58</v>
      </c>
      <c r="I72" s="41">
        <f>prm!W18</f>
        <v>0.22890351977865186</v>
      </c>
      <c r="J72" s="36">
        <f t="shared" si="4"/>
        <v>1</v>
      </c>
    </row>
    <row r="73" spans="1:10" x14ac:dyDescent="0.2">
      <c r="A73" s="36" t="s">
        <v>27</v>
      </c>
      <c r="B73" s="36">
        <v>1000</v>
      </c>
      <c r="C73" s="36" t="s">
        <v>10</v>
      </c>
      <c r="D73" s="36">
        <v>20</v>
      </c>
      <c r="E73" s="36" t="str">
        <f t="shared" si="3"/>
        <v>Benchmark-1000-Mostly-20</v>
      </c>
      <c r="F73" s="36">
        <f>99.14</f>
        <v>99.14</v>
      </c>
      <c r="G73" s="36">
        <f>97.98</f>
        <v>97.98</v>
      </c>
      <c r="H73" s="41">
        <f>AVERAGE(Table1[[#This Row],[Column Shapes]],Table1[[#This Row],[Column Pair Trends]])</f>
        <v>98.56</v>
      </c>
      <c r="I73" s="41">
        <f>prm!W19</f>
        <v>0.19115674042326891</v>
      </c>
      <c r="J73" s="36">
        <f t="shared" si="4"/>
        <v>1</v>
      </c>
    </row>
    <row r="74" spans="1:10" x14ac:dyDescent="0.2">
      <c r="A74" s="36" t="s">
        <v>29</v>
      </c>
      <c r="B74" s="36">
        <v>100</v>
      </c>
      <c r="C74" s="36" t="s">
        <v>11</v>
      </c>
      <c r="D74" s="36">
        <v>2</v>
      </c>
      <c r="E74" s="36" t="str">
        <f t="shared" ref="E74:E89" si="6">_xlfn.CONCAT(A74,"-",B74,"-",C74,"-",D74)</f>
        <v>Sports-100-TVAE-2</v>
      </c>
      <c r="F74" s="36">
        <f>89.83</f>
        <v>89.83</v>
      </c>
      <c r="G74" s="36">
        <f>82.13</f>
        <v>82.13</v>
      </c>
      <c r="H74" s="41">
        <f>AVERAGE(Table1[[#This Row],[Column Shapes]],Table1[[#This Row],[Column Pair Trends]])</f>
        <v>85.97999999999999</v>
      </c>
      <c r="I74" s="41">
        <f>Sports!T6</f>
        <v>5.0981449560030034E-2</v>
      </c>
      <c r="J74" s="36">
        <f t="shared" si="4"/>
        <v>1</v>
      </c>
    </row>
    <row r="75" spans="1:10" x14ac:dyDescent="0.2">
      <c r="A75" s="36" t="s">
        <v>29</v>
      </c>
      <c r="B75" s="36">
        <v>100</v>
      </c>
      <c r="C75" s="36" t="s">
        <v>11</v>
      </c>
      <c r="D75" s="36">
        <v>5</v>
      </c>
      <c r="E75" s="36" t="str">
        <f t="shared" si="6"/>
        <v>Sports-100-TVAE-5</v>
      </c>
      <c r="F75" s="36">
        <f>87.45</f>
        <v>87.45</v>
      </c>
      <c r="G75" s="36">
        <f>77.53</f>
        <v>77.53</v>
      </c>
      <c r="H75" s="41">
        <f>AVERAGE(Table1[[#This Row],[Column Shapes]],Table1[[#This Row],[Column Pair Trends]])</f>
        <v>82.490000000000009</v>
      </c>
      <c r="I75" s="41">
        <f>Sports!T7</f>
        <v>4.6804968976624006E-2</v>
      </c>
      <c r="J75" s="36">
        <f t="shared" si="4"/>
        <v>1</v>
      </c>
    </row>
    <row r="76" spans="1:10" x14ac:dyDescent="0.2">
      <c r="A76" s="36" t="s">
        <v>29</v>
      </c>
      <c r="B76" s="36">
        <v>100</v>
      </c>
      <c r="C76" s="36" t="s">
        <v>11</v>
      </c>
      <c r="D76" s="36">
        <v>10</v>
      </c>
      <c r="E76" s="36" t="str">
        <f t="shared" si="6"/>
        <v>Sports-100-TVAE-10</v>
      </c>
      <c r="F76" s="36">
        <f>85.99</f>
        <v>85.99</v>
      </c>
      <c r="G76" s="36">
        <f>75.38</f>
        <v>75.38</v>
      </c>
      <c r="H76" s="41">
        <f>AVERAGE(Table1[[#This Row],[Column Shapes]],Table1[[#This Row],[Column Pair Trends]])</f>
        <v>80.685000000000002</v>
      </c>
      <c r="I76" s="41">
        <f>Sports!T8</f>
        <v>-2.7972935497453388E-2</v>
      </c>
      <c r="J76" s="36">
        <f t="shared" si="4"/>
        <v>0</v>
      </c>
    </row>
    <row r="77" spans="1:10" x14ac:dyDescent="0.2">
      <c r="A77" s="36" t="s">
        <v>29</v>
      </c>
      <c r="B77" s="36">
        <v>100</v>
      </c>
      <c r="C77" s="36" t="s">
        <v>11</v>
      </c>
      <c r="D77" s="36">
        <v>20</v>
      </c>
      <c r="E77" s="36" t="str">
        <f t="shared" si="6"/>
        <v>Sports-100-TVAE-20</v>
      </c>
      <c r="F77" s="36">
        <f>85.32</f>
        <v>85.32</v>
      </c>
      <c r="G77" s="36">
        <f>74.37</f>
        <v>74.37</v>
      </c>
      <c r="H77" s="41">
        <f>AVERAGE(Table1[[#This Row],[Column Shapes]],Table1[[#This Row],[Column Pair Trends]])</f>
        <v>79.844999999999999</v>
      </c>
      <c r="I77" s="41">
        <f>Sports!T9</f>
        <v>-3.2697107441549189E-2</v>
      </c>
      <c r="J77" s="36">
        <f t="shared" si="4"/>
        <v>0</v>
      </c>
    </row>
    <row r="78" spans="1:10" x14ac:dyDescent="0.2">
      <c r="A78" s="36" t="s">
        <v>29</v>
      </c>
      <c r="B78" s="36">
        <v>100</v>
      </c>
      <c r="C78" s="36" t="s">
        <v>12</v>
      </c>
      <c r="D78" s="36">
        <v>2</v>
      </c>
      <c r="E78" s="36" t="str">
        <f t="shared" si="6"/>
        <v>Sports-100-CTGAN-2</v>
      </c>
      <c r="F78" s="36">
        <f>96.29</f>
        <v>96.29</v>
      </c>
      <c r="G78" s="36">
        <f>84.74</f>
        <v>84.74</v>
      </c>
      <c r="H78" s="41">
        <f>AVERAGE(Table1[[#This Row],[Column Shapes]],Table1[[#This Row],[Column Pair Trends]])</f>
        <v>90.515000000000001</v>
      </c>
      <c r="I78" s="41">
        <f>Sports!U6</f>
        <v>-8.9577860872501747E-2</v>
      </c>
      <c r="J78" s="36">
        <f t="shared" si="4"/>
        <v>0</v>
      </c>
    </row>
    <row r="79" spans="1:10" x14ac:dyDescent="0.2">
      <c r="A79" s="36" t="s">
        <v>29</v>
      </c>
      <c r="B79" s="36">
        <v>100</v>
      </c>
      <c r="C79" s="36" t="s">
        <v>12</v>
      </c>
      <c r="D79" s="36">
        <v>5</v>
      </c>
      <c r="E79" s="36" t="str">
        <f t="shared" si="6"/>
        <v>Sports-100-CTGAN-5</v>
      </c>
      <c r="F79" s="36">
        <f>95.86</f>
        <v>95.86</v>
      </c>
      <c r="G79" s="36">
        <f>82.18</f>
        <v>82.18</v>
      </c>
      <c r="H79" s="41">
        <f>AVERAGE(Table1[[#This Row],[Column Shapes]],Table1[[#This Row],[Column Pair Trends]])</f>
        <v>89.02000000000001</v>
      </c>
      <c r="I79" s="41">
        <f>Sports!U7</f>
        <v>0.15224223507233803</v>
      </c>
      <c r="J79" s="36">
        <f t="shared" si="4"/>
        <v>1</v>
      </c>
    </row>
    <row r="80" spans="1:10" x14ac:dyDescent="0.2">
      <c r="A80" s="36" t="s">
        <v>29</v>
      </c>
      <c r="B80" s="36">
        <v>100</v>
      </c>
      <c r="C80" s="36" t="s">
        <v>12</v>
      </c>
      <c r="D80" s="36">
        <v>10</v>
      </c>
      <c r="E80" s="36" t="str">
        <f t="shared" si="6"/>
        <v>Sports-100-CTGAN-10</v>
      </c>
      <c r="F80" s="36">
        <f>94.78</f>
        <v>94.78</v>
      </c>
      <c r="G80" s="36">
        <f>81.09</f>
        <v>81.09</v>
      </c>
      <c r="H80" s="41">
        <f>AVERAGE(Table1[[#This Row],[Column Shapes]],Table1[[#This Row],[Column Pair Trends]])</f>
        <v>87.935000000000002</v>
      </c>
      <c r="I80" s="41">
        <f>Sports!U8</f>
        <v>0.35046442891553897</v>
      </c>
      <c r="J80" s="36">
        <f t="shared" si="4"/>
        <v>1</v>
      </c>
    </row>
    <row r="81" spans="1:10" x14ac:dyDescent="0.2">
      <c r="A81" s="36" t="s">
        <v>29</v>
      </c>
      <c r="B81" s="36">
        <v>100</v>
      </c>
      <c r="C81" s="36" t="s">
        <v>12</v>
      </c>
      <c r="D81" s="36">
        <v>20</v>
      </c>
      <c r="E81" s="36" t="str">
        <f t="shared" si="6"/>
        <v>Sports-100-CTGAN-20</v>
      </c>
      <c r="F81" s="36">
        <f>95.12</f>
        <v>95.12</v>
      </c>
      <c r="G81" s="36">
        <f>80.47</f>
        <v>80.47</v>
      </c>
      <c r="H81" s="41">
        <f>AVERAGE(Table1[[#This Row],[Column Shapes]],Table1[[#This Row],[Column Pair Trends]])</f>
        <v>87.795000000000002</v>
      </c>
      <c r="I81" s="41">
        <f>Sports!U9</f>
        <v>0.46161872452567254</v>
      </c>
      <c r="J81" s="36">
        <f t="shared" si="4"/>
        <v>1</v>
      </c>
    </row>
    <row r="82" spans="1:10" x14ac:dyDescent="0.2">
      <c r="A82" s="36" t="s">
        <v>29</v>
      </c>
      <c r="B82" s="36">
        <v>100</v>
      </c>
      <c r="C82" s="36" t="s">
        <v>10</v>
      </c>
      <c r="D82" s="36">
        <v>2</v>
      </c>
      <c r="E82" s="36" t="str">
        <f t="shared" si="6"/>
        <v>Sports-100-Mostly-2</v>
      </c>
      <c r="F82" s="36">
        <f>96.64</f>
        <v>96.64</v>
      </c>
      <c r="G82" s="36">
        <f>87.97</f>
        <v>87.97</v>
      </c>
      <c r="H82" s="41">
        <f>AVERAGE(Table1[[#This Row],[Column Shapes]],Table1[[#This Row],[Column Pair Trends]])</f>
        <v>92.305000000000007</v>
      </c>
      <c r="I82" s="41">
        <f>Sports!V6</f>
        <v>-5.7613724771465646E-2</v>
      </c>
      <c r="J82" s="36">
        <f t="shared" si="4"/>
        <v>0</v>
      </c>
    </row>
    <row r="83" spans="1:10" x14ac:dyDescent="0.2">
      <c r="A83" s="36" t="s">
        <v>29</v>
      </c>
      <c r="B83" s="36">
        <v>100</v>
      </c>
      <c r="C83" s="36" t="s">
        <v>10</v>
      </c>
      <c r="D83" s="36">
        <v>5</v>
      </c>
      <c r="E83" s="36" t="str">
        <f t="shared" si="6"/>
        <v>Sports-100-Mostly-5</v>
      </c>
      <c r="F83" s="36">
        <f>96.64</f>
        <v>96.64</v>
      </c>
      <c r="G83" s="36">
        <f>86.57</f>
        <v>86.57</v>
      </c>
      <c r="H83" s="41">
        <f>AVERAGE(Table1[[#This Row],[Column Shapes]],Table1[[#This Row],[Column Pair Trends]])</f>
        <v>91.60499999999999</v>
      </c>
      <c r="I83" s="41">
        <f>Sports!V7</f>
        <v>0.16145246680188852</v>
      </c>
      <c r="J83" s="36">
        <f t="shared" si="4"/>
        <v>1</v>
      </c>
    </row>
    <row r="84" spans="1:10" x14ac:dyDescent="0.2">
      <c r="A84" s="36" t="s">
        <v>29</v>
      </c>
      <c r="B84" s="36">
        <v>100</v>
      </c>
      <c r="C84" s="36" t="s">
        <v>10</v>
      </c>
      <c r="D84" s="36">
        <v>10</v>
      </c>
      <c r="E84" s="36" t="str">
        <f t="shared" si="6"/>
        <v>Sports-100-Mostly-10</v>
      </c>
      <c r="F84" s="36">
        <f>96.31</f>
        <v>96.31</v>
      </c>
      <c r="G84" s="36">
        <f>86.29</f>
        <v>86.29</v>
      </c>
      <c r="H84" s="41">
        <f>AVERAGE(Table1[[#This Row],[Column Shapes]],Table1[[#This Row],[Column Pair Trends]])</f>
        <v>91.300000000000011</v>
      </c>
      <c r="I84" s="41">
        <f>Sports!V8</f>
        <v>0.34999421584489809</v>
      </c>
      <c r="J84" s="36">
        <f t="shared" si="4"/>
        <v>1</v>
      </c>
    </row>
    <row r="85" spans="1:10" x14ac:dyDescent="0.2">
      <c r="A85" s="36" t="s">
        <v>29</v>
      </c>
      <c r="B85" s="36">
        <v>100</v>
      </c>
      <c r="C85" s="36" t="s">
        <v>10</v>
      </c>
      <c r="D85" s="36">
        <v>20</v>
      </c>
      <c r="E85" s="36" t="str">
        <f t="shared" si="6"/>
        <v>Sports-100-Mostly-20</v>
      </c>
      <c r="F85" s="36">
        <f>96.66</f>
        <v>96.66</v>
      </c>
      <c r="G85" s="36">
        <f>85.89</f>
        <v>85.89</v>
      </c>
      <c r="H85" s="41">
        <f>AVERAGE(Table1[[#This Row],[Column Shapes]],Table1[[#This Row],[Column Pair Trends]])</f>
        <v>91.275000000000006</v>
      </c>
      <c r="I85" s="41">
        <f>Sports!V9</f>
        <v>0.49674978573245299</v>
      </c>
      <c r="J85" s="36">
        <f t="shared" si="4"/>
        <v>1</v>
      </c>
    </row>
    <row r="86" spans="1:10" x14ac:dyDescent="0.2">
      <c r="A86" s="36" t="s">
        <v>29</v>
      </c>
      <c r="B86" s="36">
        <v>500</v>
      </c>
      <c r="C86" s="36" t="s">
        <v>11</v>
      </c>
      <c r="D86" s="36">
        <v>2</v>
      </c>
      <c r="E86" s="36" t="str">
        <f t="shared" si="6"/>
        <v>Sports-500-TVAE-2</v>
      </c>
      <c r="F86" s="36">
        <f>76.26</f>
        <v>76.260000000000005</v>
      </c>
      <c r="G86" s="36">
        <f>62.15</f>
        <v>62.15</v>
      </c>
      <c r="H86" s="41">
        <f>AVERAGE(Table1[[#This Row],[Column Shapes]],Table1[[#This Row],[Column Pair Trends]])</f>
        <v>69.204999999999998</v>
      </c>
      <c r="I86" s="41">
        <f>Sports!T11</f>
        <v>-9.6317570496321503E-2</v>
      </c>
      <c r="J86" s="36">
        <f t="shared" si="4"/>
        <v>0</v>
      </c>
    </row>
    <row r="87" spans="1:10" x14ac:dyDescent="0.2">
      <c r="A87" s="36" t="s">
        <v>29</v>
      </c>
      <c r="B87" s="36">
        <v>500</v>
      </c>
      <c r="C87" s="36" t="s">
        <v>11</v>
      </c>
      <c r="D87" s="36">
        <v>5</v>
      </c>
      <c r="E87" s="36" t="str">
        <f t="shared" si="6"/>
        <v>Sports-500-TVAE-5</v>
      </c>
      <c r="F87" s="36">
        <f>70.62</f>
        <v>70.62</v>
      </c>
      <c r="G87" s="36">
        <f>52.93</f>
        <v>52.93</v>
      </c>
      <c r="H87" s="41">
        <f>AVERAGE(Table1[[#This Row],[Column Shapes]],Table1[[#This Row],[Column Pair Trends]])</f>
        <v>61.775000000000006</v>
      </c>
      <c r="I87" s="41">
        <f>Sports!T12</f>
        <v>-0.17195034093524764</v>
      </c>
      <c r="J87" s="36">
        <f t="shared" si="4"/>
        <v>0</v>
      </c>
    </row>
    <row r="88" spans="1:10" x14ac:dyDescent="0.2">
      <c r="A88" s="36" t="s">
        <v>29</v>
      </c>
      <c r="B88" s="36">
        <v>500</v>
      </c>
      <c r="C88" s="36" t="s">
        <v>11</v>
      </c>
      <c r="D88" s="36">
        <v>10</v>
      </c>
      <c r="E88" s="36" t="str">
        <f t="shared" si="6"/>
        <v>Sports-500-TVAE-10</v>
      </c>
      <c r="F88" s="36">
        <f>67.68</f>
        <v>67.680000000000007</v>
      </c>
      <c r="G88" s="36">
        <f>48.58</f>
        <v>48.58</v>
      </c>
      <c r="H88" s="41">
        <f>AVERAGE(Table1[[#This Row],[Column Shapes]],Table1[[#This Row],[Column Pair Trends]])</f>
        <v>58.13</v>
      </c>
      <c r="I88" s="41">
        <f>Sports!T13</f>
        <v>-0.23012157682178391</v>
      </c>
      <c r="J88" s="36">
        <f t="shared" si="4"/>
        <v>0</v>
      </c>
    </row>
    <row r="89" spans="1:10" x14ac:dyDescent="0.2">
      <c r="A89" s="36" t="s">
        <v>29</v>
      </c>
      <c r="B89" s="36">
        <v>500</v>
      </c>
      <c r="C89" s="36" t="s">
        <v>11</v>
      </c>
      <c r="D89" s="36">
        <v>20</v>
      </c>
      <c r="E89" s="36" t="str">
        <f t="shared" si="6"/>
        <v>Sports-500-TVAE-20</v>
      </c>
      <c r="F89" s="36">
        <f>66.33</f>
        <v>66.33</v>
      </c>
      <c r="G89" s="36">
        <f>46.2</f>
        <v>46.2</v>
      </c>
      <c r="H89" s="41">
        <f>AVERAGE(Table1[[#This Row],[Column Shapes]],Table1[[#This Row],[Column Pair Trends]])</f>
        <v>56.265000000000001</v>
      </c>
      <c r="I89" s="41">
        <f>Sports!T14</f>
        <v>-0.29633416138299218</v>
      </c>
      <c r="J89" s="36">
        <f t="shared" si="4"/>
        <v>0</v>
      </c>
    </row>
    <row r="90" spans="1:10" x14ac:dyDescent="0.2">
      <c r="A90" s="36" t="s">
        <v>29</v>
      </c>
      <c r="B90" s="36">
        <v>500</v>
      </c>
      <c r="C90" s="36" t="s">
        <v>12</v>
      </c>
      <c r="D90" s="36">
        <v>2</v>
      </c>
      <c r="E90" s="36" t="str">
        <f>_xlfn.CONCAT(A90,"-",B90,"-",C90,"-",D90)</f>
        <v>Sports-500-CTGAN-2</v>
      </c>
      <c r="F90" s="36">
        <f>96.83</f>
        <v>96.83</v>
      </c>
      <c r="G90" s="36">
        <f>87.88</f>
        <v>87.88</v>
      </c>
      <c r="H90" s="41">
        <f>AVERAGE(Table1[[#This Row],[Column Shapes]],Table1[[#This Row],[Column Pair Trends]])</f>
        <v>92.35499999999999</v>
      </c>
      <c r="I90" s="41">
        <f>Sports!U11</f>
        <v>0.14569862579628778</v>
      </c>
      <c r="J90" s="36">
        <f t="shared" si="4"/>
        <v>1</v>
      </c>
    </row>
    <row r="91" spans="1:10" x14ac:dyDescent="0.2">
      <c r="A91" s="36" t="s">
        <v>29</v>
      </c>
      <c r="B91" s="36">
        <v>500</v>
      </c>
      <c r="C91" s="36" t="s">
        <v>12</v>
      </c>
      <c r="D91" s="36">
        <v>5</v>
      </c>
      <c r="E91" s="36" t="str">
        <f t="shared" ref="E91:E109" si="7">_xlfn.CONCAT(A91,"-",B91,"-",C91,"-",D91)</f>
        <v>Sports-500-CTGAN-5</v>
      </c>
      <c r="F91" s="36">
        <f>96.27</f>
        <v>96.27</v>
      </c>
      <c r="G91" s="36">
        <f>85.35</f>
        <v>85.35</v>
      </c>
      <c r="H91" s="41">
        <f>AVERAGE(Table1[[#This Row],[Column Shapes]],Table1[[#This Row],[Column Pair Trends]])</f>
        <v>90.81</v>
      </c>
      <c r="I91" s="41">
        <f>Sports!U12</f>
        <v>0.22618684626675167</v>
      </c>
      <c r="J91" s="36">
        <f t="shared" si="4"/>
        <v>1</v>
      </c>
    </row>
    <row r="92" spans="1:10" x14ac:dyDescent="0.2">
      <c r="A92" s="36" t="s">
        <v>29</v>
      </c>
      <c r="B92" s="36">
        <v>500</v>
      </c>
      <c r="C92" s="36" t="s">
        <v>12</v>
      </c>
      <c r="D92" s="36">
        <v>10</v>
      </c>
      <c r="E92" s="36" t="str">
        <f t="shared" si="7"/>
        <v>Sports-500-CTGAN-10</v>
      </c>
      <c r="F92" s="36">
        <f>95.91</f>
        <v>95.91</v>
      </c>
      <c r="G92" s="36">
        <f>84.35</f>
        <v>84.35</v>
      </c>
      <c r="H92" s="41">
        <f>AVERAGE(Table1[[#This Row],[Column Shapes]],Table1[[#This Row],[Column Pair Trends]])</f>
        <v>90.13</v>
      </c>
      <c r="I92" s="41">
        <f>Sports!U13</f>
        <v>0.20460524152444848</v>
      </c>
      <c r="J92" s="36">
        <f t="shared" si="4"/>
        <v>1</v>
      </c>
    </row>
    <row r="93" spans="1:10" x14ac:dyDescent="0.2">
      <c r="A93" s="36" t="s">
        <v>29</v>
      </c>
      <c r="B93" s="36">
        <v>500</v>
      </c>
      <c r="C93" s="36" t="s">
        <v>12</v>
      </c>
      <c r="D93" s="36">
        <v>20</v>
      </c>
      <c r="E93" s="36" t="str">
        <f t="shared" si="7"/>
        <v>Sports-500-CTGAN-20</v>
      </c>
      <c r="F93" s="36">
        <f>95.94</f>
        <v>95.94</v>
      </c>
      <c r="G93" s="36">
        <f>83.7</f>
        <v>83.7</v>
      </c>
      <c r="H93" s="41">
        <f>AVERAGE(Table1[[#This Row],[Column Shapes]],Table1[[#This Row],[Column Pair Trends]])</f>
        <v>89.82</v>
      </c>
      <c r="I93" s="41">
        <f>Sports!U14</f>
        <v>0.20288038718047607</v>
      </c>
      <c r="J93" s="36">
        <f t="shared" si="4"/>
        <v>1</v>
      </c>
    </row>
    <row r="94" spans="1:10" x14ac:dyDescent="0.2">
      <c r="A94" s="36" t="s">
        <v>29</v>
      </c>
      <c r="B94" s="36">
        <v>500</v>
      </c>
      <c r="C94" s="36" t="s">
        <v>10</v>
      </c>
      <c r="D94" s="36">
        <v>2</v>
      </c>
      <c r="E94" s="36" t="str">
        <f t="shared" si="7"/>
        <v>Sports-500-Mostly-2</v>
      </c>
      <c r="F94" s="36">
        <f>97.98</f>
        <v>97.98</v>
      </c>
      <c r="G94" s="36">
        <f>95.04</f>
        <v>95.04</v>
      </c>
      <c r="H94" s="41">
        <f>AVERAGE(Table1[[#This Row],[Column Shapes]],Table1[[#This Row],[Column Pair Trends]])</f>
        <v>96.51</v>
      </c>
      <c r="I94" s="41">
        <f>Sports!V11</f>
        <v>0.15800779323271197</v>
      </c>
      <c r="J94" s="36">
        <f t="shared" si="4"/>
        <v>1</v>
      </c>
    </row>
    <row r="95" spans="1:10" x14ac:dyDescent="0.2">
      <c r="A95" s="36" t="s">
        <v>29</v>
      </c>
      <c r="B95" s="36">
        <v>500</v>
      </c>
      <c r="C95" s="36" t="s">
        <v>10</v>
      </c>
      <c r="D95" s="36">
        <v>5</v>
      </c>
      <c r="E95" s="36" t="str">
        <f t="shared" si="7"/>
        <v>Sports-500-Mostly-5</v>
      </c>
      <c r="F95" s="36">
        <f>97.43</f>
        <v>97.43</v>
      </c>
      <c r="G95" s="36">
        <f>94.36</f>
        <v>94.36</v>
      </c>
      <c r="H95" s="41">
        <f>AVERAGE(Table1[[#This Row],[Column Shapes]],Table1[[#This Row],[Column Pair Trends]])</f>
        <v>95.89500000000001</v>
      </c>
      <c r="I95" s="41">
        <f>Sports!V12</f>
        <v>0.37521665306512897</v>
      </c>
      <c r="J95" s="36">
        <f t="shared" si="4"/>
        <v>1</v>
      </c>
    </row>
    <row r="96" spans="1:10" x14ac:dyDescent="0.2">
      <c r="A96" s="36" t="s">
        <v>29</v>
      </c>
      <c r="B96" s="36">
        <v>500</v>
      </c>
      <c r="C96" s="36" t="s">
        <v>10</v>
      </c>
      <c r="D96" s="36">
        <v>10</v>
      </c>
      <c r="E96" s="36" t="str">
        <f t="shared" si="7"/>
        <v>Sports-500-Mostly-10</v>
      </c>
      <c r="F96" s="36">
        <f>97.76</f>
        <v>97.76</v>
      </c>
      <c r="G96" s="36">
        <f>94.49</f>
        <v>94.49</v>
      </c>
      <c r="H96" s="41">
        <f>AVERAGE(Table1[[#This Row],[Column Shapes]],Table1[[#This Row],[Column Pair Trends]])</f>
        <v>96.125</v>
      </c>
      <c r="I96" s="41">
        <f>Sports!V13</f>
        <v>0.49076859150845542</v>
      </c>
      <c r="J96" s="36">
        <f t="shared" si="4"/>
        <v>1</v>
      </c>
    </row>
    <row r="97" spans="1:10" x14ac:dyDescent="0.2">
      <c r="A97" s="36" t="s">
        <v>29</v>
      </c>
      <c r="B97" s="36">
        <v>500</v>
      </c>
      <c r="C97" s="36" t="s">
        <v>10</v>
      </c>
      <c r="D97" s="36">
        <v>20</v>
      </c>
      <c r="E97" s="36" t="str">
        <f t="shared" si="7"/>
        <v>Sports-500-Mostly-20</v>
      </c>
      <c r="F97" s="36">
        <f>97.42</f>
        <v>97.42</v>
      </c>
      <c r="G97" s="36">
        <f>94.18</f>
        <v>94.18</v>
      </c>
      <c r="H97" s="41">
        <f>AVERAGE(Table1[[#This Row],[Column Shapes]],Table1[[#This Row],[Column Pair Trends]])</f>
        <v>95.800000000000011</v>
      </c>
      <c r="I97" s="41">
        <f>Sports!V14</f>
        <v>0.52239298878097351</v>
      </c>
      <c r="J97" s="36">
        <f t="shared" si="4"/>
        <v>1</v>
      </c>
    </row>
    <row r="98" spans="1:10" x14ac:dyDescent="0.2">
      <c r="A98" s="36" t="s">
        <v>29</v>
      </c>
      <c r="B98" s="36">
        <v>1000</v>
      </c>
      <c r="C98" s="36" t="s">
        <v>11</v>
      </c>
      <c r="D98" s="36">
        <v>2</v>
      </c>
      <c r="E98" s="36" t="str">
        <f t="shared" si="7"/>
        <v>Sports-1000-TVAE-2</v>
      </c>
      <c r="F98" s="36">
        <f>82.15</f>
        <v>82.15</v>
      </c>
      <c r="G98" s="36">
        <f>69.83</f>
        <v>69.83</v>
      </c>
      <c r="H98" s="41">
        <f>AVERAGE(Table1[[#This Row],[Column Shapes]],Table1[[#This Row],[Column Pair Trends]])</f>
        <v>75.990000000000009</v>
      </c>
      <c r="I98" s="41">
        <f>Sports!T16</f>
        <v>-0.20730958277174705</v>
      </c>
      <c r="J98" s="36">
        <f t="shared" si="4"/>
        <v>0</v>
      </c>
    </row>
    <row r="99" spans="1:10" x14ac:dyDescent="0.2">
      <c r="A99" s="36" t="s">
        <v>29</v>
      </c>
      <c r="B99" s="36">
        <v>1000</v>
      </c>
      <c r="C99" s="36" t="s">
        <v>11</v>
      </c>
      <c r="D99" s="36">
        <v>5</v>
      </c>
      <c r="E99" s="36" t="str">
        <f t="shared" si="7"/>
        <v>Sports-1000-TVAE-5</v>
      </c>
      <c r="F99" s="36">
        <f>77.59</f>
        <v>77.59</v>
      </c>
      <c r="G99" s="36">
        <f>62.05</f>
        <v>62.05</v>
      </c>
      <c r="H99" s="41">
        <f>AVERAGE(Table1[[#This Row],[Column Shapes]],Table1[[#This Row],[Column Pair Trends]])</f>
        <v>69.819999999999993</v>
      </c>
      <c r="I99" s="41">
        <f>Sports!T17</f>
        <v>-0.36315596488579249</v>
      </c>
      <c r="J99" s="36">
        <f t="shared" si="4"/>
        <v>0</v>
      </c>
    </row>
    <row r="100" spans="1:10" x14ac:dyDescent="0.2">
      <c r="A100" s="36" t="s">
        <v>29</v>
      </c>
      <c r="B100" s="36">
        <v>1000</v>
      </c>
      <c r="C100" s="36" t="s">
        <v>11</v>
      </c>
      <c r="D100" s="36">
        <v>10</v>
      </c>
      <c r="E100" s="36" t="str">
        <f t="shared" si="7"/>
        <v>Sports-1000-TVAE-10</v>
      </c>
      <c r="F100" s="36">
        <f>75.82</f>
        <v>75.819999999999993</v>
      </c>
      <c r="G100" s="36">
        <f>58.78</f>
        <v>58.78</v>
      </c>
      <c r="H100" s="41">
        <f>AVERAGE(Table1[[#This Row],[Column Shapes]],Table1[[#This Row],[Column Pair Trends]])</f>
        <v>67.3</v>
      </c>
      <c r="I100" s="41">
        <f>Sports!T18</f>
        <v>-0.50926159542819072</v>
      </c>
      <c r="J100" s="36">
        <f t="shared" si="4"/>
        <v>0</v>
      </c>
    </row>
    <row r="101" spans="1:10" x14ac:dyDescent="0.2">
      <c r="A101" s="36" t="s">
        <v>29</v>
      </c>
      <c r="B101" s="36">
        <v>1000</v>
      </c>
      <c r="C101" s="36" t="s">
        <v>11</v>
      </c>
      <c r="D101" s="36">
        <v>20</v>
      </c>
      <c r="E101" s="36" t="str">
        <f t="shared" si="7"/>
        <v>Sports-1000-TVAE-20</v>
      </c>
      <c r="F101" s="36">
        <f>74.65</f>
        <v>74.650000000000006</v>
      </c>
      <c r="G101" s="36">
        <f>56.72</f>
        <v>56.72</v>
      </c>
      <c r="H101" s="41">
        <f>AVERAGE(Table1[[#This Row],[Column Shapes]],Table1[[#This Row],[Column Pair Trends]])</f>
        <v>65.685000000000002</v>
      </c>
      <c r="I101" s="41">
        <f>Sports!T19</f>
        <v>-0.70234735095999268</v>
      </c>
      <c r="J101" s="36">
        <f t="shared" si="4"/>
        <v>0</v>
      </c>
    </row>
    <row r="102" spans="1:10" x14ac:dyDescent="0.2">
      <c r="A102" s="36" t="s">
        <v>29</v>
      </c>
      <c r="B102" s="36">
        <v>1000</v>
      </c>
      <c r="C102" s="36" t="s">
        <v>12</v>
      </c>
      <c r="D102" s="36">
        <v>2</v>
      </c>
      <c r="E102" s="36" t="str">
        <f t="shared" si="7"/>
        <v>Sports-1000-CTGAN-2</v>
      </c>
      <c r="F102" s="36">
        <f>93.41</f>
        <v>93.41</v>
      </c>
      <c r="G102" s="36">
        <f>86.58</f>
        <v>86.58</v>
      </c>
      <c r="H102" s="41">
        <f>AVERAGE(Table1[[#This Row],[Column Shapes]],Table1[[#This Row],[Column Pair Trends]])</f>
        <v>89.995000000000005</v>
      </c>
      <c r="I102" s="41">
        <f>Sports!U16</f>
        <v>-0.13939719373257242</v>
      </c>
      <c r="J102" s="36">
        <f t="shared" ref="J102:J109" si="8">IF(I102&gt;0,1,0)</f>
        <v>0</v>
      </c>
    </row>
    <row r="103" spans="1:10" x14ac:dyDescent="0.2">
      <c r="A103" s="36" t="s">
        <v>29</v>
      </c>
      <c r="B103" s="36">
        <v>1000</v>
      </c>
      <c r="C103" s="36" t="s">
        <v>12</v>
      </c>
      <c r="D103" s="36">
        <v>5</v>
      </c>
      <c r="E103" s="36" t="str">
        <f t="shared" si="7"/>
        <v>Sports-1000-CTGAN-5</v>
      </c>
      <c r="F103" s="36">
        <f>91.43</f>
        <v>91.43</v>
      </c>
      <c r="G103" s="36">
        <f>83.01</f>
        <v>83.01</v>
      </c>
      <c r="H103" s="41">
        <f>AVERAGE(Table1[[#This Row],[Column Shapes]],Table1[[#This Row],[Column Pair Trends]])</f>
        <v>87.22</v>
      </c>
      <c r="I103" s="41">
        <f>Sports!U17</f>
        <v>-0.16698873751071552</v>
      </c>
      <c r="J103" s="36">
        <f t="shared" si="8"/>
        <v>0</v>
      </c>
    </row>
    <row r="104" spans="1:10" x14ac:dyDescent="0.2">
      <c r="A104" s="36" t="s">
        <v>29</v>
      </c>
      <c r="B104" s="36">
        <v>1000</v>
      </c>
      <c r="C104" s="36" t="s">
        <v>12</v>
      </c>
      <c r="D104" s="36">
        <v>10</v>
      </c>
      <c r="E104" s="36" t="str">
        <f t="shared" si="7"/>
        <v>Sports-1000-CTGAN-10</v>
      </c>
      <c r="F104" s="36">
        <f>90.77</f>
        <v>90.77</v>
      </c>
      <c r="G104" s="36">
        <f>81.77</f>
        <v>81.77</v>
      </c>
      <c r="H104" s="41">
        <f>AVERAGE(Table1[[#This Row],[Column Shapes]],Table1[[#This Row],[Column Pair Trends]])</f>
        <v>86.27</v>
      </c>
      <c r="I104" s="41">
        <f>Sports!U18</f>
        <v>-0.24072398348923985</v>
      </c>
      <c r="J104" s="36">
        <f t="shared" si="8"/>
        <v>0</v>
      </c>
    </row>
    <row r="105" spans="1:10" x14ac:dyDescent="0.2">
      <c r="A105" s="36" t="s">
        <v>29</v>
      </c>
      <c r="B105" s="36">
        <v>1000</v>
      </c>
      <c r="C105" s="36" t="s">
        <v>12</v>
      </c>
      <c r="D105" s="36">
        <v>20</v>
      </c>
      <c r="E105" s="36" t="str">
        <f t="shared" si="7"/>
        <v>Sports-1000-CTGAN-20</v>
      </c>
      <c r="F105" s="36">
        <f>90.37</f>
        <v>90.37</v>
      </c>
      <c r="G105" s="36">
        <f>80.91</f>
        <v>80.91</v>
      </c>
      <c r="H105" s="41">
        <f>AVERAGE(Table1[[#This Row],[Column Shapes]],Table1[[#This Row],[Column Pair Trends]])</f>
        <v>85.64</v>
      </c>
      <c r="I105" s="41">
        <f>Sports!U19</f>
        <v>-0.34006367346856892</v>
      </c>
      <c r="J105" s="36">
        <f t="shared" si="8"/>
        <v>0</v>
      </c>
    </row>
    <row r="106" spans="1:10" x14ac:dyDescent="0.2">
      <c r="A106" s="36" t="s">
        <v>29</v>
      </c>
      <c r="B106" s="36">
        <v>1000</v>
      </c>
      <c r="C106" s="36" t="s">
        <v>10</v>
      </c>
      <c r="D106" s="36">
        <v>2</v>
      </c>
      <c r="E106" s="36" t="str">
        <f t="shared" si="7"/>
        <v>Sports-1000-Mostly-2</v>
      </c>
      <c r="F106" s="36">
        <f>98.66</f>
        <v>98.66</v>
      </c>
      <c r="G106" s="36">
        <f>96.62</f>
        <v>96.62</v>
      </c>
      <c r="H106" s="41">
        <f>AVERAGE(Table1[[#This Row],[Column Shapes]],Table1[[#This Row],[Column Pair Trends]])</f>
        <v>97.64</v>
      </c>
      <c r="I106" s="41">
        <f>Sports!V16</f>
        <v>9.0075335735342321E-2</v>
      </c>
      <c r="J106" s="36">
        <f t="shared" si="8"/>
        <v>1</v>
      </c>
    </row>
    <row r="107" spans="1:10" x14ac:dyDescent="0.2">
      <c r="A107" s="36" t="s">
        <v>29</v>
      </c>
      <c r="B107" s="36">
        <v>1000</v>
      </c>
      <c r="C107" s="36" t="s">
        <v>10</v>
      </c>
      <c r="D107" s="36">
        <v>5</v>
      </c>
      <c r="E107" s="36" t="str">
        <f t="shared" si="7"/>
        <v>Sports-1000-Mostly-5</v>
      </c>
      <c r="F107" s="36">
        <f>98.23</f>
        <v>98.23</v>
      </c>
      <c r="G107" s="36">
        <f>96.13</f>
        <v>96.13</v>
      </c>
      <c r="H107" s="41">
        <f>AVERAGE(Table1[[#This Row],[Column Shapes]],Table1[[#This Row],[Column Pair Trends]])</f>
        <v>97.18</v>
      </c>
      <c r="I107" s="41">
        <f>Sports!V17</f>
        <v>0.24909686402900466</v>
      </c>
      <c r="J107" s="36">
        <f t="shared" si="8"/>
        <v>1</v>
      </c>
    </row>
    <row r="108" spans="1:10" x14ac:dyDescent="0.2">
      <c r="A108" s="36" t="s">
        <v>29</v>
      </c>
      <c r="B108" s="36">
        <v>1000</v>
      </c>
      <c r="C108" s="36" t="s">
        <v>10</v>
      </c>
      <c r="D108" s="36">
        <v>10</v>
      </c>
      <c r="E108" s="36" t="str">
        <f t="shared" si="7"/>
        <v>Sports-1000-Mostly-10</v>
      </c>
      <c r="F108" s="36">
        <f>98.17</f>
        <v>98.17</v>
      </c>
      <c r="G108" s="36">
        <f>96.05</f>
        <v>96.05</v>
      </c>
      <c r="H108" s="41">
        <f>AVERAGE(Table1[[#This Row],[Column Shapes]],Table1[[#This Row],[Column Pair Trends]])</f>
        <v>97.11</v>
      </c>
      <c r="I108" s="41">
        <f>Sports!V18</f>
        <v>0.34554794846933379</v>
      </c>
      <c r="J108" s="36">
        <f t="shared" si="8"/>
        <v>1</v>
      </c>
    </row>
    <row r="109" spans="1:10" x14ac:dyDescent="0.2">
      <c r="A109" s="36" t="s">
        <v>29</v>
      </c>
      <c r="B109" s="36">
        <v>1000</v>
      </c>
      <c r="C109" s="36" t="s">
        <v>10</v>
      </c>
      <c r="D109" s="36">
        <v>20</v>
      </c>
      <c r="E109" s="36" t="str">
        <f t="shared" si="7"/>
        <v>Sports-1000-Mostly-20</v>
      </c>
      <c r="F109" s="36">
        <f>98.28</f>
        <v>98.28</v>
      </c>
      <c r="G109" s="36">
        <f>96.12</f>
        <v>96.12</v>
      </c>
      <c r="H109" s="41">
        <f>AVERAGE(Table1[[#This Row],[Column Shapes]],Table1[[#This Row],[Column Pair Trends]])</f>
        <v>97.2</v>
      </c>
      <c r="I109" s="41">
        <f>Sports!V19</f>
        <v>0.30632323088429081</v>
      </c>
      <c r="J109" s="36">
        <f t="shared" si="8"/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0195-5D2B-9341-8166-6A7B9B2FFA63}">
  <dimension ref="B2:L6"/>
  <sheetViews>
    <sheetView zoomScale="157" workbookViewId="0">
      <selection activeCell="L6" sqref="L6"/>
    </sheetView>
  </sheetViews>
  <sheetFormatPr baseColWidth="10" defaultRowHeight="16" x14ac:dyDescent="0.2"/>
  <sheetData>
    <row r="2" spans="2:12" x14ac:dyDescent="0.2">
      <c r="B2" t="s">
        <v>0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</row>
    <row r="3" spans="2:12" x14ac:dyDescent="0.2">
      <c r="B3" t="s">
        <v>30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5</v>
      </c>
      <c r="J3">
        <v>5</v>
      </c>
      <c r="K3">
        <v>2</v>
      </c>
    </row>
    <row r="4" spans="2:12" x14ac:dyDescent="0.2">
      <c r="B4" t="s">
        <v>31</v>
      </c>
      <c r="C4">
        <v>1</v>
      </c>
      <c r="D4">
        <v>1</v>
      </c>
      <c r="E4">
        <v>4</v>
      </c>
      <c r="F4">
        <v>3</v>
      </c>
      <c r="G4">
        <v>4</v>
      </c>
      <c r="H4">
        <v>1</v>
      </c>
      <c r="I4">
        <v>1</v>
      </c>
      <c r="J4">
        <v>5</v>
      </c>
      <c r="K4">
        <v>1</v>
      </c>
      <c r="L4" s="35">
        <f>6/9</f>
        <v>0.66666666666666663</v>
      </c>
    </row>
    <row r="5" spans="2:12" x14ac:dyDescent="0.2">
      <c r="B5" s="34" t="s">
        <v>32</v>
      </c>
      <c r="C5">
        <v>5</v>
      </c>
      <c r="D5">
        <v>5</v>
      </c>
      <c r="E5">
        <v>5</v>
      </c>
      <c r="F5">
        <v>5</v>
      </c>
      <c r="G5">
        <v>4</v>
      </c>
      <c r="H5">
        <v>2</v>
      </c>
      <c r="I5">
        <v>1</v>
      </c>
      <c r="J5">
        <v>5</v>
      </c>
      <c r="K5">
        <v>1</v>
      </c>
      <c r="L5" s="35">
        <f>2/9</f>
        <v>0.22222222222222221</v>
      </c>
    </row>
    <row r="6" spans="2:12" x14ac:dyDescent="0.2">
      <c r="B6" t="s">
        <v>44</v>
      </c>
      <c r="C6">
        <v>2</v>
      </c>
      <c r="D6">
        <v>5</v>
      </c>
      <c r="E6">
        <v>2</v>
      </c>
      <c r="F6">
        <v>5</v>
      </c>
      <c r="G6">
        <v>1</v>
      </c>
      <c r="H6">
        <v>5</v>
      </c>
      <c r="I6">
        <v>2</v>
      </c>
      <c r="J6">
        <v>5</v>
      </c>
      <c r="K6">
        <v>2</v>
      </c>
      <c r="L6" s="35">
        <f>4/9</f>
        <v>0.44444444444444442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</vt:lpstr>
      <vt:lpstr>Asia</vt:lpstr>
      <vt:lpstr>Sports</vt:lpstr>
      <vt:lpstr>Insurance</vt:lpstr>
      <vt:lpstr>Alarm</vt:lpstr>
      <vt:lpstr>Similarity</vt:lpstr>
      <vt:lpstr>Mineros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ＤＡＶＩＤ　ＨＩＧＵＩＴＡ　ＤＵＶＡＮ　ＣＡＭＩＬＯ</dc:creator>
  <cp:lastModifiedBy>ＤＡＶＩＤ　ＨＩＧＵＩＴＡ　ＤＵＶＡＮ　ＣＡＭＩＬＯ</cp:lastModifiedBy>
  <dcterms:created xsi:type="dcterms:W3CDTF">2023-03-07T02:22:15Z</dcterms:created>
  <dcterms:modified xsi:type="dcterms:W3CDTF">2023-10-12T06:44:14Z</dcterms:modified>
</cp:coreProperties>
</file>